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customProperty5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customProperty23.bin" ContentType="application/vnd.openxmlformats-officedocument.spreadsheetml.customProperty"/>
  <Override PartName="/xl/calcChain.xml" ContentType="application/vnd.openxmlformats-officedocument.spreadsheetml.calcChain+xml"/>
  <Override PartName="/xl/customProperty22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21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omments2.xml" ContentType="application/vnd.openxmlformats-officedocument.spreadsheetml.comments+xml"/>
  <Override PartName="/xl/customProperty18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Decoupling\2020 Decoupling Filing\Filed as of 4-20-2020\"/>
    </mc:Choice>
  </mc:AlternateContent>
  <bookViews>
    <workbookView xWindow="9270" yWindow="105" windowWidth="12480" windowHeight="8280" tabRatio="921"/>
  </bookViews>
  <sheets>
    <sheet name="Delivery Rate Change Calc" sheetId="1" r:id="rId1"/>
    <sheet name="Summary of Rates" sheetId="9" r:id="rId2"/>
    <sheet name="RateDev (31,31T,41,41T,86,86T)" sheetId="8" r:id="rId3"/>
    <sheet name="Rate Test" sheetId="2" r:id="rId4"/>
    <sheet name="Earnings Test Alloc" sheetId="15" r:id="rId5"/>
    <sheet name="Rate Impacts--&gt;" sheetId="46" r:id="rId6"/>
    <sheet name="Rate Impacts Sch142" sheetId="52" r:id="rId7"/>
    <sheet name="Sch 142 Revenue (Decoupling)" sheetId="54" r:id="rId8"/>
    <sheet name="Typical Res Bill Combined" sheetId="53" r:id="rId9"/>
    <sheet name="Balances -&gt;" sheetId="51" r:id="rId10"/>
    <sheet name="Deferral Balance" sheetId="25" r:id="rId11"/>
    <sheet name="Account Balance" sheetId="23" r:id="rId12"/>
    <sheet name="Amort Estimate" sheetId="27" r:id="rId13"/>
    <sheet name="Work Papers--&gt;" sheetId="36" r:id="rId14"/>
    <sheet name="Sch23&amp;53 Deferral Calc" sheetId="40" r:id="rId15"/>
    <sheet name="Sch31&amp;31T Deferral Calc" sheetId="41" r:id="rId16"/>
    <sheet name="Sch 41&amp;86 Deferral Calc" sheetId="42" r:id="rId17"/>
    <sheet name="F2019 Forecast" sheetId="21" r:id="rId18"/>
    <sheet name="2019 Gas Margin Calc" sheetId="18" r:id="rId19"/>
    <sheet name="2019 Weather Adj" sheetId="29" r:id="rId20"/>
    <sheet name="2019 Gas Earnings Test" sheetId="48" r:id="rId21"/>
    <sheet name="2018 ERF Volumetric DeliveryRev" sheetId="22" r:id="rId22"/>
    <sheet name="2017 GRC Conversion Factor" sheetId="26" r:id="rId23"/>
  </sheet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</definedNames>
  <calcPr calcId="162913"/>
</workbook>
</file>

<file path=xl/calcChain.xml><?xml version="1.0" encoding="utf-8"?>
<calcChain xmlns="http://schemas.openxmlformats.org/spreadsheetml/2006/main">
  <c r="O8" i="42" l="1"/>
  <c r="D13" i="18"/>
  <c r="D12" i="18"/>
  <c r="D11" i="18"/>
  <c r="O8" i="40"/>
  <c r="O8" i="4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12" i="8"/>
  <c r="A2" i="53"/>
  <c r="A4" i="53"/>
  <c r="A1" i="53"/>
  <c r="G36" i="54"/>
  <c r="G27" i="54"/>
  <c r="D20" i="54"/>
  <c r="D15" i="54"/>
  <c r="H36" i="54"/>
  <c r="D45" i="54" l="1"/>
  <c r="D60" i="54"/>
  <c r="F25" i="52"/>
  <c r="F22" i="52"/>
  <c r="D34" i="54"/>
  <c r="D25" i="54"/>
  <c r="G28" i="54"/>
  <c r="H27" i="54"/>
  <c r="G34" i="53" l="1"/>
  <c r="G33" i="53"/>
  <c r="D35" i="53"/>
  <c r="D36" i="53" s="1"/>
  <c r="F18" i="25"/>
  <c r="E18" i="25"/>
  <c r="BL113" i="23"/>
  <c r="BL116" i="23"/>
  <c r="BM116" i="23"/>
  <c r="BN116" i="23"/>
  <c r="BO116" i="23"/>
  <c r="BP116" i="23"/>
  <c r="BQ116" i="23"/>
  <c r="BR116" i="23"/>
  <c r="BS116" i="23"/>
  <c r="BT116" i="23"/>
  <c r="BU116" i="23"/>
  <c r="BV116" i="23"/>
  <c r="BW116" i="23"/>
  <c r="BX116" i="23"/>
  <c r="BL109" i="23" l="1"/>
  <c r="BM109" i="23"/>
  <c r="BN109" i="23"/>
  <c r="BO109" i="23"/>
  <c r="BP109" i="23"/>
  <c r="BQ109" i="23"/>
  <c r="BR109" i="23"/>
  <c r="BS109" i="23"/>
  <c r="BT109" i="23"/>
  <c r="BU109" i="23"/>
  <c r="BV109" i="23"/>
  <c r="BW109" i="23"/>
  <c r="BX109" i="23"/>
  <c r="BL110" i="23"/>
  <c r="BL105" i="23"/>
  <c r="BM105" i="23"/>
  <c r="BM110" i="23" s="1"/>
  <c r="BN105" i="23" s="1"/>
  <c r="BN110" i="23" s="1"/>
  <c r="BO105" i="23" s="1"/>
  <c r="BO110" i="23" s="1"/>
  <c r="BP105" i="23" s="1"/>
  <c r="BP110" i="23" s="1"/>
  <c r="BQ105" i="23" s="1"/>
  <c r="BQ110" i="23" s="1"/>
  <c r="BR105" i="23" s="1"/>
  <c r="BR110" i="23" s="1"/>
  <c r="BS105" i="23" s="1"/>
  <c r="BS110" i="23" s="1"/>
  <c r="BT105" i="23" s="1"/>
  <c r="BT110" i="23" s="1"/>
  <c r="BU105" i="23" s="1"/>
  <c r="BU110" i="23" s="1"/>
  <c r="BV105" i="23" s="1"/>
  <c r="BV110" i="23" s="1"/>
  <c r="BW105" i="23" s="1"/>
  <c r="BW110" i="23" s="1"/>
  <c r="BX105" i="23" s="1"/>
  <c r="BL101" i="23"/>
  <c r="BM101" i="23"/>
  <c r="BN101" i="23"/>
  <c r="BO101" i="23"/>
  <c r="BP101" i="23"/>
  <c r="BQ101" i="23"/>
  <c r="BR101" i="23"/>
  <c r="BS101" i="23"/>
  <c r="BT101" i="23"/>
  <c r="BU101" i="23"/>
  <c r="BV101" i="23"/>
  <c r="BW101" i="23"/>
  <c r="BX101" i="23"/>
  <c r="BL102" i="23"/>
  <c r="BL97" i="23"/>
  <c r="BM97" i="23"/>
  <c r="BL93" i="23"/>
  <c r="BL114" i="23" s="1"/>
  <c r="BM93" i="23"/>
  <c r="BM114" i="23" s="1"/>
  <c r="BN93" i="23"/>
  <c r="BN114" i="23" s="1"/>
  <c r="BO93" i="23"/>
  <c r="BO114" i="23" s="1"/>
  <c r="BP93" i="23"/>
  <c r="BP114" i="23" s="1"/>
  <c r="BQ93" i="23"/>
  <c r="BQ114" i="23" s="1"/>
  <c r="BR93" i="23"/>
  <c r="BR114" i="23" s="1"/>
  <c r="BS93" i="23"/>
  <c r="BS114" i="23" s="1"/>
  <c r="BT93" i="23"/>
  <c r="BT114" i="23" s="1"/>
  <c r="BU93" i="23"/>
  <c r="BU114" i="23" s="1"/>
  <c r="BV93" i="23"/>
  <c r="BV114" i="23" s="1"/>
  <c r="BW93" i="23"/>
  <c r="BW114" i="23" s="1"/>
  <c r="BX93" i="23"/>
  <c r="BX114" i="23" s="1"/>
  <c r="BL85" i="23"/>
  <c r="BL81" i="23"/>
  <c r="BL82" i="23" s="1"/>
  <c r="BM76" i="23" s="1"/>
  <c r="BM81" i="23"/>
  <c r="BN81" i="23"/>
  <c r="BO81" i="23"/>
  <c r="BP81" i="23"/>
  <c r="BQ81" i="23"/>
  <c r="BR81" i="23"/>
  <c r="BS81" i="23"/>
  <c r="BT81" i="23"/>
  <c r="BU81" i="23"/>
  <c r="BV81" i="23"/>
  <c r="BW81" i="23"/>
  <c r="BX81" i="23"/>
  <c r="BL76" i="23"/>
  <c r="BL72" i="23"/>
  <c r="BM72" i="23"/>
  <c r="BN72" i="23"/>
  <c r="BO72" i="23"/>
  <c r="BP72" i="23"/>
  <c r="BQ72" i="23"/>
  <c r="BR72" i="23"/>
  <c r="BS72" i="23"/>
  <c r="BT72" i="23"/>
  <c r="BU72" i="23"/>
  <c r="BV72" i="23"/>
  <c r="BW72" i="23"/>
  <c r="BX72" i="23"/>
  <c r="BL73" i="23"/>
  <c r="BL68" i="23"/>
  <c r="BM68" i="23"/>
  <c r="BM73" i="23" s="1"/>
  <c r="BN68" i="23" s="1"/>
  <c r="BN73" i="23" s="1"/>
  <c r="BO68" i="23" s="1"/>
  <c r="BO73" i="23" s="1"/>
  <c r="BP68" i="23" s="1"/>
  <c r="BP73" i="23" s="1"/>
  <c r="BQ68" i="23" s="1"/>
  <c r="BQ73" i="23" s="1"/>
  <c r="BR68" i="23" s="1"/>
  <c r="BR73" i="23" s="1"/>
  <c r="BS68" i="23" s="1"/>
  <c r="BS73" i="23" s="1"/>
  <c r="BT68" i="23" s="1"/>
  <c r="BT73" i="23" s="1"/>
  <c r="BU68" i="23" s="1"/>
  <c r="BU73" i="23" s="1"/>
  <c r="BV68" i="23" s="1"/>
  <c r="BV73" i="23" s="1"/>
  <c r="BW68" i="23" s="1"/>
  <c r="BW73" i="23" s="1"/>
  <c r="BX68" i="23" s="1"/>
  <c r="BL64" i="23"/>
  <c r="BM64" i="23"/>
  <c r="BN64" i="23"/>
  <c r="BO64" i="23"/>
  <c r="BP64" i="23"/>
  <c r="BQ64" i="23"/>
  <c r="BR64" i="23"/>
  <c r="BS64" i="23"/>
  <c r="BT64" i="23"/>
  <c r="BU64" i="23"/>
  <c r="BV64" i="23"/>
  <c r="BW64" i="23"/>
  <c r="BX64" i="23"/>
  <c r="BL65" i="23"/>
  <c r="BL60" i="23"/>
  <c r="BM60" i="23"/>
  <c r="BL56" i="23"/>
  <c r="BL57" i="23" s="1"/>
  <c r="BM49" i="23" s="1"/>
  <c r="BM56" i="23"/>
  <c r="BN56" i="23"/>
  <c r="BO56" i="23"/>
  <c r="BP56" i="23"/>
  <c r="BQ56" i="23"/>
  <c r="BR56" i="23"/>
  <c r="BS56" i="23"/>
  <c r="BT56" i="23"/>
  <c r="BU56" i="23"/>
  <c r="BV56" i="23"/>
  <c r="BW56" i="23"/>
  <c r="BX56" i="23"/>
  <c r="BL49" i="23"/>
  <c r="BL45" i="23"/>
  <c r="BL46" i="23" s="1"/>
  <c r="BM41" i="23" s="1"/>
  <c r="BM45" i="23"/>
  <c r="BN45" i="23"/>
  <c r="BO45" i="23"/>
  <c r="BP45" i="23"/>
  <c r="BQ45" i="23"/>
  <c r="BR45" i="23"/>
  <c r="BS45" i="23"/>
  <c r="BT45" i="23"/>
  <c r="BU45" i="23"/>
  <c r="BV45" i="23"/>
  <c r="BW45" i="23"/>
  <c r="BX45" i="23"/>
  <c r="BL41" i="23"/>
  <c r="BL37" i="23"/>
  <c r="BL38" i="23" s="1"/>
  <c r="BM33" i="23" s="1"/>
  <c r="BM38" i="23" s="1"/>
  <c r="BN33" i="23" s="1"/>
  <c r="BN38" i="23" s="1"/>
  <c r="BO33" i="23" s="1"/>
  <c r="BO38" i="23" s="1"/>
  <c r="BP33" i="23" s="1"/>
  <c r="BP38" i="23" s="1"/>
  <c r="BQ33" i="23" s="1"/>
  <c r="BQ38" i="23" s="1"/>
  <c r="BR33" i="23" s="1"/>
  <c r="BR38" i="23" s="1"/>
  <c r="BS33" i="23" s="1"/>
  <c r="BS38" i="23" s="1"/>
  <c r="BT33" i="23" s="1"/>
  <c r="BT38" i="23" s="1"/>
  <c r="BU33" i="23" s="1"/>
  <c r="BU38" i="23" s="1"/>
  <c r="BV33" i="23" s="1"/>
  <c r="BV38" i="23" s="1"/>
  <c r="BW33" i="23" s="1"/>
  <c r="BW38" i="23" s="1"/>
  <c r="BX33" i="23" s="1"/>
  <c r="BM37" i="23"/>
  <c r="BN37" i="23"/>
  <c r="BO37" i="23"/>
  <c r="BP37" i="23"/>
  <c r="BQ37" i="23"/>
  <c r="BR37" i="23"/>
  <c r="BS37" i="23"/>
  <c r="BT37" i="23"/>
  <c r="BU37" i="23"/>
  <c r="BV37" i="23"/>
  <c r="BW37" i="23"/>
  <c r="BX37" i="23"/>
  <c r="BL33" i="23"/>
  <c r="BL29" i="23"/>
  <c r="BM29" i="23"/>
  <c r="BN29" i="23"/>
  <c r="BO29" i="23"/>
  <c r="BP29" i="23"/>
  <c r="BQ29" i="23"/>
  <c r="BR29" i="23"/>
  <c r="BS29" i="23"/>
  <c r="BT29" i="23"/>
  <c r="BU29" i="23"/>
  <c r="BV29" i="23"/>
  <c r="BW29" i="23"/>
  <c r="BX29" i="23"/>
  <c r="BY29" i="23"/>
  <c r="BZ29" i="23"/>
  <c r="BL30" i="23"/>
  <c r="BM25" i="23" s="1"/>
  <c r="BL25" i="23"/>
  <c r="BL21" i="23"/>
  <c r="BL22" i="23" s="1"/>
  <c r="BM16" i="23" s="1"/>
  <c r="BM21" i="23"/>
  <c r="BN21" i="23"/>
  <c r="BO21" i="23"/>
  <c r="BP21" i="23"/>
  <c r="BQ21" i="23"/>
  <c r="BR21" i="23"/>
  <c r="BS21" i="23"/>
  <c r="BT21" i="23"/>
  <c r="BU21" i="23"/>
  <c r="BV21" i="23"/>
  <c r="BW21" i="23"/>
  <c r="BX21" i="23"/>
  <c r="BL16" i="23"/>
  <c r="BL12" i="23"/>
  <c r="BM12" i="23"/>
  <c r="BN12" i="23"/>
  <c r="BO12" i="23"/>
  <c r="BP12" i="23"/>
  <c r="BQ12" i="23"/>
  <c r="BR12" i="23"/>
  <c r="BS12" i="23"/>
  <c r="BT12" i="23"/>
  <c r="BU12" i="23"/>
  <c r="BV12" i="23"/>
  <c r="BW12" i="23"/>
  <c r="BX12" i="23"/>
  <c r="BY12" i="23"/>
  <c r="BL13" i="23"/>
  <c r="BM9" i="23" s="1"/>
  <c r="BM13" i="23" s="1"/>
  <c r="BN9" i="23" s="1"/>
  <c r="BN13" i="23" s="1"/>
  <c r="BO9" i="23" s="1"/>
  <c r="BO13" i="23" s="1"/>
  <c r="BP9" i="23" s="1"/>
  <c r="BP13" i="23" s="1"/>
  <c r="BQ9" i="23" s="1"/>
  <c r="BQ13" i="23" s="1"/>
  <c r="BR9" i="23" s="1"/>
  <c r="BR13" i="23" s="1"/>
  <c r="BS9" i="23" s="1"/>
  <c r="BS13" i="23" s="1"/>
  <c r="BT9" i="23" s="1"/>
  <c r="BT13" i="23" s="1"/>
  <c r="BU9" i="23" s="1"/>
  <c r="BU13" i="23" s="1"/>
  <c r="BV9" i="23" s="1"/>
  <c r="BV13" i="23" s="1"/>
  <c r="BW9" i="23" s="1"/>
  <c r="BW13" i="23" s="1"/>
  <c r="BX9" i="23" s="1"/>
  <c r="BX13" i="23" s="1"/>
  <c r="BL9" i="23"/>
  <c r="BM102" i="23" l="1"/>
  <c r="BN97" i="23" s="1"/>
  <c r="BN102" i="23" s="1"/>
  <c r="BO97" i="23" s="1"/>
  <c r="BO102" i="23" s="1"/>
  <c r="BP97" i="23" s="1"/>
  <c r="BP102" i="23" s="1"/>
  <c r="BQ97" i="23" s="1"/>
  <c r="BQ102" i="23" s="1"/>
  <c r="BR97" i="23" s="1"/>
  <c r="BR102" i="23" s="1"/>
  <c r="BS97" i="23" s="1"/>
  <c r="BS102" i="23" s="1"/>
  <c r="BT97" i="23" s="1"/>
  <c r="BT102" i="23" s="1"/>
  <c r="BU97" i="23" s="1"/>
  <c r="BU102" i="23" s="1"/>
  <c r="BV97" i="23" s="1"/>
  <c r="BV102" i="23" s="1"/>
  <c r="BW97" i="23" s="1"/>
  <c r="BW102" i="23" s="1"/>
  <c r="BX97" i="23" s="1"/>
  <c r="BX102" i="23" s="1"/>
  <c r="BX110" i="23"/>
  <c r="BL94" i="23"/>
  <c r="BM82" i="23"/>
  <c r="BN76" i="23" s="1"/>
  <c r="BN82" i="23" s="1"/>
  <c r="BO76" i="23" s="1"/>
  <c r="BO82" i="23" s="1"/>
  <c r="BP76" i="23" s="1"/>
  <c r="BP82" i="23" s="1"/>
  <c r="BQ76" i="23" s="1"/>
  <c r="BQ82" i="23" s="1"/>
  <c r="BR76" i="23" s="1"/>
  <c r="BR82" i="23" s="1"/>
  <c r="BS76" i="23" s="1"/>
  <c r="BS82" i="23" s="1"/>
  <c r="BT76" i="23" s="1"/>
  <c r="BT82" i="23" s="1"/>
  <c r="BU76" i="23" s="1"/>
  <c r="BU82" i="23" s="1"/>
  <c r="BV76" i="23" s="1"/>
  <c r="BV82" i="23" s="1"/>
  <c r="BW76" i="23" s="1"/>
  <c r="BW82" i="23" s="1"/>
  <c r="BX76" i="23" s="1"/>
  <c r="BX82" i="23" s="1"/>
  <c r="BX73" i="23"/>
  <c r="BM65" i="23"/>
  <c r="BN60" i="23" s="1"/>
  <c r="BN65" i="23" s="1"/>
  <c r="BO60" i="23" s="1"/>
  <c r="BO65" i="23" s="1"/>
  <c r="BP60" i="23" s="1"/>
  <c r="BP65" i="23" s="1"/>
  <c r="BQ60" i="23" s="1"/>
  <c r="BQ65" i="23" s="1"/>
  <c r="BR60" i="23" s="1"/>
  <c r="BR65" i="23" s="1"/>
  <c r="BS60" i="23" s="1"/>
  <c r="BS65" i="23" s="1"/>
  <c r="BT60" i="23" s="1"/>
  <c r="BT65" i="23" s="1"/>
  <c r="BU60" i="23" s="1"/>
  <c r="BU65" i="23" s="1"/>
  <c r="BV60" i="23" s="1"/>
  <c r="BV65" i="23" s="1"/>
  <c r="BW60" i="23" s="1"/>
  <c r="BW65" i="23" s="1"/>
  <c r="BX60" i="23" s="1"/>
  <c r="BX65" i="23" s="1"/>
  <c r="BM57" i="23"/>
  <c r="BN49" i="23" s="1"/>
  <c r="BN57" i="23" s="1"/>
  <c r="BO49" i="23" s="1"/>
  <c r="BO57" i="23" s="1"/>
  <c r="BP49" i="23" s="1"/>
  <c r="BP57" i="23" s="1"/>
  <c r="BQ49" i="23" s="1"/>
  <c r="BQ57" i="23" s="1"/>
  <c r="BR49" i="23" s="1"/>
  <c r="BR57" i="23" s="1"/>
  <c r="BS49" i="23" s="1"/>
  <c r="BS57" i="23" s="1"/>
  <c r="BT49" i="23" s="1"/>
  <c r="BT57" i="23" s="1"/>
  <c r="BU49" i="23" s="1"/>
  <c r="BU57" i="23" s="1"/>
  <c r="BV49" i="23" s="1"/>
  <c r="BV57" i="23" s="1"/>
  <c r="BW49" i="23" s="1"/>
  <c r="BW57" i="23" s="1"/>
  <c r="BX49" i="23" s="1"/>
  <c r="BX57" i="23" s="1"/>
  <c r="BM46" i="23"/>
  <c r="BN41" i="23" s="1"/>
  <c r="BN46" i="23" s="1"/>
  <c r="BO41" i="23" s="1"/>
  <c r="BO46" i="23" s="1"/>
  <c r="BP41" i="23" s="1"/>
  <c r="BP46" i="23"/>
  <c r="BQ41" i="23" s="1"/>
  <c r="BQ46" i="23" s="1"/>
  <c r="BR41" i="23" s="1"/>
  <c r="BR46" i="23" s="1"/>
  <c r="BS41" i="23" s="1"/>
  <c r="BS46" i="23" s="1"/>
  <c r="BT41" i="23" s="1"/>
  <c r="BT46" i="23" s="1"/>
  <c r="BU41" i="23" s="1"/>
  <c r="BU46" i="23" s="1"/>
  <c r="BV41" i="23" s="1"/>
  <c r="BV46" i="23" s="1"/>
  <c r="BW41" i="23" s="1"/>
  <c r="BW46" i="23" s="1"/>
  <c r="BX41" i="23" s="1"/>
  <c r="BX46" i="23" s="1"/>
  <c r="BX38" i="23"/>
  <c r="BM30" i="23"/>
  <c r="BN25" i="23" s="1"/>
  <c r="BN30" i="23" s="1"/>
  <c r="BO25" i="23" s="1"/>
  <c r="BO30" i="23" s="1"/>
  <c r="BP25" i="23" s="1"/>
  <c r="BP30" i="23" s="1"/>
  <c r="BQ25" i="23" s="1"/>
  <c r="BQ30" i="23" s="1"/>
  <c r="BR25" i="23" s="1"/>
  <c r="BR30" i="23" s="1"/>
  <c r="BS25" i="23" s="1"/>
  <c r="BS30" i="23" s="1"/>
  <c r="BT25" i="23" s="1"/>
  <c r="BT30" i="23" s="1"/>
  <c r="BU25" i="23" s="1"/>
  <c r="BU30" i="23" s="1"/>
  <c r="BV25" i="23" s="1"/>
  <c r="BV30" i="23" s="1"/>
  <c r="BW25" i="23" s="1"/>
  <c r="BW30" i="23" s="1"/>
  <c r="BX25" i="23" s="1"/>
  <c r="BX30" i="23" s="1"/>
  <c r="BM22" i="23"/>
  <c r="BN16" i="23" s="1"/>
  <c r="BN22" i="23" s="1"/>
  <c r="BO16" i="23" s="1"/>
  <c r="BO22" i="23" s="1"/>
  <c r="BP16" i="23" s="1"/>
  <c r="BP22" i="23" s="1"/>
  <c r="BQ16" i="23" s="1"/>
  <c r="BQ22" i="23" s="1"/>
  <c r="BR16" i="23" s="1"/>
  <c r="BR22" i="23" s="1"/>
  <c r="BS16" i="23" s="1"/>
  <c r="BS22" i="23" s="1"/>
  <c r="BT16" i="23" s="1"/>
  <c r="BT22" i="23" s="1"/>
  <c r="BU16" i="23" s="1"/>
  <c r="BU22" i="23" s="1"/>
  <c r="BV16" i="23" s="1"/>
  <c r="BV22" i="23" s="1"/>
  <c r="BW16" i="23" s="1"/>
  <c r="BW22" i="23" s="1"/>
  <c r="BX16" i="23" s="1"/>
  <c r="BX22" i="23" s="1"/>
  <c r="A2" i="18"/>
  <c r="A4" i="54"/>
  <c r="A2" i="54"/>
  <c r="D10" i="27"/>
  <c r="E31" i="27"/>
  <c r="D31" i="27"/>
  <c r="E22" i="27"/>
  <c r="D22" i="27"/>
  <c r="E13" i="27"/>
  <c r="A4" i="27"/>
  <c r="D26" i="42"/>
  <c r="C30" i="42"/>
  <c r="L24" i="42"/>
  <c r="L30" i="42" s="1"/>
  <c r="K24" i="42"/>
  <c r="K30" i="42" s="1"/>
  <c r="H24" i="42"/>
  <c r="G24" i="42"/>
  <c r="N24" i="42"/>
  <c r="N30" i="42"/>
  <c r="N14" i="42"/>
  <c r="N10" i="42"/>
  <c r="M10" i="42"/>
  <c r="M14" i="42" s="1"/>
  <c r="L10" i="42"/>
  <c r="L14" i="42" s="1"/>
  <c r="K10" i="42"/>
  <c r="K14" i="42" s="1"/>
  <c r="J10" i="42"/>
  <c r="J14" i="42" s="1"/>
  <c r="I10" i="42"/>
  <c r="I14" i="42" s="1"/>
  <c r="H10" i="42"/>
  <c r="H14" i="42" s="1"/>
  <c r="H28" i="42" s="1"/>
  <c r="G10" i="42"/>
  <c r="G14" i="42" s="1"/>
  <c r="G28" i="42" s="1"/>
  <c r="F10" i="42"/>
  <c r="F14" i="42" s="1"/>
  <c r="E10" i="42"/>
  <c r="E14" i="42" s="1"/>
  <c r="E28" i="42" s="1"/>
  <c r="D10" i="42"/>
  <c r="D14" i="42" s="1"/>
  <c r="D28" i="42" s="1"/>
  <c r="C10" i="42"/>
  <c r="C14" i="42" s="1"/>
  <c r="C28" i="42" s="1"/>
  <c r="D26" i="41"/>
  <c r="C30" i="41"/>
  <c r="K24" i="41"/>
  <c r="K30" i="41" s="1"/>
  <c r="G24" i="41"/>
  <c r="N24" i="41"/>
  <c r="N30" i="41"/>
  <c r="D30" i="41"/>
  <c r="N10" i="41"/>
  <c r="N14" i="41" s="1"/>
  <c r="N28" i="41" s="1"/>
  <c r="M10" i="41"/>
  <c r="M14" i="41" s="1"/>
  <c r="L10" i="41"/>
  <c r="L14" i="41" s="1"/>
  <c r="K10" i="41"/>
  <c r="K14" i="41" s="1"/>
  <c r="K28" i="41" s="1"/>
  <c r="J10" i="41"/>
  <c r="J14" i="41" s="1"/>
  <c r="I10" i="41"/>
  <c r="I14" i="41" s="1"/>
  <c r="H10" i="41"/>
  <c r="H14" i="41" s="1"/>
  <c r="G10" i="41"/>
  <c r="G14" i="41" s="1"/>
  <c r="F10" i="41"/>
  <c r="F14" i="41" s="1"/>
  <c r="E10" i="41"/>
  <c r="E14" i="41" s="1"/>
  <c r="E28" i="41" s="1"/>
  <c r="D10" i="41"/>
  <c r="D14" i="41" s="1"/>
  <c r="C10" i="41"/>
  <c r="C14" i="41" s="1"/>
  <c r="C28" i="41" s="1"/>
  <c r="D38" i="40"/>
  <c r="E30" i="40"/>
  <c r="F30" i="40"/>
  <c r="G30" i="40"/>
  <c r="I30" i="40"/>
  <c r="J30" i="40"/>
  <c r="K30" i="40"/>
  <c r="M30" i="40"/>
  <c r="N30" i="40"/>
  <c r="D30" i="40"/>
  <c r="C30" i="40"/>
  <c r="H30" i="40" s="1"/>
  <c r="E28" i="40"/>
  <c r="F28" i="40"/>
  <c r="D28" i="40"/>
  <c r="C17" i="40"/>
  <c r="E17" i="40" s="1"/>
  <c r="E18" i="40" s="1"/>
  <c r="D13" i="40"/>
  <c r="D14" i="40" s="1"/>
  <c r="K36" i="40"/>
  <c r="G36" i="40"/>
  <c r="N36" i="40"/>
  <c r="L28" i="40"/>
  <c r="H28" i="40"/>
  <c r="K28" i="40"/>
  <c r="E32" i="40"/>
  <c r="E42" i="40" s="1"/>
  <c r="C32" i="40"/>
  <c r="C42" i="40" s="1"/>
  <c r="J14" i="40"/>
  <c r="F14" i="40"/>
  <c r="E14" i="40"/>
  <c r="N13" i="40"/>
  <c r="N14" i="40" s="1"/>
  <c r="M13" i="40"/>
  <c r="M14" i="40" s="1"/>
  <c r="L13" i="40"/>
  <c r="L14" i="40" s="1"/>
  <c r="K13" i="40"/>
  <c r="K14" i="40" s="1"/>
  <c r="J13" i="40"/>
  <c r="I13" i="40"/>
  <c r="I14" i="40" s="1"/>
  <c r="H13" i="40"/>
  <c r="H14" i="40" s="1"/>
  <c r="G13" i="40"/>
  <c r="G14" i="40" s="1"/>
  <c r="F13" i="40"/>
  <c r="C14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C6" i="42"/>
  <c r="C6" i="41"/>
  <c r="BL115" i="23" l="1"/>
  <c r="BL117" i="23" s="1"/>
  <c r="BM85" i="23"/>
  <c r="K28" i="42"/>
  <c r="L28" i="42"/>
  <c r="N28" i="42"/>
  <c r="D30" i="42"/>
  <c r="I24" i="42"/>
  <c r="I28" i="42" s="1"/>
  <c r="M24" i="42"/>
  <c r="M28" i="42" s="1"/>
  <c r="F24" i="42"/>
  <c r="F28" i="42" s="1"/>
  <c r="J24" i="42"/>
  <c r="J28" i="42" s="1"/>
  <c r="G28" i="41"/>
  <c r="D28" i="41"/>
  <c r="J28" i="41"/>
  <c r="J30" i="41"/>
  <c r="H24" i="41"/>
  <c r="H28" i="41" s="1"/>
  <c r="L24" i="41"/>
  <c r="L30" i="41" s="1"/>
  <c r="I24" i="41"/>
  <c r="I28" i="41" s="1"/>
  <c r="M24" i="41"/>
  <c r="M28" i="41" s="1"/>
  <c r="F24" i="41"/>
  <c r="F28" i="41" s="1"/>
  <c r="J24" i="41"/>
  <c r="K17" i="40"/>
  <c r="N17" i="40"/>
  <c r="J17" i="40"/>
  <c r="F17" i="40"/>
  <c r="L17" i="40"/>
  <c r="H17" i="40"/>
  <c r="D17" i="40"/>
  <c r="G17" i="40"/>
  <c r="G18" i="40" s="1"/>
  <c r="G20" i="40" s="1"/>
  <c r="G22" i="40" s="1"/>
  <c r="G40" i="40" s="1"/>
  <c r="M17" i="40"/>
  <c r="M18" i="40" s="1"/>
  <c r="M20" i="40" s="1"/>
  <c r="M22" i="40" s="1"/>
  <c r="I17" i="40"/>
  <c r="I18" i="40" s="1"/>
  <c r="I20" i="40" s="1"/>
  <c r="I22" i="40" s="1"/>
  <c r="L30" i="40"/>
  <c r="K32" i="40"/>
  <c r="K42" i="40" s="1"/>
  <c r="E20" i="40"/>
  <c r="L18" i="40"/>
  <c r="L20" i="40" s="1"/>
  <c r="L22" i="40" s="1"/>
  <c r="E22" i="40"/>
  <c r="E40" i="40" s="1"/>
  <c r="F18" i="40"/>
  <c r="F20" i="40" s="1"/>
  <c r="F22" i="40" s="1"/>
  <c r="J18" i="40"/>
  <c r="J20" i="40" s="1"/>
  <c r="J22" i="40" s="1"/>
  <c r="J40" i="40" s="1"/>
  <c r="N18" i="40"/>
  <c r="N20" i="40" s="1"/>
  <c r="N22" i="40" s="1"/>
  <c r="N40" i="40" s="1"/>
  <c r="I28" i="40"/>
  <c r="I32" i="40" s="1"/>
  <c r="M28" i="40"/>
  <c r="M32" i="40" s="1"/>
  <c r="H32" i="40"/>
  <c r="L32" i="40"/>
  <c r="L42" i="40" s="1"/>
  <c r="G32" i="40"/>
  <c r="G42" i="40" s="1"/>
  <c r="H36" i="40"/>
  <c r="L36" i="40"/>
  <c r="C18" i="40"/>
  <c r="C20" i="40" s="1"/>
  <c r="C22" i="40" s="1"/>
  <c r="C40" i="40" s="1"/>
  <c r="K18" i="40"/>
  <c r="K20" i="40" s="1"/>
  <c r="K22" i="40" s="1"/>
  <c r="K40" i="40" s="1"/>
  <c r="J28" i="40"/>
  <c r="N28" i="40"/>
  <c r="N32" i="40" s="1"/>
  <c r="N42" i="40" s="1"/>
  <c r="I36" i="40"/>
  <c r="M36" i="40"/>
  <c r="D18" i="40"/>
  <c r="D20" i="40" s="1"/>
  <c r="D22" i="40" s="1"/>
  <c r="D40" i="40" s="1"/>
  <c r="H18" i="40"/>
  <c r="H20" i="40" s="1"/>
  <c r="H22" i="40" s="1"/>
  <c r="H40" i="40" s="1"/>
  <c r="F32" i="40"/>
  <c r="F36" i="40"/>
  <c r="J36" i="40"/>
  <c r="BM94" i="23" l="1"/>
  <c r="BM113" i="23"/>
  <c r="M30" i="42"/>
  <c r="J30" i="42"/>
  <c r="M30" i="41"/>
  <c r="L28" i="41"/>
  <c r="F40" i="40"/>
  <c r="F42" i="40"/>
  <c r="H42" i="40"/>
  <c r="M42" i="40"/>
  <c r="I40" i="40"/>
  <c r="M40" i="40"/>
  <c r="J32" i="40"/>
  <c r="J42" i="40" s="1"/>
  <c r="I42" i="40"/>
  <c r="L40" i="40"/>
  <c r="E46" i="21"/>
  <c r="I46" i="21"/>
  <c r="M46" i="21"/>
  <c r="B46" i="21"/>
  <c r="C47" i="21"/>
  <c r="F46" i="21"/>
  <c r="G47" i="21"/>
  <c r="J46" i="21"/>
  <c r="K47" i="21"/>
  <c r="N46" i="21"/>
  <c r="O47" i="21"/>
  <c r="C46" i="21"/>
  <c r="D47" i="21"/>
  <c r="G46" i="21"/>
  <c r="H47" i="21"/>
  <c r="K46" i="21"/>
  <c r="L47" i="21"/>
  <c r="O46" i="21"/>
  <c r="D46" i="21"/>
  <c r="E47" i="21"/>
  <c r="H46" i="21"/>
  <c r="I47" i="21"/>
  <c r="L46" i="21"/>
  <c r="M47" i="21"/>
  <c r="P8" i="21" l="1"/>
  <c r="BN85" i="23"/>
  <c r="BM115" i="23"/>
  <c r="BM117" i="23" s="1"/>
  <c r="D48" i="21"/>
  <c r="F48" i="21"/>
  <c r="B48" i="21"/>
  <c r="M48" i="21"/>
  <c r="E48" i="21"/>
  <c r="H48" i="21"/>
  <c r="N47" i="21"/>
  <c r="F47" i="21"/>
  <c r="I48" i="21"/>
  <c r="J48" i="21"/>
  <c r="J47" i="21"/>
  <c r="L48" i="21"/>
  <c r="O48" i="21"/>
  <c r="K48" i="21"/>
  <c r="G48" i="21"/>
  <c r="C48" i="21"/>
  <c r="N48" i="21"/>
  <c r="B47" i="21"/>
  <c r="BN94" i="23" l="1"/>
  <c r="BN113" i="23"/>
  <c r="A4" i="18"/>
  <c r="A4" i="21"/>
  <c r="BO85" i="23" l="1"/>
  <c r="BN115" i="23"/>
  <c r="BN117" i="23" s="1"/>
  <c r="P221" i="29"/>
  <c r="P209" i="29"/>
  <c r="P206" i="29"/>
  <c r="P202" i="29"/>
  <c r="P201" i="29"/>
  <c r="P197" i="29"/>
  <c r="O248" i="29"/>
  <c r="N248" i="29"/>
  <c r="M248" i="29"/>
  <c r="L248" i="29"/>
  <c r="K248" i="29"/>
  <c r="J248" i="29"/>
  <c r="I248" i="29"/>
  <c r="H248" i="29"/>
  <c r="G248" i="29"/>
  <c r="F248" i="29"/>
  <c r="E248" i="29"/>
  <c r="D248" i="29"/>
  <c r="O247" i="29"/>
  <c r="N247" i="29"/>
  <c r="M247" i="29"/>
  <c r="L247" i="29"/>
  <c r="K247" i="29"/>
  <c r="J247" i="29"/>
  <c r="I247" i="29"/>
  <c r="H247" i="29"/>
  <c r="G247" i="29"/>
  <c r="F247" i="29"/>
  <c r="E247" i="29"/>
  <c r="D247" i="29"/>
  <c r="O245" i="29"/>
  <c r="N245" i="29"/>
  <c r="M245" i="29"/>
  <c r="L245" i="29"/>
  <c r="K245" i="29"/>
  <c r="J245" i="29"/>
  <c r="I245" i="29"/>
  <c r="H245" i="29"/>
  <c r="G245" i="29"/>
  <c r="F245" i="29"/>
  <c r="E245" i="29"/>
  <c r="D245" i="29"/>
  <c r="O244" i="29"/>
  <c r="N244" i="29"/>
  <c r="M244" i="29"/>
  <c r="L244" i="29"/>
  <c r="K244" i="29"/>
  <c r="J244" i="29"/>
  <c r="I244" i="29"/>
  <c r="H244" i="29"/>
  <c r="G244" i="29"/>
  <c r="F244" i="29"/>
  <c r="E244" i="29"/>
  <c r="D244" i="29"/>
  <c r="O243" i="29"/>
  <c r="N243" i="29"/>
  <c r="M243" i="29"/>
  <c r="L243" i="29"/>
  <c r="K243" i="29"/>
  <c r="J243" i="29"/>
  <c r="I243" i="29"/>
  <c r="H243" i="29"/>
  <c r="G243" i="29"/>
  <c r="F243" i="29"/>
  <c r="E243" i="29"/>
  <c r="D243" i="29"/>
  <c r="O242" i="29"/>
  <c r="N242" i="29"/>
  <c r="M242" i="29"/>
  <c r="L242" i="29"/>
  <c r="K242" i="29"/>
  <c r="J242" i="29"/>
  <c r="I242" i="29"/>
  <c r="H242" i="29"/>
  <c r="G242" i="29"/>
  <c r="F242" i="29"/>
  <c r="E242" i="29"/>
  <c r="D242" i="29"/>
  <c r="O241" i="29"/>
  <c r="N241" i="29"/>
  <c r="M241" i="29"/>
  <c r="L241" i="29"/>
  <c r="K241" i="29"/>
  <c r="J241" i="29"/>
  <c r="I241" i="29"/>
  <c r="H241" i="29"/>
  <c r="G241" i="29"/>
  <c r="F241" i="29"/>
  <c r="E241" i="29"/>
  <c r="D241" i="29"/>
  <c r="O240" i="29"/>
  <c r="N240" i="29"/>
  <c r="M240" i="29"/>
  <c r="L240" i="29"/>
  <c r="K240" i="29"/>
  <c r="J240" i="29"/>
  <c r="I240" i="29"/>
  <c r="H240" i="29"/>
  <c r="G240" i="29"/>
  <c r="F240" i="29"/>
  <c r="E240" i="29"/>
  <c r="D240" i="29"/>
  <c r="O238" i="29"/>
  <c r="N238" i="29"/>
  <c r="M238" i="29"/>
  <c r="L238" i="29"/>
  <c r="K238" i="29"/>
  <c r="J238" i="29"/>
  <c r="I238" i="29"/>
  <c r="H238" i="29"/>
  <c r="G238" i="29"/>
  <c r="F238" i="29"/>
  <c r="E238" i="29"/>
  <c r="D238" i="29"/>
  <c r="O237" i="29"/>
  <c r="N237" i="29"/>
  <c r="M237" i="29"/>
  <c r="L237" i="29"/>
  <c r="K237" i="29"/>
  <c r="J237" i="29"/>
  <c r="I237" i="29"/>
  <c r="H237" i="29"/>
  <c r="G237" i="29"/>
  <c r="F237" i="29"/>
  <c r="E237" i="29"/>
  <c r="D237" i="29"/>
  <c r="O236" i="29"/>
  <c r="N236" i="29"/>
  <c r="M236" i="29"/>
  <c r="L236" i="29"/>
  <c r="K236" i="29"/>
  <c r="J236" i="29"/>
  <c r="I236" i="29"/>
  <c r="H236" i="29"/>
  <c r="G236" i="29"/>
  <c r="F236" i="29"/>
  <c r="E236" i="29"/>
  <c r="D236" i="29"/>
  <c r="O239" i="29"/>
  <c r="N239" i="29"/>
  <c r="M239" i="29"/>
  <c r="L239" i="29"/>
  <c r="K239" i="29"/>
  <c r="J239" i="29"/>
  <c r="I239" i="29"/>
  <c r="H239" i="29"/>
  <c r="G239" i="29"/>
  <c r="F239" i="29"/>
  <c r="E239" i="29"/>
  <c r="D239" i="29"/>
  <c r="O235" i="29"/>
  <c r="N235" i="29"/>
  <c r="M235" i="29"/>
  <c r="L235" i="29"/>
  <c r="K235" i="29"/>
  <c r="J235" i="29"/>
  <c r="I235" i="29"/>
  <c r="H235" i="29"/>
  <c r="G235" i="29"/>
  <c r="F235" i="29"/>
  <c r="E235" i="29"/>
  <c r="D235" i="29"/>
  <c r="O192" i="29"/>
  <c r="N192" i="29"/>
  <c r="M192" i="29"/>
  <c r="L192" i="29"/>
  <c r="K192" i="29"/>
  <c r="J192" i="29"/>
  <c r="I192" i="29"/>
  <c r="H192" i="29"/>
  <c r="G192" i="29"/>
  <c r="F192" i="29"/>
  <c r="E192" i="29"/>
  <c r="D192" i="29"/>
  <c r="O191" i="29"/>
  <c r="N191" i="29"/>
  <c r="M191" i="29"/>
  <c r="L191" i="29"/>
  <c r="K191" i="29"/>
  <c r="J191" i="29"/>
  <c r="I191" i="29"/>
  <c r="H191" i="29"/>
  <c r="G191" i="29"/>
  <c r="F191" i="29"/>
  <c r="E191" i="29"/>
  <c r="D191" i="29"/>
  <c r="O190" i="29"/>
  <c r="N190" i="29"/>
  <c r="M190" i="29"/>
  <c r="L190" i="29"/>
  <c r="K190" i="29"/>
  <c r="J190" i="29"/>
  <c r="I190" i="29"/>
  <c r="H190" i="29"/>
  <c r="G190" i="29"/>
  <c r="F190" i="29"/>
  <c r="E190" i="29"/>
  <c r="D190" i="29"/>
  <c r="O189" i="29"/>
  <c r="N189" i="29"/>
  <c r="M189" i="29"/>
  <c r="L189" i="29"/>
  <c r="K189" i="29"/>
  <c r="J189" i="29"/>
  <c r="I189" i="29"/>
  <c r="H189" i="29"/>
  <c r="G189" i="29"/>
  <c r="F189" i="29"/>
  <c r="E189" i="29"/>
  <c r="D189" i="29"/>
  <c r="O185" i="29"/>
  <c r="O283" i="29" s="1"/>
  <c r="N185" i="29"/>
  <c r="N283" i="29" s="1"/>
  <c r="M185" i="29"/>
  <c r="M283" i="29" s="1"/>
  <c r="L185" i="29"/>
  <c r="L283" i="29" s="1"/>
  <c r="K185" i="29"/>
  <c r="K283" i="29" s="1"/>
  <c r="J185" i="29"/>
  <c r="J283" i="29" s="1"/>
  <c r="I185" i="29"/>
  <c r="I283" i="29" s="1"/>
  <c r="H185" i="29"/>
  <c r="H283" i="29" s="1"/>
  <c r="G185" i="29"/>
  <c r="G283" i="29" s="1"/>
  <c r="F185" i="29"/>
  <c r="F283" i="29" s="1"/>
  <c r="E185" i="29"/>
  <c r="E283" i="29" s="1"/>
  <c r="D185" i="29"/>
  <c r="D283" i="29" s="1"/>
  <c r="O184" i="29"/>
  <c r="N184" i="29"/>
  <c r="M184" i="29"/>
  <c r="L184" i="29"/>
  <c r="L280" i="29" s="1"/>
  <c r="K184" i="29"/>
  <c r="J184" i="29"/>
  <c r="I184" i="29"/>
  <c r="H184" i="29"/>
  <c r="H280" i="29" s="1"/>
  <c r="G184" i="29"/>
  <c r="F184" i="29"/>
  <c r="E184" i="29"/>
  <c r="D184" i="29"/>
  <c r="D280" i="29" s="1"/>
  <c r="O188" i="29"/>
  <c r="N188" i="29"/>
  <c r="M188" i="29"/>
  <c r="L188" i="29"/>
  <c r="K188" i="29"/>
  <c r="J188" i="29"/>
  <c r="I188" i="29"/>
  <c r="H188" i="29"/>
  <c r="G188" i="29"/>
  <c r="F188" i="29"/>
  <c r="E188" i="29"/>
  <c r="D188" i="29"/>
  <c r="O187" i="29"/>
  <c r="N187" i="29"/>
  <c r="M187" i="29"/>
  <c r="L187" i="29"/>
  <c r="K187" i="29"/>
  <c r="J187" i="29"/>
  <c r="I187" i="29"/>
  <c r="H187" i="29"/>
  <c r="G187" i="29"/>
  <c r="F187" i="29"/>
  <c r="E187" i="29"/>
  <c r="D187" i="29"/>
  <c r="O186" i="29"/>
  <c r="N186" i="29"/>
  <c r="M186" i="29"/>
  <c r="L186" i="29"/>
  <c r="K186" i="29"/>
  <c r="J186" i="29"/>
  <c r="I186" i="29"/>
  <c r="H186" i="29"/>
  <c r="G186" i="29"/>
  <c r="F186" i="29"/>
  <c r="E186" i="29"/>
  <c r="D186" i="29"/>
  <c r="O183" i="29"/>
  <c r="N183" i="29"/>
  <c r="M183" i="29"/>
  <c r="M279" i="29" s="1"/>
  <c r="L183" i="29"/>
  <c r="K183" i="29"/>
  <c r="J183" i="29"/>
  <c r="I183" i="29"/>
  <c r="I279" i="29" s="1"/>
  <c r="H183" i="29"/>
  <c r="G183" i="29"/>
  <c r="F183" i="29"/>
  <c r="E183" i="29"/>
  <c r="E279" i="29" s="1"/>
  <c r="D183" i="29"/>
  <c r="O182" i="29"/>
  <c r="O278" i="29" s="1"/>
  <c r="N182" i="29"/>
  <c r="N278" i="29" s="1"/>
  <c r="M182" i="29"/>
  <c r="M278" i="29" s="1"/>
  <c r="L182" i="29"/>
  <c r="L278" i="29" s="1"/>
  <c r="K182" i="29"/>
  <c r="K278" i="29" s="1"/>
  <c r="J182" i="29"/>
  <c r="J278" i="29" s="1"/>
  <c r="I182" i="29"/>
  <c r="I278" i="29" s="1"/>
  <c r="H182" i="29"/>
  <c r="H278" i="29" s="1"/>
  <c r="G182" i="29"/>
  <c r="G278" i="29" s="1"/>
  <c r="F182" i="29"/>
  <c r="F278" i="29" s="1"/>
  <c r="E182" i="29"/>
  <c r="E278" i="29" s="1"/>
  <c r="D182" i="29"/>
  <c r="D278" i="29" s="1"/>
  <c r="O181" i="29"/>
  <c r="O216" i="29" s="1"/>
  <c r="N181" i="29"/>
  <c r="N216" i="29" s="1"/>
  <c r="M181" i="29"/>
  <c r="M193" i="29" s="1"/>
  <c r="L181" i="29"/>
  <c r="L216" i="29" s="1"/>
  <c r="K181" i="29"/>
  <c r="K216" i="29" s="1"/>
  <c r="J181" i="29"/>
  <c r="J216" i="29" s="1"/>
  <c r="I181" i="29"/>
  <c r="I193" i="29" s="1"/>
  <c r="H181" i="29"/>
  <c r="H216" i="29" s="1"/>
  <c r="G181" i="29"/>
  <c r="G216" i="29" s="1"/>
  <c r="F181" i="29"/>
  <c r="F216" i="29" s="1"/>
  <c r="E181" i="29"/>
  <c r="E193" i="29" s="1"/>
  <c r="D181" i="29"/>
  <c r="D216" i="29" s="1"/>
  <c r="L225" i="29" l="1"/>
  <c r="L260" i="29" s="1"/>
  <c r="L228" i="29"/>
  <c r="L263" i="29" s="1"/>
  <c r="G228" i="29"/>
  <c r="G263" i="29" s="1"/>
  <c r="BO94" i="23"/>
  <c r="BO113" i="23"/>
  <c r="N279" i="29"/>
  <c r="N220" i="29"/>
  <c r="N256" i="29" s="1"/>
  <c r="F280" i="29"/>
  <c r="F225" i="29"/>
  <c r="F260" i="29" s="1"/>
  <c r="N280" i="29"/>
  <c r="N225" i="29"/>
  <c r="N260" i="29" s="1"/>
  <c r="N228" i="29"/>
  <c r="N263" i="29" s="1"/>
  <c r="F246" i="29"/>
  <c r="F249" i="29" s="1"/>
  <c r="N246" i="29"/>
  <c r="N249" i="29" s="1"/>
  <c r="G279" i="29"/>
  <c r="G220" i="29"/>
  <c r="G256" i="29" s="1"/>
  <c r="K279" i="29"/>
  <c r="K220" i="29"/>
  <c r="K256" i="29" s="1"/>
  <c r="O279" i="29"/>
  <c r="O220" i="29"/>
  <c r="O256" i="29" s="1"/>
  <c r="G280" i="29"/>
  <c r="G225" i="29"/>
  <c r="G260" i="29" s="1"/>
  <c r="K280" i="29"/>
  <c r="K225" i="29"/>
  <c r="K260" i="29" s="1"/>
  <c r="O280" i="29"/>
  <c r="O225" i="29"/>
  <c r="O260" i="29" s="1"/>
  <c r="K228" i="29"/>
  <c r="K263" i="29" s="1"/>
  <c r="O228" i="29"/>
  <c r="O263" i="29" s="1"/>
  <c r="G246" i="29"/>
  <c r="G249" i="29" s="1"/>
  <c r="K246" i="29"/>
  <c r="K249" i="29" s="1"/>
  <c r="O246" i="29"/>
  <c r="O249" i="29" s="1"/>
  <c r="E216" i="29"/>
  <c r="E220" i="29"/>
  <c r="E256" i="29" s="1"/>
  <c r="J279" i="29"/>
  <c r="J220" i="29"/>
  <c r="J256" i="29" s="1"/>
  <c r="P278" i="29"/>
  <c r="D279" i="29"/>
  <c r="D220" i="29"/>
  <c r="H279" i="29"/>
  <c r="H220" i="29"/>
  <c r="H256" i="29" s="1"/>
  <c r="L279" i="29"/>
  <c r="L220" i="29"/>
  <c r="L256" i="29" s="1"/>
  <c r="P283" i="29"/>
  <c r="D228" i="29"/>
  <c r="H228" i="29"/>
  <c r="H263" i="29" s="1"/>
  <c r="I216" i="29"/>
  <c r="I220" i="29"/>
  <c r="I256" i="29" s="1"/>
  <c r="D225" i="29"/>
  <c r="F279" i="29"/>
  <c r="F220" i="29"/>
  <c r="F256" i="29" s="1"/>
  <c r="J280" i="29"/>
  <c r="J225" i="29"/>
  <c r="J260" i="29" s="1"/>
  <c r="F228" i="29"/>
  <c r="F263" i="29" s="1"/>
  <c r="J228" i="29"/>
  <c r="J263" i="29" s="1"/>
  <c r="J246" i="29"/>
  <c r="J249" i="29" s="1"/>
  <c r="E280" i="29"/>
  <c r="E225" i="29"/>
  <c r="E260" i="29" s="1"/>
  <c r="I280" i="29"/>
  <c r="I225" i="29"/>
  <c r="I260" i="29" s="1"/>
  <c r="M280" i="29"/>
  <c r="M225" i="29"/>
  <c r="M260" i="29" s="1"/>
  <c r="E228" i="29"/>
  <c r="E263" i="29" s="1"/>
  <c r="M216" i="29"/>
  <c r="M220" i="29"/>
  <c r="M256" i="29" s="1"/>
  <c r="H225" i="29"/>
  <c r="H260" i="29" s="1"/>
  <c r="P235" i="29"/>
  <c r="P239" i="29"/>
  <c r="P236" i="29"/>
  <c r="P237" i="29"/>
  <c r="P238" i="29"/>
  <c r="P240" i="29"/>
  <c r="P241" i="29"/>
  <c r="P242" i="29"/>
  <c r="P243" i="29"/>
  <c r="P244" i="29"/>
  <c r="P245" i="29"/>
  <c r="P247" i="29"/>
  <c r="D246" i="29"/>
  <c r="D249" i="29" s="1"/>
  <c r="H246" i="29"/>
  <c r="H249" i="29" s="1"/>
  <c r="L246" i="29"/>
  <c r="L249" i="29" s="1"/>
  <c r="P248" i="29"/>
  <c r="I228" i="29"/>
  <c r="I263" i="29" s="1"/>
  <c r="M228" i="29"/>
  <c r="M263" i="29" s="1"/>
  <c r="E246" i="29"/>
  <c r="E249" i="29" s="1"/>
  <c r="I246" i="29"/>
  <c r="I249" i="29" s="1"/>
  <c r="M246" i="29"/>
  <c r="M249" i="29" s="1"/>
  <c r="P186" i="29"/>
  <c r="P181" i="29"/>
  <c r="P183" i="29"/>
  <c r="P184" i="29"/>
  <c r="P185" i="29"/>
  <c r="H193" i="29"/>
  <c r="D193" i="29"/>
  <c r="F193" i="29"/>
  <c r="J193" i="29"/>
  <c r="N193" i="29"/>
  <c r="L193" i="29"/>
  <c r="G193" i="29"/>
  <c r="K193" i="29"/>
  <c r="O193" i="29"/>
  <c r="P192" i="29"/>
  <c r="P188" i="29"/>
  <c r="P191" i="29"/>
  <c r="P187" i="29"/>
  <c r="P189" i="29"/>
  <c r="P190" i="29"/>
  <c r="P182" i="29"/>
  <c r="P280" i="29" l="1"/>
  <c r="BP85" i="23"/>
  <c r="BO115" i="23"/>
  <c r="BO117" i="23" s="1"/>
  <c r="P220" i="29"/>
  <c r="D256" i="29"/>
  <c r="P216" i="29"/>
  <c r="X11" i="52" s="1"/>
  <c r="P246" i="29"/>
  <c r="P249" i="29" s="1"/>
  <c r="P225" i="29"/>
  <c r="X17" i="52" s="1"/>
  <c r="D260" i="29"/>
  <c r="P228" i="29"/>
  <c r="X20" i="52" s="1"/>
  <c r="D263" i="29"/>
  <c r="P263" i="29" s="1"/>
  <c r="P279" i="29"/>
  <c r="P193" i="29"/>
  <c r="BP94" i="23" l="1"/>
  <c r="BP113" i="23"/>
  <c r="P260" i="29"/>
  <c r="P256" i="29"/>
  <c r="BQ85" i="23" l="1"/>
  <c r="BP115" i="23"/>
  <c r="BP117" i="23" s="1"/>
  <c r="BQ94" i="23" l="1"/>
  <c r="BQ113" i="23"/>
  <c r="BR85" i="23" l="1"/>
  <c r="BQ115" i="23"/>
  <c r="BQ117" i="23" s="1"/>
  <c r="BR94" i="23" l="1"/>
  <c r="BR113" i="23"/>
  <c r="BS85" i="23" l="1"/>
  <c r="BR115" i="23"/>
  <c r="BR117" i="23" s="1"/>
  <c r="BS94" i="23" l="1"/>
  <c r="BS113" i="23"/>
  <c r="BT85" i="23" l="1"/>
  <c r="BS115" i="23"/>
  <c r="BS117" i="23" s="1"/>
  <c r="BT94" i="23" l="1"/>
  <c r="BT113" i="23"/>
  <c r="BU85" i="23" l="1"/>
  <c r="BT115" i="23"/>
  <c r="BT117" i="23" s="1"/>
  <c r="BU94" i="23" l="1"/>
  <c r="BU113" i="23"/>
  <c r="BV85" i="23" l="1"/>
  <c r="BU115" i="23"/>
  <c r="BU117" i="23" s="1"/>
  <c r="BV94" i="23" l="1"/>
  <c r="BV113" i="23"/>
  <c r="BW85" i="23" l="1"/>
  <c r="BV115" i="23"/>
  <c r="BV117" i="23" s="1"/>
  <c r="BW94" i="23" l="1"/>
  <c r="BW113" i="23"/>
  <c r="BX85" i="23" l="1"/>
  <c r="BW115" i="23"/>
  <c r="BW117" i="23" s="1"/>
  <c r="BX94" i="23" l="1"/>
  <c r="BX115" i="23" s="1"/>
  <c r="BX117" i="23" s="1"/>
  <c r="BX113" i="23"/>
  <c r="D18" i="41" l="1"/>
  <c r="D22" i="41" l="1"/>
  <c r="D26" i="40"/>
  <c r="D18" i="42" l="1"/>
  <c r="D22" i="42"/>
  <c r="E18" i="41"/>
  <c r="E18" i="42" l="1"/>
  <c r="F18" i="42" s="1"/>
  <c r="G18" i="42" s="1"/>
  <c r="F18" i="41"/>
  <c r="E22" i="41"/>
  <c r="F22" i="41" s="1"/>
  <c r="E26" i="40"/>
  <c r="E22" i="42" l="1"/>
  <c r="F22" i="42" s="1"/>
  <c r="G22" i="42" s="1"/>
  <c r="G18" i="41"/>
  <c r="H18" i="42"/>
  <c r="H22" i="42" l="1"/>
  <c r="H18" i="41"/>
  <c r="I18" i="41" s="1"/>
  <c r="G22" i="41"/>
  <c r="H22" i="41" s="1"/>
  <c r="I22" i="41" s="1"/>
  <c r="I18" i="42" l="1"/>
  <c r="I22" i="42"/>
  <c r="J22" i="42" l="1"/>
  <c r="J18" i="42"/>
  <c r="K22" i="42" l="1"/>
  <c r="L22" i="42" l="1"/>
  <c r="K18" i="42"/>
  <c r="F26" i="40"/>
  <c r="L18" i="42" l="1"/>
  <c r="G26" i="40"/>
  <c r="M22" i="42" l="1"/>
  <c r="N22" i="42" s="1"/>
  <c r="H26" i="40"/>
  <c r="M18" i="42" l="1"/>
  <c r="N18" i="42" s="1"/>
  <c r="I26" i="40"/>
  <c r="J26" i="40" l="1"/>
  <c r="K26" i="40" l="1"/>
  <c r="L26" i="40" l="1"/>
  <c r="M26" i="40" s="1"/>
  <c r="N26" i="40" l="1"/>
  <c r="J22" i="41" l="1"/>
  <c r="K22" i="41" s="1"/>
  <c r="L22" i="41" s="1"/>
  <c r="J18" i="41"/>
  <c r="K18" i="41" s="1"/>
  <c r="L18" i="41" s="1"/>
  <c r="M18" i="41" l="1"/>
  <c r="M22" i="41"/>
  <c r="N22" i="41" l="1"/>
  <c r="N18" i="41" l="1"/>
  <c r="M148" i="29" l="1"/>
  <c r="L148" i="29"/>
  <c r="G148" i="29"/>
  <c r="E148" i="29"/>
  <c r="P147" i="29"/>
  <c r="I148" i="29"/>
  <c r="O148" i="29"/>
  <c r="K148" i="29"/>
  <c r="H148" i="29"/>
  <c r="D148" i="29"/>
  <c r="O83" i="29"/>
  <c r="N83" i="29"/>
  <c r="K83" i="29"/>
  <c r="J83" i="29"/>
  <c r="G83" i="29"/>
  <c r="F83" i="29"/>
  <c r="P82" i="29"/>
  <c r="M83" i="29"/>
  <c r="L83" i="29"/>
  <c r="I83" i="29"/>
  <c r="H83" i="29"/>
  <c r="E83" i="29"/>
  <c r="D83" i="29"/>
  <c r="O64" i="29"/>
  <c r="O250" i="29" s="1"/>
  <c r="N64" i="29"/>
  <c r="N250" i="29" s="1"/>
  <c r="M64" i="29"/>
  <c r="M250" i="29" s="1"/>
  <c r="L64" i="29"/>
  <c r="L250" i="29" s="1"/>
  <c r="K64" i="29"/>
  <c r="K250" i="29" s="1"/>
  <c r="J64" i="29"/>
  <c r="J250" i="29" s="1"/>
  <c r="I64" i="29"/>
  <c r="I250" i="29" s="1"/>
  <c r="H64" i="29"/>
  <c r="H250" i="29" s="1"/>
  <c r="G64" i="29"/>
  <c r="G250" i="29" s="1"/>
  <c r="F64" i="29"/>
  <c r="F250" i="29" s="1"/>
  <c r="E64" i="29"/>
  <c r="E250" i="29" s="1"/>
  <c r="D64" i="29"/>
  <c r="D250" i="29" s="1"/>
  <c r="P63" i="29"/>
  <c r="P62" i="29"/>
  <c r="P61" i="29"/>
  <c r="P60" i="29"/>
  <c r="P59" i="29"/>
  <c r="P58" i="29"/>
  <c r="P57" i="29"/>
  <c r="P56" i="29"/>
  <c r="P55" i="29"/>
  <c r="P54" i="29"/>
  <c r="P53" i="29"/>
  <c r="P52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O33" i="29"/>
  <c r="N33" i="29"/>
  <c r="M33" i="29"/>
  <c r="L33" i="29"/>
  <c r="K33" i="29"/>
  <c r="J33" i="29"/>
  <c r="H33" i="29"/>
  <c r="G33" i="29"/>
  <c r="F33" i="29"/>
  <c r="E33" i="29"/>
  <c r="D33" i="29"/>
  <c r="O32" i="29"/>
  <c r="N32" i="29"/>
  <c r="M32" i="29"/>
  <c r="L32" i="29"/>
  <c r="K32" i="29"/>
  <c r="J32" i="29"/>
  <c r="H32" i="29"/>
  <c r="G32" i="29"/>
  <c r="F32" i="29"/>
  <c r="E32" i="29"/>
  <c r="D32" i="29"/>
  <c r="P31" i="29"/>
  <c r="P30" i="29"/>
  <c r="P29" i="29"/>
  <c r="P28" i="29"/>
  <c r="P27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12" i="29"/>
  <c r="P11" i="29"/>
  <c r="P10" i="29"/>
  <c r="P9" i="29"/>
  <c r="P8" i="29"/>
  <c r="L102" i="29" l="1"/>
  <c r="L116" i="29" s="1"/>
  <c r="L131" i="29" s="1"/>
  <c r="L105" i="29"/>
  <c r="L119" i="29" s="1"/>
  <c r="L134" i="29" s="1"/>
  <c r="L108" i="29"/>
  <c r="L111" i="29"/>
  <c r="L110" i="29"/>
  <c r="L124" i="29" s="1"/>
  <c r="L139" i="29" s="1"/>
  <c r="L106" i="29"/>
  <c r="L104" i="29"/>
  <c r="L100" i="29"/>
  <c r="L114" i="29" s="1"/>
  <c r="L129" i="29" s="1"/>
  <c r="L107" i="29"/>
  <c r="L121" i="29" s="1"/>
  <c r="L136" i="29" s="1"/>
  <c r="L103" i="29"/>
  <c r="L117" i="29" s="1"/>
  <c r="L132" i="29" s="1"/>
  <c r="L109" i="29"/>
  <c r="L101" i="29"/>
  <c r="L115" i="29" s="1"/>
  <c r="L130" i="29" s="1"/>
  <c r="O102" i="29"/>
  <c r="O105" i="29"/>
  <c r="O109" i="29"/>
  <c r="O123" i="29" s="1"/>
  <c r="O138" i="29" s="1"/>
  <c r="O107" i="29"/>
  <c r="O121" i="29" s="1"/>
  <c r="O136" i="29" s="1"/>
  <c r="O110" i="29"/>
  <c r="O106" i="29"/>
  <c r="O120" i="29" s="1"/>
  <c r="O135" i="29" s="1"/>
  <c r="O111" i="29"/>
  <c r="O125" i="29" s="1"/>
  <c r="O140" i="29" s="1"/>
  <c r="O101" i="29"/>
  <c r="O115" i="29" s="1"/>
  <c r="O130" i="29" s="1"/>
  <c r="O104" i="29"/>
  <c r="O118" i="29" s="1"/>
  <c r="O133" i="29" s="1"/>
  <c r="O108" i="29"/>
  <c r="O100" i="29"/>
  <c r="O114" i="29" s="1"/>
  <c r="O129" i="29" s="1"/>
  <c r="O103" i="29"/>
  <c r="O117" i="29" s="1"/>
  <c r="O132" i="29" s="1"/>
  <c r="E101" i="29"/>
  <c r="E104" i="29"/>
  <c r="E108" i="29"/>
  <c r="E122" i="29" s="1"/>
  <c r="E137" i="29" s="1"/>
  <c r="E100" i="29"/>
  <c r="E114" i="29" s="1"/>
  <c r="E129" i="29" s="1"/>
  <c r="E103" i="29"/>
  <c r="E117" i="29" s="1"/>
  <c r="E132" i="29" s="1"/>
  <c r="E107" i="29"/>
  <c r="E102" i="29"/>
  <c r="E116" i="29" s="1"/>
  <c r="E131" i="29" s="1"/>
  <c r="E105" i="29"/>
  <c r="E119" i="29" s="1"/>
  <c r="E134" i="29" s="1"/>
  <c r="E109" i="29"/>
  <c r="E123" i="29" s="1"/>
  <c r="E138" i="29" s="1"/>
  <c r="E110" i="29"/>
  <c r="E106" i="29"/>
  <c r="E120" i="29" s="1"/>
  <c r="E135" i="29" s="1"/>
  <c r="E111" i="29"/>
  <c r="E125" i="29" s="1"/>
  <c r="E140" i="29" s="1"/>
  <c r="J110" i="29"/>
  <c r="J106" i="29"/>
  <c r="J120" i="29" s="1"/>
  <c r="J135" i="29" s="1"/>
  <c r="J111" i="29"/>
  <c r="J102" i="29"/>
  <c r="J116" i="29" s="1"/>
  <c r="J131" i="29" s="1"/>
  <c r="J105" i="29"/>
  <c r="J119" i="29" s="1"/>
  <c r="J134" i="29" s="1"/>
  <c r="J109" i="29"/>
  <c r="J123" i="29" s="1"/>
  <c r="J138" i="29" s="1"/>
  <c r="J100" i="29"/>
  <c r="J114" i="29" s="1"/>
  <c r="J129" i="29" s="1"/>
  <c r="J107" i="29"/>
  <c r="J121" i="29" s="1"/>
  <c r="J136" i="29" s="1"/>
  <c r="J101" i="29"/>
  <c r="J115" i="29" s="1"/>
  <c r="J130" i="29" s="1"/>
  <c r="J104" i="29"/>
  <c r="J108" i="29"/>
  <c r="J122" i="29" s="1"/>
  <c r="J137" i="29" s="1"/>
  <c r="J103" i="29"/>
  <c r="J117" i="29" s="1"/>
  <c r="J132" i="29" s="1"/>
  <c r="H100" i="29"/>
  <c r="H114" i="29" s="1"/>
  <c r="H129" i="29" s="1"/>
  <c r="H103" i="29"/>
  <c r="H107" i="29"/>
  <c r="H111" i="29"/>
  <c r="H125" i="29" s="1"/>
  <c r="H140" i="29" s="1"/>
  <c r="H106" i="29"/>
  <c r="H120" i="29" s="1"/>
  <c r="H135" i="29" s="1"/>
  <c r="H109" i="29"/>
  <c r="H101" i="29"/>
  <c r="H115" i="29" s="1"/>
  <c r="H130" i="29" s="1"/>
  <c r="H104" i="29"/>
  <c r="H110" i="29"/>
  <c r="H102" i="29"/>
  <c r="H105" i="29"/>
  <c r="H119" i="29" s="1"/>
  <c r="H134" i="29" s="1"/>
  <c r="H108" i="29"/>
  <c r="K101" i="29"/>
  <c r="K104" i="29"/>
  <c r="K108" i="29"/>
  <c r="K100" i="29"/>
  <c r="K103" i="29"/>
  <c r="K117" i="29" s="1"/>
  <c r="K132" i="29" s="1"/>
  <c r="K107" i="29"/>
  <c r="K102" i="29"/>
  <c r="K109" i="29"/>
  <c r="K110" i="29"/>
  <c r="K106" i="29"/>
  <c r="K111" i="29"/>
  <c r="K105" i="29"/>
  <c r="D110" i="29"/>
  <c r="D124" i="29" s="1"/>
  <c r="D139" i="29" s="1"/>
  <c r="D106" i="29"/>
  <c r="D120" i="29" s="1"/>
  <c r="D135" i="29" s="1"/>
  <c r="D111" i="29"/>
  <c r="D125" i="29" s="1"/>
  <c r="D140" i="29" s="1"/>
  <c r="D108" i="29"/>
  <c r="D122" i="29" s="1"/>
  <c r="D137" i="29" s="1"/>
  <c r="D100" i="29"/>
  <c r="D114" i="29" s="1"/>
  <c r="D129" i="29" s="1"/>
  <c r="D103" i="29"/>
  <c r="D107" i="29"/>
  <c r="D121" i="29" s="1"/>
  <c r="D136" i="29" s="1"/>
  <c r="D105" i="29"/>
  <c r="D119" i="29" s="1"/>
  <c r="D134" i="29" s="1"/>
  <c r="D109" i="29"/>
  <c r="D123" i="29" s="1"/>
  <c r="D138" i="29" s="1"/>
  <c r="D104" i="29"/>
  <c r="D118" i="29" s="1"/>
  <c r="D133" i="29" s="1"/>
  <c r="D101" i="29"/>
  <c r="D115" i="29" s="1"/>
  <c r="D130" i="29" s="1"/>
  <c r="D102" i="29"/>
  <c r="D116" i="29" s="1"/>
  <c r="D131" i="29" s="1"/>
  <c r="G100" i="29"/>
  <c r="G103" i="29"/>
  <c r="G117" i="29" s="1"/>
  <c r="G132" i="29" s="1"/>
  <c r="G107" i="29"/>
  <c r="G121" i="29" s="1"/>
  <c r="G136" i="29" s="1"/>
  <c r="G110" i="29"/>
  <c r="G106" i="29"/>
  <c r="G111" i="29"/>
  <c r="G125" i="29" s="1"/>
  <c r="G140" i="29" s="1"/>
  <c r="G109" i="29"/>
  <c r="G104" i="29"/>
  <c r="G118" i="29" s="1"/>
  <c r="G133" i="29" s="1"/>
  <c r="G102" i="29"/>
  <c r="G105" i="29"/>
  <c r="G119" i="29" s="1"/>
  <c r="G134" i="29" s="1"/>
  <c r="G101" i="29"/>
  <c r="G115" i="29" s="1"/>
  <c r="G130" i="29" s="1"/>
  <c r="G108" i="29"/>
  <c r="M110" i="29"/>
  <c r="M124" i="29" s="1"/>
  <c r="M139" i="29" s="1"/>
  <c r="M106" i="29"/>
  <c r="M120" i="29" s="1"/>
  <c r="M135" i="29" s="1"/>
  <c r="M111" i="29"/>
  <c r="M125" i="29" s="1"/>
  <c r="M140" i="29" s="1"/>
  <c r="M102" i="29"/>
  <c r="M116" i="29" s="1"/>
  <c r="M131" i="29" s="1"/>
  <c r="M105" i="29"/>
  <c r="M119" i="29" s="1"/>
  <c r="M134" i="29" s="1"/>
  <c r="M109" i="29"/>
  <c r="M123" i="29" s="1"/>
  <c r="M138" i="29" s="1"/>
  <c r="M101" i="29"/>
  <c r="M104" i="29"/>
  <c r="M108" i="29"/>
  <c r="M122" i="29" s="1"/>
  <c r="M137" i="29" s="1"/>
  <c r="M100" i="29"/>
  <c r="M114" i="29" s="1"/>
  <c r="M129" i="29" s="1"/>
  <c r="M103" i="29"/>
  <c r="M117" i="29" s="1"/>
  <c r="M132" i="29" s="1"/>
  <c r="M107" i="29"/>
  <c r="M121" i="29" s="1"/>
  <c r="M136" i="29" s="1"/>
  <c r="I102" i="29"/>
  <c r="I105" i="29"/>
  <c r="I119" i="29" s="1"/>
  <c r="I134" i="29" s="1"/>
  <c r="I109" i="29"/>
  <c r="I123" i="29" s="1"/>
  <c r="I138" i="29" s="1"/>
  <c r="I110" i="29"/>
  <c r="I106" i="29"/>
  <c r="I111" i="29"/>
  <c r="I125" i="29" s="1"/>
  <c r="I140" i="29" s="1"/>
  <c r="I101" i="29"/>
  <c r="I104" i="29"/>
  <c r="I108" i="29"/>
  <c r="I100" i="29"/>
  <c r="I114" i="29" s="1"/>
  <c r="I129" i="29" s="1"/>
  <c r="I103" i="29"/>
  <c r="I107" i="29"/>
  <c r="F102" i="29"/>
  <c r="F105" i="29"/>
  <c r="F109" i="29"/>
  <c r="F110" i="29"/>
  <c r="F106" i="29"/>
  <c r="F111" i="29"/>
  <c r="F101" i="29"/>
  <c r="F104" i="29"/>
  <c r="F108" i="29"/>
  <c r="F122" i="29" s="1"/>
  <c r="F137" i="29" s="1"/>
  <c r="F100" i="29"/>
  <c r="F114" i="29" s="1"/>
  <c r="F129" i="29" s="1"/>
  <c r="F103" i="29"/>
  <c r="F107" i="29"/>
  <c r="N100" i="29"/>
  <c r="N114" i="29" s="1"/>
  <c r="N129" i="29" s="1"/>
  <c r="N103" i="29"/>
  <c r="N107" i="29"/>
  <c r="N121" i="29" s="1"/>
  <c r="N136" i="29" s="1"/>
  <c r="N110" i="29"/>
  <c r="N106" i="29"/>
  <c r="N111" i="29"/>
  <c r="N104" i="29"/>
  <c r="N118" i="29" s="1"/>
  <c r="N133" i="29" s="1"/>
  <c r="N102" i="29"/>
  <c r="N105" i="29"/>
  <c r="N109" i="29"/>
  <c r="N101" i="29"/>
  <c r="N108" i="29"/>
  <c r="P68" i="29"/>
  <c r="P70" i="29"/>
  <c r="P71" i="29"/>
  <c r="P74" i="29"/>
  <c r="P75" i="29"/>
  <c r="P76" i="29"/>
  <c r="P77" i="29"/>
  <c r="P145" i="29"/>
  <c r="I33" i="29"/>
  <c r="P33" i="29" s="1"/>
  <c r="P26" i="29"/>
  <c r="P69" i="29"/>
  <c r="P72" i="29"/>
  <c r="P73" i="29"/>
  <c r="P81" i="29"/>
  <c r="P83" i="29" s="1"/>
  <c r="I32" i="29"/>
  <c r="P32" i="29" s="1"/>
  <c r="P64" i="29"/>
  <c r="P250" i="29" s="1"/>
  <c r="P146" i="29"/>
  <c r="F148" i="29"/>
  <c r="J148" i="29"/>
  <c r="N148" i="29"/>
  <c r="P67" i="29"/>
  <c r="M159" i="29" l="1"/>
  <c r="M205" i="29" s="1"/>
  <c r="M158" i="29"/>
  <c r="M157" i="29"/>
  <c r="G162" i="29"/>
  <c r="G156" i="29"/>
  <c r="G155" i="29"/>
  <c r="G154" i="29"/>
  <c r="D159" i="29"/>
  <c r="D158" i="29"/>
  <c r="D157" i="29"/>
  <c r="J159" i="29"/>
  <c r="J158" i="29"/>
  <c r="J157" i="29"/>
  <c r="D161" i="29"/>
  <c r="D177" i="29" s="1"/>
  <c r="D160" i="29"/>
  <c r="D176" i="29" s="1"/>
  <c r="D153" i="29"/>
  <c r="D152" i="29"/>
  <c r="D151" i="29"/>
  <c r="N122" i="29"/>
  <c r="N137" i="29" s="1"/>
  <c r="N116" i="29"/>
  <c r="N131" i="29" s="1"/>
  <c r="N124" i="29"/>
  <c r="N139" i="29" s="1"/>
  <c r="F121" i="29"/>
  <c r="F136" i="29" s="1"/>
  <c r="F118" i="29"/>
  <c r="F133" i="29" s="1"/>
  <c r="F124" i="29"/>
  <c r="F139" i="29" s="1"/>
  <c r="I121" i="29"/>
  <c r="I136" i="29" s="1"/>
  <c r="I118" i="29"/>
  <c r="I133" i="29" s="1"/>
  <c r="I124" i="29"/>
  <c r="I139" i="29" s="1"/>
  <c r="M118" i="29"/>
  <c r="M133" i="29" s="1"/>
  <c r="M154" i="29" s="1"/>
  <c r="G116" i="29"/>
  <c r="G131" i="29" s="1"/>
  <c r="G120" i="29"/>
  <c r="G135" i="29" s="1"/>
  <c r="G114" i="29"/>
  <c r="G129" i="29" s="1"/>
  <c r="P103" i="29"/>
  <c r="P117" i="29" s="1"/>
  <c r="D117" i="29"/>
  <c r="K120" i="29"/>
  <c r="K135" i="29" s="1"/>
  <c r="K121" i="29"/>
  <c r="K136" i="29" s="1"/>
  <c r="K118" i="29"/>
  <c r="K133" i="29" s="1"/>
  <c r="H116" i="29"/>
  <c r="H131" i="29" s="1"/>
  <c r="H123" i="29"/>
  <c r="H138" i="29" s="1"/>
  <c r="H117" i="29"/>
  <c r="H132" i="29" s="1"/>
  <c r="J118" i="29"/>
  <c r="J133" i="29" s="1"/>
  <c r="E124" i="29"/>
  <c r="E139" i="29" s="1"/>
  <c r="E121" i="29"/>
  <c r="E136" i="29" s="1"/>
  <c r="E159" i="29" s="1"/>
  <c r="E118" i="29"/>
  <c r="E133" i="29" s="1"/>
  <c r="E155" i="29" s="1"/>
  <c r="O122" i="29"/>
  <c r="O119" i="29"/>
  <c r="O134" i="29" s="1"/>
  <c r="O162" i="29" s="1"/>
  <c r="L123" i="29"/>
  <c r="L138" i="29" s="1"/>
  <c r="L153" i="29" s="1"/>
  <c r="L118" i="29"/>
  <c r="L133" i="29" s="1"/>
  <c r="L122" i="29"/>
  <c r="L137" i="29" s="1"/>
  <c r="N119" i="29"/>
  <c r="N134" i="29" s="1"/>
  <c r="N120" i="29"/>
  <c r="N135" i="29" s="1"/>
  <c r="F120" i="29"/>
  <c r="F135" i="29" s="1"/>
  <c r="F116" i="29"/>
  <c r="F131" i="29" s="1"/>
  <c r="I122" i="29"/>
  <c r="I137" i="29" s="1"/>
  <c r="I120" i="29"/>
  <c r="I135" i="29" s="1"/>
  <c r="I116" i="29"/>
  <c r="I131" i="29" s="1"/>
  <c r="K125" i="29"/>
  <c r="K140" i="29" s="1"/>
  <c r="K116" i="29"/>
  <c r="K131" i="29" s="1"/>
  <c r="K122" i="29"/>
  <c r="K137" i="29" s="1"/>
  <c r="H121" i="29"/>
  <c r="H136" i="29" s="1"/>
  <c r="J125" i="29"/>
  <c r="J140" i="29" s="1"/>
  <c r="J162" i="29" s="1"/>
  <c r="L125" i="29"/>
  <c r="L140" i="29" s="1"/>
  <c r="L162" i="29" s="1"/>
  <c r="N115" i="29"/>
  <c r="N130" i="29" s="1"/>
  <c r="F117" i="29"/>
  <c r="F132" i="29" s="1"/>
  <c r="F115" i="29"/>
  <c r="F130" i="29" s="1"/>
  <c r="F123" i="29"/>
  <c r="F138" i="29" s="1"/>
  <c r="I117" i="29"/>
  <c r="I132" i="29" s="1"/>
  <c r="I115" i="29"/>
  <c r="M115" i="29"/>
  <c r="M130" i="29" s="1"/>
  <c r="M141" i="29" s="1"/>
  <c r="M142" i="29" s="1"/>
  <c r="G122" i="29"/>
  <c r="G137" i="29" s="1"/>
  <c r="G124" i="29"/>
  <c r="G139" i="29" s="1"/>
  <c r="K124" i="29"/>
  <c r="K139" i="29" s="1"/>
  <c r="K115" i="29"/>
  <c r="K130" i="29" s="1"/>
  <c r="H124" i="29"/>
  <c r="H139" i="29" s="1"/>
  <c r="J124" i="29"/>
  <c r="J139" i="29" s="1"/>
  <c r="J161" i="29" s="1"/>
  <c r="J177" i="29" s="1"/>
  <c r="E115" i="29"/>
  <c r="E130" i="29" s="1"/>
  <c r="O124" i="29"/>
  <c r="O139" i="29" s="1"/>
  <c r="O116" i="29"/>
  <c r="L120" i="29"/>
  <c r="L135" i="29" s="1"/>
  <c r="N123" i="29"/>
  <c r="N125" i="29"/>
  <c r="N140" i="29" s="1"/>
  <c r="N117" i="29"/>
  <c r="N132" i="29" s="1"/>
  <c r="F125" i="29"/>
  <c r="F140" i="29" s="1"/>
  <c r="F119" i="29"/>
  <c r="F134" i="29" s="1"/>
  <c r="G123" i="29"/>
  <c r="G138" i="29" s="1"/>
  <c r="K119" i="29"/>
  <c r="K134" i="29" s="1"/>
  <c r="K123" i="29"/>
  <c r="K138" i="29" s="1"/>
  <c r="K114" i="29"/>
  <c r="K129" i="29" s="1"/>
  <c r="H122" i="29"/>
  <c r="H118" i="29"/>
  <c r="H133" i="29" s="1"/>
  <c r="P104" i="29"/>
  <c r="P118" i="29" s="1"/>
  <c r="P106" i="29"/>
  <c r="P100" i="29"/>
  <c r="P102" i="29"/>
  <c r="P105" i="29"/>
  <c r="P108" i="29"/>
  <c r="P109" i="29"/>
  <c r="P110" i="29"/>
  <c r="P101" i="29"/>
  <c r="P107" i="29"/>
  <c r="P111" i="29"/>
  <c r="P148" i="29"/>
  <c r="P78" i="29"/>
  <c r="G55" i="54"/>
  <c r="G54" i="54"/>
  <c r="G52" i="54"/>
  <c r="G48" i="54"/>
  <c r="G47" i="54"/>
  <c r="G44" i="54"/>
  <c r="G38" i="54"/>
  <c r="G37" i="54"/>
  <c r="G33" i="54"/>
  <c r="D61" i="54"/>
  <c r="G25" i="54"/>
  <c r="G24" i="54"/>
  <c r="G20" i="54"/>
  <c r="G19" i="54"/>
  <c r="G15" i="54"/>
  <c r="G14" i="54"/>
  <c r="D9" i="54"/>
  <c r="E35" i="53"/>
  <c r="G32" i="53"/>
  <c r="G31" i="53"/>
  <c r="G29" i="53"/>
  <c r="H29" i="53" s="1"/>
  <c r="E29" i="53"/>
  <c r="G27" i="53"/>
  <c r="H27" i="53" s="1"/>
  <c r="E27" i="53"/>
  <c r="D25" i="53"/>
  <c r="G24" i="53"/>
  <c r="G22" i="53"/>
  <c r="G21" i="53"/>
  <c r="G20" i="53"/>
  <c r="G19" i="53"/>
  <c r="G18" i="53"/>
  <c r="G17" i="53"/>
  <c r="D14" i="53"/>
  <c r="G13" i="53"/>
  <c r="H13" i="53" s="1"/>
  <c r="E13" i="53"/>
  <c r="G12" i="53"/>
  <c r="H12" i="53" s="1"/>
  <c r="E12" i="53"/>
  <c r="G11" i="53"/>
  <c r="G14" i="53" s="1"/>
  <c r="E11" i="53"/>
  <c r="T39" i="52"/>
  <c r="E39" i="52"/>
  <c r="T36" i="52"/>
  <c r="D36" i="52"/>
  <c r="T35" i="52"/>
  <c r="E35" i="52"/>
  <c r="E34" i="52"/>
  <c r="T33" i="52"/>
  <c r="D33" i="52"/>
  <c r="D32" i="52"/>
  <c r="E31" i="52"/>
  <c r="E30" i="52"/>
  <c r="D30" i="52"/>
  <c r="H25" i="52"/>
  <c r="H39" i="52" s="1"/>
  <c r="E36" i="52"/>
  <c r="F21" i="52"/>
  <c r="D34" i="52"/>
  <c r="F19" i="52"/>
  <c r="E32" i="52"/>
  <c r="F15" i="52"/>
  <c r="H15" i="52" s="1"/>
  <c r="F14" i="52"/>
  <c r="H14" i="52" s="1"/>
  <c r="E33" i="52"/>
  <c r="P23" i="52"/>
  <c r="P26" i="52" s="1"/>
  <c r="L23" i="52"/>
  <c r="L26" i="52" s="1"/>
  <c r="F13" i="52"/>
  <c r="H13" i="52" s="1"/>
  <c r="M23" i="52"/>
  <c r="M26" i="52" s="1"/>
  <c r="F12" i="52"/>
  <c r="H12" i="52" s="1"/>
  <c r="I23" i="52"/>
  <c r="I26" i="52" s="1"/>
  <c r="F11" i="52"/>
  <c r="E23" i="52"/>
  <c r="R23" i="52"/>
  <c r="R26" i="52" s="1"/>
  <c r="N23" i="52"/>
  <c r="N26" i="52" s="1"/>
  <c r="K23" i="52"/>
  <c r="K26" i="52" s="1"/>
  <c r="J23" i="52"/>
  <c r="J26" i="52" s="1"/>
  <c r="F10" i="52"/>
  <c r="H10" i="52" s="1"/>
  <c r="D23" i="52"/>
  <c r="F23" i="52" l="1"/>
  <c r="H11" i="52"/>
  <c r="S11" i="52" s="1"/>
  <c r="H21" i="52"/>
  <c r="S21" i="52" s="1"/>
  <c r="H19" i="52"/>
  <c r="S19" i="52" s="1"/>
  <c r="G21" i="54"/>
  <c r="G16" i="54"/>
  <c r="G35" i="53"/>
  <c r="H35" i="53"/>
  <c r="J178" i="29"/>
  <c r="J211" i="29"/>
  <c r="M170" i="29"/>
  <c r="M207" i="29"/>
  <c r="D169" i="29"/>
  <c r="D200" i="29"/>
  <c r="J174" i="29"/>
  <c r="J204" i="29"/>
  <c r="D175" i="29"/>
  <c r="D205" i="29"/>
  <c r="G178" i="29"/>
  <c r="G211" i="29"/>
  <c r="E171" i="29"/>
  <c r="E208" i="29"/>
  <c r="J175" i="29"/>
  <c r="J205" i="29"/>
  <c r="G170" i="29"/>
  <c r="G207" i="29"/>
  <c r="M173" i="29"/>
  <c r="M203" i="29"/>
  <c r="L169" i="29"/>
  <c r="E175" i="29"/>
  <c r="E205" i="29"/>
  <c r="D167" i="29"/>
  <c r="D198" i="29"/>
  <c r="D173" i="29"/>
  <c r="D203" i="29"/>
  <c r="G171" i="29"/>
  <c r="G208" i="29"/>
  <c r="M174" i="29"/>
  <c r="M204" i="29"/>
  <c r="L178" i="29"/>
  <c r="L211" i="29"/>
  <c r="O178" i="29"/>
  <c r="O211" i="29"/>
  <c r="D168" i="29"/>
  <c r="D199" i="29"/>
  <c r="J173" i="29"/>
  <c r="J203" i="29"/>
  <c r="D174" i="29"/>
  <c r="D204" i="29"/>
  <c r="G172" i="29"/>
  <c r="G210" i="29"/>
  <c r="H153" i="29"/>
  <c r="E152" i="29"/>
  <c r="L156" i="29"/>
  <c r="J151" i="29"/>
  <c r="L161" i="29"/>
  <c r="L177" i="29" s="1"/>
  <c r="H161" i="29"/>
  <c r="H177" i="29" s="1"/>
  <c r="H152" i="29"/>
  <c r="J160" i="29"/>
  <c r="J176" i="29" s="1"/>
  <c r="O155" i="29"/>
  <c r="J156" i="29"/>
  <c r="K154" i="29"/>
  <c r="M175" i="29"/>
  <c r="O156" i="29"/>
  <c r="F141" i="29"/>
  <c r="F142" i="29" s="1"/>
  <c r="H162" i="29"/>
  <c r="L160" i="29"/>
  <c r="L176" i="29" s="1"/>
  <c r="E153" i="29"/>
  <c r="K155" i="29"/>
  <c r="M160" i="29"/>
  <c r="M176" i="29" s="1"/>
  <c r="L141" i="29"/>
  <c r="L142" i="29" s="1"/>
  <c r="P129" i="29"/>
  <c r="G161" i="29"/>
  <c r="G177" i="29" s="1"/>
  <c r="G160" i="29"/>
  <c r="G176" i="29" s="1"/>
  <c r="G153" i="29"/>
  <c r="G152" i="29"/>
  <c r="G151" i="29"/>
  <c r="K156" i="29"/>
  <c r="J155" i="29"/>
  <c r="L159" i="29"/>
  <c r="L158" i="29"/>
  <c r="L157" i="29"/>
  <c r="P139" i="29"/>
  <c r="I156" i="29"/>
  <c r="I155" i="29"/>
  <c r="I154" i="29"/>
  <c r="I159" i="29"/>
  <c r="I158" i="29"/>
  <c r="I157" i="29"/>
  <c r="N159" i="29"/>
  <c r="N158" i="29"/>
  <c r="N157" i="29"/>
  <c r="N203" i="29" s="1"/>
  <c r="P136" i="29"/>
  <c r="K159" i="29"/>
  <c r="K158" i="29"/>
  <c r="K157" i="29"/>
  <c r="K203" i="29" s="1"/>
  <c r="G159" i="29"/>
  <c r="G158" i="29"/>
  <c r="G157" i="29"/>
  <c r="G203" i="29" s="1"/>
  <c r="E141" i="29"/>
  <c r="E142" i="29" s="1"/>
  <c r="H160" i="29"/>
  <c r="H176" i="29" s="1"/>
  <c r="L154" i="29"/>
  <c r="M152" i="29"/>
  <c r="I162" i="29"/>
  <c r="I211" i="29" s="1"/>
  <c r="F153" i="29"/>
  <c r="E157" i="29"/>
  <c r="J152" i="29"/>
  <c r="J199" i="29" s="1"/>
  <c r="L152" i="29"/>
  <c r="L151" i="29"/>
  <c r="E151" i="29"/>
  <c r="E161" i="29"/>
  <c r="E177" i="29" s="1"/>
  <c r="P140" i="29"/>
  <c r="J141" i="29"/>
  <c r="J142" i="29" s="1"/>
  <c r="F151" i="29"/>
  <c r="F161" i="29"/>
  <c r="F177" i="29" s="1"/>
  <c r="M155" i="29"/>
  <c r="J154" i="29"/>
  <c r="K141" i="29"/>
  <c r="K142" i="29" s="1"/>
  <c r="K161" i="29"/>
  <c r="K177" i="29" s="1"/>
  <c r="K160" i="29"/>
  <c r="K176" i="29" s="1"/>
  <c r="K153" i="29"/>
  <c r="K152" i="29"/>
  <c r="K151" i="29"/>
  <c r="P134" i="29"/>
  <c r="F162" i="29"/>
  <c r="F156" i="29"/>
  <c r="F155" i="29"/>
  <c r="F154" i="29"/>
  <c r="P135" i="29"/>
  <c r="F159" i="29"/>
  <c r="F158" i="29"/>
  <c r="F157" i="29"/>
  <c r="P133" i="29"/>
  <c r="H156" i="29"/>
  <c r="H210" i="29" s="1"/>
  <c r="H155" i="29"/>
  <c r="H154" i="29"/>
  <c r="E156" i="29"/>
  <c r="M151" i="29"/>
  <c r="M161" i="29"/>
  <c r="M177" i="29" s="1"/>
  <c r="F152" i="29"/>
  <c r="M156" i="29"/>
  <c r="E160" i="29"/>
  <c r="E176" i="29" s="1"/>
  <c r="K162" i="29"/>
  <c r="N156" i="29"/>
  <c r="N155" i="29"/>
  <c r="N154" i="29"/>
  <c r="N162" i="29"/>
  <c r="E154" i="29"/>
  <c r="H151" i="29"/>
  <c r="M162" i="29"/>
  <c r="L155" i="29"/>
  <c r="L208" i="29" s="1"/>
  <c r="M153" i="29"/>
  <c r="F160" i="29"/>
  <c r="F176" i="29" s="1"/>
  <c r="E158" i="29"/>
  <c r="J153" i="29"/>
  <c r="O154" i="29"/>
  <c r="E162" i="29"/>
  <c r="P124" i="29"/>
  <c r="O137" i="29"/>
  <c r="O126" i="29"/>
  <c r="O131" i="29"/>
  <c r="P114" i="29"/>
  <c r="I130" i="29"/>
  <c r="P130" i="29" s="1"/>
  <c r="N138" i="29"/>
  <c r="N160" i="29" s="1"/>
  <c r="N176" i="29" s="1"/>
  <c r="G141" i="29"/>
  <c r="G142" i="29" s="1"/>
  <c r="D126" i="29"/>
  <c r="D132" i="29"/>
  <c r="P122" i="29"/>
  <c r="H137" i="29"/>
  <c r="H158" i="29" s="1"/>
  <c r="F126" i="29"/>
  <c r="M126" i="29"/>
  <c r="P116" i="29"/>
  <c r="P119" i="29"/>
  <c r="P115" i="29"/>
  <c r="P120" i="29"/>
  <c r="P121" i="29"/>
  <c r="P125" i="29"/>
  <c r="N126" i="29"/>
  <c r="H126" i="29"/>
  <c r="E126" i="29"/>
  <c r="L126" i="29"/>
  <c r="J126" i="29"/>
  <c r="G126" i="29"/>
  <c r="K126" i="29"/>
  <c r="I126" i="29"/>
  <c r="P123" i="29"/>
  <c r="G56" i="54"/>
  <c r="H20" i="54"/>
  <c r="E14" i="53"/>
  <c r="H11" i="53"/>
  <c r="H14" i="53" s="1"/>
  <c r="E25" i="53"/>
  <c r="E36" i="53" s="1"/>
  <c r="D42" i="53"/>
  <c r="H30" i="52"/>
  <c r="E26" i="52"/>
  <c r="E37" i="52"/>
  <c r="G23" i="52"/>
  <c r="O23" i="52"/>
  <c r="O26" i="52" s="1"/>
  <c r="D35" i="52"/>
  <c r="F16" i="52"/>
  <c r="H16" i="52" s="1"/>
  <c r="F18" i="52"/>
  <c r="H22" i="52"/>
  <c r="G11" i="54"/>
  <c r="G29" i="54"/>
  <c r="G30" i="54" s="1"/>
  <c r="H34" i="54"/>
  <c r="G34" i="54"/>
  <c r="G39" i="54" s="1"/>
  <c r="S25" i="52"/>
  <c r="E40" i="52"/>
  <c r="S14" i="52"/>
  <c r="W14" i="52" s="1"/>
  <c r="D31" i="52"/>
  <c r="F17" i="52"/>
  <c r="F20" i="52"/>
  <c r="G45" i="54"/>
  <c r="G49" i="54" s="1"/>
  <c r="H33" i="52" l="1"/>
  <c r="U19" i="52"/>
  <c r="W19" i="52"/>
  <c r="U21" i="52"/>
  <c r="W21" i="52"/>
  <c r="U11" i="52"/>
  <c r="W11" i="52"/>
  <c r="Y11" i="52" s="1"/>
  <c r="H20" i="52"/>
  <c r="S20" i="52" s="1"/>
  <c r="W20" i="52" s="1"/>
  <c r="Y20" i="52" s="1"/>
  <c r="H18" i="52"/>
  <c r="H32" i="52" s="1"/>
  <c r="H17" i="52"/>
  <c r="S17" i="52" s="1"/>
  <c r="W17" i="52" s="1"/>
  <c r="Y17" i="52" s="1"/>
  <c r="D37" i="52"/>
  <c r="D40" i="52" s="1"/>
  <c r="M178" i="29"/>
  <c r="M211" i="29"/>
  <c r="M167" i="29"/>
  <c r="M198" i="29"/>
  <c r="F175" i="29"/>
  <c r="F205" i="29"/>
  <c r="E167" i="29"/>
  <c r="E198" i="29"/>
  <c r="L170" i="29"/>
  <c r="L207" i="29"/>
  <c r="K175" i="29"/>
  <c r="K205" i="29"/>
  <c r="H168" i="29"/>
  <c r="H199" i="29"/>
  <c r="G284" i="29"/>
  <c r="G229" i="29"/>
  <c r="G264" i="29" s="1"/>
  <c r="J285" i="29"/>
  <c r="J222" i="29"/>
  <c r="J257" i="29" s="1"/>
  <c r="O288" i="29"/>
  <c r="O230" i="29"/>
  <c r="O265" i="29" s="1"/>
  <c r="M286" i="29"/>
  <c r="M223" i="29"/>
  <c r="M258" i="29" s="1"/>
  <c r="E287" i="29"/>
  <c r="E224" i="29"/>
  <c r="E259" i="29" s="1"/>
  <c r="G288" i="29"/>
  <c r="G230" i="29"/>
  <c r="G265" i="29" s="1"/>
  <c r="O170" i="29"/>
  <c r="O207" i="29"/>
  <c r="E170" i="29"/>
  <c r="E207" i="29"/>
  <c r="F168" i="29"/>
  <c r="F199" i="29"/>
  <c r="F170" i="29"/>
  <c r="F207" i="29"/>
  <c r="M171" i="29"/>
  <c r="M208" i="29"/>
  <c r="I174" i="29"/>
  <c r="I204" i="29"/>
  <c r="G168" i="29"/>
  <c r="G199" i="29"/>
  <c r="O172" i="29"/>
  <c r="O210" i="29"/>
  <c r="J169" i="29"/>
  <c r="J200" i="29"/>
  <c r="N178" i="29"/>
  <c r="N211" i="29"/>
  <c r="K178" i="29"/>
  <c r="K211" i="29"/>
  <c r="H171" i="29"/>
  <c r="H208" i="29"/>
  <c r="F174" i="29"/>
  <c r="F204" i="29"/>
  <c r="F171" i="29"/>
  <c r="F208" i="29"/>
  <c r="K167" i="29"/>
  <c r="K198" i="29"/>
  <c r="M168" i="29"/>
  <c r="M199" i="29"/>
  <c r="K174" i="29"/>
  <c r="K204" i="29"/>
  <c r="N174" i="29"/>
  <c r="N204" i="29"/>
  <c r="I175" i="29"/>
  <c r="I205" i="29"/>
  <c r="J171" i="29"/>
  <c r="J208" i="29"/>
  <c r="G169" i="29"/>
  <c r="G200" i="29"/>
  <c r="M287" i="29"/>
  <c r="M224" i="29"/>
  <c r="M259" i="29" s="1"/>
  <c r="J167" i="29"/>
  <c r="J198" i="29"/>
  <c r="M281" i="29"/>
  <c r="M226" i="29"/>
  <c r="M261" i="29" s="1"/>
  <c r="E174" i="29"/>
  <c r="E204" i="29"/>
  <c r="F172" i="29"/>
  <c r="F210" i="29"/>
  <c r="F167" i="29"/>
  <c r="F198" i="29"/>
  <c r="G174" i="29"/>
  <c r="G204" i="29"/>
  <c r="I170" i="29"/>
  <c r="I207" i="29"/>
  <c r="L173" i="29"/>
  <c r="L203" i="29"/>
  <c r="K172" i="29"/>
  <c r="K210" i="29"/>
  <c r="H178" i="29"/>
  <c r="H211" i="29"/>
  <c r="K170" i="29"/>
  <c r="K207" i="29"/>
  <c r="L172" i="29"/>
  <c r="L210" i="29"/>
  <c r="J287" i="29"/>
  <c r="J224" i="29"/>
  <c r="J259" i="29" s="1"/>
  <c r="H174" i="29"/>
  <c r="H204" i="29"/>
  <c r="E178" i="29"/>
  <c r="E211" i="29"/>
  <c r="H167" i="29"/>
  <c r="H198" i="29"/>
  <c r="N171" i="29"/>
  <c r="N208" i="29"/>
  <c r="M172" i="29"/>
  <c r="M210" i="29"/>
  <c r="E172" i="29"/>
  <c r="E210" i="29"/>
  <c r="F178" i="29"/>
  <c r="F211" i="29"/>
  <c r="K169" i="29"/>
  <c r="K200" i="29"/>
  <c r="J170" i="29"/>
  <c r="J207" i="29"/>
  <c r="L167" i="29"/>
  <c r="L198" i="29"/>
  <c r="F169" i="29"/>
  <c r="F200" i="29"/>
  <c r="G175" i="29"/>
  <c r="G205" i="29"/>
  <c r="I173" i="29"/>
  <c r="I203" i="29"/>
  <c r="I171" i="29"/>
  <c r="I208" i="29"/>
  <c r="L174" i="29"/>
  <c r="L204" i="29"/>
  <c r="G167" i="29"/>
  <c r="G198" i="29"/>
  <c r="K171" i="29"/>
  <c r="K208" i="29"/>
  <c r="J172" i="29"/>
  <c r="J210" i="29"/>
  <c r="E168" i="29"/>
  <c r="E199" i="29"/>
  <c r="L200" i="29"/>
  <c r="N170" i="29"/>
  <c r="N207" i="29"/>
  <c r="K168" i="29"/>
  <c r="K199" i="29"/>
  <c r="E173" i="29"/>
  <c r="E203" i="29"/>
  <c r="N175" i="29"/>
  <c r="N205" i="29"/>
  <c r="D285" i="29"/>
  <c r="D222" i="29"/>
  <c r="M285" i="29"/>
  <c r="M222" i="29"/>
  <c r="M257" i="29" s="1"/>
  <c r="J286" i="29"/>
  <c r="J223" i="29"/>
  <c r="J258" i="29" s="1"/>
  <c r="M169" i="29"/>
  <c r="M200" i="29"/>
  <c r="N172" i="29"/>
  <c r="N210" i="29"/>
  <c r="H170" i="29"/>
  <c r="H207" i="29"/>
  <c r="F173" i="29"/>
  <c r="F203" i="29"/>
  <c r="L168" i="29"/>
  <c r="L199" i="29"/>
  <c r="I172" i="29"/>
  <c r="I210" i="29"/>
  <c r="L175" i="29"/>
  <c r="L205" i="29"/>
  <c r="E169" i="29"/>
  <c r="E200" i="29"/>
  <c r="O171" i="29"/>
  <c r="O208" i="29"/>
  <c r="H169" i="29"/>
  <c r="H200" i="29"/>
  <c r="D286" i="29"/>
  <c r="D223" i="29"/>
  <c r="D276" i="29"/>
  <c r="D218" i="29"/>
  <c r="L288" i="29"/>
  <c r="L230" i="29"/>
  <c r="L265" i="29" s="1"/>
  <c r="G282" i="29"/>
  <c r="G227" i="29"/>
  <c r="G262" i="29" s="1"/>
  <c r="D275" i="29"/>
  <c r="D217" i="29"/>
  <c r="L277" i="29"/>
  <c r="L219" i="29"/>
  <c r="L255" i="29" s="1"/>
  <c r="G281" i="29"/>
  <c r="G226" i="29"/>
  <c r="E282" i="29"/>
  <c r="E227" i="29"/>
  <c r="E262" i="29" s="1"/>
  <c r="D287" i="29"/>
  <c r="D224" i="29"/>
  <c r="D277" i="29"/>
  <c r="D219" i="29"/>
  <c r="J288" i="29"/>
  <c r="J230" i="29"/>
  <c r="J265" i="29" s="1"/>
  <c r="L171" i="29"/>
  <c r="J168" i="29"/>
  <c r="G173" i="29"/>
  <c r="H172" i="29"/>
  <c r="N152" i="29"/>
  <c r="I178" i="29"/>
  <c r="K173" i="29"/>
  <c r="N173" i="29"/>
  <c r="F163" i="29"/>
  <c r="F164" i="29" s="1"/>
  <c r="H159" i="29"/>
  <c r="H205" i="29" s="1"/>
  <c r="O159" i="29"/>
  <c r="O157" i="29"/>
  <c r="O158" i="29"/>
  <c r="O204" i="29" s="1"/>
  <c r="E163" i="29"/>
  <c r="E164" i="29" s="1"/>
  <c r="J163" i="29"/>
  <c r="J164" i="29" s="1"/>
  <c r="N161" i="29"/>
  <c r="D156" i="29"/>
  <c r="D210" i="29" s="1"/>
  <c r="D155" i="29"/>
  <c r="D208" i="29" s="1"/>
  <c r="D154" i="29"/>
  <c r="D162" i="29"/>
  <c r="D211" i="29" s="1"/>
  <c r="H141" i="29"/>
  <c r="H142" i="29" s="1"/>
  <c r="H157" i="29"/>
  <c r="I161" i="29"/>
  <c r="I177" i="29" s="1"/>
  <c r="I151" i="29"/>
  <c r="I153" i="29"/>
  <c r="I152" i="29"/>
  <c r="I160" i="29"/>
  <c r="I176" i="29" s="1"/>
  <c r="P126" i="29"/>
  <c r="O141" i="29"/>
  <c r="O142" i="29" s="1"/>
  <c r="O153" i="29"/>
  <c r="O161" i="29"/>
  <c r="O177" i="29" s="1"/>
  <c r="O151" i="29"/>
  <c r="O160" i="29"/>
  <c r="O176" i="29" s="1"/>
  <c r="O152" i="29"/>
  <c r="M163" i="29"/>
  <c r="M164" i="29" s="1"/>
  <c r="K163" i="29"/>
  <c r="K164" i="29" s="1"/>
  <c r="L163" i="29"/>
  <c r="L164" i="29" s="1"/>
  <c r="N153" i="29"/>
  <c r="G163" i="29"/>
  <c r="G164" i="29" s="1"/>
  <c r="N151" i="29"/>
  <c r="I141" i="29"/>
  <c r="I142" i="29" s="1"/>
  <c r="P138" i="29"/>
  <c r="N141" i="29"/>
  <c r="N142" i="29" s="1"/>
  <c r="P131" i="29"/>
  <c r="P132" i="29"/>
  <c r="D141" i="29"/>
  <c r="P137" i="29"/>
  <c r="E38" i="53"/>
  <c r="G58" i="54"/>
  <c r="S15" i="52"/>
  <c r="G60" i="54"/>
  <c r="H36" i="52"/>
  <c r="S22" i="52"/>
  <c r="W22" i="52" s="1"/>
  <c r="H23" i="52"/>
  <c r="H26" i="52" s="1"/>
  <c r="S33" i="52"/>
  <c r="U33" i="52" s="1"/>
  <c r="U14" i="52"/>
  <c r="S39" i="52"/>
  <c r="U25" i="52"/>
  <c r="S16" i="52"/>
  <c r="W16" i="52" s="1"/>
  <c r="H35" i="52"/>
  <c r="S12" i="52"/>
  <c r="W12" i="52" s="1"/>
  <c r="H31" i="52"/>
  <c r="G41" i="54"/>
  <c r="S13" i="52"/>
  <c r="W13" i="52" s="1"/>
  <c r="H34" i="52" l="1"/>
  <c r="S18" i="52"/>
  <c r="W18" i="52" s="1"/>
  <c r="S34" i="52"/>
  <c r="W15" i="52"/>
  <c r="P208" i="29"/>
  <c r="M179" i="29"/>
  <c r="M194" i="29" s="1"/>
  <c r="M289" i="29" s="1"/>
  <c r="E179" i="29"/>
  <c r="E194" i="29" s="1"/>
  <c r="E289" i="29" s="1"/>
  <c r="P211" i="29"/>
  <c r="J212" i="29"/>
  <c r="J213" i="29" s="1"/>
  <c r="P204" i="29"/>
  <c r="H37" i="52"/>
  <c r="H40" i="52" s="1"/>
  <c r="N169" i="29"/>
  <c r="N200" i="29"/>
  <c r="O169" i="29"/>
  <c r="O200" i="29"/>
  <c r="H173" i="29"/>
  <c r="H203" i="29"/>
  <c r="H212" i="29" s="1"/>
  <c r="E285" i="29"/>
  <c r="E222" i="29"/>
  <c r="E257" i="29" s="1"/>
  <c r="N281" i="29"/>
  <c r="N226" i="29"/>
  <c r="N261" i="29" s="1"/>
  <c r="J275" i="29"/>
  <c r="J217" i="29"/>
  <c r="J253" i="29" s="1"/>
  <c r="G277" i="29"/>
  <c r="G219" i="29"/>
  <c r="G255" i="29" s="1"/>
  <c r="I287" i="29"/>
  <c r="I224" i="29"/>
  <c r="I259" i="29" s="1"/>
  <c r="K286" i="29"/>
  <c r="K223" i="29"/>
  <c r="K258" i="29" s="1"/>
  <c r="K212" i="29"/>
  <c r="K213" i="29" s="1"/>
  <c r="F212" i="29"/>
  <c r="F213" i="29" s="1"/>
  <c r="I169" i="29"/>
  <c r="P169" i="29" s="1"/>
  <c r="I200" i="29"/>
  <c r="P210" i="29"/>
  <c r="N168" i="29"/>
  <c r="N199" i="29"/>
  <c r="D259" i="29"/>
  <c r="G261" i="29"/>
  <c r="G270" i="29" s="1"/>
  <c r="D253" i="29"/>
  <c r="D258" i="29"/>
  <c r="M212" i="29"/>
  <c r="M213" i="29" s="1"/>
  <c r="E276" i="29"/>
  <c r="E218" i="29"/>
  <c r="E254" i="29" s="1"/>
  <c r="K282" i="29"/>
  <c r="K227" i="29"/>
  <c r="K262" i="29" s="1"/>
  <c r="L286" i="29"/>
  <c r="L223" i="29"/>
  <c r="L258" i="29" s="1"/>
  <c r="I285" i="29"/>
  <c r="I222" i="29"/>
  <c r="I257" i="29" s="1"/>
  <c r="F277" i="29"/>
  <c r="F219" i="29"/>
  <c r="J281" i="29"/>
  <c r="J226" i="29"/>
  <c r="J261" i="29" s="1"/>
  <c r="F288" i="29"/>
  <c r="F230" i="29"/>
  <c r="F265" i="29" s="1"/>
  <c r="M284" i="29"/>
  <c r="M229" i="29"/>
  <c r="M264" i="29" s="1"/>
  <c r="H275" i="29"/>
  <c r="H217" i="29"/>
  <c r="H286" i="29"/>
  <c r="H223" i="29"/>
  <c r="H258" i="29" s="1"/>
  <c r="L284" i="29"/>
  <c r="L229" i="29"/>
  <c r="L264" i="29" s="1"/>
  <c r="H288" i="29"/>
  <c r="H230" i="29"/>
  <c r="H265" i="29" s="1"/>
  <c r="L285" i="29"/>
  <c r="L222" i="29"/>
  <c r="L257" i="29" s="1"/>
  <c r="G286" i="29"/>
  <c r="G223" i="29"/>
  <c r="G258" i="29" s="1"/>
  <c r="F284" i="29"/>
  <c r="F229" i="29"/>
  <c r="F264" i="29" s="1"/>
  <c r="K275" i="29"/>
  <c r="K217" i="29"/>
  <c r="K253" i="29" s="1"/>
  <c r="F286" i="29"/>
  <c r="F223" i="29"/>
  <c r="F258" i="29" s="1"/>
  <c r="K288" i="29"/>
  <c r="K230" i="29"/>
  <c r="K265" i="29" s="1"/>
  <c r="J277" i="29"/>
  <c r="J219" i="29"/>
  <c r="G276" i="29"/>
  <c r="G218" i="29"/>
  <c r="M282" i="29"/>
  <c r="M227" i="29"/>
  <c r="M262" i="29" s="1"/>
  <c r="F276" i="29"/>
  <c r="F218" i="29"/>
  <c r="F254" i="29" s="1"/>
  <c r="O281" i="29"/>
  <c r="O226" i="29"/>
  <c r="O261" i="29" s="1"/>
  <c r="K287" i="29"/>
  <c r="K224" i="29"/>
  <c r="K259" i="29" s="1"/>
  <c r="E275" i="29"/>
  <c r="E217" i="29"/>
  <c r="M275" i="29"/>
  <c r="M217" i="29"/>
  <c r="O168" i="29"/>
  <c r="O199" i="29"/>
  <c r="I168" i="29"/>
  <c r="I199" i="29"/>
  <c r="I288" i="29"/>
  <c r="I230" i="29"/>
  <c r="I265" i="29" s="1"/>
  <c r="H284" i="29"/>
  <c r="H229" i="29"/>
  <c r="H264" i="29" s="1"/>
  <c r="L179" i="29"/>
  <c r="L194" i="29" s="1"/>
  <c r="L289" i="29" s="1"/>
  <c r="L282" i="29"/>
  <c r="L227" i="29"/>
  <c r="L262" i="29" s="1"/>
  <c r="N167" i="29"/>
  <c r="N198" i="29"/>
  <c r="O167" i="29"/>
  <c r="O198" i="29"/>
  <c r="I167" i="29"/>
  <c r="I198" i="29"/>
  <c r="O173" i="29"/>
  <c r="O203" i="29"/>
  <c r="N285" i="29"/>
  <c r="N222" i="29"/>
  <c r="N257" i="29" s="1"/>
  <c r="G285" i="29"/>
  <c r="G222" i="29"/>
  <c r="G257" i="29" s="1"/>
  <c r="O282" i="29"/>
  <c r="O227" i="29"/>
  <c r="O262" i="29" s="1"/>
  <c r="L287" i="29"/>
  <c r="L224" i="29"/>
  <c r="L259" i="29" s="1"/>
  <c r="L276" i="29"/>
  <c r="L218" i="29"/>
  <c r="L254" i="29" s="1"/>
  <c r="H281" i="29"/>
  <c r="H226" i="29"/>
  <c r="H261" i="29" s="1"/>
  <c r="M277" i="29"/>
  <c r="M219" i="29"/>
  <c r="M255" i="29" s="1"/>
  <c r="N287" i="29"/>
  <c r="N224" i="29"/>
  <c r="N259" i="29" s="1"/>
  <c r="K276" i="29"/>
  <c r="K218" i="29"/>
  <c r="G212" i="29"/>
  <c r="G213" i="29" s="1"/>
  <c r="L212" i="29"/>
  <c r="L213" i="29" s="1"/>
  <c r="J282" i="29"/>
  <c r="J227" i="29"/>
  <c r="J262" i="29" s="1"/>
  <c r="N286" i="29"/>
  <c r="N223" i="29"/>
  <c r="N258" i="29" s="1"/>
  <c r="M276" i="29"/>
  <c r="M218" i="29"/>
  <c r="M254" i="29" s="1"/>
  <c r="H277" i="29"/>
  <c r="H219" i="29"/>
  <c r="H255" i="29" s="1"/>
  <c r="E277" i="29"/>
  <c r="E219" i="29"/>
  <c r="E255" i="29" s="1"/>
  <c r="I284" i="29"/>
  <c r="I229" i="29"/>
  <c r="I264" i="29" s="1"/>
  <c r="F285" i="29"/>
  <c r="F222" i="29"/>
  <c r="F257" i="29" s="1"/>
  <c r="N284" i="29"/>
  <c r="N229" i="29"/>
  <c r="N264" i="29" s="1"/>
  <c r="D170" i="29"/>
  <c r="P170" i="29" s="1"/>
  <c r="D207" i="29"/>
  <c r="O175" i="29"/>
  <c r="O205" i="29"/>
  <c r="P205" i="29" s="1"/>
  <c r="K285" i="29"/>
  <c r="K222" i="29"/>
  <c r="K257" i="29" s="1"/>
  <c r="F179" i="29"/>
  <c r="F194" i="29" s="1"/>
  <c r="F289" i="29" s="1"/>
  <c r="J276" i="29"/>
  <c r="J218" i="29"/>
  <c r="J254" i="29" s="1"/>
  <c r="D255" i="29"/>
  <c r="D254" i="29"/>
  <c r="E212" i="29"/>
  <c r="E213" i="29" s="1"/>
  <c r="D257" i="29"/>
  <c r="J284" i="29"/>
  <c r="J229" i="29"/>
  <c r="J264" i="29" s="1"/>
  <c r="G275" i="29"/>
  <c r="G217" i="29"/>
  <c r="G253" i="29" s="1"/>
  <c r="I282" i="29"/>
  <c r="I227" i="29"/>
  <c r="I262" i="29" s="1"/>
  <c r="G287" i="29"/>
  <c r="G224" i="29"/>
  <c r="G259" i="29" s="1"/>
  <c r="L275" i="29"/>
  <c r="L217" i="29"/>
  <c r="K277" i="29"/>
  <c r="K219" i="29"/>
  <c r="K255" i="29" s="1"/>
  <c r="E284" i="29"/>
  <c r="E229" i="29"/>
  <c r="E264" i="29" s="1"/>
  <c r="N282" i="29"/>
  <c r="N227" i="29"/>
  <c r="N262" i="29" s="1"/>
  <c r="E288" i="29"/>
  <c r="E230" i="29"/>
  <c r="E265" i="29" s="1"/>
  <c r="K281" i="29"/>
  <c r="K226" i="29"/>
  <c r="K261" i="29" s="1"/>
  <c r="K284" i="29"/>
  <c r="K229" i="29"/>
  <c r="K264" i="29" s="1"/>
  <c r="I281" i="29"/>
  <c r="I226" i="29"/>
  <c r="I261" i="29" s="1"/>
  <c r="F275" i="29"/>
  <c r="F217" i="29"/>
  <c r="F253" i="29" s="1"/>
  <c r="E286" i="29"/>
  <c r="E223" i="29"/>
  <c r="E258" i="29" s="1"/>
  <c r="F282" i="29"/>
  <c r="F227" i="29"/>
  <c r="F262" i="29" s="1"/>
  <c r="H282" i="29"/>
  <c r="H227" i="29"/>
  <c r="H262" i="29" s="1"/>
  <c r="N288" i="29"/>
  <c r="N230" i="29"/>
  <c r="N265" i="29" s="1"/>
  <c r="O284" i="29"/>
  <c r="O229" i="29"/>
  <c r="O264" i="29" s="1"/>
  <c r="I286" i="29"/>
  <c r="I223" i="29"/>
  <c r="I258" i="29" s="1"/>
  <c r="F281" i="29"/>
  <c r="F226" i="29"/>
  <c r="F261" i="29" s="1"/>
  <c r="E281" i="29"/>
  <c r="E226" i="29"/>
  <c r="E261" i="29" s="1"/>
  <c r="E270" i="29" s="1"/>
  <c r="H276" i="29"/>
  <c r="H218" i="29"/>
  <c r="H254" i="29" s="1"/>
  <c r="L281" i="29"/>
  <c r="L226" i="29"/>
  <c r="L261" i="29" s="1"/>
  <c r="F287" i="29"/>
  <c r="F224" i="29"/>
  <c r="F259" i="29" s="1"/>
  <c r="M288" i="29"/>
  <c r="M230" i="29"/>
  <c r="M265" i="29" s="1"/>
  <c r="K179" i="29"/>
  <c r="K194" i="29" s="1"/>
  <c r="K289" i="29" s="1"/>
  <c r="J179" i="29"/>
  <c r="J194" i="29" s="1"/>
  <c r="J289" i="29" s="1"/>
  <c r="P156" i="29"/>
  <c r="D172" i="29"/>
  <c r="O174" i="29"/>
  <c r="H163" i="29"/>
  <c r="H164" i="29" s="1"/>
  <c r="P162" i="29"/>
  <c r="D178" i="29"/>
  <c r="N177" i="29"/>
  <c r="P177" i="29" s="1"/>
  <c r="P159" i="29"/>
  <c r="H175" i="29"/>
  <c r="P158" i="29"/>
  <c r="P176" i="29"/>
  <c r="P155" i="29"/>
  <c r="D171" i="29"/>
  <c r="G179" i="29"/>
  <c r="G194" i="29" s="1"/>
  <c r="G289" i="29" s="1"/>
  <c r="N163" i="29"/>
  <c r="N164" i="29" s="1"/>
  <c r="O163" i="29"/>
  <c r="O164" i="29" s="1"/>
  <c r="P151" i="29"/>
  <c r="I163" i="29"/>
  <c r="I164" i="29" s="1"/>
  <c r="P154" i="29"/>
  <c r="D163" i="29"/>
  <c r="D164" i="29" s="1"/>
  <c r="P160" i="29"/>
  <c r="P161" i="29"/>
  <c r="P153" i="29"/>
  <c r="P157" i="29"/>
  <c r="P152" i="29"/>
  <c r="D142" i="29"/>
  <c r="P141" i="29"/>
  <c r="P142" i="29" s="1"/>
  <c r="S35" i="52"/>
  <c r="U35" i="52" s="1"/>
  <c r="U16" i="52"/>
  <c r="S31" i="52"/>
  <c r="Q23" i="52"/>
  <c r="Q26" i="52" s="1"/>
  <c r="S10" i="52"/>
  <c r="W10" i="52" s="1"/>
  <c r="S32" i="52"/>
  <c r="U39" i="52"/>
  <c r="U22" i="52"/>
  <c r="S36" i="52"/>
  <c r="U36" i="52" s="1"/>
  <c r="P168" i="29" l="1"/>
  <c r="P198" i="29"/>
  <c r="P203" i="29"/>
  <c r="P199" i="29"/>
  <c r="P200" i="29"/>
  <c r="N212" i="29"/>
  <c r="N213" i="29" s="1"/>
  <c r="N179" i="29"/>
  <c r="N194" i="29" s="1"/>
  <c r="N289" i="29" s="1"/>
  <c r="L270" i="29"/>
  <c r="O270" i="29"/>
  <c r="M270" i="29"/>
  <c r="O285" i="29"/>
  <c r="O222" i="29"/>
  <c r="O257" i="29" s="1"/>
  <c r="O275" i="29"/>
  <c r="O217" i="29"/>
  <c r="O253" i="29" s="1"/>
  <c r="E253" i="29"/>
  <c r="E231" i="29"/>
  <c r="E232" i="29" s="1"/>
  <c r="J231" i="29"/>
  <c r="J232" i="29" s="1"/>
  <c r="J255" i="29"/>
  <c r="J269" i="29" s="1"/>
  <c r="H253" i="29"/>
  <c r="F231" i="29"/>
  <c r="F232" i="29" s="1"/>
  <c r="F255" i="29"/>
  <c r="F269" i="29" s="1"/>
  <c r="I277" i="29"/>
  <c r="I219" i="29"/>
  <c r="D281" i="29"/>
  <c r="P281" i="29" s="1"/>
  <c r="D226" i="29"/>
  <c r="H270" i="29"/>
  <c r="O276" i="29"/>
  <c r="O218" i="29"/>
  <c r="D269" i="29"/>
  <c r="N276" i="29"/>
  <c r="N218" i="29"/>
  <c r="N254" i="29" s="1"/>
  <c r="N270" i="29"/>
  <c r="O277" i="29"/>
  <c r="O219" i="29"/>
  <c r="O255" i="29" s="1"/>
  <c r="H287" i="29"/>
  <c r="H224" i="29"/>
  <c r="H259" i="29" s="1"/>
  <c r="F266" i="29"/>
  <c r="L231" i="29"/>
  <c r="L232" i="29" s="1"/>
  <c r="L253" i="29"/>
  <c r="P207" i="29"/>
  <c r="D212" i="29"/>
  <c r="D213" i="29" s="1"/>
  <c r="P167" i="29"/>
  <c r="O179" i="29"/>
  <c r="O194" i="29" s="1"/>
  <c r="O289" i="29" s="1"/>
  <c r="O286" i="29"/>
  <c r="P286" i="29" s="1"/>
  <c r="O223" i="29"/>
  <c r="O258" i="29" s="1"/>
  <c r="P258" i="29" s="1"/>
  <c r="P171" i="29"/>
  <c r="D282" i="29"/>
  <c r="P282" i="29" s="1"/>
  <c r="D227" i="29"/>
  <c r="P173" i="29"/>
  <c r="I179" i="29"/>
  <c r="I194" i="29" s="1"/>
  <c r="I289" i="29" s="1"/>
  <c r="P178" i="29"/>
  <c r="P230" i="29" s="1"/>
  <c r="X22" i="52" s="1"/>
  <c r="Y22" i="52" s="1"/>
  <c r="D288" i="29"/>
  <c r="P288" i="29" s="1"/>
  <c r="D230" i="29"/>
  <c r="D265" i="29" s="1"/>
  <c r="P265" i="29" s="1"/>
  <c r="P172" i="29"/>
  <c r="D284" i="29"/>
  <c r="P284" i="29" s="1"/>
  <c r="D229" i="29"/>
  <c r="F270" i="29"/>
  <c r="I270" i="29"/>
  <c r="K270" i="29"/>
  <c r="I275" i="29"/>
  <c r="I217" i="29"/>
  <c r="N275" i="29"/>
  <c r="N217" i="29"/>
  <c r="N253" i="29" s="1"/>
  <c r="M253" i="29"/>
  <c r="M231" i="29"/>
  <c r="M232" i="29" s="1"/>
  <c r="G231" i="29"/>
  <c r="G232" i="29" s="1"/>
  <c r="G254" i="29"/>
  <c r="J270" i="29"/>
  <c r="O287" i="29"/>
  <c r="O224" i="29"/>
  <c r="O259" i="29" s="1"/>
  <c r="K231" i="29"/>
  <c r="K232" i="29" s="1"/>
  <c r="K254" i="29"/>
  <c r="K269" i="29" s="1"/>
  <c r="O212" i="29"/>
  <c r="O213" i="29" s="1"/>
  <c r="I276" i="29"/>
  <c r="I218" i="29"/>
  <c r="I254" i="29" s="1"/>
  <c r="I212" i="29"/>
  <c r="I213" i="29" s="1"/>
  <c r="H285" i="29"/>
  <c r="H222" i="29"/>
  <c r="H257" i="29" s="1"/>
  <c r="N277" i="29"/>
  <c r="N219" i="29"/>
  <c r="P175" i="29"/>
  <c r="P174" i="29"/>
  <c r="D179" i="29"/>
  <c r="H179" i="29"/>
  <c r="P163" i="29"/>
  <c r="P164" i="29" s="1"/>
  <c r="S23" i="52"/>
  <c r="S26" i="52" s="1"/>
  <c r="S30" i="52"/>
  <c r="S37" i="52" s="1"/>
  <c r="S40" i="52" s="1"/>
  <c r="P257" i="29" l="1"/>
  <c r="P285" i="29"/>
  <c r="P259" i="29"/>
  <c r="F267" i="29"/>
  <c r="P212" i="29"/>
  <c r="P213" i="29" s="1"/>
  <c r="J266" i="29"/>
  <c r="J267" i="29" s="1"/>
  <c r="P275" i="29"/>
  <c r="P277" i="29"/>
  <c r="P276" i="29"/>
  <c r="P218" i="29"/>
  <c r="X12" i="52" s="1"/>
  <c r="Y12" i="52" s="1"/>
  <c r="E11" i="2" s="1"/>
  <c r="F271" i="29"/>
  <c r="F272" i="29" s="1"/>
  <c r="P224" i="29"/>
  <c r="X16" i="52" s="1"/>
  <c r="Y16" i="52" s="1"/>
  <c r="P179" i="29"/>
  <c r="P194" i="29" s="1"/>
  <c r="P217" i="29"/>
  <c r="X10" i="52" s="1"/>
  <c r="Y10" i="52" s="1"/>
  <c r="D11" i="2" s="1"/>
  <c r="K271" i="29"/>
  <c r="P287" i="29"/>
  <c r="H231" i="29"/>
  <c r="O231" i="29"/>
  <c r="O232" i="29" s="1"/>
  <c r="O254" i="29"/>
  <c r="O266" i="29" s="1"/>
  <c r="D261" i="29"/>
  <c r="D231" i="29"/>
  <c r="P226" i="29"/>
  <c r="X18" i="52" s="1"/>
  <c r="Y18" i="52" s="1"/>
  <c r="P223" i="29"/>
  <c r="X15" i="52" s="1"/>
  <c r="Y15" i="52" s="1"/>
  <c r="H266" i="29"/>
  <c r="H269" i="29"/>
  <c r="H271" i="29" s="1"/>
  <c r="E269" i="29"/>
  <c r="E271" i="29" s="1"/>
  <c r="E266" i="29"/>
  <c r="E267" i="29" s="1"/>
  <c r="N231" i="29"/>
  <c r="N232" i="29" s="1"/>
  <c r="N255" i="29"/>
  <c r="N269" i="29" s="1"/>
  <c r="N271" i="29" s="1"/>
  <c r="P222" i="29"/>
  <c r="X14" i="52" s="1"/>
  <c r="Y14" i="52" s="1"/>
  <c r="K266" i="29"/>
  <c r="K267" i="29" s="1"/>
  <c r="I231" i="29"/>
  <c r="I232" i="29" s="1"/>
  <c r="I253" i="29"/>
  <c r="G266" i="29"/>
  <c r="G267" i="29" s="1"/>
  <c r="J271" i="29"/>
  <c r="L266" i="29"/>
  <c r="L267" i="29" s="1"/>
  <c r="L269" i="29"/>
  <c r="L271" i="29" s="1"/>
  <c r="N266" i="29"/>
  <c r="M266" i="29"/>
  <c r="M267" i="29" s="1"/>
  <c r="M269" i="29"/>
  <c r="M271" i="29" s="1"/>
  <c r="G269" i="29"/>
  <c r="G271" i="29" s="1"/>
  <c r="P229" i="29"/>
  <c r="X21" i="52" s="1"/>
  <c r="Y21" i="52" s="1"/>
  <c r="D264" i="29"/>
  <c r="P264" i="29" s="1"/>
  <c r="P227" i="29"/>
  <c r="X19" i="52" s="1"/>
  <c r="Y19" i="52" s="1"/>
  <c r="D262" i="29"/>
  <c r="P262" i="29" s="1"/>
  <c r="P253" i="29"/>
  <c r="I255" i="29"/>
  <c r="P219" i="29"/>
  <c r="X13" i="52" s="1"/>
  <c r="Y13" i="52" s="1"/>
  <c r="D194" i="29"/>
  <c r="D289" i="29" s="1"/>
  <c r="H194" i="29"/>
  <c r="H289" i="29" s="1"/>
  <c r="D13" i="2" l="1"/>
  <c r="J272" i="29"/>
  <c r="F11" i="2"/>
  <c r="G272" i="29"/>
  <c r="O267" i="29"/>
  <c r="H272" i="29"/>
  <c r="N267" i="29"/>
  <c r="P231" i="29"/>
  <c r="P232" i="29" s="1"/>
  <c r="M272" i="29"/>
  <c r="L272" i="29"/>
  <c r="P289" i="29"/>
  <c r="E272" i="29"/>
  <c r="N272" i="29"/>
  <c r="O269" i="29"/>
  <c r="O271" i="29" s="1"/>
  <c r="O272" i="29" s="1"/>
  <c r="I266" i="29"/>
  <c r="I267" i="29" s="1"/>
  <c r="I269" i="29"/>
  <c r="I271" i="29" s="1"/>
  <c r="D232" i="29"/>
  <c r="H232" i="29"/>
  <c r="P254" i="29"/>
  <c r="E13" i="2" s="1"/>
  <c r="P255" i="29"/>
  <c r="H267" i="29"/>
  <c r="P261" i="29"/>
  <c r="D270" i="29"/>
  <c r="D266" i="29"/>
  <c r="D267" i="29" s="1"/>
  <c r="K272" i="29"/>
  <c r="D14" i="26"/>
  <c r="D16" i="26" s="1"/>
  <c r="D18" i="26" s="1"/>
  <c r="F13" i="2" l="1"/>
  <c r="I272" i="29"/>
  <c r="P266" i="29"/>
  <c r="P267" i="29" s="1"/>
  <c r="P270" i="29"/>
  <c r="D271" i="29"/>
  <c r="D272" i="29" s="1"/>
  <c r="P269" i="29"/>
  <c r="D19" i="26"/>
  <c r="D21" i="26" s="1"/>
  <c r="P271" i="29" l="1"/>
  <c r="P272" i="29" s="1"/>
  <c r="D113" i="23"/>
  <c r="D15" i="2" l="1"/>
  <c r="BD17" i="23" l="1"/>
  <c r="BX108" i="23" l="1"/>
  <c r="BY108" i="23"/>
  <c r="BY109" i="23" s="1"/>
  <c r="BZ108" i="23"/>
  <c r="BZ109" i="23" s="1"/>
  <c r="CA108" i="23"/>
  <c r="CA109" i="23" s="1"/>
  <c r="CB108" i="23"/>
  <c r="CB109" i="23" s="1"/>
  <c r="CC108" i="23"/>
  <c r="CC109" i="23" s="1"/>
  <c r="CD108" i="23"/>
  <c r="CD109" i="23" s="1"/>
  <c r="CE108" i="23"/>
  <c r="CE109" i="23" s="1"/>
  <c r="CF108" i="23"/>
  <c r="CF109" i="23" s="1"/>
  <c r="CG108" i="23"/>
  <c r="CG109" i="23" s="1"/>
  <c r="CH108" i="23"/>
  <c r="CH109" i="23" s="1"/>
  <c r="BJ109" i="23"/>
  <c r="BI109" i="23"/>
  <c r="BH109" i="23"/>
  <c r="BG109" i="23"/>
  <c r="BF109" i="23"/>
  <c r="BE109" i="23"/>
  <c r="BD109" i="23"/>
  <c r="BC109" i="23"/>
  <c r="BB109" i="23"/>
  <c r="BA109" i="23"/>
  <c r="AZ109" i="23"/>
  <c r="AY109" i="23"/>
  <c r="AX109" i="23"/>
  <c r="AW109" i="23"/>
  <c r="AV109" i="23"/>
  <c r="AU109" i="23"/>
  <c r="AT109" i="23"/>
  <c r="AS109" i="23"/>
  <c r="AR109" i="23"/>
  <c r="AQ109" i="23"/>
  <c r="AP109" i="23"/>
  <c r="AO109" i="23"/>
  <c r="AN109" i="23"/>
  <c r="AM109" i="23"/>
  <c r="AL109" i="23"/>
  <c r="AK109" i="23"/>
  <c r="AJ109" i="23"/>
  <c r="AI109" i="23"/>
  <c r="AH109" i="23"/>
  <c r="AG109" i="23"/>
  <c r="AF109" i="23"/>
  <c r="AE109" i="23"/>
  <c r="AD109" i="23"/>
  <c r="AC109" i="23"/>
  <c r="AB109" i="23"/>
  <c r="AA109" i="23"/>
  <c r="Z109" i="23"/>
  <c r="Y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F109" i="23"/>
  <c r="E109" i="23"/>
  <c r="D109" i="23"/>
  <c r="D110" i="23" s="1"/>
  <c r="E105" i="23" s="1"/>
  <c r="BK109" i="23"/>
  <c r="BX100" i="23"/>
  <c r="BY100" i="23"/>
  <c r="BY101" i="23" s="1"/>
  <c r="BZ100" i="23"/>
  <c r="BZ101" i="23" s="1"/>
  <c r="CA100" i="23"/>
  <c r="CA101" i="23" s="1"/>
  <c r="CB100" i="23"/>
  <c r="CB101" i="23" s="1"/>
  <c r="CC100" i="23"/>
  <c r="CC101" i="23" s="1"/>
  <c r="CD100" i="23"/>
  <c r="CD101" i="23" s="1"/>
  <c r="CE100" i="23"/>
  <c r="CE101" i="23" s="1"/>
  <c r="CF100" i="23"/>
  <c r="CF101" i="23" s="1"/>
  <c r="CG100" i="23"/>
  <c r="CG101" i="23" s="1"/>
  <c r="CH100" i="23"/>
  <c r="CH101" i="23" s="1"/>
  <c r="BJ101" i="23"/>
  <c r="BI101" i="23"/>
  <c r="BH101" i="23"/>
  <c r="BG101" i="23"/>
  <c r="BF101" i="23"/>
  <c r="BE101" i="23"/>
  <c r="BD101" i="23"/>
  <c r="BC101" i="23"/>
  <c r="BB101" i="23"/>
  <c r="BA101" i="23"/>
  <c r="AZ101" i="23"/>
  <c r="AY101" i="23"/>
  <c r="AX101" i="23"/>
  <c r="AW101" i="23"/>
  <c r="AV101" i="23"/>
  <c r="AU101" i="23"/>
  <c r="AT101" i="23"/>
  <c r="AS101" i="23"/>
  <c r="AR101" i="23"/>
  <c r="AQ101" i="23"/>
  <c r="AP101" i="23"/>
  <c r="AO101" i="23"/>
  <c r="AN101" i="23"/>
  <c r="AM101" i="23"/>
  <c r="AL101" i="23"/>
  <c r="AK101" i="23"/>
  <c r="AJ101" i="23"/>
  <c r="AI101" i="23"/>
  <c r="AH101" i="23"/>
  <c r="AG101" i="23"/>
  <c r="AF101" i="23"/>
  <c r="AE101" i="23"/>
  <c r="AD101" i="23"/>
  <c r="AC101" i="23"/>
  <c r="AB101" i="23"/>
  <c r="AA101" i="23"/>
  <c r="Z101" i="23"/>
  <c r="Y101" i="23"/>
  <c r="X101" i="23"/>
  <c r="W101" i="23"/>
  <c r="V101" i="23"/>
  <c r="U101" i="23"/>
  <c r="T101" i="23"/>
  <c r="S101" i="23"/>
  <c r="R101" i="23"/>
  <c r="Q101" i="23"/>
  <c r="P101" i="23"/>
  <c r="O101" i="23"/>
  <c r="N101" i="23"/>
  <c r="M101" i="23"/>
  <c r="L101" i="23"/>
  <c r="K101" i="23"/>
  <c r="J101" i="23"/>
  <c r="I101" i="23"/>
  <c r="H101" i="23"/>
  <c r="G101" i="23"/>
  <c r="F101" i="23"/>
  <c r="E101" i="23"/>
  <c r="D101" i="23"/>
  <c r="D102" i="23" s="1"/>
  <c r="E97" i="23" s="1"/>
  <c r="BK101" i="23"/>
  <c r="CB93" i="23"/>
  <c r="CC93" i="23"/>
  <c r="CD93" i="23"/>
  <c r="CE93" i="23"/>
  <c r="CF93" i="23"/>
  <c r="CG93" i="23"/>
  <c r="CH93" i="23"/>
  <c r="CI93" i="23"/>
  <c r="CJ93" i="23"/>
  <c r="CK93" i="23"/>
  <c r="CL93" i="23"/>
  <c r="CM93" i="23"/>
  <c r="CA93" i="23"/>
  <c r="BZ93" i="23"/>
  <c r="BY93" i="23"/>
  <c r="AY93" i="23"/>
  <c r="AX93" i="23"/>
  <c r="AW93" i="23"/>
  <c r="AV93" i="23"/>
  <c r="AU93" i="23"/>
  <c r="AT93" i="23"/>
  <c r="AS93" i="23"/>
  <c r="AR93" i="23"/>
  <c r="AQ93" i="23"/>
  <c r="AP93" i="23"/>
  <c r="AO93" i="23"/>
  <c r="AN93" i="23"/>
  <c r="AM93" i="23"/>
  <c r="AL93" i="23"/>
  <c r="AK93" i="23"/>
  <c r="AJ93" i="23"/>
  <c r="AI93" i="23"/>
  <c r="AH93" i="23"/>
  <c r="AG93" i="23"/>
  <c r="AF93" i="23"/>
  <c r="AE93" i="23"/>
  <c r="AD93" i="23"/>
  <c r="AC93" i="23"/>
  <c r="AB93" i="23"/>
  <c r="AA93" i="23"/>
  <c r="Z93" i="23"/>
  <c r="Y93" i="23"/>
  <c r="X93" i="23"/>
  <c r="W93" i="23"/>
  <c r="V93" i="23"/>
  <c r="U93" i="23"/>
  <c r="T93" i="23"/>
  <c r="S93" i="23"/>
  <c r="R93" i="23"/>
  <c r="Q93" i="23"/>
  <c r="P93" i="23"/>
  <c r="O93" i="23"/>
  <c r="N93" i="23"/>
  <c r="M93" i="23"/>
  <c r="L93" i="23"/>
  <c r="K93" i="23"/>
  <c r="J93" i="23"/>
  <c r="I93" i="23"/>
  <c r="H93" i="23"/>
  <c r="G93" i="23"/>
  <c r="F93" i="23"/>
  <c r="E93" i="23"/>
  <c r="D93" i="23"/>
  <c r="D94" i="23" s="1"/>
  <c r="E85" i="23" s="1"/>
  <c r="BK93" i="23"/>
  <c r="BJ93" i="23"/>
  <c r="BI93" i="23"/>
  <c r="BH93" i="23"/>
  <c r="BG93" i="23"/>
  <c r="BF93" i="23"/>
  <c r="BE93" i="23"/>
  <c r="BD93" i="23"/>
  <c r="BC93" i="23"/>
  <c r="BB93" i="23"/>
  <c r="BA93" i="23"/>
  <c r="AZ93" i="23"/>
  <c r="BX80" i="23"/>
  <c r="BY80" i="23"/>
  <c r="BY81" i="23" s="1"/>
  <c r="BZ80" i="23"/>
  <c r="BZ81" i="23" s="1"/>
  <c r="CA80" i="23"/>
  <c r="CA81" i="23" s="1"/>
  <c r="CB80" i="23"/>
  <c r="CB81" i="23" s="1"/>
  <c r="CC80" i="23"/>
  <c r="CC81" i="23" s="1"/>
  <c r="CD80" i="23"/>
  <c r="CD81" i="23" s="1"/>
  <c r="CE80" i="23"/>
  <c r="CE81" i="23" s="1"/>
  <c r="CF80" i="23"/>
  <c r="CF81" i="23" s="1"/>
  <c r="CG80" i="23"/>
  <c r="CG81" i="23" s="1"/>
  <c r="CH80" i="23"/>
  <c r="CH81" i="23" s="1"/>
  <c r="CL81" i="23"/>
  <c r="AY81" i="23"/>
  <c r="AX81" i="23"/>
  <c r="AW81" i="23"/>
  <c r="AV81" i="23"/>
  <c r="AU81" i="23"/>
  <c r="AT81" i="23"/>
  <c r="AS81" i="23"/>
  <c r="AR81" i="23"/>
  <c r="AQ81" i="23"/>
  <c r="AP81" i="23"/>
  <c r="AO81" i="23"/>
  <c r="AN81" i="23"/>
  <c r="AM81" i="23"/>
  <c r="AL81" i="23"/>
  <c r="AK81" i="23"/>
  <c r="AJ81" i="23"/>
  <c r="AI81" i="23"/>
  <c r="AH81" i="23"/>
  <c r="AG81" i="23"/>
  <c r="AF81" i="23"/>
  <c r="AE81" i="23"/>
  <c r="AD81" i="23"/>
  <c r="AC81" i="23"/>
  <c r="AB81" i="23"/>
  <c r="AA81" i="23"/>
  <c r="Z81" i="23"/>
  <c r="Y81" i="23"/>
  <c r="X81" i="23"/>
  <c r="W81" i="23"/>
  <c r="V81" i="23"/>
  <c r="U81" i="23"/>
  <c r="T81" i="23"/>
  <c r="S81" i="23"/>
  <c r="R81" i="23"/>
  <c r="Q81" i="23"/>
  <c r="P81" i="23"/>
  <c r="O81" i="23"/>
  <c r="N81" i="23"/>
  <c r="M81" i="23"/>
  <c r="L81" i="23"/>
  <c r="K81" i="23"/>
  <c r="J81" i="23"/>
  <c r="I81" i="23"/>
  <c r="H81" i="23"/>
  <c r="G81" i="23"/>
  <c r="F81" i="23"/>
  <c r="E81" i="23"/>
  <c r="D81" i="23"/>
  <c r="D82" i="23" s="1"/>
  <c r="E76" i="23" s="1"/>
  <c r="BK81" i="23"/>
  <c r="BJ81" i="23"/>
  <c r="BI81" i="23"/>
  <c r="BH81" i="23"/>
  <c r="BG81" i="23"/>
  <c r="BF81" i="23"/>
  <c r="BE81" i="23"/>
  <c r="BC81" i="23"/>
  <c r="BB81" i="23"/>
  <c r="BA81" i="23"/>
  <c r="AZ81" i="23"/>
  <c r="BD81" i="23"/>
  <c r="CI80" i="23"/>
  <c r="CK81" i="23"/>
  <c r="CM81" i="23"/>
  <c r="J45" i="23"/>
  <c r="BJ64" i="23"/>
  <c r="BI64" i="23"/>
  <c r="BH64" i="23"/>
  <c r="BG64" i="23"/>
  <c r="BF64" i="23"/>
  <c r="BE64" i="23"/>
  <c r="BD64" i="23"/>
  <c r="BC64" i="23"/>
  <c r="BB64" i="23"/>
  <c r="BA64" i="23"/>
  <c r="AZ64" i="23"/>
  <c r="AY64" i="23"/>
  <c r="AX64" i="23"/>
  <c r="AW64" i="23"/>
  <c r="AV64" i="23"/>
  <c r="AU64" i="23"/>
  <c r="AT64" i="23"/>
  <c r="AS64" i="23"/>
  <c r="AR64" i="23"/>
  <c r="AQ64" i="23"/>
  <c r="AP64" i="23"/>
  <c r="AO64" i="23"/>
  <c r="AN64" i="23"/>
  <c r="AM64" i="23"/>
  <c r="AL64" i="23"/>
  <c r="AK64" i="23"/>
  <c r="AJ64" i="23"/>
  <c r="AI64" i="23"/>
  <c r="AH64" i="23"/>
  <c r="AG64" i="23"/>
  <c r="AF64" i="23"/>
  <c r="AE64" i="23"/>
  <c r="AD64" i="23"/>
  <c r="AC64" i="23"/>
  <c r="AB64" i="23"/>
  <c r="AA64" i="23"/>
  <c r="Z64" i="23"/>
  <c r="Y64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D65" i="23" s="1"/>
  <c r="E60" i="23" s="1"/>
  <c r="BK64" i="23"/>
  <c r="BZ56" i="23"/>
  <c r="CA56" i="23"/>
  <c r="CB56" i="23"/>
  <c r="CC56" i="23"/>
  <c r="CD56" i="23"/>
  <c r="CE56" i="23"/>
  <c r="CF56" i="23"/>
  <c r="CG56" i="23"/>
  <c r="CH56" i="23"/>
  <c r="CI56" i="23"/>
  <c r="CJ56" i="23"/>
  <c r="CK56" i="23"/>
  <c r="CL56" i="23"/>
  <c r="CM56" i="23"/>
  <c r="BY56" i="23"/>
  <c r="AY56" i="23"/>
  <c r="AX56" i="23"/>
  <c r="AW56" i="23"/>
  <c r="AV56" i="23"/>
  <c r="AU56" i="23"/>
  <c r="AT56" i="23"/>
  <c r="AS56" i="23"/>
  <c r="AR56" i="23"/>
  <c r="AQ56" i="23"/>
  <c r="AP56" i="23"/>
  <c r="AO56" i="23"/>
  <c r="AN56" i="23"/>
  <c r="AM56" i="23"/>
  <c r="AL56" i="23"/>
  <c r="AK56" i="23"/>
  <c r="AJ56" i="23"/>
  <c r="AI56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D57" i="23" s="1"/>
  <c r="E49" i="23" s="1"/>
  <c r="BK56" i="23"/>
  <c r="BJ56" i="23"/>
  <c r="BI56" i="23"/>
  <c r="BH56" i="23"/>
  <c r="BG56" i="23"/>
  <c r="BF56" i="23"/>
  <c r="BE56" i="23"/>
  <c r="BD56" i="23"/>
  <c r="BC56" i="23"/>
  <c r="BB56" i="23"/>
  <c r="BA56" i="23"/>
  <c r="AZ56" i="23"/>
  <c r="BZ21" i="23"/>
  <c r="CA21" i="23"/>
  <c r="CB21" i="23"/>
  <c r="CC21" i="23"/>
  <c r="CD21" i="23"/>
  <c r="CE21" i="23"/>
  <c r="CF21" i="23"/>
  <c r="CG21" i="23"/>
  <c r="CH21" i="23"/>
  <c r="CI21" i="23"/>
  <c r="CJ21" i="23"/>
  <c r="CK21" i="23"/>
  <c r="CL21" i="23"/>
  <c r="CM21" i="23"/>
  <c r="E65" i="23" l="1"/>
  <c r="F60" i="23" s="1"/>
  <c r="E102" i="23"/>
  <c r="F97" i="23" s="1"/>
  <c r="F102" i="23" s="1"/>
  <c r="G97" i="23" s="1"/>
  <c r="G102" i="23" s="1"/>
  <c r="H97" i="23" s="1"/>
  <c r="H102" i="23" s="1"/>
  <c r="I97" i="23" s="1"/>
  <c r="I102" i="23" s="1"/>
  <c r="J97" i="23" s="1"/>
  <c r="J102" i="23" s="1"/>
  <c r="K97" i="23" s="1"/>
  <c r="K102" i="23" s="1"/>
  <c r="L97" i="23" s="1"/>
  <c r="L102" i="23" s="1"/>
  <c r="M97" i="23" s="1"/>
  <c r="M102" i="23" s="1"/>
  <c r="N97" i="23" s="1"/>
  <c r="N102" i="23" s="1"/>
  <c r="O97" i="23" s="1"/>
  <c r="O102" i="23" s="1"/>
  <c r="P97" i="23" s="1"/>
  <c r="P102" i="23" s="1"/>
  <c r="Q97" i="23" s="1"/>
  <c r="Q102" i="23" s="1"/>
  <c r="R97" i="23" s="1"/>
  <c r="R102" i="23" s="1"/>
  <c r="S97" i="23" s="1"/>
  <c r="S102" i="23" s="1"/>
  <c r="T97" i="23" s="1"/>
  <c r="T102" i="23" s="1"/>
  <c r="U97" i="23" s="1"/>
  <c r="U102" i="23" s="1"/>
  <c r="V97" i="23" s="1"/>
  <c r="V102" i="23" s="1"/>
  <c r="W97" i="23" s="1"/>
  <c r="W102" i="23" s="1"/>
  <c r="X97" i="23" s="1"/>
  <c r="X102" i="23" s="1"/>
  <c r="Y97" i="23" s="1"/>
  <c r="Y102" i="23" s="1"/>
  <c r="Z97" i="23" s="1"/>
  <c r="Z102" i="23" s="1"/>
  <c r="AA97" i="23" s="1"/>
  <c r="AA102" i="23" s="1"/>
  <c r="AB97" i="23" s="1"/>
  <c r="AB102" i="23" s="1"/>
  <c r="AC97" i="23" s="1"/>
  <c r="AC102" i="23" s="1"/>
  <c r="AD97" i="23" s="1"/>
  <c r="AD102" i="23" s="1"/>
  <c r="AE97" i="23" s="1"/>
  <c r="AE102" i="23" s="1"/>
  <c r="AF97" i="23" s="1"/>
  <c r="AF102" i="23" s="1"/>
  <c r="AG97" i="23" s="1"/>
  <c r="AG102" i="23" s="1"/>
  <c r="AH97" i="23" s="1"/>
  <c r="AH102" i="23" s="1"/>
  <c r="AI97" i="23" s="1"/>
  <c r="AI102" i="23" s="1"/>
  <c r="AJ97" i="23" s="1"/>
  <c r="AJ102" i="23" s="1"/>
  <c r="AK97" i="23" s="1"/>
  <c r="AK102" i="23" s="1"/>
  <c r="AL97" i="23" s="1"/>
  <c r="AL102" i="23" s="1"/>
  <c r="AM97" i="23" s="1"/>
  <c r="AM102" i="23" s="1"/>
  <c r="AN97" i="23" s="1"/>
  <c r="AN102" i="23" s="1"/>
  <c r="AO97" i="23" s="1"/>
  <c r="AO102" i="23" s="1"/>
  <c r="AP97" i="23" s="1"/>
  <c r="AP102" i="23" s="1"/>
  <c r="AQ97" i="23" s="1"/>
  <c r="AQ102" i="23" s="1"/>
  <c r="AR97" i="23" s="1"/>
  <c r="AR102" i="23" s="1"/>
  <c r="AS97" i="23" s="1"/>
  <c r="AS102" i="23" s="1"/>
  <c r="AT97" i="23" s="1"/>
  <c r="AT102" i="23" s="1"/>
  <c r="AU97" i="23" s="1"/>
  <c r="AU102" i="23" s="1"/>
  <c r="AV97" i="23" s="1"/>
  <c r="AV102" i="23" s="1"/>
  <c r="AW97" i="23" s="1"/>
  <c r="AW102" i="23" s="1"/>
  <c r="AX97" i="23" s="1"/>
  <c r="AX102" i="23" s="1"/>
  <c r="AY97" i="23" s="1"/>
  <c r="AY102" i="23" s="1"/>
  <c r="AZ97" i="23" s="1"/>
  <c r="AZ102" i="23" s="1"/>
  <c r="BA97" i="23" s="1"/>
  <c r="BA102" i="23" s="1"/>
  <c r="BB97" i="23" s="1"/>
  <c r="BB102" i="23" s="1"/>
  <c r="BC97" i="23" s="1"/>
  <c r="BC102" i="23" s="1"/>
  <c r="BD97" i="23" s="1"/>
  <c r="BD102" i="23" s="1"/>
  <c r="BE97" i="23" s="1"/>
  <c r="BE102" i="23" s="1"/>
  <c r="BF97" i="23" s="1"/>
  <c r="BF102" i="23" s="1"/>
  <c r="BG97" i="23" s="1"/>
  <c r="BG102" i="23" s="1"/>
  <c r="BH97" i="23" s="1"/>
  <c r="BH102" i="23" s="1"/>
  <c r="BI97" i="23" s="1"/>
  <c r="BI102" i="23" s="1"/>
  <c r="BJ97" i="23" s="1"/>
  <c r="BJ102" i="23" s="1"/>
  <c r="BK97" i="23" s="1"/>
  <c r="BK102" i="23" s="1"/>
  <c r="BY97" i="23" s="1"/>
  <c r="BY102" i="23" s="1"/>
  <c r="BZ97" i="23" s="1"/>
  <c r="BZ102" i="23" s="1"/>
  <c r="CA97" i="23" s="1"/>
  <c r="CA102" i="23" s="1"/>
  <c r="CB97" i="23" s="1"/>
  <c r="CB102" i="23" s="1"/>
  <c r="CC97" i="23" s="1"/>
  <c r="CC102" i="23" s="1"/>
  <c r="CD97" i="23" s="1"/>
  <c r="CD102" i="23" s="1"/>
  <c r="CE97" i="23" s="1"/>
  <c r="CE102" i="23" s="1"/>
  <c r="CF97" i="23" s="1"/>
  <c r="CF102" i="23" s="1"/>
  <c r="CG97" i="23" s="1"/>
  <c r="CG102" i="23" s="1"/>
  <c r="CH97" i="23" s="1"/>
  <c r="CH102" i="23" s="1"/>
  <c r="CI97" i="23" s="1"/>
  <c r="E94" i="23"/>
  <c r="F85" i="23" s="1"/>
  <c r="F94" i="23" s="1"/>
  <c r="G85" i="23" s="1"/>
  <c r="G94" i="23" s="1"/>
  <c r="H85" i="23" s="1"/>
  <c r="H94" i="23" s="1"/>
  <c r="I85" i="23" s="1"/>
  <c r="I94" i="23" s="1"/>
  <c r="J85" i="23" s="1"/>
  <c r="J94" i="23" s="1"/>
  <c r="K85" i="23" s="1"/>
  <c r="K94" i="23" s="1"/>
  <c r="L85" i="23" s="1"/>
  <c r="L94" i="23" s="1"/>
  <c r="M85" i="23" s="1"/>
  <c r="M94" i="23" s="1"/>
  <c r="N85" i="23" s="1"/>
  <c r="N94" i="23" s="1"/>
  <c r="O85" i="23" s="1"/>
  <c r="O94" i="23" s="1"/>
  <c r="P85" i="23" s="1"/>
  <c r="P94" i="23" s="1"/>
  <c r="Q85" i="23" s="1"/>
  <c r="Q94" i="23" s="1"/>
  <c r="R85" i="23" s="1"/>
  <c r="R94" i="23" s="1"/>
  <c r="S85" i="23" s="1"/>
  <c r="S94" i="23" s="1"/>
  <c r="T85" i="23" s="1"/>
  <c r="T94" i="23" s="1"/>
  <c r="U85" i="23" s="1"/>
  <c r="U94" i="23" s="1"/>
  <c r="V85" i="23" s="1"/>
  <c r="V94" i="23" s="1"/>
  <c r="W85" i="23" s="1"/>
  <c r="W94" i="23" s="1"/>
  <c r="X85" i="23" s="1"/>
  <c r="X94" i="23" s="1"/>
  <c r="Y85" i="23" s="1"/>
  <c r="Y94" i="23" s="1"/>
  <c r="Z85" i="23" s="1"/>
  <c r="Z94" i="23" s="1"/>
  <c r="AA85" i="23" s="1"/>
  <c r="AA94" i="23" s="1"/>
  <c r="AB85" i="23" s="1"/>
  <c r="AB94" i="23" s="1"/>
  <c r="AC85" i="23" s="1"/>
  <c r="AC94" i="23" s="1"/>
  <c r="AD85" i="23" s="1"/>
  <c r="AD94" i="23" s="1"/>
  <c r="AE85" i="23" s="1"/>
  <c r="AE94" i="23" s="1"/>
  <c r="AF85" i="23" s="1"/>
  <c r="AF94" i="23" s="1"/>
  <c r="AG85" i="23" s="1"/>
  <c r="AG94" i="23" s="1"/>
  <c r="AH85" i="23" s="1"/>
  <c r="AH94" i="23" s="1"/>
  <c r="AI85" i="23" s="1"/>
  <c r="AI94" i="23" s="1"/>
  <c r="AJ85" i="23" s="1"/>
  <c r="AJ94" i="23" s="1"/>
  <c r="AK85" i="23" s="1"/>
  <c r="AK94" i="23" s="1"/>
  <c r="AL85" i="23" s="1"/>
  <c r="AL94" i="23" s="1"/>
  <c r="AM85" i="23" s="1"/>
  <c r="AM94" i="23" s="1"/>
  <c r="AN85" i="23" s="1"/>
  <c r="AN94" i="23" s="1"/>
  <c r="AO85" i="23" s="1"/>
  <c r="AO94" i="23" s="1"/>
  <c r="AP85" i="23" s="1"/>
  <c r="AP94" i="23" s="1"/>
  <c r="AQ85" i="23" s="1"/>
  <c r="AQ94" i="23" s="1"/>
  <c r="AR85" i="23" s="1"/>
  <c r="AR94" i="23" s="1"/>
  <c r="AS85" i="23" s="1"/>
  <c r="AS94" i="23" s="1"/>
  <c r="AT85" i="23" s="1"/>
  <c r="AT94" i="23" s="1"/>
  <c r="AU85" i="23" s="1"/>
  <c r="AU94" i="23" s="1"/>
  <c r="AV85" i="23" s="1"/>
  <c r="AV94" i="23" s="1"/>
  <c r="AW85" i="23" s="1"/>
  <c r="AW94" i="23" s="1"/>
  <c r="AX85" i="23" s="1"/>
  <c r="AX94" i="23" s="1"/>
  <c r="AY85" i="23" s="1"/>
  <c r="AY94" i="23" s="1"/>
  <c r="AZ85" i="23" s="1"/>
  <c r="AZ94" i="23" s="1"/>
  <c r="BA85" i="23" s="1"/>
  <c r="BA94" i="23" s="1"/>
  <c r="BB85" i="23" s="1"/>
  <c r="BB94" i="23" s="1"/>
  <c r="BC85" i="23" s="1"/>
  <c r="BC94" i="23" s="1"/>
  <c r="BD85" i="23" s="1"/>
  <c r="BD94" i="23" s="1"/>
  <c r="BE85" i="23" s="1"/>
  <c r="BE94" i="23" s="1"/>
  <c r="BF85" i="23" s="1"/>
  <c r="BF94" i="23" s="1"/>
  <c r="BG85" i="23" s="1"/>
  <c r="BG94" i="23" s="1"/>
  <c r="BH85" i="23" s="1"/>
  <c r="BH94" i="23" s="1"/>
  <c r="BI85" i="23" s="1"/>
  <c r="BI94" i="23" s="1"/>
  <c r="BJ85" i="23" s="1"/>
  <c r="BJ94" i="23" s="1"/>
  <c r="BK85" i="23" s="1"/>
  <c r="BK94" i="23" s="1"/>
  <c r="E110" i="23"/>
  <c r="F105" i="23" s="1"/>
  <c r="F110" i="23" s="1"/>
  <c r="G105" i="23" s="1"/>
  <c r="G110" i="23" s="1"/>
  <c r="H105" i="23" s="1"/>
  <c r="H110" i="23" s="1"/>
  <c r="I105" i="23" s="1"/>
  <c r="I110" i="23" s="1"/>
  <c r="J105" i="23" s="1"/>
  <c r="J110" i="23" s="1"/>
  <c r="K105" i="23" s="1"/>
  <c r="K110" i="23" s="1"/>
  <c r="L105" i="23" s="1"/>
  <c r="L110" i="23" s="1"/>
  <c r="M105" i="23" s="1"/>
  <c r="M110" i="23" s="1"/>
  <c r="N105" i="23" s="1"/>
  <c r="N110" i="23" s="1"/>
  <c r="O105" i="23" s="1"/>
  <c r="O110" i="23" s="1"/>
  <c r="P105" i="23" s="1"/>
  <c r="P110" i="23" s="1"/>
  <c r="Q105" i="23" s="1"/>
  <c r="Q110" i="23" s="1"/>
  <c r="R105" i="23" s="1"/>
  <c r="R110" i="23" s="1"/>
  <c r="S105" i="23" s="1"/>
  <c r="S110" i="23" s="1"/>
  <c r="T105" i="23" s="1"/>
  <c r="T110" i="23" s="1"/>
  <c r="U105" i="23" s="1"/>
  <c r="U110" i="23" s="1"/>
  <c r="V105" i="23" s="1"/>
  <c r="V110" i="23" s="1"/>
  <c r="W105" i="23" s="1"/>
  <c r="W110" i="23" s="1"/>
  <c r="X105" i="23" s="1"/>
  <c r="X110" i="23" s="1"/>
  <c r="Y105" i="23" s="1"/>
  <c r="Y110" i="23" s="1"/>
  <c r="Z105" i="23" s="1"/>
  <c r="Z110" i="23" s="1"/>
  <c r="AA105" i="23" s="1"/>
  <c r="AA110" i="23" s="1"/>
  <c r="AB105" i="23" s="1"/>
  <c r="AB110" i="23" s="1"/>
  <c r="AC105" i="23" s="1"/>
  <c r="AC110" i="23" s="1"/>
  <c r="AD105" i="23" s="1"/>
  <c r="AD110" i="23" s="1"/>
  <c r="AE105" i="23" s="1"/>
  <c r="AE110" i="23" s="1"/>
  <c r="AF105" i="23" s="1"/>
  <c r="AF110" i="23" s="1"/>
  <c r="AG105" i="23" s="1"/>
  <c r="AG110" i="23" s="1"/>
  <c r="AH105" i="23" s="1"/>
  <c r="AH110" i="23" s="1"/>
  <c r="AI105" i="23" s="1"/>
  <c r="AI110" i="23" s="1"/>
  <c r="AJ105" i="23" s="1"/>
  <c r="AJ110" i="23" s="1"/>
  <c r="AK105" i="23" s="1"/>
  <c r="AK110" i="23" s="1"/>
  <c r="AL105" i="23" s="1"/>
  <c r="AL110" i="23" s="1"/>
  <c r="AM105" i="23" s="1"/>
  <c r="AM110" i="23" s="1"/>
  <c r="AN105" i="23" s="1"/>
  <c r="AN110" i="23" s="1"/>
  <c r="AO105" i="23" s="1"/>
  <c r="AO110" i="23" s="1"/>
  <c r="AP105" i="23" s="1"/>
  <c r="AP110" i="23" s="1"/>
  <c r="AQ105" i="23" s="1"/>
  <c r="AQ110" i="23" s="1"/>
  <c r="AR105" i="23" s="1"/>
  <c r="AR110" i="23" s="1"/>
  <c r="AS105" i="23" s="1"/>
  <c r="AS110" i="23" s="1"/>
  <c r="AT105" i="23" s="1"/>
  <c r="AT110" i="23" s="1"/>
  <c r="AU105" i="23" s="1"/>
  <c r="AU110" i="23" s="1"/>
  <c r="AV105" i="23" s="1"/>
  <c r="AV110" i="23" s="1"/>
  <c r="AW105" i="23" s="1"/>
  <c r="AW110" i="23" s="1"/>
  <c r="AX105" i="23" s="1"/>
  <c r="AX110" i="23" s="1"/>
  <c r="AY105" i="23" s="1"/>
  <c r="AY110" i="23" s="1"/>
  <c r="AZ105" i="23" s="1"/>
  <c r="AZ110" i="23" s="1"/>
  <c r="BA105" i="23" s="1"/>
  <c r="BA110" i="23" s="1"/>
  <c r="BB105" i="23" s="1"/>
  <c r="BB110" i="23" s="1"/>
  <c r="BC105" i="23" s="1"/>
  <c r="BC110" i="23" s="1"/>
  <c r="BD105" i="23" s="1"/>
  <c r="BD110" i="23" s="1"/>
  <c r="BE105" i="23" s="1"/>
  <c r="BE110" i="23" s="1"/>
  <c r="BF105" i="23" s="1"/>
  <c r="BF110" i="23" s="1"/>
  <c r="BG105" i="23" s="1"/>
  <c r="BG110" i="23" s="1"/>
  <c r="BH105" i="23" s="1"/>
  <c r="BH110" i="23" s="1"/>
  <c r="BI105" i="23" s="1"/>
  <c r="BI110" i="23" s="1"/>
  <c r="BJ105" i="23" s="1"/>
  <c r="BJ110" i="23" s="1"/>
  <c r="BK105" i="23" s="1"/>
  <c r="BK110" i="23" s="1"/>
  <c r="BY105" i="23" s="1"/>
  <c r="BY110" i="23" s="1"/>
  <c r="BZ105" i="23" s="1"/>
  <c r="BZ110" i="23" s="1"/>
  <c r="CA105" i="23" s="1"/>
  <c r="CA110" i="23" s="1"/>
  <c r="CB105" i="23" s="1"/>
  <c r="CB110" i="23" s="1"/>
  <c r="CC105" i="23" s="1"/>
  <c r="CC110" i="23" s="1"/>
  <c r="CD105" i="23" s="1"/>
  <c r="CD110" i="23" s="1"/>
  <c r="CE105" i="23" s="1"/>
  <c r="CE110" i="23" s="1"/>
  <c r="CF105" i="23" s="1"/>
  <c r="CF110" i="23" s="1"/>
  <c r="CG105" i="23" s="1"/>
  <c r="CG110" i="23" s="1"/>
  <c r="CH105" i="23" s="1"/>
  <c r="CH110" i="23" s="1"/>
  <c r="CI105" i="23" s="1"/>
  <c r="E57" i="23"/>
  <c r="F49" i="23" s="1"/>
  <c r="CI81" i="23"/>
  <c r="CJ81" i="23"/>
  <c r="E82" i="23"/>
  <c r="F76" i="23" s="1"/>
  <c r="F82" i="23" s="1"/>
  <c r="G76" i="23" s="1"/>
  <c r="G82" i="23" s="1"/>
  <c r="H76" i="23" s="1"/>
  <c r="H82" i="23" s="1"/>
  <c r="I76" i="23" s="1"/>
  <c r="I82" i="23" s="1"/>
  <c r="J76" i="23" s="1"/>
  <c r="J82" i="23" s="1"/>
  <c r="K76" i="23" s="1"/>
  <c r="K82" i="23" s="1"/>
  <c r="L76" i="23" s="1"/>
  <c r="L82" i="23" s="1"/>
  <c r="M76" i="23" s="1"/>
  <c r="M82" i="23" s="1"/>
  <c r="N76" i="23" s="1"/>
  <c r="N82" i="23" s="1"/>
  <c r="O76" i="23" s="1"/>
  <c r="O82" i="23" s="1"/>
  <c r="P76" i="23" s="1"/>
  <c r="P82" i="23" s="1"/>
  <c r="Q76" i="23" s="1"/>
  <c r="Q82" i="23" s="1"/>
  <c r="R76" i="23" s="1"/>
  <c r="R82" i="23" s="1"/>
  <c r="S76" i="23" s="1"/>
  <c r="S82" i="23" s="1"/>
  <c r="T76" i="23" s="1"/>
  <c r="T82" i="23" s="1"/>
  <c r="U76" i="23" s="1"/>
  <c r="U82" i="23" s="1"/>
  <c r="V76" i="23" s="1"/>
  <c r="V82" i="23" s="1"/>
  <c r="W76" i="23" s="1"/>
  <c r="W82" i="23" s="1"/>
  <c r="X76" i="23" s="1"/>
  <c r="X82" i="23" s="1"/>
  <c r="Y76" i="23" s="1"/>
  <c r="Y82" i="23" s="1"/>
  <c r="Z76" i="23" s="1"/>
  <c r="Z82" i="23" s="1"/>
  <c r="AA76" i="23" s="1"/>
  <c r="AA82" i="23" s="1"/>
  <c r="AB76" i="23" s="1"/>
  <c r="AB82" i="23" s="1"/>
  <c r="AC76" i="23" s="1"/>
  <c r="AC82" i="23" s="1"/>
  <c r="AD76" i="23" s="1"/>
  <c r="AD82" i="23" s="1"/>
  <c r="AE76" i="23" s="1"/>
  <c r="AE82" i="23" s="1"/>
  <c r="AF76" i="23" s="1"/>
  <c r="AF82" i="23" s="1"/>
  <c r="AG76" i="23" s="1"/>
  <c r="AG82" i="23" s="1"/>
  <c r="AH76" i="23" s="1"/>
  <c r="AH82" i="23" s="1"/>
  <c r="AI76" i="23" s="1"/>
  <c r="AI82" i="23" s="1"/>
  <c r="AJ76" i="23" s="1"/>
  <c r="AJ82" i="23" s="1"/>
  <c r="AK76" i="23" s="1"/>
  <c r="AK82" i="23" s="1"/>
  <c r="AL76" i="23" s="1"/>
  <c r="AL82" i="23" s="1"/>
  <c r="AM76" i="23" s="1"/>
  <c r="AM82" i="23" s="1"/>
  <c r="AN76" i="23" s="1"/>
  <c r="AN82" i="23" s="1"/>
  <c r="AO76" i="23" s="1"/>
  <c r="AO82" i="23" s="1"/>
  <c r="AP76" i="23" s="1"/>
  <c r="AP82" i="23" s="1"/>
  <c r="AQ76" i="23" s="1"/>
  <c r="AQ82" i="23" s="1"/>
  <c r="AR76" i="23" s="1"/>
  <c r="AR82" i="23" s="1"/>
  <c r="AS76" i="23" s="1"/>
  <c r="AS82" i="23" s="1"/>
  <c r="AT76" i="23" s="1"/>
  <c r="AT82" i="23" s="1"/>
  <c r="AU76" i="23" s="1"/>
  <c r="AU82" i="23" s="1"/>
  <c r="AV76" i="23" s="1"/>
  <c r="AV82" i="23" s="1"/>
  <c r="AW76" i="23" s="1"/>
  <c r="AW82" i="23" s="1"/>
  <c r="AX76" i="23" s="1"/>
  <c r="AX82" i="23" s="1"/>
  <c r="AY76" i="23" s="1"/>
  <c r="AY82" i="23" s="1"/>
  <c r="AZ76" i="23" s="1"/>
  <c r="AZ82" i="23" s="1"/>
  <c r="BA76" i="23" s="1"/>
  <c r="BA82" i="23" s="1"/>
  <c r="BB76" i="23" s="1"/>
  <c r="BB82" i="23" s="1"/>
  <c r="BC76" i="23" s="1"/>
  <c r="BC82" i="23" s="1"/>
  <c r="BD76" i="23" s="1"/>
  <c r="BD82" i="23" s="1"/>
  <c r="BE76" i="23" s="1"/>
  <c r="BE82" i="23" s="1"/>
  <c r="BF76" i="23" s="1"/>
  <c r="BF82" i="23" s="1"/>
  <c r="BG76" i="23" s="1"/>
  <c r="BG82" i="23" s="1"/>
  <c r="BH76" i="23" s="1"/>
  <c r="BH82" i="23" s="1"/>
  <c r="BI76" i="23" s="1"/>
  <c r="BI82" i="23" s="1"/>
  <c r="BJ76" i="23" s="1"/>
  <c r="BJ82" i="23" s="1"/>
  <c r="BK76" i="23" s="1"/>
  <c r="BK82" i="23" s="1"/>
  <c r="BY76" i="23" s="1"/>
  <c r="BY82" i="23" s="1"/>
  <c r="BZ76" i="23" s="1"/>
  <c r="F65" i="23"/>
  <c r="G60" i="23" s="1"/>
  <c r="G65" i="23" s="1"/>
  <c r="H60" i="23" s="1"/>
  <c r="H65" i="23" s="1"/>
  <c r="I60" i="23" s="1"/>
  <c r="I65" i="23" s="1"/>
  <c r="J60" i="23" s="1"/>
  <c r="J65" i="23" s="1"/>
  <c r="K60" i="23" s="1"/>
  <c r="K65" i="23" s="1"/>
  <c r="L60" i="23" s="1"/>
  <c r="L65" i="23" s="1"/>
  <c r="M60" i="23" s="1"/>
  <c r="M65" i="23" s="1"/>
  <c r="N60" i="23" s="1"/>
  <c r="N65" i="23" s="1"/>
  <c r="O60" i="23" s="1"/>
  <c r="O65" i="23" s="1"/>
  <c r="P60" i="23" s="1"/>
  <c r="P65" i="23" s="1"/>
  <c r="Q60" i="23" s="1"/>
  <c r="Q65" i="23" s="1"/>
  <c r="R60" i="23" s="1"/>
  <c r="R65" i="23" s="1"/>
  <c r="S60" i="23" s="1"/>
  <c r="S65" i="23" s="1"/>
  <c r="T60" i="23" s="1"/>
  <c r="T65" i="23" s="1"/>
  <c r="U60" i="23" s="1"/>
  <c r="U65" i="23" s="1"/>
  <c r="V60" i="23" s="1"/>
  <c r="V65" i="23" s="1"/>
  <c r="W60" i="23" s="1"/>
  <c r="W65" i="23" s="1"/>
  <c r="X60" i="23" s="1"/>
  <c r="X65" i="23" s="1"/>
  <c r="Y60" i="23" s="1"/>
  <c r="Y65" i="23" s="1"/>
  <c r="Z60" i="23" s="1"/>
  <c r="Z65" i="23" s="1"/>
  <c r="AA60" i="23" s="1"/>
  <c r="AA65" i="23" s="1"/>
  <c r="AB60" i="23" s="1"/>
  <c r="AB65" i="23" s="1"/>
  <c r="AC60" i="23" s="1"/>
  <c r="AC65" i="23" s="1"/>
  <c r="AD60" i="23" s="1"/>
  <c r="AD65" i="23" s="1"/>
  <c r="AE60" i="23" s="1"/>
  <c r="AE65" i="23" s="1"/>
  <c r="AF60" i="23" s="1"/>
  <c r="AF65" i="23" s="1"/>
  <c r="AG60" i="23" s="1"/>
  <c r="AG65" i="23" s="1"/>
  <c r="AH60" i="23" s="1"/>
  <c r="AH65" i="23" s="1"/>
  <c r="AI60" i="23" s="1"/>
  <c r="AI65" i="23" s="1"/>
  <c r="AJ60" i="23" s="1"/>
  <c r="AJ65" i="23" s="1"/>
  <c r="AK60" i="23" s="1"/>
  <c r="AK65" i="23" s="1"/>
  <c r="AL60" i="23" s="1"/>
  <c r="AL65" i="23" s="1"/>
  <c r="AM60" i="23" s="1"/>
  <c r="AM65" i="23" s="1"/>
  <c r="AN60" i="23" s="1"/>
  <c r="AN65" i="23" s="1"/>
  <c r="AO60" i="23" s="1"/>
  <c r="AO65" i="23" s="1"/>
  <c r="AP60" i="23" s="1"/>
  <c r="AP65" i="23" s="1"/>
  <c r="AQ60" i="23" s="1"/>
  <c r="AQ65" i="23" s="1"/>
  <c r="AR60" i="23" s="1"/>
  <c r="AR65" i="23" s="1"/>
  <c r="AS60" i="23" s="1"/>
  <c r="AS65" i="23" s="1"/>
  <c r="AT60" i="23" s="1"/>
  <c r="AT65" i="23" s="1"/>
  <c r="AU60" i="23" s="1"/>
  <c r="AU65" i="23" s="1"/>
  <c r="AV60" i="23" s="1"/>
  <c r="AV65" i="23" s="1"/>
  <c r="AW60" i="23" s="1"/>
  <c r="AW65" i="23" s="1"/>
  <c r="AX60" i="23" s="1"/>
  <c r="AX65" i="23" s="1"/>
  <c r="AY60" i="23" s="1"/>
  <c r="AY65" i="23" s="1"/>
  <c r="AZ60" i="23" s="1"/>
  <c r="AZ65" i="23" s="1"/>
  <c r="BA60" i="23" s="1"/>
  <c r="BA65" i="23" s="1"/>
  <c r="BB60" i="23" s="1"/>
  <c r="BB65" i="23" s="1"/>
  <c r="BC60" i="23" s="1"/>
  <c r="BC65" i="23" s="1"/>
  <c r="BD60" i="23" s="1"/>
  <c r="BD65" i="23" s="1"/>
  <c r="BE60" i="23" s="1"/>
  <c r="BE65" i="23" s="1"/>
  <c r="BF60" i="23" s="1"/>
  <c r="BF65" i="23" s="1"/>
  <c r="BG60" i="23" s="1"/>
  <c r="BG65" i="23" s="1"/>
  <c r="BH60" i="23" s="1"/>
  <c r="BH65" i="23" s="1"/>
  <c r="BI60" i="23" s="1"/>
  <c r="BI65" i="23" s="1"/>
  <c r="BJ60" i="23" s="1"/>
  <c r="BJ65" i="23" s="1"/>
  <c r="BK60" i="23" s="1"/>
  <c r="BK65" i="23" s="1"/>
  <c r="BY85" i="23" l="1"/>
  <c r="BY94" i="23" s="1"/>
  <c r="BZ82" i="23"/>
  <c r="CA76" i="23" s="1"/>
  <c r="CA82" i="23" s="1"/>
  <c r="CB76" i="23" s="1"/>
  <c r="CB82" i="23" s="1"/>
  <c r="CC76" i="23" s="1"/>
  <c r="CC82" i="23" s="1"/>
  <c r="CD76" i="23" s="1"/>
  <c r="CD82" i="23" s="1"/>
  <c r="CE76" i="23" s="1"/>
  <c r="CE82" i="23" s="1"/>
  <c r="CF76" i="23" s="1"/>
  <c r="CF82" i="23" s="1"/>
  <c r="CG76" i="23" s="1"/>
  <c r="CG82" i="23" s="1"/>
  <c r="CH76" i="23" s="1"/>
  <c r="CH82" i="23" s="1"/>
  <c r="CI76" i="23" s="1"/>
  <c r="F57" i="23"/>
  <c r="G49" i="23" s="1"/>
  <c r="BZ85" i="23" l="1"/>
  <c r="BZ94" i="23" s="1"/>
  <c r="G57" i="23"/>
  <c r="H49" i="23" s="1"/>
  <c r="CA85" i="23" l="1"/>
  <c r="CA94" i="23" s="1"/>
  <c r="CB85" i="23" s="1"/>
  <c r="CB94" i="23" s="1"/>
  <c r="CC85" i="23" s="1"/>
  <c r="CC94" i="23" s="1"/>
  <c r="CD85" i="23" s="1"/>
  <c r="CD94" i="23" s="1"/>
  <c r="CE85" i="23" s="1"/>
  <c r="CE94" i="23" s="1"/>
  <c r="CF85" i="23" s="1"/>
  <c r="CF94" i="23" s="1"/>
  <c r="CG85" i="23" s="1"/>
  <c r="CG94" i="23" s="1"/>
  <c r="CH85" i="23" s="1"/>
  <c r="CH94" i="23" s="1"/>
  <c r="CI85" i="23" s="1"/>
  <c r="CI94" i="23" s="1"/>
  <c r="CJ85" i="23" s="1"/>
  <c r="CJ94" i="23" s="1"/>
  <c r="CK85" i="23" s="1"/>
  <c r="CK94" i="23" s="1"/>
  <c r="CL85" i="23" s="1"/>
  <c r="CL94" i="23" s="1"/>
  <c r="CM85" i="23" s="1"/>
  <c r="CM94" i="23" s="1"/>
  <c r="H57" i="23"/>
  <c r="I49" i="23" s="1"/>
  <c r="I57" i="23" l="1"/>
  <c r="J49" i="23" s="1"/>
  <c r="J57" i="23" l="1"/>
  <c r="K49" i="23" s="1"/>
  <c r="K57" i="23" l="1"/>
  <c r="L49" i="23" s="1"/>
  <c r="L57" i="23" l="1"/>
  <c r="M49" i="23" s="1"/>
  <c r="M57" i="23" l="1"/>
  <c r="N49" i="23" s="1"/>
  <c r="N57" i="23" l="1"/>
  <c r="O49" i="23" s="1"/>
  <c r="O57" i="23" l="1"/>
  <c r="P49" i="23" s="1"/>
  <c r="P57" i="23" l="1"/>
  <c r="Q49" i="23" s="1"/>
  <c r="Q57" i="23" l="1"/>
  <c r="R49" i="23" s="1"/>
  <c r="R57" i="23" l="1"/>
  <c r="S49" i="23" s="1"/>
  <c r="S57" i="23" l="1"/>
  <c r="T49" i="23" s="1"/>
  <c r="T57" i="23" l="1"/>
  <c r="U49" i="23" s="1"/>
  <c r="U57" i="23" l="1"/>
  <c r="V49" i="23" s="1"/>
  <c r="V57" i="23" l="1"/>
  <c r="W49" i="23" s="1"/>
  <c r="W57" i="23" l="1"/>
  <c r="X49" i="23" s="1"/>
  <c r="X57" i="23" l="1"/>
  <c r="Y49" i="23" s="1"/>
  <c r="Y57" i="23" l="1"/>
  <c r="Z49" i="23" s="1"/>
  <c r="Z57" i="23" l="1"/>
  <c r="AA49" i="23" s="1"/>
  <c r="AA57" i="23" l="1"/>
  <c r="AB49" i="23" s="1"/>
  <c r="AB57" i="23" l="1"/>
  <c r="AC49" i="23" s="1"/>
  <c r="AC57" i="23" l="1"/>
  <c r="AD49" i="23" s="1"/>
  <c r="AD57" i="23" l="1"/>
  <c r="AE49" i="23" s="1"/>
  <c r="AE57" i="23" l="1"/>
  <c r="AF49" i="23" s="1"/>
  <c r="AF57" i="23" l="1"/>
  <c r="AG49" i="23" s="1"/>
  <c r="AG57" i="23" l="1"/>
  <c r="AH49" i="23" s="1"/>
  <c r="AH57" i="23" l="1"/>
  <c r="AI49" i="23" s="1"/>
  <c r="AI57" i="23" l="1"/>
  <c r="AJ49" i="23" s="1"/>
  <c r="AJ57" i="23" l="1"/>
  <c r="AK49" i="23" s="1"/>
  <c r="AK57" i="23" l="1"/>
  <c r="AL49" i="23" s="1"/>
  <c r="AL57" i="23" l="1"/>
  <c r="AM49" i="23" s="1"/>
  <c r="AM57" i="23" l="1"/>
  <c r="AN49" i="23" s="1"/>
  <c r="AN57" i="23" l="1"/>
  <c r="AO49" i="23" s="1"/>
  <c r="AO57" i="23" l="1"/>
  <c r="AP49" i="23" s="1"/>
  <c r="AP57" i="23" l="1"/>
  <c r="AQ49" i="23" s="1"/>
  <c r="AQ57" i="23" l="1"/>
  <c r="AR49" i="23" s="1"/>
  <c r="AR57" i="23" l="1"/>
  <c r="AS49" i="23" s="1"/>
  <c r="AS57" i="23" l="1"/>
  <c r="AT49" i="23" s="1"/>
  <c r="AT57" i="23" l="1"/>
  <c r="AU49" i="23" s="1"/>
  <c r="AU57" i="23" l="1"/>
  <c r="AV49" i="23" s="1"/>
  <c r="AV57" i="23" l="1"/>
  <c r="AW49" i="23" s="1"/>
  <c r="AW57" i="23" l="1"/>
  <c r="AX49" i="23" s="1"/>
  <c r="AX57" i="23" l="1"/>
  <c r="AY49" i="23" s="1"/>
  <c r="AY57" i="23" l="1"/>
  <c r="AZ49" i="23" s="1"/>
  <c r="AZ57" i="23" l="1"/>
  <c r="BA49" i="23" s="1"/>
  <c r="BA57" i="23" l="1"/>
  <c r="BB49" i="23" s="1"/>
  <c r="BB57" i="23" l="1"/>
  <c r="BC49" i="23" s="1"/>
  <c r="BC57" i="23" l="1"/>
  <c r="BD49" i="23" s="1"/>
  <c r="BD57" i="23" l="1"/>
  <c r="BE49" i="23" l="1"/>
  <c r="BE57" i="23" s="1"/>
  <c r="BF49" i="23" l="1"/>
  <c r="BF57" i="23" s="1"/>
  <c r="BG49" i="23" l="1"/>
  <c r="BG57" i="23" s="1"/>
  <c r="BH49" i="23" l="1"/>
  <c r="BH57" i="23" s="1"/>
  <c r="BI49" i="23" l="1"/>
  <c r="BI57" i="23" s="1"/>
  <c r="BJ49" i="23" l="1"/>
  <c r="BJ57" i="23" s="1"/>
  <c r="BK49" i="23" l="1"/>
  <c r="BK57" i="23" l="1"/>
  <c r="BY49" i="23" l="1"/>
  <c r="BY57" i="23" l="1"/>
  <c r="BZ49" i="23" l="1"/>
  <c r="BZ57" i="23" l="1"/>
  <c r="CA49" i="23" l="1"/>
  <c r="CA57" i="23" l="1"/>
  <c r="CB49" i="23" l="1"/>
  <c r="CB57" i="23" l="1"/>
  <c r="CC49" i="23" l="1"/>
  <c r="CC57" i="23" l="1"/>
  <c r="CD49" i="23" l="1"/>
  <c r="CD57" i="23" l="1"/>
  <c r="CE49" i="23" l="1"/>
  <c r="CE57" i="23" l="1"/>
  <c r="CF49" i="23" l="1"/>
  <c r="CF57" i="23" l="1"/>
  <c r="CG49" i="23" l="1"/>
  <c r="CG57" i="23" l="1"/>
  <c r="CH49" i="23" l="1"/>
  <c r="CH57" i="23" l="1"/>
  <c r="CI49" i="23" l="1"/>
  <c r="CI57" i="23" l="1"/>
  <c r="CJ49" i="23" l="1"/>
  <c r="CJ57" i="23" l="1"/>
  <c r="CK49" i="23" l="1"/>
  <c r="CK57" i="23" l="1"/>
  <c r="CL49" i="23" l="1"/>
  <c r="CL57" i="23" l="1"/>
  <c r="CM49" i="23" l="1"/>
  <c r="CM57" i="23" l="1"/>
  <c r="BJ72" i="23" l="1"/>
  <c r="BI72" i="23"/>
  <c r="BH72" i="23"/>
  <c r="BG72" i="23"/>
  <c r="BF72" i="23"/>
  <c r="BE72" i="23"/>
  <c r="BD72" i="23"/>
  <c r="BC72" i="23"/>
  <c r="BB72" i="23"/>
  <c r="BA72" i="23"/>
  <c r="AZ72" i="23"/>
  <c r="AY72" i="23"/>
  <c r="AX72" i="23"/>
  <c r="AW72" i="23"/>
  <c r="AV72" i="23"/>
  <c r="AU72" i="23"/>
  <c r="AT72" i="23"/>
  <c r="AS72" i="23"/>
  <c r="AR72" i="23"/>
  <c r="AQ72" i="23"/>
  <c r="AP72" i="23"/>
  <c r="AO72" i="23"/>
  <c r="AN72" i="23"/>
  <c r="AM72" i="23"/>
  <c r="AL72" i="23"/>
  <c r="AK72" i="23"/>
  <c r="AJ72" i="23"/>
  <c r="AI72" i="23"/>
  <c r="AH72" i="23"/>
  <c r="AG72" i="23"/>
  <c r="AF72" i="23"/>
  <c r="AE72" i="23"/>
  <c r="AD72" i="23"/>
  <c r="AC72" i="23"/>
  <c r="AB72" i="23"/>
  <c r="AA72" i="23"/>
  <c r="Z72" i="23"/>
  <c r="Y72" i="23"/>
  <c r="X72" i="23"/>
  <c r="W72" i="23"/>
  <c r="V72" i="23"/>
  <c r="U72" i="23"/>
  <c r="T72" i="23"/>
  <c r="S72" i="23"/>
  <c r="R72" i="23"/>
  <c r="Q72" i="23"/>
  <c r="P72" i="23"/>
  <c r="O72" i="23"/>
  <c r="N72" i="23"/>
  <c r="M72" i="23"/>
  <c r="L72" i="23"/>
  <c r="K72" i="23"/>
  <c r="J72" i="23"/>
  <c r="I72" i="23"/>
  <c r="H72" i="23"/>
  <c r="G72" i="23"/>
  <c r="F72" i="23"/>
  <c r="E72" i="23"/>
  <c r="D72" i="23"/>
  <c r="D73" i="23" s="1"/>
  <c r="E68" i="23" s="1"/>
  <c r="BK72" i="23"/>
  <c r="BK45" i="23"/>
  <c r="BJ45" i="23"/>
  <c r="BI45" i="23"/>
  <c r="BH45" i="23"/>
  <c r="BG45" i="23"/>
  <c r="BF45" i="23"/>
  <c r="BE45" i="23"/>
  <c r="BD45" i="23"/>
  <c r="BC45" i="23"/>
  <c r="BB45" i="23"/>
  <c r="BA45" i="23"/>
  <c r="AZ45" i="23"/>
  <c r="AY45" i="23"/>
  <c r="AX45" i="23"/>
  <c r="AW45" i="23"/>
  <c r="AV45" i="23"/>
  <c r="AU45" i="23"/>
  <c r="AT45" i="23"/>
  <c r="AS45" i="23"/>
  <c r="AR45" i="23"/>
  <c r="AQ45" i="23"/>
  <c r="AP45" i="23"/>
  <c r="AO45" i="23"/>
  <c r="AN45" i="23"/>
  <c r="AM45" i="23"/>
  <c r="AL45" i="23"/>
  <c r="AK45" i="23"/>
  <c r="AJ45" i="23"/>
  <c r="AI45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I45" i="23"/>
  <c r="H45" i="23"/>
  <c r="G45" i="23"/>
  <c r="F45" i="23"/>
  <c r="E45" i="23"/>
  <c r="D45" i="23"/>
  <c r="D46" i="23" s="1"/>
  <c r="E41" i="23" s="1"/>
  <c r="BJ37" i="23"/>
  <c r="BI37" i="23"/>
  <c r="BH37" i="23"/>
  <c r="BG37" i="23"/>
  <c r="BF37" i="23"/>
  <c r="BE37" i="23"/>
  <c r="BD37" i="23"/>
  <c r="BC37" i="23"/>
  <c r="BB37" i="23"/>
  <c r="BA37" i="23"/>
  <c r="AZ37" i="23"/>
  <c r="AY37" i="23"/>
  <c r="AX37" i="23"/>
  <c r="AW37" i="23"/>
  <c r="AV37" i="23"/>
  <c r="AU37" i="23"/>
  <c r="AT37" i="23"/>
  <c r="AS37" i="23"/>
  <c r="AR37" i="23"/>
  <c r="AQ37" i="23"/>
  <c r="AP37" i="23"/>
  <c r="AO37" i="23"/>
  <c r="AN37" i="23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D38" i="23" s="1"/>
  <c r="E33" i="23" s="1"/>
  <c r="BK37" i="23"/>
  <c r="BJ29" i="23"/>
  <c r="BI29" i="23"/>
  <c r="BH29" i="23"/>
  <c r="BG29" i="23"/>
  <c r="BF29" i="23"/>
  <c r="BE29" i="23"/>
  <c r="BD29" i="23"/>
  <c r="BC29" i="23"/>
  <c r="BB29" i="23"/>
  <c r="BA29" i="23"/>
  <c r="AZ29" i="23"/>
  <c r="AY29" i="23"/>
  <c r="AX29" i="23"/>
  <c r="AW29" i="23"/>
  <c r="AV29" i="23"/>
  <c r="AU29" i="23"/>
  <c r="AT29" i="23"/>
  <c r="AS29" i="23"/>
  <c r="AR29" i="23"/>
  <c r="AQ29" i="23"/>
  <c r="AP29" i="23"/>
  <c r="AO29" i="23"/>
  <c r="AN29" i="23"/>
  <c r="AM29" i="23"/>
  <c r="AL29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D30" i="23" s="1"/>
  <c r="E25" i="23" s="1"/>
  <c r="BK29" i="23"/>
  <c r="BY21" i="23"/>
  <c r="AY21" i="23"/>
  <c r="AX21" i="23"/>
  <c r="AW21" i="23"/>
  <c r="AV21" i="23"/>
  <c r="AU21" i="23"/>
  <c r="AT21" i="23"/>
  <c r="AS21" i="23"/>
  <c r="AR21" i="23"/>
  <c r="AQ21" i="23"/>
  <c r="AP21" i="23"/>
  <c r="AO21" i="23"/>
  <c r="AN21" i="23"/>
  <c r="AM21" i="23"/>
  <c r="AL21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D22" i="23" s="1"/>
  <c r="E16" i="23" s="1"/>
  <c r="BK21" i="23"/>
  <c r="BJ21" i="23"/>
  <c r="BI21" i="23"/>
  <c r="BH21" i="23"/>
  <c r="BG21" i="23"/>
  <c r="BF21" i="23"/>
  <c r="BE21" i="23"/>
  <c r="BC21" i="23"/>
  <c r="BB21" i="23"/>
  <c r="BA21" i="23"/>
  <c r="AZ21" i="23"/>
  <c r="AY12" i="23"/>
  <c r="AX12" i="23"/>
  <c r="AW12" i="23"/>
  <c r="AV12" i="23"/>
  <c r="AU12" i="23"/>
  <c r="AT12" i="23"/>
  <c r="AS12" i="23"/>
  <c r="AR12" i="23"/>
  <c r="AQ12" i="23"/>
  <c r="AP12" i="23"/>
  <c r="AO12" i="23"/>
  <c r="AN12" i="23"/>
  <c r="AM12" i="23"/>
  <c r="AL12" i="23"/>
  <c r="AK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BK12" i="23"/>
  <c r="BJ12" i="23"/>
  <c r="BI12" i="23"/>
  <c r="BH12" i="23"/>
  <c r="BG12" i="23"/>
  <c r="BF12" i="23"/>
  <c r="BE12" i="23"/>
  <c r="BC12" i="23"/>
  <c r="BB12" i="23"/>
  <c r="BA12" i="23"/>
  <c r="AZ12" i="23"/>
  <c r="BB114" i="23" l="1"/>
  <c r="BK114" i="23"/>
  <c r="K114" i="23"/>
  <c r="S114" i="23"/>
  <c r="AA114" i="23"/>
  <c r="AE114" i="23"/>
  <c r="AM114" i="23"/>
  <c r="AY114" i="23"/>
  <c r="BG114" i="23"/>
  <c r="G114" i="23"/>
  <c r="O114" i="23"/>
  <c r="W114" i="23"/>
  <c r="AI114" i="23"/>
  <c r="AQ114" i="23"/>
  <c r="AU114" i="23"/>
  <c r="BC114" i="23"/>
  <c r="P114" i="23"/>
  <c r="AB114" i="23"/>
  <c r="AR114" i="23"/>
  <c r="H114" i="23"/>
  <c r="X114" i="23"/>
  <c r="AJ114" i="23"/>
  <c r="AZ114" i="23"/>
  <c r="BI114" i="23"/>
  <c r="M114" i="23"/>
  <c r="Y114" i="23"/>
  <c r="AC114" i="23"/>
  <c r="AG114" i="23"/>
  <c r="AK114" i="23"/>
  <c r="AO114" i="23"/>
  <c r="AS114" i="23"/>
  <c r="AW114" i="23"/>
  <c r="BH114" i="23"/>
  <c r="L114" i="23"/>
  <c r="T114" i="23"/>
  <c r="AF114" i="23"/>
  <c r="AN114" i="23"/>
  <c r="AV114" i="23"/>
  <c r="BE114" i="23"/>
  <c r="E114" i="23"/>
  <c r="I114" i="23"/>
  <c r="Q114" i="23"/>
  <c r="U114" i="23"/>
  <c r="BA114" i="23"/>
  <c r="BF114" i="23"/>
  <c r="BJ114" i="23"/>
  <c r="F114" i="23"/>
  <c r="J114" i="23"/>
  <c r="N114" i="23"/>
  <c r="R114" i="23"/>
  <c r="V114" i="23"/>
  <c r="Z114" i="23"/>
  <c r="AD114" i="23"/>
  <c r="AH114" i="23"/>
  <c r="AL114" i="23"/>
  <c r="AP114" i="23"/>
  <c r="AT114" i="23"/>
  <c r="AX114" i="23"/>
  <c r="D114" i="23"/>
  <c r="E38" i="23"/>
  <c r="F33" i="23" s="1"/>
  <c r="F38" i="23" s="1"/>
  <c r="G33" i="23" s="1"/>
  <c r="G38" i="23" s="1"/>
  <c r="H33" i="23" s="1"/>
  <c r="H38" i="23" s="1"/>
  <c r="I33" i="23" s="1"/>
  <c r="I38" i="23" s="1"/>
  <c r="J33" i="23" s="1"/>
  <c r="J38" i="23" s="1"/>
  <c r="K33" i="23" s="1"/>
  <c r="K38" i="23" s="1"/>
  <c r="L33" i="23" s="1"/>
  <c r="L38" i="23" s="1"/>
  <c r="M33" i="23" s="1"/>
  <c r="M38" i="23" s="1"/>
  <c r="N33" i="23" s="1"/>
  <c r="N38" i="23" s="1"/>
  <c r="O33" i="23" s="1"/>
  <c r="O38" i="23" s="1"/>
  <c r="P33" i="23" s="1"/>
  <c r="P38" i="23" s="1"/>
  <c r="Q33" i="23" s="1"/>
  <c r="Q38" i="23" s="1"/>
  <c r="R33" i="23" s="1"/>
  <c r="R38" i="23" s="1"/>
  <c r="S33" i="23" s="1"/>
  <c r="S38" i="23" s="1"/>
  <c r="T33" i="23" s="1"/>
  <c r="T38" i="23" s="1"/>
  <c r="U33" i="23" s="1"/>
  <c r="U38" i="23" s="1"/>
  <c r="V33" i="23" s="1"/>
  <c r="V38" i="23" s="1"/>
  <c r="W33" i="23" s="1"/>
  <c r="W38" i="23" s="1"/>
  <c r="X33" i="23" s="1"/>
  <c r="X38" i="23" s="1"/>
  <c r="Y33" i="23" s="1"/>
  <c r="Y38" i="23" s="1"/>
  <c r="Z33" i="23" s="1"/>
  <c r="Z38" i="23" s="1"/>
  <c r="AA33" i="23" s="1"/>
  <c r="AA38" i="23" s="1"/>
  <c r="AB33" i="23" s="1"/>
  <c r="AB38" i="23" s="1"/>
  <c r="AC33" i="23" s="1"/>
  <c r="AC38" i="23" s="1"/>
  <c r="AD33" i="23" s="1"/>
  <c r="AD38" i="23" s="1"/>
  <c r="AE33" i="23" s="1"/>
  <c r="AE38" i="23" s="1"/>
  <c r="AF33" i="23" s="1"/>
  <c r="AF38" i="23" s="1"/>
  <c r="AG33" i="23" s="1"/>
  <c r="AG38" i="23" s="1"/>
  <c r="AH33" i="23" s="1"/>
  <c r="AH38" i="23" s="1"/>
  <c r="AI33" i="23" s="1"/>
  <c r="AI38" i="23" s="1"/>
  <c r="AJ33" i="23" s="1"/>
  <c r="AJ38" i="23" s="1"/>
  <c r="AK33" i="23" s="1"/>
  <c r="AK38" i="23" s="1"/>
  <c r="AL33" i="23" s="1"/>
  <c r="AL38" i="23" s="1"/>
  <c r="AM33" i="23" s="1"/>
  <c r="AM38" i="23" s="1"/>
  <c r="AN33" i="23" s="1"/>
  <c r="AN38" i="23" s="1"/>
  <c r="AO33" i="23" s="1"/>
  <c r="AO38" i="23" s="1"/>
  <c r="AP33" i="23" s="1"/>
  <c r="AP38" i="23" s="1"/>
  <c r="AQ33" i="23" s="1"/>
  <c r="AQ38" i="23" s="1"/>
  <c r="AR33" i="23" s="1"/>
  <c r="AR38" i="23" s="1"/>
  <c r="AS33" i="23" s="1"/>
  <c r="AS38" i="23" s="1"/>
  <c r="AT33" i="23" s="1"/>
  <c r="AT38" i="23" s="1"/>
  <c r="AU33" i="23" s="1"/>
  <c r="AU38" i="23" s="1"/>
  <c r="AV33" i="23" s="1"/>
  <c r="AV38" i="23" s="1"/>
  <c r="AW33" i="23" s="1"/>
  <c r="AW38" i="23" s="1"/>
  <c r="AX33" i="23" s="1"/>
  <c r="AX38" i="23" s="1"/>
  <c r="AY33" i="23" s="1"/>
  <c r="AY38" i="23" s="1"/>
  <c r="AZ33" i="23" s="1"/>
  <c r="AZ38" i="23" s="1"/>
  <c r="BA33" i="23" s="1"/>
  <c r="BA38" i="23" s="1"/>
  <c r="BB33" i="23" s="1"/>
  <c r="BB38" i="23" s="1"/>
  <c r="BC33" i="23" s="1"/>
  <c r="BC38" i="23" s="1"/>
  <c r="BD33" i="23" s="1"/>
  <c r="BD38" i="23" s="1"/>
  <c r="BE33" i="23" s="1"/>
  <c r="BE38" i="23" s="1"/>
  <c r="BF33" i="23" s="1"/>
  <c r="BF38" i="23" s="1"/>
  <c r="BG33" i="23" s="1"/>
  <c r="BG38" i="23" s="1"/>
  <c r="BH33" i="23" s="1"/>
  <c r="BH38" i="23" s="1"/>
  <c r="BI33" i="23" s="1"/>
  <c r="BI38" i="23" s="1"/>
  <c r="BJ33" i="23" s="1"/>
  <c r="BJ38" i="23" s="1"/>
  <c r="BK33" i="23" s="1"/>
  <c r="BK38" i="23" s="1"/>
  <c r="E46" i="23"/>
  <c r="F41" i="23" s="1"/>
  <c r="F46" i="23" s="1"/>
  <c r="G41" i="23" s="1"/>
  <c r="G46" i="23" s="1"/>
  <c r="H41" i="23" s="1"/>
  <c r="H46" i="23" s="1"/>
  <c r="I41" i="23" s="1"/>
  <c r="I46" i="23" s="1"/>
  <c r="J41" i="23" s="1"/>
  <c r="J46" i="23" s="1"/>
  <c r="K41" i="23" s="1"/>
  <c r="K46" i="23" s="1"/>
  <c r="L41" i="23" s="1"/>
  <c r="L46" i="23" s="1"/>
  <c r="M41" i="23" s="1"/>
  <c r="M46" i="23" s="1"/>
  <c r="N41" i="23" s="1"/>
  <c r="N46" i="23" s="1"/>
  <c r="O41" i="23" s="1"/>
  <c r="O46" i="23" s="1"/>
  <c r="P41" i="23" s="1"/>
  <c r="P46" i="23" s="1"/>
  <c r="Q41" i="23" s="1"/>
  <c r="Q46" i="23" s="1"/>
  <c r="R41" i="23" s="1"/>
  <c r="E30" i="23"/>
  <c r="F25" i="23" s="1"/>
  <c r="F30" i="23" s="1"/>
  <c r="G25" i="23" s="1"/>
  <c r="G30" i="23" s="1"/>
  <c r="H25" i="23" s="1"/>
  <c r="H30" i="23" s="1"/>
  <c r="I25" i="23" s="1"/>
  <c r="I30" i="23" s="1"/>
  <c r="J25" i="23" s="1"/>
  <c r="J30" i="23" s="1"/>
  <c r="K25" i="23" s="1"/>
  <c r="K30" i="23" s="1"/>
  <c r="L25" i="23" s="1"/>
  <c r="L30" i="23" s="1"/>
  <c r="M25" i="23" s="1"/>
  <c r="M30" i="23" s="1"/>
  <c r="N25" i="23" s="1"/>
  <c r="N30" i="23" s="1"/>
  <c r="O25" i="23" s="1"/>
  <c r="O30" i="23" s="1"/>
  <c r="P25" i="23" s="1"/>
  <c r="P30" i="23" s="1"/>
  <c r="Q25" i="23" s="1"/>
  <c r="Q30" i="23" s="1"/>
  <c r="R25" i="23" s="1"/>
  <c r="R30" i="23" s="1"/>
  <c r="S25" i="23" s="1"/>
  <c r="S30" i="23" s="1"/>
  <c r="T25" i="23" s="1"/>
  <c r="T30" i="23" s="1"/>
  <c r="U25" i="23" s="1"/>
  <c r="U30" i="23" s="1"/>
  <c r="V25" i="23" s="1"/>
  <c r="V30" i="23" s="1"/>
  <c r="W25" i="23" s="1"/>
  <c r="W30" i="23" s="1"/>
  <c r="X25" i="23" s="1"/>
  <c r="X30" i="23" s="1"/>
  <c r="Y25" i="23" s="1"/>
  <c r="Y30" i="23" s="1"/>
  <c r="Z25" i="23" s="1"/>
  <c r="Z30" i="23" s="1"/>
  <c r="AA25" i="23" s="1"/>
  <c r="AA30" i="23" s="1"/>
  <c r="AB25" i="23" s="1"/>
  <c r="AB30" i="23" s="1"/>
  <c r="AC25" i="23" s="1"/>
  <c r="AC30" i="23" s="1"/>
  <c r="AD25" i="23" s="1"/>
  <c r="AD30" i="23" s="1"/>
  <c r="AE25" i="23" s="1"/>
  <c r="AE30" i="23" s="1"/>
  <c r="AF25" i="23" s="1"/>
  <c r="AF30" i="23" s="1"/>
  <c r="AG25" i="23" s="1"/>
  <c r="AG30" i="23" s="1"/>
  <c r="AH25" i="23" s="1"/>
  <c r="AH30" i="23" s="1"/>
  <c r="AI25" i="23" s="1"/>
  <c r="AI30" i="23" s="1"/>
  <c r="AJ25" i="23" s="1"/>
  <c r="AJ30" i="23" s="1"/>
  <c r="AK25" i="23" s="1"/>
  <c r="AK30" i="23" s="1"/>
  <c r="AL25" i="23" s="1"/>
  <c r="AL30" i="23" s="1"/>
  <c r="AM25" i="23" s="1"/>
  <c r="AM30" i="23" s="1"/>
  <c r="AN25" i="23" s="1"/>
  <c r="AN30" i="23" s="1"/>
  <c r="AO25" i="23" s="1"/>
  <c r="AO30" i="23" s="1"/>
  <c r="AP25" i="23" s="1"/>
  <c r="AP30" i="23" s="1"/>
  <c r="AQ25" i="23" s="1"/>
  <c r="AQ30" i="23" s="1"/>
  <c r="AR25" i="23" s="1"/>
  <c r="AR30" i="23" s="1"/>
  <c r="AS25" i="23" s="1"/>
  <c r="AS30" i="23" s="1"/>
  <c r="AT25" i="23" s="1"/>
  <c r="AT30" i="23" s="1"/>
  <c r="AU25" i="23" s="1"/>
  <c r="AU30" i="23" s="1"/>
  <c r="AV25" i="23" s="1"/>
  <c r="AV30" i="23" s="1"/>
  <c r="AW25" i="23" s="1"/>
  <c r="AW30" i="23" s="1"/>
  <c r="AX25" i="23" s="1"/>
  <c r="AX30" i="23" s="1"/>
  <c r="AY25" i="23" s="1"/>
  <c r="AY30" i="23" s="1"/>
  <c r="AZ25" i="23" s="1"/>
  <c r="AZ30" i="23" s="1"/>
  <c r="BA25" i="23" s="1"/>
  <c r="BA30" i="23" s="1"/>
  <c r="BB25" i="23" s="1"/>
  <c r="BB30" i="23" s="1"/>
  <c r="BC25" i="23" s="1"/>
  <c r="BC30" i="23" s="1"/>
  <c r="BD25" i="23" s="1"/>
  <c r="BD30" i="23" s="1"/>
  <c r="BE25" i="23" s="1"/>
  <c r="BE30" i="23" s="1"/>
  <c r="BF25" i="23" s="1"/>
  <c r="BF30" i="23" s="1"/>
  <c r="BG25" i="23" s="1"/>
  <c r="BG30" i="23" s="1"/>
  <c r="BH25" i="23" s="1"/>
  <c r="BH30" i="23" s="1"/>
  <c r="BI25" i="23" s="1"/>
  <c r="BI30" i="23" s="1"/>
  <c r="BJ25" i="23" s="1"/>
  <c r="BJ30" i="23" s="1"/>
  <c r="BK25" i="23" s="1"/>
  <c r="BK30" i="23" s="1"/>
  <c r="E22" i="23"/>
  <c r="F16" i="23" s="1"/>
  <c r="F22" i="23" s="1"/>
  <c r="G16" i="23" s="1"/>
  <c r="G22" i="23" s="1"/>
  <c r="H16" i="23" s="1"/>
  <c r="H22" i="23" s="1"/>
  <c r="I16" i="23" s="1"/>
  <c r="I22" i="23" s="1"/>
  <c r="J16" i="23" s="1"/>
  <c r="J22" i="23" s="1"/>
  <c r="K16" i="23" s="1"/>
  <c r="K22" i="23" s="1"/>
  <c r="L16" i="23" s="1"/>
  <c r="L22" i="23" s="1"/>
  <c r="M16" i="23" s="1"/>
  <c r="M22" i="23" s="1"/>
  <c r="N16" i="23" s="1"/>
  <c r="N22" i="23" s="1"/>
  <c r="O16" i="23" s="1"/>
  <c r="O22" i="23" s="1"/>
  <c r="P16" i="23" s="1"/>
  <c r="P22" i="23" s="1"/>
  <c r="Q16" i="23" s="1"/>
  <c r="Q22" i="23" s="1"/>
  <c r="R16" i="23" s="1"/>
  <c r="R22" i="23" s="1"/>
  <c r="S16" i="23" s="1"/>
  <c r="S22" i="23" s="1"/>
  <c r="T16" i="23" s="1"/>
  <c r="T22" i="23" s="1"/>
  <c r="U16" i="23" s="1"/>
  <c r="U22" i="23" s="1"/>
  <c r="V16" i="23" s="1"/>
  <c r="V22" i="23" s="1"/>
  <c r="W16" i="23" s="1"/>
  <c r="W22" i="23" s="1"/>
  <c r="X16" i="23" s="1"/>
  <c r="X22" i="23" s="1"/>
  <c r="Y16" i="23" s="1"/>
  <c r="Y22" i="23" s="1"/>
  <c r="Z16" i="23" s="1"/>
  <c r="Z22" i="23" s="1"/>
  <c r="AA16" i="23" s="1"/>
  <c r="AA22" i="23" s="1"/>
  <c r="AB16" i="23" s="1"/>
  <c r="AB22" i="23" s="1"/>
  <c r="AC16" i="23" s="1"/>
  <c r="AC22" i="23" s="1"/>
  <c r="AD16" i="23" s="1"/>
  <c r="AD22" i="23" s="1"/>
  <c r="AE16" i="23" s="1"/>
  <c r="AE22" i="23" s="1"/>
  <c r="AF16" i="23" s="1"/>
  <c r="AF22" i="23" s="1"/>
  <c r="AG16" i="23" s="1"/>
  <c r="AG22" i="23" s="1"/>
  <c r="AH16" i="23" s="1"/>
  <c r="AH22" i="23" s="1"/>
  <c r="AI16" i="23" s="1"/>
  <c r="AI22" i="23" s="1"/>
  <c r="AJ16" i="23" s="1"/>
  <c r="AJ22" i="23" s="1"/>
  <c r="AK16" i="23" s="1"/>
  <c r="AK22" i="23" s="1"/>
  <c r="AL16" i="23" s="1"/>
  <c r="AL22" i="23" s="1"/>
  <c r="AM16" i="23" s="1"/>
  <c r="AM22" i="23" s="1"/>
  <c r="AN16" i="23" s="1"/>
  <c r="AN22" i="23" s="1"/>
  <c r="AO16" i="23" s="1"/>
  <c r="AO22" i="23" s="1"/>
  <c r="AP16" i="23" s="1"/>
  <c r="AP22" i="23" s="1"/>
  <c r="AQ16" i="23" s="1"/>
  <c r="AQ22" i="23" s="1"/>
  <c r="AR16" i="23" s="1"/>
  <c r="AR22" i="23" s="1"/>
  <c r="AS16" i="23" s="1"/>
  <c r="AS22" i="23" s="1"/>
  <c r="AT16" i="23" s="1"/>
  <c r="AT22" i="23" s="1"/>
  <c r="AU16" i="23" s="1"/>
  <c r="AU22" i="23" s="1"/>
  <c r="AV16" i="23" s="1"/>
  <c r="AV22" i="23" s="1"/>
  <c r="AW16" i="23" s="1"/>
  <c r="AW22" i="23" s="1"/>
  <c r="AX16" i="23" s="1"/>
  <c r="AX22" i="23" s="1"/>
  <c r="AY16" i="23" s="1"/>
  <c r="AY22" i="23" s="1"/>
  <c r="AZ16" i="23" s="1"/>
  <c r="AZ22" i="23" s="1"/>
  <c r="E73" i="23"/>
  <c r="F68" i="23" s="1"/>
  <c r="F73" i="23" s="1"/>
  <c r="G68" i="23" s="1"/>
  <c r="G73" i="23" s="1"/>
  <c r="H68" i="23" s="1"/>
  <c r="H73" i="23" s="1"/>
  <c r="I68" i="23" s="1"/>
  <c r="I73" i="23" s="1"/>
  <c r="J68" i="23" s="1"/>
  <c r="J73" i="23" s="1"/>
  <c r="K68" i="23" s="1"/>
  <c r="K73" i="23" s="1"/>
  <c r="L68" i="23" s="1"/>
  <c r="L73" i="23" s="1"/>
  <c r="M68" i="23" s="1"/>
  <c r="M73" i="23" s="1"/>
  <c r="N68" i="23" s="1"/>
  <c r="N73" i="23" s="1"/>
  <c r="O68" i="23" s="1"/>
  <c r="O73" i="23" s="1"/>
  <c r="P68" i="23" s="1"/>
  <c r="P73" i="23" s="1"/>
  <c r="Q68" i="23" s="1"/>
  <c r="Q73" i="23" s="1"/>
  <c r="R68" i="23" s="1"/>
  <c r="R73" i="23" s="1"/>
  <c r="S68" i="23" s="1"/>
  <c r="S73" i="23" s="1"/>
  <c r="T68" i="23" s="1"/>
  <c r="T73" i="23" s="1"/>
  <c r="U68" i="23" s="1"/>
  <c r="U73" i="23" s="1"/>
  <c r="V68" i="23" s="1"/>
  <c r="V73" i="23" s="1"/>
  <c r="W68" i="23" s="1"/>
  <c r="W73" i="23" s="1"/>
  <c r="X68" i="23" s="1"/>
  <c r="X73" i="23" s="1"/>
  <c r="Y68" i="23" s="1"/>
  <c r="Y73" i="23" s="1"/>
  <c r="Z68" i="23" s="1"/>
  <c r="Z73" i="23" s="1"/>
  <c r="AA68" i="23" s="1"/>
  <c r="AA73" i="23" s="1"/>
  <c r="AB68" i="23" s="1"/>
  <c r="AB73" i="23" s="1"/>
  <c r="AC68" i="23" s="1"/>
  <c r="AC73" i="23" s="1"/>
  <c r="AD68" i="23" s="1"/>
  <c r="AD73" i="23" s="1"/>
  <c r="AE68" i="23" s="1"/>
  <c r="AE73" i="23" s="1"/>
  <c r="AF68" i="23" s="1"/>
  <c r="AF73" i="23" s="1"/>
  <c r="AG68" i="23" s="1"/>
  <c r="AG73" i="23" s="1"/>
  <c r="AH68" i="23" s="1"/>
  <c r="AH73" i="23" s="1"/>
  <c r="AI68" i="23" s="1"/>
  <c r="AI73" i="23" s="1"/>
  <c r="AJ68" i="23" s="1"/>
  <c r="AJ73" i="23" s="1"/>
  <c r="AK68" i="23" s="1"/>
  <c r="AK73" i="23" s="1"/>
  <c r="AL68" i="23" s="1"/>
  <c r="AL73" i="23" s="1"/>
  <c r="AM68" i="23" s="1"/>
  <c r="AM73" i="23" s="1"/>
  <c r="AN68" i="23" s="1"/>
  <c r="AN73" i="23" s="1"/>
  <c r="AO68" i="23" s="1"/>
  <c r="AO73" i="23" s="1"/>
  <c r="AP68" i="23" s="1"/>
  <c r="AP73" i="23" s="1"/>
  <c r="AQ68" i="23" s="1"/>
  <c r="AQ73" i="23" s="1"/>
  <c r="AR68" i="23" s="1"/>
  <c r="AR73" i="23" s="1"/>
  <c r="AS68" i="23" s="1"/>
  <c r="AS73" i="23" s="1"/>
  <c r="AT68" i="23" s="1"/>
  <c r="AT73" i="23" s="1"/>
  <c r="AU68" i="23" s="1"/>
  <c r="AU73" i="23" s="1"/>
  <c r="AV68" i="23" s="1"/>
  <c r="AV73" i="23" s="1"/>
  <c r="AW68" i="23" s="1"/>
  <c r="AW73" i="23" s="1"/>
  <c r="AX68" i="23" s="1"/>
  <c r="AX73" i="23" s="1"/>
  <c r="AY68" i="23" s="1"/>
  <c r="AY73" i="23" s="1"/>
  <c r="AZ68" i="23" s="1"/>
  <c r="AZ73" i="23" s="1"/>
  <c r="BA68" i="23" s="1"/>
  <c r="BA73" i="23" s="1"/>
  <c r="BB68" i="23" s="1"/>
  <c r="BB73" i="23" s="1"/>
  <c r="BC68" i="23" s="1"/>
  <c r="BC73" i="23" s="1"/>
  <c r="BD68" i="23" s="1"/>
  <c r="BD73" i="23" s="1"/>
  <c r="BE68" i="23" s="1"/>
  <c r="BE73" i="23" s="1"/>
  <c r="BF68" i="23" s="1"/>
  <c r="BF73" i="23" s="1"/>
  <c r="BG68" i="23" s="1"/>
  <c r="BG73" i="23" s="1"/>
  <c r="BH68" i="23" s="1"/>
  <c r="BH73" i="23" s="1"/>
  <c r="BI68" i="23" s="1"/>
  <c r="BI73" i="23" s="1"/>
  <c r="BJ68" i="23" s="1"/>
  <c r="BJ73" i="23" s="1"/>
  <c r="BK68" i="23" s="1"/>
  <c r="BK73" i="23" s="1"/>
  <c r="BD21" i="23"/>
  <c r="BD12" i="23"/>
  <c r="BD114" i="23" s="1"/>
  <c r="D13" i="23"/>
  <c r="D116" i="23" l="1"/>
  <c r="D115" i="23"/>
  <c r="BA16" i="23"/>
  <c r="E9" i="23"/>
  <c r="E113" i="23" s="1"/>
  <c r="R46" i="23"/>
  <c r="S41" i="23" s="1"/>
  <c r="D117" i="23" l="1"/>
  <c r="BA22" i="23"/>
  <c r="E13" i="23"/>
  <c r="S46" i="23"/>
  <c r="T41" i="23" s="1"/>
  <c r="E115" i="23" l="1"/>
  <c r="E116" i="23"/>
  <c r="E117" i="23" s="1"/>
  <c r="BB16" i="23"/>
  <c r="F9" i="23"/>
  <c r="F113" i="23" s="1"/>
  <c r="T46" i="23"/>
  <c r="U41" i="23" s="1"/>
  <c r="BB22" i="23" l="1"/>
  <c r="F13" i="23"/>
  <c r="U46" i="23"/>
  <c r="V41" i="23" s="1"/>
  <c r="F116" i="23" l="1"/>
  <c r="F115" i="23"/>
  <c r="BC16" i="23"/>
  <c r="G9" i="23"/>
  <c r="G113" i="23" s="1"/>
  <c r="V46" i="23"/>
  <c r="W41" i="23" s="1"/>
  <c r="F117" i="23" l="1"/>
  <c r="BC22" i="23"/>
  <c r="G13" i="23"/>
  <c r="W46" i="23"/>
  <c r="X41" i="23" s="1"/>
  <c r="G116" i="23" l="1"/>
  <c r="G115" i="23"/>
  <c r="BD16" i="23"/>
  <c r="H9" i="23"/>
  <c r="H113" i="23" s="1"/>
  <c r="X46" i="23"/>
  <c r="Y41" i="23" s="1"/>
  <c r="G117" i="23" l="1"/>
  <c r="BD22" i="23"/>
  <c r="H13" i="23"/>
  <c r="Y46" i="23"/>
  <c r="Z41" i="23" s="1"/>
  <c r="D28" i="27"/>
  <c r="E28" i="27" s="1"/>
  <c r="D19" i="27"/>
  <c r="E19" i="27" s="1"/>
  <c r="H115" i="23" l="1"/>
  <c r="H116" i="23"/>
  <c r="BE16" i="23"/>
  <c r="I9" i="23"/>
  <c r="I113" i="23" s="1"/>
  <c r="Z46" i="23"/>
  <c r="AA41" i="23" s="1"/>
  <c r="E10" i="27"/>
  <c r="CI108" i="23"/>
  <c r="CI100" i="23"/>
  <c r="H117" i="23" l="1"/>
  <c r="BE22" i="23"/>
  <c r="I13" i="23"/>
  <c r="AA46" i="23"/>
  <c r="AB41" i="23" s="1"/>
  <c r="I115" i="23" l="1"/>
  <c r="I116" i="23"/>
  <c r="BF16" i="23"/>
  <c r="J9" i="23"/>
  <c r="J113" i="23" s="1"/>
  <c r="AB46" i="23"/>
  <c r="AC41" i="23" s="1"/>
  <c r="I117" i="23" l="1"/>
  <c r="BF22" i="23"/>
  <c r="J13" i="23"/>
  <c r="AC46" i="23"/>
  <c r="AD41" i="23" s="1"/>
  <c r="D14" i="22"/>
  <c r="J116" i="23" l="1"/>
  <c r="J115" i="23"/>
  <c r="BG16" i="23"/>
  <c r="K9" i="23"/>
  <c r="K113" i="23" s="1"/>
  <c r="AD46" i="23"/>
  <c r="AE41" i="23" s="1"/>
  <c r="J117" i="23" l="1"/>
  <c r="BG22" i="23"/>
  <c r="K13" i="23"/>
  <c r="AE46" i="23"/>
  <c r="AF41" i="23" s="1"/>
  <c r="K115" i="23" l="1"/>
  <c r="K116" i="23"/>
  <c r="BH16" i="23"/>
  <c r="L9" i="23"/>
  <c r="L113" i="23" s="1"/>
  <c r="AF46" i="23"/>
  <c r="AG41" i="23" s="1"/>
  <c r="K117" i="23" l="1"/>
  <c r="BH22" i="23"/>
  <c r="L13" i="23"/>
  <c r="AG46" i="23"/>
  <c r="AH41" i="23" s="1"/>
  <c r="L115" i="23" l="1"/>
  <c r="L116" i="23"/>
  <c r="BI16" i="23"/>
  <c r="M9" i="23"/>
  <c r="M113" i="23" s="1"/>
  <c r="AH46" i="23"/>
  <c r="AI41" i="23" s="1"/>
  <c r="CG36" i="23"/>
  <c r="CG37" i="23" s="1"/>
  <c r="CD36" i="23"/>
  <c r="CD37" i="23" s="1"/>
  <c r="CC36" i="23"/>
  <c r="CC37" i="23" s="1"/>
  <c r="CB36" i="23"/>
  <c r="CB37" i="23" s="1"/>
  <c r="BY36" i="23"/>
  <c r="BY37" i="23" s="1"/>
  <c r="CI36" i="23"/>
  <c r="CH36" i="23"/>
  <c r="CH37" i="23" s="1"/>
  <c r="CF36" i="23"/>
  <c r="CF37" i="23" s="1"/>
  <c r="CE36" i="23"/>
  <c r="CE37" i="23" s="1"/>
  <c r="CA36" i="23"/>
  <c r="CA37" i="23" s="1"/>
  <c r="BZ36" i="23"/>
  <c r="BZ37" i="23" s="1"/>
  <c r="BX36" i="23"/>
  <c r="BY33" i="23" s="1"/>
  <c r="CI71" i="23"/>
  <c r="CH71" i="23"/>
  <c r="CH72" i="23" s="1"/>
  <c r="CF71" i="23"/>
  <c r="CF72" i="23" s="1"/>
  <c r="CE71" i="23"/>
  <c r="CE72" i="23" s="1"/>
  <c r="CD71" i="23"/>
  <c r="CD72" i="23" s="1"/>
  <c r="CB71" i="23"/>
  <c r="CB72" i="23" s="1"/>
  <c r="CA71" i="23"/>
  <c r="CA72" i="23" s="1"/>
  <c r="BZ71" i="23"/>
  <c r="BZ72" i="23" s="1"/>
  <c r="BX71" i="23"/>
  <c r="BY68" i="23" s="1"/>
  <c r="A9" i="42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D6" i="42"/>
  <c r="E6" i="42" s="1"/>
  <c r="F6" i="42" s="1"/>
  <c r="G6" i="42" s="1"/>
  <c r="H6" i="42" s="1"/>
  <c r="I6" i="42" s="1"/>
  <c r="J6" i="42" s="1"/>
  <c r="K6" i="42" s="1"/>
  <c r="L6" i="42" s="1"/>
  <c r="M6" i="42" s="1"/>
  <c r="N6" i="42" s="1"/>
  <c r="CD28" i="23"/>
  <c r="CD29" i="23" s="1"/>
  <c r="CC28" i="23"/>
  <c r="CC29" i="23" s="1"/>
  <c r="CB28" i="23"/>
  <c r="CB29" i="23" s="1"/>
  <c r="CI28" i="23"/>
  <c r="CI29" i="23" s="1"/>
  <c r="CH28" i="23"/>
  <c r="CH29" i="23" s="1"/>
  <c r="CG28" i="23"/>
  <c r="CG29" i="23" s="1"/>
  <c r="CF28" i="23"/>
  <c r="CF29" i="23" s="1"/>
  <c r="CE28" i="23"/>
  <c r="CE29" i="23" s="1"/>
  <c r="CA28" i="23"/>
  <c r="CA29" i="23" s="1"/>
  <c r="BZ28" i="23"/>
  <c r="BY28" i="23"/>
  <c r="BX28" i="23"/>
  <c r="BY25" i="23" s="1"/>
  <c r="BY30" i="23" s="1"/>
  <c r="CG63" i="23"/>
  <c r="CG64" i="23" s="1"/>
  <c r="CF63" i="23"/>
  <c r="CF64" i="23" s="1"/>
  <c r="CE63" i="23"/>
  <c r="CE64" i="23" s="1"/>
  <c r="CC63" i="23"/>
  <c r="CC64" i="23" s="1"/>
  <c r="CB63" i="23"/>
  <c r="CB64" i="23" s="1"/>
  <c r="BY63" i="23"/>
  <c r="BY64" i="23" s="1"/>
  <c r="BX63" i="23"/>
  <c r="BY60" i="23" s="1"/>
  <c r="A9" i="4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D6" i="41"/>
  <c r="E6" i="41" s="1"/>
  <c r="F6" i="41" s="1"/>
  <c r="G6" i="41" s="1"/>
  <c r="H6" i="41" s="1"/>
  <c r="I6" i="41" s="1"/>
  <c r="J6" i="41" s="1"/>
  <c r="K6" i="41" s="1"/>
  <c r="L6" i="41" s="1"/>
  <c r="M6" i="41" s="1"/>
  <c r="N6" i="41" s="1"/>
  <c r="A9" i="40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D6" i="40"/>
  <c r="E6" i="40" s="1"/>
  <c r="F6" i="40" s="1"/>
  <c r="G6" i="40" s="1"/>
  <c r="H6" i="40" s="1"/>
  <c r="I6" i="40" s="1"/>
  <c r="J6" i="40" s="1"/>
  <c r="K6" i="40" s="1"/>
  <c r="L6" i="40" s="1"/>
  <c r="M6" i="40" s="1"/>
  <c r="N6" i="40" s="1"/>
  <c r="BY38" i="23" l="1"/>
  <c r="BZ33" i="23" s="1"/>
  <c r="BZ38" i="23" s="1"/>
  <c r="CA33" i="23" s="1"/>
  <c r="CA38" i="23" s="1"/>
  <c r="CB33" i="23" s="1"/>
  <c r="CB38" i="23" s="1"/>
  <c r="CC33" i="23" s="1"/>
  <c r="CC38" i="23" s="1"/>
  <c r="CD33" i="23" s="1"/>
  <c r="CD38" i="23" s="1"/>
  <c r="CE33" i="23" s="1"/>
  <c r="CE38" i="23" s="1"/>
  <c r="CF33" i="23" s="1"/>
  <c r="CF38" i="23" s="1"/>
  <c r="CG33" i="23" s="1"/>
  <c r="CG38" i="23" s="1"/>
  <c r="CH33" i="23" s="1"/>
  <c r="CH38" i="23" s="1"/>
  <c r="CI33" i="23" s="1"/>
  <c r="BY65" i="23"/>
  <c r="BZ60" i="23" s="1"/>
  <c r="BZ25" i="23"/>
  <c r="L117" i="23"/>
  <c r="BI22" i="23"/>
  <c r="M13" i="23"/>
  <c r="AI46" i="23"/>
  <c r="AJ41" i="23" s="1"/>
  <c r="D22" i="18"/>
  <c r="F11" i="15" s="1"/>
  <c r="BY71" i="23"/>
  <c r="BY72" i="23" s="1"/>
  <c r="BY73" i="23" s="1"/>
  <c r="BZ68" i="23" s="1"/>
  <c r="BZ73" i="23" s="1"/>
  <c r="CA68" i="23" s="1"/>
  <c r="CA73" i="23" s="1"/>
  <c r="CB68" i="23" s="1"/>
  <c r="CB73" i="23" s="1"/>
  <c r="CC68" i="23" s="1"/>
  <c r="CC71" i="23"/>
  <c r="CC72" i="23" s="1"/>
  <c r="CG71" i="23"/>
  <c r="CG72" i="23" s="1"/>
  <c r="BZ63" i="23"/>
  <c r="BZ64" i="23" s="1"/>
  <c r="CD63" i="23"/>
  <c r="CD64" i="23" s="1"/>
  <c r="CH63" i="23"/>
  <c r="CH64" i="23" s="1"/>
  <c r="CA63" i="23"/>
  <c r="CA64" i="23" s="1"/>
  <c r="CI63" i="23"/>
  <c r="BX44" i="23"/>
  <c r="CC44" i="23"/>
  <c r="CC45" i="23" s="1"/>
  <c r="CH44" i="23"/>
  <c r="CH45" i="23" s="1"/>
  <c r="BY44" i="23"/>
  <c r="BY45" i="23" s="1"/>
  <c r="CD44" i="23"/>
  <c r="CD45" i="23" s="1"/>
  <c r="BX11" i="23"/>
  <c r="CH11" i="23"/>
  <c r="CH12" i="23" s="1"/>
  <c r="CG44" i="23"/>
  <c r="CG45" i="23" s="1"/>
  <c r="CB11" i="23"/>
  <c r="CB12" i="23" s="1"/>
  <c r="BZ44" i="23"/>
  <c r="BZ45" i="23" s="1"/>
  <c r="CF44" i="23"/>
  <c r="CF45" i="23" s="1"/>
  <c r="BZ11" i="23"/>
  <c r="BZ12" i="23" s="1"/>
  <c r="CA44" i="23"/>
  <c r="CA45" i="23" s="1"/>
  <c r="CE44" i="23"/>
  <c r="CE45" i="23" s="1"/>
  <c r="CI44" i="23"/>
  <c r="CC11" i="23"/>
  <c r="CC12" i="23" s="1"/>
  <c r="CA11" i="23"/>
  <c r="CA12" i="23" s="1"/>
  <c r="BZ30" i="23" l="1"/>
  <c r="CA25" i="23" s="1"/>
  <c r="CA30" i="23" s="1"/>
  <c r="CB25" i="23" s="1"/>
  <c r="CB30" i="23" s="1"/>
  <c r="CC25" i="23" s="1"/>
  <c r="CC30" i="23" s="1"/>
  <c r="CC73" i="23"/>
  <c r="CD68" i="23" s="1"/>
  <c r="CD73" i="23" s="1"/>
  <c r="CE68" i="23" s="1"/>
  <c r="CE73" i="23" s="1"/>
  <c r="CF68" i="23" s="1"/>
  <c r="CF73" i="23" s="1"/>
  <c r="CG68" i="23" s="1"/>
  <c r="CG73" i="23" s="1"/>
  <c r="CH68" i="23" s="1"/>
  <c r="CH73" i="23" s="1"/>
  <c r="CI68" i="23" s="1"/>
  <c r="CB44" i="23"/>
  <c r="CB45" i="23" s="1"/>
  <c r="CB114" i="23" s="1"/>
  <c r="BZ65" i="23"/>
  <c r="CA60" i="23" s="1"/>
  <c r="CA65" i="23" s="1"/>
  <c r="CB60" i="23" s="1"/>
  <c r="CB65" i="23" s="1"/>
  <c r="CC60" i="23" s="1"/>
  <c r="CC65" i="23" s="1"/>
  <c r="CD60" i="23" s="1"/>
  <c r="CD65" i="23" s="1"/>
  <c r="CE60" i="23" s="1"/>
  <c r="CE65" i="23" s="1"/>
  <c r="CF60" i="23" s="1"/>
  <c r="CF65" i="23" s="1"/>
  <c r="CG60" i="23" s="1"/>
  <c r="CG65" i="23" s="1"/>
  <c r="CH60" i="23" s="1"/>
  <c r="CH65" i="23" s="1"/>
  <c r="CI60" i="23" s="1"/>
  <c r="BZ114" i="23"/>
  <c r="CA114" i="23"/>
  <c r="CH114" i="23"/>
  <c r="CC114" i="23"/>
  <c r="CD11" i="23"/>
  <c r="CD12" i="23" s="1"/>
  <c r="CD114" i="23" s="1"/>
  <c r="M115" i="23"/>
  <c r="M116" i="23"/>
  <c r="M117" i="23" s="1"/>
  <c r="BJ16" i="23"/>
  <c r="N9" i="23"/>
  <c r="N113" i="23" s="1"/>
  <c r="AJ46" i="23"/>
  <c r="AK41" i="23" s="1"/>
  <c r="CI11" i="23"/>
  <c r="CE11" i="23"/>
  <c r="CE12" i="23" s="1"/>
  <c r="CE114" i="23" s="1"/>
  <c r="CF11" i="23"/>
  <c r="CF12" i="23" s="1"/>
  <c r="CF114" i="23" s="1"/>
  <c r="CG11" i="23"/>
  <c r="CG12" i="23" s="1"/>
  <c r="CG114" i="23" s="1"/>
  <c r="CD25" i="23" l="1"/>
  <c r="CD30" i="23" s="1"/>
  <c r="BJ22" i="23"/>
  <c r="N13" i="23"/>
  <c r="AK46" i="23"/>
  <c r="AL41" i="23" s="1"/>
  <c r="N116" i="23" l="1"/>
  <c r="N115" i="23"/>
  <c r="N117" i="23" s="1"/>
  <c r="BK16" i="23"/>
  <c r="CE25" i="23"/>
  <c r="CE30" i="23" s="1"/>
  <c r="O9" i="23"/>
  <c r="O113" i="23" s="1"/>
  <c r="AL46" i="23"/>
  <c r="AM41" i="23" s="1"/>
  <c r="CF25" i="23" l="1"/>
  <c r="CF30" i="23" s="1"/>
  <c r="BK22" i="23"/>
  <c r="O13" i="23"/>
  <c r="AM46" i="23"/>
  <c r="AN41" i="23" s="1"/>
  <c r="O115" i="23" l="1"/>
  <c r="O116" i="23"/>
  <c r="CG25" i="23"/>
  <c r="CG30" i="23" s="1"/>
  <c r="P9" i="23"/>
  <c r="P113" i="23" s="1"/>
  <c r="AN46" i="23"/>
  <c r="AO41" i="23" s="1"/>
  <c r="O117" i="23" l="1"/>
  <c r="CH25" i="23"/>
  <c r="CH30" i="23" s="1"/>
  <c r="P13" i="23"/>
  <c r="AO46" i="23"/>
  <c r="AP41" i="23" s="1"/>
  <c r="P115" i="23" l="1"/>
  <c r="P116" i="23"/>
  <c r="CI25" i="23"/>
  <c r="CI30" i="23" s="1"/>
  <c r="BY16" i="23"/>
  <c r="Q9" i="23"/>
  <c r="Q113" i="23" s="1"/>
  <c r="AP46" i="23"/>
  <c r="AQ41" i="23" s="1"/>
  <c r="P117" i="23" l="1"/>
  <c r="BY22" i="23"/>
  <c r="CJ25" i="23"/>
  <c r="Q13" i="23"/>
  <c r="AQ46" i="23"/>
  <c r="AR41" i="23" s="1"/>
  <c r="Q115" i="23" l="1"/>
  <c r="Q116" i="23"/>
  <c r="BZ16" i="23"/>
  <c r="R9" i="23"/>
  <c r="R113" i="23" s="1"/>
  <c r="P29" i="21"/>
  <c r="Q117" i="23" l="1"/>
  <c r="BZ22" i="23"/>
  <c r="R13" i="23"/>
  <c r="AR46" i="23"/>
  <c r="AS41" i="23" s="1"/>
  <c r="R116" i="23" l="1"/>
  <c r="R115" i="23"/>
  <c r="R117" i="23" s="1"/>
  <c r="CA16" i="23"/>
  <c r="S9" i="23"/>
  <c r="S113" i="23" s="1"/>
  <c r="AS46" i="23"/>
  <c r="AT41" i="23" s="1"/>
  <c r="CA22" i="23" l="1"/>
  <c r="S13" i="23"/>
  <c r="AT46" i="23"/>
  <c r="AU41" i="23" s="1"/>
  <c r="S115" i="23" l="1"/>
  <c r="S116" i="23"/>
  <c r="CB16" i="23"/>
  <c r="T9" i="23"/>
  <c r="T113" i="23" s="1"/>
  <c r="AU46" i="23"/>
  <c r="AV41" i="23" s="1"/>
  <c r="S117" i="23" l="1"/>
  <c r="CB22" i="23"/>
  <c r="T13" i="23"/>
  <c r="AV46" i="23"/>
  <c r="AW41" i="23" s="1"/>
  <c r="T115" i="23" l="1"/>
  <c r="T116" i="23"/>
  <c r="CC16" i="23"/>
  <c r="U9" i="23"/>
  <c r="U113" i="23" s="1"/>
  <c r="AW46" i="23"/>
  <c r="AX41" i="23" s="1"/>
  <c r="T117" i="23" l="1"/>
  <c r="CC22" i="23"/>
  <c r="U13" i="23"/>
  <c r="AX46" i="23"/>
  <c r="AY41" i="23" s="1"/>
  <c r="U115" i="23" l="1"/>
  <c r="U116" i="23"/>
  <c r="CD16" i="23"/>
  <c r="V9" i="23"/>
  <c r="V113" i="23" s="1"/>
  <c r="AY46" i="23"/>
  <c r="AZ41" i="23" s="1"/>
  <c r="U117" i="23" l="1"/>
  <c r="CD22" i="23"/>
  <c r="V13" i="23"/>
  <c r="AZ46" i="23"/>
  <c r="BA41" i="23" s="1"/>
  <c r="V116" i="23" l="1"/>
  <c r="V115" i="23"/>
  <c r="V117" i="23" s="1"/>
  <c r="CE16" i="23"/>
  <c r="W9" i="23"/>
  <c r="W113" i="23" s="1"/>
  <c r="BA46" i="23"/>
  <c r="BB41" i="23" s="1"/>
  <c r="CE22" i="23" l="1"/>
  <c r="W13" i="23"/>
  <c r="BB46" i="23"/>
  <c r="BC41" i="23" s="1"/>
  <c r="W116" i="23" l="1"/>
  <c r="W115" i="23"/>
  <c r="W117" i="23" s="1"/>
  <c r="CF16" i="23"/>
  <c r="X9" i="23"/>
  <c r="X113" i="23" s="1"/>
  <c r="BC46" i="23"/>
  <c r="BD41" i="23" s="1"/>
  <c r="CF22" i="23" l="1"/>
  <c r="X13" i="23"/>
  <c r="BD46" i="23"/>
  <c r="BE41" i="23" s="1"/>
  <c r="X115" i="23" l="1"/>
  <c r="X116" i="23"/>
  <c r="CG16" i="23"/>
  <c r="Y9" i="23"/>
  <c r="Y113" i="23" s="1"/>
  <c r="BE46" i="23"/>
  <c r="BF41" i="23" s="1"/>
  <c r="X117" i="23" l="1"/>
  <c r="CG22" i="23"/>
  <c r="Y13" i="23"/>
  <c r="BF46" i="23"/>
  <c r="BG41" i="23" s="1"/>
  <c r="Y115" i="23" l="1"/>
  <c r="Y116" i="23"/>
  <c r="CH16" i="23"/>
  <c r="Z9" i="23"/>
  <c r="Z113" i="23" s="1"/>
  <c r="BG46" i="23"/>
  <c r="BH41" i="23" s="1"/>
  <c r="Y117" i="23" l="1"/>
  <c r="CH22" i="23"/>
  <c r="Z13" i="23"/>
  <c r="BH46" i="23"/>
  <c r="BI41" i="23" s="1"/>
  <c r="Z116" i="23" l="1"/>
  <c r="Z115" i="23"/>
  <c r="CI16" i="23"/>
  <c r="AA9" i="23"/>
  <c r="AA113" i="23" s="1"/>
  <c r="BI46" i="23"/>
  <c r="BJ41" i="23" s="1"/>
  <c r="Z117" i="23" l="1"/>
  <c r="CI22" i="23"/>
  <c r="CJ16" i="23" s="1"/>
  <c r="AA13" i="23"/>
  <c r="BJ46" i="23"/>
  <c r="BK41" i="23" s="1"/>
  <c r="AA115" i="23" l="1"/>
  <c r="AA116" i="23"/>
  <c r="CJ22" i="23"/>
  <c r="CK16" i="23" s="1"/>
  <c r="AB9" i="23"/>
  <c r="AB113" i="23" s="1"/>
  <c r="BK46" i="23"/>
  <c r="CI82" i="23"/>
  <c r="CJ76" i="23" s="1"/>
  <c r="AA117" i="23" l="1"/>
  <c r="CK22" i="23"/>
  <c r="CL16" i="23" s="1"/>
  <c r="AB13" i="23"/>
  <c r="BY41" i="23"/>
  <c r="AB116" i="23" l="1"/>
  <c r="AB115" i="23"/>
  <c r="CL22" i="23"/>
  <c r="CM16" i="23" s="1"/>
  <c r="CM22" i="23" s="1"/>
  <c r="AC9" i="23"/>
  <c r="AC113" i="23" s="1"/>
  <c r="BY46" i="23"/>
  <c r="BZ41" i="23" s="1"/>
  <c r="AB117" i="23" l="1"/>
  <c r="AC13" i="23"/>
  <c r="BZ46" i="23"/>
  <c r="CA41" i="23" s="1"/>
  <c r="AC115" i="23" l="1"/>
  <c r="AC116" i="23"/>
  <c r="AD9" i="23"/>
  <c r="AD113" i="23" s="1"/>
  <c r="CA46" i="23"/>
  <c r="CB41" i="23" s="1"/>
  <c r="AC117" i="23" l="1"/>
  <c r="AD13" i="23"/>
  <c r="CB46" i="23"/>
  <c r="CC41" i="23" s="1"/>
  <c r="AD116" i="23" l="1"/>
  <c r="AD115" i="23"/>
  <c r="AD117" i="23" s="1"/>
  <c r="AE9" i="23"/>
  <c r="AE113" i="23" s="1"/>
  <c r="CC46" i="23"/>
  <c r="CD41" i="23" s="1"/>
  <c r="AE13" i="23" l="1"/>
  <c r="CD46" i="23"/>
  <c r="CE41" i="23" s="1"/>
  <c r="A10" i="48"/>
  <c r="A11" i="48" s="1"/>
  <c r="A12" i="48" s="1"/>
  <c r="A13" i="48" s="1"/>
  <c r="A14" i="48" s="1"/>
  <c r="A15" i="48" s="1"/>
  <c r="A16" i="48" s="1"/>
  <c r="A17" i="48" s="1"/>
  <c r="A18" i="48" s="1"/>
  <c r="A19" i="48" s="1"/>
  <c r="A9" i="48"/>
  <c r="AE115" i="23" l="1"/>
  <c r="AE116" i="23"/>
  <c r="AF9" i="23"/>
  <c r="AF113" i="23" s="1"/>
  <c r="CE46" i="23"/>
  <c r="CF41" i="23" s="1"/>
  <c r="AE117" i="23" l="1"/>
  <c r="AF13" i="23"/>
  <c r="CF46" i="23"/>
  <c r="CG41" i="23" s="1"/>
  <c r="AF115" i="23" l="1"/>
  <c r="AF116" i="23"/>
  <c r="AG9" i="23"/>
  <c r="AG113" i="23" s="1"/>
  <c r="CG46" i="23"/>
  <c r="CH41" i="23" s="1"/>
  <c r="CH46" i="23" s="1"/>
  <c r="AF117" i="23" l="1"/>
  <c r="AG13" i="23"/>
  <c r="CI41" i="23"/>
  <c r="D15" i="15"/>
  <c r="AG115" i="23" l="1"/>
  <c r="AG116" i="23"/>
  <c r="AH9" i="23"/>
  <c r="AH113" i="23" s="1"/>
  <c r="AG117" i="23" l="1"/>
  <c r="AH13" i="23"/>
  <c r="AH116" i="23" l="1"/>
  <c r="AH115" i="23"/>
  <c r="AH117" i="23" s="1"/>
  <c r="AI9" i="23"/>
  <c r="AI113" i="23" s="1"/>
  <c r="AI13" i="23" l="1"/>
  <c r="AI115" i="23" l="1"/>
  <c r="AI116" i="23"/>
  <c r="AJ9" i="23"/>
  <c r="AJ113" i="23" s="1"/>
  <c r="A4" i="9"/>
  <c r="A2" i="9"/>
  <c r="A2" i="21"/>
  <c r="A2" i="27"/>
  <c r="A4" i="23"/>
  <c r="A2" i="23"/>
  <c r="A4" i="25"/>
  <c r="A2" i="25"/>
  <c r="A4" i="15"/>
  <c r="A2" i="15"/>
  <c r="A4" i="2"/>
  <c r="A4" i="8"/>
  <c r="A2" i="2"/>
  <c r="A2" i="8"/>
  <c r="AI117" i="23" l="1"/>
  <c r="AJ13" i="23"/>
  <c r="AJ115" i="23" l="1"/>
  <c r="AJ116" i="23"/>
  <c r="AK9" i="23"/>
  <c r="AK113" i="23" s="1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E7" i="27"/>
  <c r="AJ117" i="23" l="1"/>
  <c r="AK13" i="23"/>
  <c r="AK115" i="23" l="1"/>
  <c r="AK116" i="23"/>
  <c r="AL9" i="23"/>
  <c r="AL113" i="23" s="1"/>
  <c r="D13" i="27"/>
  <c r="D18" i="25"/>
  <c r="AK117" i="23" l="1"/>
  <c r="AL13" i="23"/>
  <c r="A10" i="25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L116" i="23" l="1"/>
  <c r="AL115" i="23"/>
  <c r="AM9" i="23"/>
  <c r="AM113" i="23" s="1"/>
  <c r="CM72" i="23"/>
  <c r="CK72" i="23"/>
  <c r="CI72" i="23"/>
  <c r="CI73" i="23" s="1"/>
  <c r="CL72" i="23"/>
  <c r="CM64" i="23"/>
  <c r="CK64" i="23"/>
  <c r="CI64" i="23"/>
  <c r="CI65" i="23" s="1"/>
  <c r="CL64" i="23"/>
  <c r="CK45" i="23"/>
  <c r="CJ45" i="23"/>
  <c r="CM45" i="23"/>
  <c r="CL45" i="23"/>
  <c r="CI45" i="23"/>
  <c r="CI46" i="23" s="1"/>
  <c r="CJ41" i="23" s="1"/>
  <c r="CI37" i="23"/>
  <c r="CK37" i="23"/>
  <c r="CK29" i="23"/>
  <c r="CJ12" i="23"/>
  <c r="CI12" i="23"/>
  <c r="CK12" i="23"/>
  <c r="CL6" i="23"/>
  <c r="CM6" i="23" s="1"/>
  <c r="AL117" i="23" l="1"/>
  <c r="CJ60" i="23"/>
  <c r="E12" i="25"/>
  <c r="CJ68" i="23"/>
  <c r="F12" i="25"/>
  <c r="CI38" i="23"/>
  <c r="AM13" i="23"/>
  <c r="D12" i="25"/>
  <c r="CJ72" i="23"/>
  <c r="CJ37" i="23"/>
  <c r="AM115" i="23" l="1"/>
  <c r="AM116" i="23"/>
  <c r="CJ73" i="23"/>
  <c r="CK68" i="23" s="1"/>
  <c r="CK73" i="23" s="1"/>
  <c r="CJ33" i="23"/>
  <c r="CJ38" i="23" s="1"/>
  <c r="CK33" i="23" s="1"/>
  <c r="CK38" i="23" s="1"/>
  <c r="CL33" i="23" s="1"/>
  <c r="AN9" i="23"/>
  <c r="AN113" i="23" s="1"/>
  <c r="CJ46" i="23"/>
  <c r="CK41" i="23" s="1"/>
  <c r="CJ29" i="23"/>
  <c r="CJ64" i="23"/>
  <c r="CJ65" i="23" s="1"/>
  <c r="D22" i="25"/>
  <c r="AM117" i="23" l="1"/>
  <c r="AN13" i="23"/>
  <c r="CL68" i="23"/>
  <c r="CL73" i="23" s="1"/>
  <c r="CK60" i="23"/>
  <c r="CK65" i="23" s="1"/>
  <c r="CK46" i="23"/>
  <c r="CL41" i="23" s="1"/>
  <c r="E22" i="25"/>
  <c r="E14" i="1" s="1"/>
  <c r="F22" i="25"/>
  <c r="D14" i="1"/>
  <c r="CJ30" i="23"/>
  <c r="AN115" i="23" l="1"/>
  <c r="AN116" i="23"/>
  <c r="AO9" i="23"/>
  <c r="AO113" i="23" s="1"/>
  <c r="CM68" i="23"/>
  <c r="CM73" i="23" s="1"/>
  <c r="CL60" i="23"/>
  <c r="CL65" i="23" s="1"/>
  <c r="CL46" i="23"/>
  <c r="CK25" i="23"/>
  <c r="F14" i="1"/>
  <c r="AN117" i="23" l="1"/>
  <c r="CK30" i="23"/>
  <c r="AO13" i="23"/>
  <c r="CM60" i="23"/>
  <c r="CM65" i="23" s="1"/>
  <c r="CM41" i="23"/>
  <c r="CM46" i="23" s="1"/>
  <c r="AO115" i="23" l="1"/>
  <c r="AO116" i="23"/>
  <c r="CL25" i="23"/>
  <c r="AP9" i="23"/>
  <c r="AP113" i="23" s="1"/>
  <c r="CI101" i="23"/>
  <c r="AO117" i="23" l="1"/>
  <c r="CI102" i="23"/>
  <c r="E14" i="25" s="1"/>
  <c r="AP13" i="23"/>
  <c r="CJ101" i="23"/>
  <c r="AP116" i="23" l="1"/>
  <c r="AP115" i="23"/>
  <c r="AP117" i="23" s="1"/>
  <c r="CJ97" i="23"/>
  <c r="AQ9" i="23"/>
  <c r="AQ113" i="23" s="1"/>
  <c r="E24" i="25"/>
  <c r="CK101" i="23"/>
  <c r="CJ109" i="23"/>
  <c r="CJ114" i="23" s="1"/>
  <c r="CI109" i="23"/>
  <c r="CI114" i="23" s="1"/>
  <c r="CI110" i="23" l="1"/>
  <c r="F14" i="25" s="1"/>
  <c r="CJ102" i="23"/>
  <c r="AQ13" i="23"/>
  <c r="E16" i="1"/>
  <c r="CM101" i="23"/>
  <c r="CK109" i="23"/>
  <c r="CK114" i="23" s="1"/>
  <c r="D14" i="25"/>
  <c r="AQ115" i="23" l="1"/>
  <c r="AQ116" i="23"/>
  <c r="CJ105" i="23"/>
  <c r="CK97" i="23"/>
  <c r="AR9" i="23"/>
  <c r="AR113" i="23" s="1"/>
  <c r="D24" i="25"/>
  <c r="F24" i="25"/>
  <c r="CJ82" i="23"/>
  <c r="CL101" i="23"/>
  <c r="CM109" i="23"/>
  <c r="CL109" i="23"/>
  <c r="AQ117" i="23" l="1"/>
  <c r="CK102" i="23"/>
  <c r="CJ110" i="23"/>
  <c r="AR13" i="23"/>
  <c r="F16" i="1"/>
  <c r="D16" i="1"/>
  <c r="AR116" i="23" l="1"/>
  <c r="AR115" i="23"/>
  <c r="AR117" i="23" s="1"/>
  <c r="CL97" i="23"/>
  <c r="CK105" i="23"/>
  <c r="AS9" i="23"/>
  <c r="AS113" i="23" s="1"/>
  <c r="CK76" i="23"/>
  <c r="CK82" i="23" s="1"/>
  <c r="CK110" i="23" l="1"/>
  <c r="CL102" i="23"/>
  <c r="CM97" i="23" s="1"/>
  <c r="CM102" i="23" s="1"/>
  <c r="AS13" i="23"/>
  <c r="AS115" i="23" l="1"/>
  <c r="AS116" i="23"/>
  <c r="CL105" i="23"/>
  <c r="AT9" i="23"/>
  <c r="AT113" i="23" s="1"/>
  <c r="CL76" i="23"/>
  <c r="CL82" i="23" s="1"/>
  <c r="AS117" i="23" l="1"/>
  <c r="CL110" i="23"/>
  <c r="CM105" i="23" s="1"/>
  <c r="CM110" i="23" s="1"/>
  <c r="AT13" i="23"/>
  <c r="AT116" i="23" l="1"/>
  <c r="AT115" i="23"/>
  <c r="AU9" i="23"/>
  <c r="AU113" i="23" s="1"/>
  <c r="CM76" i="23"/>
  <c r="AT117" i="23" l="1"/>
  <c r="AU13" i="23"/>
  <c r="CM82" i="23"/>
  <c r="AU115" i="23" l="1"/>
  <c r="AU116" i="23"/>
  <c r="AV9" i="23"/>
  <c r="AV113" i="23" s="1"/>
  <c r="A11" i="22"/>
  <c r="A12" i="22" s="1"/>
  <c r="F14" i="22"/>
  <c r="E14" i="22"/>
  <c r="AU117" i="23" l="1"/>
  <c r="AV13" i="23"/>
  <c r="A13" i="22"/>
  <c r="A14" i="22" s="1"/>
  <c r="C14" i="22"/>
  <c r="AV115" i="23" l="1"/>
  <c r="AV116" i="23"/>
  <c r="AW9" i="23"/>
  <c r="AW113" i="23" s="1"/>
  <c r="C24" i="21"/>
  <c r="E9" i="27" s="1"/>
  <c r="E11" i="27" s="1"/>
  <c r="E15" i="27" s="1"/>
  <c r="CM11" i="23" s="1"/>
  <c r="CM12" i="23" s="1"/>
  <c r="D24" i="21"/>
  <c r="E24" i="21"/>
  <c r="F24" i="21"/>
  <c r="G24" i="21"/>
  <c r="H24" i="21"/>
  <c r="I24" i="21"/>
  <c r="J24" i="21"/>
  <c r="K24" i="21"/>
  <c r="L24" i="21"/>
  <c r="M24" i="21"/>
  <c r="N24" i="21"/>
  <c r="O24" i="21"/>
  <c r="C25" i="21"/>
  <c r="E18" i="27" s="1"/>
  <c r="E20" i="27" s="1"/>
  <c r="E24" i="27" s="1"/>
  <c r="CM28" i="23" s="1"/>
  <c r="CM29" i="23" s="1"/>
  <c r="D25" i="21"/>
  <c r="E25" i="21"/>
  <c r="F25" i="21"/>
  <c r="G25" i="21"/>
  <c r="H25" i="21"/>
  <c r="I25" i="21"/>
  <c r="J25" i="21"/>
  <c r="K25" i="21"/>
  <c r="L25" i="21"/>
  <c r="M25" i="21"/>
  <c r="N25" i="21"/>
  <c r="O25" i="21"/>
  <c r="C26" i="21"/>
  <c r="E27" i="27" s="1"/>
  <c r="E29" i="27" s="1"/>
  <c r="E33" i="27" s="1"/>
  <c r="CM36" i="23" s="1"/>
  <c r="CM37" i="23" s="1"/>
  <c r="D26" i="21"/>
  <c r="E26" i="21"/>
  <c r="F26" i="21"/>
  <c r="G26" i="21"/>
  <c r="H26" i="21"/>
  <c r="I26" i="21"/>
  <c r="J26" i="21"/>
  <c r="K26" i="21"/>
  <c r="L26" i="21"/>
  <c r="M26" i="21"/>
  <c r="N26" i="21"/>
  <c r="O26" i="21"/>
  <c r="B26" i="21"/>
  <c r="D27" i="27" s="1"/>
  <c r="D29" i="27" s="1"/>
  <c r="D33" i="27" s="1"/>
  <c r="CL36" i="23" s="1"/>
  <c r="CL37" i="23" s="1"/>
  <c r="CL38" i="23" s="1"/>
  <c r="CM33" i="23" s="1"/>
  <c r="B25" i="21"/>
  <c r="D18" i="27" s="1"/>
  <c r="D20" i="27" s="1"/>
  <c r="D24" i="27" s="1"/>
  <c r="CL28" i="23" s="1"/>
  <c r="CL29" i="23" s="1"/>
  <c r="CL30" i="23" s="1"/>
  <c r="CM25" i="23" s="1"/>
  <c r="P44" i="21"/>
  <c r="P43" i="21"/>
  <c r="P42" i="21"/>
  <c r="P41" i="21"/>
  <c r="P40" i="21"/>
  <c r="P39" i="21"/>
  <c r="P38" i="21"/>
  <c r="P37" i="21"/>
  <c r="P36" i="21"/>
  <c r="P35" i="21"/>
  <c r="P34" i="21"/>
  <c r="P33" i="21"/>
  <c r="P32" i="21"/>
  <c r="P31" i="21"/>
  <c r="B30" i="21"/>
  <c r="B24" i="21"/>
  <c r="D9" i="27" s="1"/>
  <c r="D11" i="27" s="1"/>
  <c r="D15" i="27" s="1"/>
  <c r="CL11" i="23" s="1"/>
  <c r="CL12" i="23" s="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C7" i="21"/>
  <c r="C30" i="21" s="1"/>
  <c r="CM114" i="23" l="1"/>
  <c r="AV117" i="23"/>
  <c r="CL114" i="23"/>
  <c r="AW13" i="23"/>
  <c r="CM38" i="23"/>
  <c r="F10" i="25" s="1"/>
  <c r="F16" i="25" s="1"/>
  <c r="CM30" i="23"/>
  <c r="E10" i="25" s="1"/>
  <c r="E16" i="25" s="1"/>
  <c r="P22" i="21"/>
  <c r="P25" i="21"/>
  <c r="E22" i="1" s="1"/>
  <c r="E34" i="1" s="1"/>
  <c r="P48" i="21"/>
  <c r="P47" i="21"/>
  <c r="P26" i="21"/>
  <c r="F22" i="1" s="1"/>
  <c r="F34" i="1" s="1"/>
  <c r="P24" i="21"/>
  <c r="D22" i="1" s="1"/>
  <c r="P46" i="21"/>
  <c r="D7" i="21"/>
  <c r="AW115" i="23" l="1"/>
  <c r="AW116" i="23"/>
  <c r="AX9" i="23"/>
  <c r="AX113" i="23" s="1"/>
  <c r="F20" i="25"/>
  <c r="F12" i="1" s="1"/>
  <c r="E20" i="25"/>
  <c r="E12" i="1" s="1"/>
  <c r="D30" i="21"/>
  <c r="E7" i="21"/>
  <c r="AW117" i="23" l="1"/>
  <c r="AX13" i="23"/>
  <c r="F26" i="25"/>
  <c r="E26" i="25"/>
  <c r="F7" i="21"/>
  <c r="E30" i="21"/>
  <c r="AX116" i="23" l="1"/>
  <c r="AX115" i="23"/>
  <c r="AY9" i="23"/>
  <c r="AY113" i="23" s="1"/>
  <c r="G7" i="21"/>
  <c r="F30" i="21"/>
  <c r="AX117" i="23" l="1"/>
  <c r="AY13" i="23"/>
  <c r="H7" i="21"/>
  <c r="G30" i="21"/>
  <c r="AY115" i="23" l="1"/>
  <c r="AY116" i="23"/>
  <c r="AZ9" i="23"/>
  <c r="AZ113" i="23" s="1"/>
  <c r="H30" i="21"/>
  <c r="I7" i="21"/>
  <c r="AY117" i="23" l="1"/>
  <c r="AZ13" i="23"/>
  <c r="J7" i="21"/>
  <c r="I30" i="21"/>
  <c r="AZ115" i="23" l="1"/>
  <c r="AZ116" i="23"/>
  <c r="BA9" i="23"/>
  <c r="BA113" i="23" s="1"/>
  <c r="J30" i="21"/>
  <c r="K7" i="21"/>
  <c r="AZ117" i="23" l="1"/>
  <c r="BA13" i="23"/>
  <c r="K30" i="21"/>
  <c r="L7" i="21"/>
  <c r="BA115" i="23" l="1"/>
  <c r="BA116" i="23"/>
  <c r="BA117" i="23" s="1"/>
  <c r="BB9" i="23"/>
  <c r="BB113" i="23" s="1"/>
  <c r="L30" i="21"/>
  <c r="M7" i="21"/>
  <c r="BB13" i="23" l="1"/>
  <c r="N7" i="21"/>
  <c r="M30" i="21"/>
  <c r="BB116" i="23" l="1"/>
  <c r="BB115" i="23"/>
  <c r="BB117" i="23" s="1"/>
  <c r="BC9" i="23"/>
  <c r="BC113" i="23" s="1"/>
  <c r="O7" i="21"/>
  <c r="O30" i="21" s="1"/>
  <c r="N30" i="21"/>
  <c r="BC13" i="23" l="1"/>
  <c r="A11" i="15"/>
  <c r="A12" i="15" s="1"/>
  <c r="A13" i="15" s="1"/>
  <c r="A14" i="15" s="1"/>
  <c r="A15" i="15" s="1"/>
  <c r="A16" i="15" s="1"/>
  <c r="A17" i="15" s="1"/>
  <c r="A11" i="9"/>
  <c r="A12" i="2"/>
  <c r="A13" i="2" s="1"/>
  <c r="A12" i="1"/>
  <c r="BC115" i="23" l="1"/>
  <c r="BC116" i="23"/>
  <c r="BD9" i="23"/>
  <c r="BD113" i="23" s="1"/>
  <c r="A13" i="1"/>
  <c r="A14" i="1" s="1"/>
  <c r="A15" i="1" s="1"/>
  <c r="A16" i="1" s="1"/>
  <c r="A17" i="1" s="1"/>
  <c r="A18" i="1" s="1"/>
  <c r="A19" i="1" s="1"/>
  <c r="A20" i="1" s="1"/>
  <c r="C15" i="2"/>
  <c r="A14" i="2"/>
  <c r="A15" i="2" s="1"/>
  <c r="A16" i="2" s="1"/>
  <c r="A17" i="2" s="1"/>
  <c r="A18" i="2" s="1"/>
  <c r="A19" i="2" s="1"/>
  <c r="F15" i="2"/>
  <c r="BC117" i="23" l="1"/>
  <c r="BD13" i="23"/>
  <c r="A21" i="1"/>
  <c r="A22" i="1" s="1"/>
  <c r="A23" i="1" s="1"/>
  <c r="A24" i="1" s="1"/>
  <c r="A25" i="1" s="1"/>
  <c r="A26" i="1" s="1"/>
  <c r="A27" i="1" s="1"/>
  <c r="A28" i="1" s="1"/>
  <c r="A29" i="1" s="1"/>
  <c r="A30" i="1" s="1"/>
  <c r="E15" i="2"/>
  <c r="C20" i="1"/>
  <c r="C21" i="2"/>
  <c r="A20" i="2"/>
  <c r="A21" i="2" s="1"/>
  <c r="BD115" i="23" l="1"/>
  <c r="BD116" i="23"/>
  <c r="C24" i="1"/>
  <c r="BE9" i="23"/>
  <c r="BE113" i="23" s="1"/>
  <c r="A22" i="2"/>
  <c r="A23" i="2" s="1"/>
  <c r="A24" i="2" s="1"/>
  <c r="A25" i="2" s="1"/>
  <c r="C23" i="2"/>
  <c r="C32" i="1"/>
  <c r="A31" i="1"/>
  <c r="A32" i="1" s="1"/>
  <c r="A33" i="1" s="1"/>
  <c r="A34" i="1" s="1"/>
  <c r="A35" i="1" s="1"/>
  <c r="A36" i="1" s="1"/>
  <c r="C30" i="1"/>
  <c r="C36" i="1" l="1"/>
  <c r="BD117" i="23"/>
  <c r="BE13" i="23"/>
  <c r="D23" i="18"/>
  <c r="G11" i="15" s="1"/>
  <c r="D21" i="18"/>
  <c r="E11" i="15" s="1"/>
  <c r="A26" i="2"/>
  <c r="A27" i="2" s="1"/>
  <c r="C27" i="2"/>
  <c r="D11" i="15" l="1"/>
  <c r="E13" i="15" s="1"/>
  <c r="BE115" i="23"/>
  <c r="BE116" i="23"/>
  <c r="BF9" i="23"/>
  <c r="BF113" i="23" s="1"/>
  <c r="A28" i="2"/>
  <c r="A29" i="2" s="1"/>
  <c r="C29" i="2"/>
  <c r="BE117" i="23" l="1"/>
  <c r="BF13" i="23"/>
  <c r="G13" i="15"/>
  <c r="G17" i="15" s="1"/>
  <c r="E17" i="15"/>
  <c r="F13" i="15"/>
  <c r="F17" i="15" s="1"/>
  <c r="D17" i="15" l="1"/>
  <c r="D13" i="15"/>
  <c r="BF116" i="23"/>
  <c r="BF115" i="23"/>
  <c r="BF117" i="23" s="1"/>
  <c r="BG9" i="23"/>
  <c r="BG113" i="23" s="1"/>
  <c r="D18" i="1"/>
  <c r="F18" i="1"/>
  <c r="E18" i="1"/>
  <c r="BG13" i="23" l="1"/>
  <c r="F20" i="1"/>
  <c r="F24" i="1" s="1"/>
  <c r="F19" i="2" l="1"/>
  <c r="F21" i="2" s="1"/>
  <c r="F23" i="2" s="1"/>
  <c r="BG115" i="23"/>
  <c r="BG116" i="23"/>
  <c r="BH9" i="23"/>
  <c r="BH113" i="23" s="1"/>
  <c r="F25" i="2" l="1"/>
  <c r="F27" i="2" s="1"/>
  <c r="F29" i="2" s="1"/>
  <c r="F26" i="1" s="1"/>
  <c r="F28" i="1" s="1"/>
  <c r="F30" i="1" s="1"/>
  <c r="F36" i="1" s="1"/>
  <c r="BG117" i="23"/>
  <c r="BH13" i="23"/>
  <c r="G20" i="8" l="1"/>
  <c r="G51" i="8" s="1"/>
  <c r="I51" i="8" s="1"/>
  <c r="K51" i="8" s="1"/>
  <c r="E56" i="9" s="1"/>
  <c r="F55" i="54" s="1"/>
  <c r="F32" i="1"/>
  <c r="BH115" i="23"/>
  <c r="BH116" i="23"/>
  <c r="BI9" i="23"/>
  <c r="BI113" i="23" s="1"/>
  <c r="G38" i="8" l="1"/>
  <c r="I38" i="8" s="1"/>
  <c r="K38" i="8" s="1"/>
  <c r="E43" i="9" s="1"/>
  <c r="F44" i="54" s="1"/>
  <c r="H44" i="54" s="1"/>
  <c r="G27" i="8"/>
  <c r="I27" i="8" s="1"/>
  <c r="K27" i="8" s="1"/>
  <c r="E32" i="9" s="1"/>
  <c r="F25" i="54" s="1"/>
  <c r="H25" i="54" s="1"/>
  <c r="G44" i="8"/>
  <c r="I44" i="8" s="1"/>
  <c r="K44" i="8" s="1"/>
  <c r="E49" i="9" s="1"/>
  <c r="F45" i="54" s="1"/>
  <c r="G42" i="8"/>
  <c r="I42" i="8" s="1"/>
  <c r="K42" i="8" s="1"/>
  <c r="E47" i="9" s="1"/>
  <c r="F48" i="54" s="1"/>
  <c r="H48" i="54" s="1"/>
  <c r="I20" i="8"/>
  <c r="K20" i="8" s="1"/>
  <c r="E25" i="9" s="1"/>
  <c r="F24" i="54" s="1"/>
  <c r="H24" i="54" s="1"/>
  <c r="G25" i="8"/>
  <c r="I25" i="8" s="1"/>
  <c r="K25" i="8" s="1"/>
  <c r="E30" i="9" s="1"/>
  <c r="F29" i="54" s="1"/>
  <c r="H29" i="54" s="1"/>
  <c r="G50" i="8"/>
  <c r="I50" i="8" s="1"/>
  <c r="K50" i="8" s="1"/>
  <c r="E55" i="9" s="1"/>
  <c r="F54" i="54" s="1"/>
  <c r="H54" i="54" s="1"/>
  <c r="G41" i="8"/>
  <c r="I41" i="8" s="1"/>
  <c r="K41" i="8" s="1"/>
  <c r="E46" i="9" s="1"/>
  <c r="F47" i="54" s="1"/>
  <c r="H47" i="54" s="1"/>
  <c r="G34" i="8"/>
  <c r="I34" i="8" s="1"/>
  <c r="K34" i="8" s="1"/>
  <c r="E39" i="9" s="1"/>
  <c r="F37" i="54" s="1"/>
  <c r="H37" i="54" s="1"/>
  <c r="G30" i="8"/>
  <c r="I30" i="8" s="1"/>
  <c r="K30" i="8" s="1"/>
  <c r="E35" i="9" s="1"/>
  <c r="F33" i="54" s="1"/>
  <c r="H33" i="54" s="1"/>
  <c r="G35" i="8"/>
  <c r="I35" i="8" s="1"/>
  <c r="K35" i="8" s="1"/>
  <c r="E40" i="9" s="1"/>
  <c r="F38" i="54" s="1"/>
  <c r="H38" i="54" s="1"/>
  <c r="G47" i="8"/>
  <c r="I47" i="8" s="1"/>
  <c r="K47" i="8" s="1"/>
  <c r="E52" i="9" s="1"/>
  <c r="F52" i="54" s="1"/>
  <c r="H52" i="54" s="1"/>
  <c r="G24" i="8"/>
  <c r="I24" i="8" s="1"/>
  <c r="K24" i="8" s="1"/>
  <c r="E29" i="9" s="1"/>
  <c r="F28" i="54" s="1"/>
  <c r="H28" i="54" s="1"/>
  <c r="G23" i="8"/>
  <c r="I23" i="8" s="1"/>
  <c r="K23" i="8" s="1"/>
  <c r="E28" i="9" s="1"/>
  <c r="G33" i="8"/>
  <c r="I33" i="8" s="1"/>
  <c r="K33" i="8" s="1"/>
  <c r="E38" i="9" s="1"/>
  <c r="H45" i="54"/>
  <c r="H55" i="54"/>
  <c r="BH117" i="23"/>
  <c r="BI13" i="23"/>
  <c r="E20" i="1"/>
  <c r="E24" i="1" s="1"/>
  <c r="E19" i="2" l="1"/>
  <c r="H56" i="54"/>
  <c r="T20" i="52" s="1"/>
  <c r="U20" i="52" s="1"/>
  <c r="H49" i="54"/>
  <c r="T15" i="52" s="1"/>
  <c r="H39" i="54"/>
  <c r="T18" i="52" s="1"/>
  <c r="U18" i="52" s="1"/>
  <c r="H30" i="54"/>
  <c r="T13" i="52" s="1"/>
  <c r="BI115" i="23"/>
  <c r="BI116" i="23"/>
  <c r="BI117" i="23" s="1"/>
  <c r="BJ9" i="23"/>
  <c r="BJ113" i="23" s="1"/>
  <c r="H58" i="54" l="1"/>
  <c r="T32" i="52"/>
  <c r="U32" i="52" s="1"/>
  <c r="H41" i="54"/>
  <c r="U13" i="52"/>
  <c r="U15" i="52"/>
  <c r="T34" i="52"/>
  <c r="U34" i="52" s="1"/>
  <c r="BJ13" i="23"/>
  <c r="E21" i="2"/>
  <c r="E23" i="2" s="1"/>
  <c r="E25" i="2" l="1"/>
  <c r="E27" i="2" s="1"/>
  <c r="E29" i="2" s="1"/>
  <c r="E26" i="1" s="1"/>
  <c r="E28" i="1" s="1"/>
  <c r="E30" i="1" s="1"/>
  <c r="E36" i="1" s="1"/>
  <c r="BJ116" i="23"/>
  <c r="BJ115" i="23"/>
  <c r="BJ117" i="23" s="1"/>
  <c r="BK9" i="23"/>
  <c r="BK113" i="23" s="1"/>
  <c r="G12" i="8" l="1"/>
  <c r="I12" i="8" s="1"/>
  <c r="K12" i="8" s="1"/>
  <c r="BK13" i="23"/>
  <c r="E32" i="1"/>
  <c r="BK115" i="23" l="1"/>
  <c r="BK116" i="23"/>
  <c r="G14" i="8"/>
  <c r="I14" i="8" s="1"/>
  <c r="K14" i="8" s="1"/>
  <c r="E19" i="9" s="1"/>
  <c r="F15" i="54" s="1"/>
  <c r="G17" i="8"/>
  <c r="E17" i="9"/>
  <c r="F14" i="54" s="1"/>
  <c r="I17" i="8" l="1"/>
  <c r="K17" i="8" s="1"/>
  <c r="E22" i="9" s="1"/>
  <c r="F19" i="54" s="1"/>
  <c r="H19" i="54" s="1"/>
  <c r="H21" i="54" s="1"/>
  <c r="T17" i="52" s="1"/>
  <c r="U17" i="52" s="1"/>
  <c r="H14" i="54"/>
  <c r="H15" i="54"/>
  <c r="BK117" i="23"/>
  <c r="H16" i="54" l="1"/>
  <c r="T12" i="52" s="1"/>
  <c r="T31" i="52" s="1"/>
  <c r="U31" i="52" s="1"/>
  <c r="BY9" i="23"/>
  <c r="U12" i="52" l="1"/>
  <c r="BY113" i="23"/>
  <c r="BY13" i="23"/>
  <c r="D32" i="40"/>
  <c r="D42" i="40" s="1"/>
  <c r="BY11" i="23" s="1"/>
  <c r="BY114" i="23" l="1"/>
  <c r="D34" i="40"/>
  <c r="E34" i="40" s="1"/>
  <c r="F34" i="40" s="1"/>
  <c r="G34" i="40" s="1"/>
  <c r="H34" i="40" s="1"/>
  <c r="I34" i="40" s="1"/>
  <c r="J34" i="40" s="1"/>
  <c r="K34" i="40" s="1"/>
  <c r="L34" i="40" s="1"/>
  <c r="M34" i="40" s="1"/>
  <c r="N34" i="40" s="1"/>
  <c r="BZ9" i="23" l="1"/>
  <c r="BY115" i="23"/>
  <c r="BY116" i="23"/>
  <c r="BY117" i="23" l="1"/>
  <c r="BZ113" i="23"/>
  <c r="BZ13" i="23"/>
  <c r="BZ115" i="23" l="1"/>
  <c r="BZ116" i="23"/>
  <c r="CA9" i="23"/>
  <c r="CA13" i="23" l="1"/>
  <c r="CA113" i="23"/>
  <c r="BZ117" i="23"/>
  <c r="CB9" i="23" l="1"/>
  <c r="CA116" i="23"/>
  <c r="CA115" i="23"/>
  <c r="CA117" i="23" s="1"/>
  <c r="CB13" i="23" l="1"/>
  <c r="CB113" i="23"/>
  <c r="CB116" i="23" l="1"/>
  <c r="CB115" i="23"/>
  <c r="CB117" i="23" s="1"/>
  <c r="CC9" i="23"/>
  <c r="CC13" i="23" l="1"/>
  <c r="CC113" i="23"/>
  <c r="CD9" i="23" l="1"/>
  <c r="CC116" i="23"/>
  <c r="CC115" i="23"/>
  <c r="CC117" i="23" l="1"/>
  <c r="CD13" i="23"/>
  <c r="CD113" i="23"/>
  <c r="CD115" i="23" l="1"/>
  <c r="CD116" i="23"/>
  <c r="CE9" i="23"/>
  <c r="CE13" i="23" l="1"/>
  <c r="CE113" i="23"/>
  <c r="CD117" i="23"/>
  <c r="CF9" i="23" l="1"/>
  <c r="CE115" i="23"/>
  <c r="CE116" i="23"/>
  <c r="CE117" i="23" l="1"/>
  <c r="CF13" i="23"/>
  <c r="CF113" i="23"/>
  <c r="CF116" i="23" l="1"/>
  <c r="CF115" i="23"/>
  <c r="CG9" i="23"/>
  <c r="CF117" i="23" l="1"/>
  <c r="CG113" i="23"/>
  <c r="CG13" i="23"/>
  <c r="CH9" i="23" l="1"/>
  <c r="CG115" i="23"/>
  <c r="CG116" i="23"/>
  <c r="CG117" i="23" l="1"/>
  <c r="CH113" i="23"/>
  <c r="CH13" i="23"/>
  <c r="CH115" i="23" l="1"/>
  <c r="CH116" i="23"/>
  <c r="CI9" i="23"/>
  <c r="CI13" i="23" l="1"/>
  <c r="CI113" i="23"/>
  <c r="CH117" i="23"/>
  <c r="CJ9" i="23" l="1"/>
  <c r="CI116" i="23"/>
  <c r="CI115" i="23"/>
  <c r="CI117" i="23" l="1"/>
  <c r="CJ13" i="23"/>
  <c r="CJ113" i="23"/>
  <c r="CJ116" i="23" l="1"/>
  <c r="CJ115" i="23"/>
  <c r="CK9" i="23"/>
  <c r="CJ117" i="23" l="1"/>
  <c r="CK13" i="23"/>
  <c r="CK113" i="23"/>
  <c r="CL9" i="23" l="1"/>
  <c r="CK116" i="23"/>
  <c r="CK115" i="23"/>
  <c r="CK117" i="23" l="1"/>
  <c r="CL13" i="23"/>
  <c r="CL113" i="23"/>
  <c r="CL115" i="23" l="1"/>
  <c r="CL116" i="23"/>
  <c r="CM9" i="23"/>
  <c r="CL117" i="23" l="1"/>
  <c r="CM13" i="23"/>
  <c r="CM113" i="23"/>
  <c r="D10" i="25" l="1"/>
  <c r="CM115" i="23"/>
  <c r="CM116" i="23"/>
  <c r="CM117" i="23" l="1"/>
  <c r="D20" i="25"/>
  <c r="D16" i="25"/>
  <c r="D26" i="25" l="1"/>
  <c r="D12" i="1"/>
  <c r="D20" i="1" s="1"/>
  <c r="D24" i="1" s="1"/>
  <c r="D19" i="2" l="1"/>
  <c r="D21" i="2" s="1"/>
  <c r="D23" i="2" s="1"/>
  <c r="D25" i="2" s="1"/>
  <c r="D27" i="2" s="1"/>
  <c r="D29" i="2" s="1"/>
  <c r="D26" i="1" s="1"/>
  <c r="E11" i="9" l="1"/>
  <c r="F11" i="54" s="1"/>
  <c r="E14" i="9"/>
  <c r="D28" i="1"/>
  <c r="D30" i="1" s="1"/>
  <c r="D32" i="1" s="1"/>
  <c r="G23" i="53" l="1"/>
  <c r="G25" i="53" s="1"/>
  <c r="H11" i="54"/>
  <c r="T10" i="52" l="1"/>
  <c r="H60" i="54"/>
  <c r="G42" i="53"/>
  <c r="H25" i="53"/>
  <c r="H36" i="53" s="1"/>
  <c r="H38" i="53" s="1"/>
  <c r="H39" i="53" s="1"/>
  <c r="H40" i="53" s="1"/>
  <c r="G36" i="53"/>
  <c r="T23" i="52" l="1"/>
  <c r="U10" i="52"/>
  <c r="T30" i="52"/>
  <c r="T37" i="52" l="1"/>
  <c r="U30" i="52"/>
  <c r="U23" i="52"/>
  <c r="T26" i="52"/>
  <c r="U26" i="52" s="1"/>
  <c r="T40" i="52" l="1"/>
  <c r="U40" i="52" s="1"/>
  <c r="U37" i="52"/>
</calcChain>
</file>

<file path=xl/comments1.xml><?xml version="1.0" encoding="utf-8"?>
<comments xmlns="http://schemas.openxmlformats.org/spreadsheetml/2006/main">
  <authors>
    <author>Paul Schmidt</author>
  </authors>
  <commentList>
    <comment ref="AD80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80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80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80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80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</commentList>
</comments>
</file>

<file path=xl/comments2.xml><?xml version="1.0" encoding="utf-8"?>
<comments xmlns="http://schemas.openxmlformats.org/spreadsheetml/2006/main">
  <authors>
    <author>Kelly Xu</author>
  </authors>
  <commentList>
    <comment ref="B8" authorId="0" shape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Therms from the UBR report</t>
        </r>
      </text>
    </comment>
  </commentList>
</comments>
</file>

<file path=xl/sharedStrings.xml><?xml version="1.0" encoding="utf-8"?>
<sst xmlns="http://schemas.openxmlformats.org/spreadsheetml/2006/main" count="1224" uniqueCount="487">
  <si>
    <t>Puget Sound Energy</t>
  </si>
  <si>
    <t>Gas Decoupling Mechanism</t>
  </si>
  <si>
    <t>Line</t>
  </si>
  <si>
    <t>Schedules</t>
  </si>
  <si>
    <t>No.</t>
  </si>
  <si>
    <t>Source</t>
  </si>
  <si>
    <t>23 &amp; 53</t>
  </si>
  <si>
    <t>31 &amp; 31T</t>
  </si>
  <si>
    <t>41, 41T, 86 &amp; 86T</t>
  </si>
  <si>
    <t>(a)</t>
  </si>
  <si>
    <t>(b)</t>
  </si>
  <si>
    <t>(c)</t>
  </si>
  <si>
    <t>(d)</t>
  </si>
  <si>
    <t>(e)</t>
  </si>
  <si>
    <t>Work Paper</t>
  </si>
  <si>
    <t>Total Balance to Amortize</t>
  </si>
  <si>
    <t>Forecasted Rate Year Base Sales (therms)</t>
  </si>
  <si>
    <t>Rate Year Amortization Rate ($/therm)</t>
  </si>
  <si>
    <t>Post-Rate Test Amortization Rate ($/therm)</t>
  </si>
  <si>
    <t>Post-Rate Test Deferred Balance to Recover/(Refund)</t>
  </si>
  <si>
    <t>Calculation</t>
  </si>
  <si>
    <t xml:space="preserve">Post-Rate Test Total Balance for Amortization </t>
  </si>
  <si>
    <t>Post-Rate Test Deferred Balance not Amortized</t>
  </si>
  <si>
    <t>Rate Year Decoupled Revenue</t>
  </si>
  <si>
    <t>Change from Rate Year Decoupled Revenue (1)</t>
  </si>
  <si>
    <t>(1) Used to develop amortization rates for these decoupling groups</t>
  </si>
  <si>
    <t>Average Rate ($/therm)</t>
  </si>
  <si>
    <t>Current Schedule 142 Delivery Margin Amortization Rate ($/therm)</t>
  </si>
  <si>
    <t>Proposed Schedule 142 Delivery Margin Amortization Rate ($/therm)</t>
  </si>
  <si>
    <t>Incremental Change in Volumetric Delivery Revenue per Unit ($/therm)</t>
  </si>
  <si>
    <t>% Change to Revenues</t>
  </si>
  <si>
    <t>% above Rate Test Maximum</t>
  </si>
  <si>
    <t>Adjust Schedule 142 Delivery Margin Amortization Rate ($/therm)</t>
  </si>
  <si>
    <t>Post-Rate Test Schedule 142 Delivery Margin Amortization Rate ($/therm)</t>
  </si>
  <si>
    <t>Sched 142</t>
  </si>
  <si>
    <t>Rate</t>
  </si>
  <si>
    <t>Volume</t>
  </si>
  <si>
    <t>Margin</t>
  </si>
  <si>
    <t>Margin Rate</t>
  </si>
  <si>
    <t>Sched 101</t>
  </si>
  <si>
    <t>Sched 106</t>
  </si>
  <si>
    <t>Sched 120</t>
  </si>
  <si>
    <t>Sched 129</t>
  </si>
  <si>
    <t>Sched 140</t>
  </si>
  <si>
    <t>Decoupling</t>
  </si>
  <si>
    <t>Sched 149</t>
  </si>
  <si>
    <t>Rate Class</t>
  </si>
  <si>
    <t>Schedule</t>
  </si>
  <si>
    <t>$/Therm</t>
  </si>
  <si>
    <t>Margin Revenue</t>
  </si>
  <si>
    <t>Revenue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</si>
  <si>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</si>
  <si>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</si>
  <si>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</si>
  <si>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</si>
  <si>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</si>
  <si>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</si>
  <si>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</si>
  <si>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</si>
  <si>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</si>
  <si>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</si>
  <si>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</si>
  <si>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</si>
  <si>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</si>
  <si>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</si>
  <si>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</si>
  <si>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Q</t>
  </si>
  <si>
    <t xml:space="preserve">R </t>
  </si>
  <si>
    <t>Residential</t>
  </si>
  <si>
    <t>23,53</t>
  </si>
  <si>
    <t>Commercial &amp; Industrial</t>
  </si>
  <si>
    <t>Commercial &amp; Industrial Transportation</t>
  </si>
  <si>
    <t>31T</t>
  </si>
  <si>
    <t>Total</t>
  </si>
  <si>
    <t>Large Volume</t>
  </si>
  <si>
    <t>Large Volume Transportation</t>
  </si>
  <si>
    <t>41T</t>
  </si>
  <si>
    <t>Limited Interruptible</t>
  </si>
  <si>
    <t>Limited Interruptible Transportation</t>
  </si>
  <si>
    <t>86T</t>
  </si>
  <si>
    <t>Line No.</t>
  </si>
  <si>
    <t>Actual Customers</t>
  </si>
  <si>
    <t xml:space="preserve">  Schedules 23 &amp; 53</t>
  </si>
  <si>
    <t>Allowed Delivery Revenue Per Customer (1)</t>
  </si>
  <si>
    <t>Total Delivery Margin Revenue</t>
  </si>
  <si>
    <t>(1) Includes Basic &amp; Minimum Charge Revenues</t>
  </si>
  <si>
    <t>Maximum Net Operating Income</t>
  </si>
  <si>
    <t>Difference</t>
  </si>
  <si>
    <t xml:space="preserve">Delivery Margin Revenue </t>
  </si>
  <si>
    <t>Allocation Factor</t>
  </si>
  <si>
    <t>% of (2c)</t>
  </si>
  <si>
    <t xml:space="preserve">Total Earnings Sharing </t>
  </si>
  <si>
    <t>Allocation of Earnings Sharing</t>
  </si>
  <si>
    <t>(6c) x (4)</t>
  </si>
  <si>
    <t>Schedule 142</t>
  </si>
  <si>
    <t xml:space="preserve">Proposed Rates </t>
  </si>
  <si>
    <t>Proposed 142</t>
  </si>
  <si>
    <t>Units</t>
  </si>
  <si>
    <t>Rates</t>
  </si>
  <si>
    <t>Adder % *</t>
  </si>
  <si>
    <t>w/ Sch 142 Rates</t>
  </si>
  <si>
    <t>Adjusting Rates</t>
  </si>
  <si>
    <t>(e) = (c) x (d)</t>
  </si>
  <si>
    <t>(f) = (e) - (c)</t>
  </si>
  <si>
    <t>Schedule 31 Commercial &amp; Industrial - Sales</t>
  </si>
  <si>
    <t>Delivery Charge</t>
  </si>
  <si>
    <t>Procurement Charge</t>
  </si>
  <si>
    <t>Schedule 31 Commercial &amp; Industrial - Transportation</t>
  </si>
  <si>
    <t>Schedule 41 Large Volume High Load Factor - Sales</t>
  </si>
  <si>
    <t>Demand Charge</t>
  </si>
  <si>
    <t>Delivery Charge:</t>
  </si>
  <si>
    <t>Schedule 41 Large Volume High Load Factor - Transportation</t>
  </si>
  <si>
    <t>Schedule 86 Limited Interruptible - Sales</t>
  </si>
  <si>
    <t>First 1,000 therms</t>
  </si>
  <si>
    <t>All over 1,000 therms</t>
  </si>
  <si>
    <t>Schedule 86 Limited Interruptible - Transportation</t>
  </si>
  <si>
    <t xml:space="preserve">Total Proposed  </t>
  </si>
  <si>
    <t xml:space="preserve">Schedule 142 </t>
  </si>
  <si>
    <t>Amortization Rates</t>
  </si>
  <si>
    <t>Schedule 23 Residential</t>
  </si>
  <si>
    <t>Schedule 53 Residential Propane</t>
  </si>
  <si>
    <t>Forecasted</t>
  </si>
  <si>
    <t>Volume (Therms)</t>
  </si>
  <si>
    <t>Residential Gas Lights</t>
  </si>
  <si>
    <t>Interruptible</t>
  </si>
  <si>
    <t>Non-exclusive Interruptible</t>
  </si>
  <si>
    <t>Interruptible Transportation</t>
  </si>
  <si>
    <t>85T</t>
  </si>
  <si>
    <t>Non-exclusive Interruptible Transportation</t>
  </si>
  <si>
    <t>87T</t>
  </si>
  <si>
    <t>Contracts</t>
  </si>
  <si>
    <t>By Customer Class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</si>
  <si>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</si>
  <si>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</si>
  <si>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</si>
  <si>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</si>
  <si>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</si>
  <si>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</si>
  <si>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Subtotal</t>
  </si>
  <si>
    <t>Sch 142</t>
  </si>
  <si>
    <t>Proposed</t>
  </si>
  <si>
    <t>Current</t>
  </si>
  <si>
    <t>Percent</t>
  </si>
  <si>
    <t>Change</t>
  </si>
  <si>
    <t>Current Rates</t>
  </si>
  <si>
    <t>23/53</t>
  </si>
  <si>
    <t>Commercial &amp; industrial</t>
  </si>
  <si>
    <t>Large volume</t>
  </si>
  <si>
    <t>901 to 5,000 therms</t>
  </si>
  <si>
    <t>Over 5,000 therms</t>
  </si>
  <si>
    <t>Large volume - Trans.</t>
  </si>
  <si>
    <t>Large Volume Total</t>
  </si>
  <si>
    <t>41/41T</t>
  </si>
  <si>
    <t>Over 1,000 therms</t>
  </si>
  <si>
    <t>Limited Interruptible - Trans.</t>
  </si>
  <si>
    <t>Limited Interruptible Total</t>
  </si>
  <si>
    <t>86/86T</t>
  </si>
  <si>
    <t>Charges</t>
  </si>
  <si>
    <t>Volume (therms)</t>
  </si>
  <si>
    <t>Customer charge ($/month)</t>
  </si>
  <si>
    <t>Basic charge</t>
  </si>
  <si>
    <t>Volumetric charges ($/therm)</t>
  </si>
  <si>
    <t>Delivery charge (Schedule 23)</t>
  </si>
  <si>
    <t>Property tax charge (Schedule 140)</t>
  </si>
  <si>
    <t>Decoupling charge (Schedule 142)</t>
  </si>
  <si>
    <t>Low income charge (Schedule 129)</t>
  </si>
  <si>
    <t>Conservation charge (Schedule 120)</t>
  </si>
  <si>
    <t>Merger rate credit (Schedule 132)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</si>
  <si>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</si>
  <si>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</si>
  <si>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</si>
  <si>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</si>
  <si>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</si>
  <si>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</si>
  <si>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</si>
  <si>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Conversion Factor</t>
  </si>
  <si>
    <t>Development of Delivery Margin Amortization Rate</t>
  </si>
  <si>
    <t>Forecast Delivered Sales Volumes and Customer Counts</t>
  </si>
  <si>
    <t>Projected Delivered Sales Volume by Month (Therms)</t>
  </si>
  <si>
    <t>Rate Schedule</t>
  </si>
  <si>
    <t>Contract</t>
  </si>
  <si>
    <t xml:space="preserve">Projected Customers by Month </t>
  </si>
  <si>
    <t>Average</t>
  </si>
  <si>
    <t>Schedules 23 &amp; 53</t>
  </si>
  <si>
    <t>Schedules 31 &amp; 31T</t>
  </si>
  <si>
    <t>Schedules 41, 41T, 86 &amp; 86T</t>
  </si>
  <si>
    <t>Development of Delivery Revenue Per Unit Rates ($/therm)</t>
  </si>
  <si>
    <t>31 &amp; 31T*</t>
  </si>
  <si>
    <t>41, 41T, 86 &amp; 86T*</t>
  </si>
  <si>
    <t>Test Year Delivery Revenue</t>
  </si>
  <si>
    <t>Test Year Base Sales (therms)</t>
  </si>
  <si>
    <t>Volumetric Delivery Revenue Per Unit ($/therm)</t>
  </si>
  <si>
    <t>* Actual delivery revenue will be calculated using actual delivery rates.</t>
  </si>
  <si>
    <t>Acct No.</t>
  </si>
  <si>
    <t xml:space="preserve">Sch. 23 &amp; 53 Decoupling Refund/Surcharge Amortization </t>
  </si>
  <si>
    <t>Beginning</t>
  </si>
  <si>
    <t>Transfer Deferral Amounts to Surcharge/Refund Account</t>
  </si>
  <si>
    <t>Surcharge/Refund Amortization</t>
  </si>
  <si>
    <t>Total Month</t>
  </si>
  <si>
    <t>Ending</t>
  </si>
  <si>
    <t xml:space="preserve">Sch. 31 &amp; 31T Decoupling Refund/Surcharge Amortization </t>
  </si>
  <si>
    <t>Allocation of Non-Residential Amortization Amounts</t>
  </si>
  <si>
    <t xml:space="preserve">Sch. 41, 41T, 86 &amp; 86T Decoupling Refund/Surcharge Amortization </t>
  </si>
  <si>
    <t>Current Sch. 23 &amp; 53 Decoupling Deferral</t>
  </si>
  <si>
    <t>PSE Deferral</t>
  </si>
  <si>
    <t>Current Sch. 31 &amp; 31T Decoupling Deferral</t>
  </si>
  <si>
    <t>Allocation of Non-Residential Deferral Amounts</t>
  </si>
  <si>
    <t>Current Sch. 41, 41T, 86 &amp; 86T Decoupling Deferral</t>
  </si>
  <si>
    <t>Interest on Sch. 23 &amp; 53 Decoupling Deferral</t>
  </si>
  <si>
    <t xml:space="preserve">Activity </t>
  </si>
  <si>
    <t>Interest on Sch. 31 &amp; 31T Decoupling Deferral</t>
  </si>
  <si>
    <t>Allocation of Non-Residential Interest Amounts</t>
  </si>
  <si>
    <t>Interest on 41, 41T, 86 &amp; 86T Decoupling Deferral</t>
  </si>
  <si>
    <t xml:space="preserve">Total </t>
  </si>
  <si>
    <t>Less:  Acct. being Amortized</t>
  </si>
  <si>
    <t>Current Period Under/(Over) Recovered</t>
  </si>
  <si>
    <t>Check</t>
  </si>
  <si>
    <t>Actual</t>
  </si>
  <si>
    <t>Recovery of Deferral Balance by Rate Group</t>
  </si>
  <si>
    <t>Exhibit 9</t>
  </si>
  <si>
    <t xml:space="preserve">Total Balance   </t>
  </si>
  <si>
    <t>(2) + (4) + (6)</t>
  </si>
  <si>
    <t>Amortization Balance including Revenue Senstive Items</t>
  </si>
  <si>
    <t>(2) / (10)</t>
  </si>
  <si>
    <t>Estimated Deferral Balance including Revenue Sensitive Items</t>
  </si>
  <si>
    <t>(4) / (10)</t>
  </si>
  <si>
    <t>Interest Balance including Revenue Sensitive Items</t>
  </si>
  <si>
    <t>(6) / (10)</t>
  </si>
  <si>
    <t>Total Balance including Revenue Sensitive Items</t>
  </si>
  <si>
    <t>(12) + (14) + (16)</t>
  </si>
  <si>
    <t>CONVERSION FACTOR</t>
  </si>
  <si>
    <t>LINE</t>
  </si>
  <si>
    <t>NO.</t>
  </si>
  <si>
    <t>DESCRIPTION</t>
  </si>
  <si>
    <t>RATE</t>
  </si>
  <si>
    <t>AMOUNT</t>
  </si>
  <si>
    <t>BAD DEBTS</t>
  </si>
  <si>
    <t>ANNUAL FILING FEE</t>
  </si>
  <si>
    <t>STATE UTILITY TAX ( 3.852% - ( LINE 1 * 3.852% )  )</t>
  </si>
  <si>
    <t>SUM OF TAXES OTHER</t>
  </si>
  <si>
    <t>CONVERSION FACTOR EXCLUDING FEDERAL INCOME TAX ( 1 - LINE 5)</t>
  </si>
  <si>
    <t>FEDERAL INCOME TAX ( LINE 7 * 35%)</t>
  </si>
  <si>
    <t>Projected</t>
  </si>
  <si>
    <t>Therms</t>
  </si>
  <si>
    <t>Deferral Amortization Rate ($/Therm)</t>
  </si>
  <si>
    <t>Deferral Amortization</t>
  </si>
  <si>
    <t>Remove Rev Sensitive Items (Conversion Factor)</t>
  </si>
  <si>
    <t>Deferral Amortization Net of Rev Sensitive Items</t>
  </si>
  <si>
    <t>Deferral Amortization Rate ($/Therm)*</t>
  </si>
  <si>
    <t>*Represents a blended rate not the tariffed rates</t>
  </si>
  <si>
    <t xml:space="preserve">Schedule 23 &amp; 53 Refund/Surcharge Amortization </t>
  </si>
  <si>
    <t xml:space="preserve">Schedule 31 &amp; 31T Refund/Surcharge Amortization </t>
  </si>
  <si>
    <t xml:space="preserve">Schedule 41, 41T, 86 &amp; 86T Refund/Surcharge Amortization </t>
  </si>
  <si>
    <t>Annual Rate Test (Limit 5%)</t>
  </si>
  <si>
    <t>Rate Sch.</t>
  </si>
  <si>
    <t>Calendarized Volume According to Unbilled Report (Therms)</t>
  </si>
  <si>
    <t>Residential lamps</t>
  </si>
  <si>
    <t>Propane</t>
  </si>
  <si>
    <t>General service - commercial</t>
  </si>
  <si>
    <t>Large volume - commercial</t>
  </si>
  <si>
    <t>Emergency Compressed Nature Gas Service</t>
  </si>
  <si>
    <t>Interruptible with firm option - com</t>
  </si>
  <si>
    <t>Limited interrupt w/ firm option - com</t>
  </si>
  <si>
    <t>Non-exclus interrupt/firm option - com</t>
  </si>
  <si>
    <t>General service - industrial</t>
  </si>
  <si>
    <t>Large volume - industrial</t>
  </si>
  <si>
    <t>Interruptible with firm option - ind</t>
  </si>
  <si>
    <t>Limited interrupt w/ firm option - ind</t>
  </si>
  <si>
    <t>Non-excl interrupt w/ firm option - ind</t>
  </si>
  <si>
    <t>Trans.  - commercial</t>
  </si>
  <si>
    <t>Trans. large volume - commercial</t>
  </si>
  <si>
    <t>Trans. interrupt with firm option - com</t>
  </si>
  <si>
    <t>Trans. non-exclus inter w/ firm option - com</t>
  </si>
  <si>
    <t>Trans. large volume - industrial</t>
  </si>
  <si>
    <t>Trans. interrupt with firm option - ind</t>
  </si>
  <si>
    <t>Trans. limited interrupt w/ firm option - ind</t>
  </si>
  <si>
    <t>Trans. non-exclus inter w/ firm option - ind</t>
  </si>
  <si>
    <t>Special contracts - ind</t>
  </si>
  <si>
    <t>SC</t>
  </si>
  <si>
    <t>Total sales &amp; transportation volume</t>
  </si>
  <si>
    <t>Subtotal transportation</t>
  </si>
  <si>
    <t>Customer Counts</t>
  </si>
  <si>
    <t>Standby &amp; auxiliary heating - res</t>
  </si>
  <si>
    <t xml:space="preserve">General service - commercial </t>
  </si>
  <si>
    <t xml:space="preserve">Large volume - commercial </t>
  </si>
  <si>
    <t>Standby &amp; auxiliary heating - com</t>
  </si>
  <si>
    <t>Non-excl interrupt w/ firm option - com</t>
  </si>
  <si>
    <t>Standby &amp; auxiliary heating - ind</t>
  </si>
  <si>
    <t>Usage Per Customer (Therms)</t>
  </si>
  <si>
    <t>Weather Data</t>
  </si>
  <si>
    <t>Actual heating degree days (HDD)</t>
  </si>
  <si>
    <t>Normal heating degree days (HDD)</t>
  </si>
  <si>
    <t>Difference (actual - normal HDD)</t>
  </si>
  <si>
    <t>Weather Normalization Coefficients</t>
  </si>
  <si>
    <t>Weather Normalized Usage per Customer (Therms)</t>
  </si>
  <si>
    <t>Weather Normalized Volume - Rate Class Analysis (Therms)</t>
  </si>
  <si>
    <t>Total weather normalized portion of volume</t>
  </si>
  <si>
    <t>Weather Adjustment to Volume - Rate Class Analysis (Therms)</t>
  </si>
  <si>
    <t>Total adjustment</t>
  </si>
  <si>
    <t>Percent change</t>
  </si>
  <si>
    <t>Weather Adjustment by Group - System Level Analysis (Therms)</t>
  </si>
  <si>
    <t>Firm</t>
  </si>
  <si>
    <t>Transportation</t>
  </si>
  <si>
    <t>Weather Adjustment to Volume - System Level Analysis Spread to Rate Classes (Therms)</t>
  </si>
  <si>
    <t>Weather Normalized Volume - System Level Analysis (Therms)</t>
  </si>
  <si>
    <t>Residential lights</t>
  </si>
  <si>
    <t>Trans. - commercial</t>
  </si>
  <si>
    <t>Total other volume</t>
  </si>
  <si>
    <t>Total weather normalized volume</t>
  </si>
  <si>
    <t>Weather Adjustment by Rate Class (Therms)</t>
  </si>
  <si>
    <t>Residential (16)</t>
  </si>
  <si>
    <t>Residential (23,53)</t>
  </si>
  <si>
    <t>Commercial &amp; industrial (31)</t>
  </si>
  <si>
    <t>Large volume (41)</t>
  </si>
  <si>
    <t>Compressed natural gas (50)</t>
  </si>
  <si>
    <t>Standby &amp; auxiliary heating (61)</t>
  </si>
  <si>
    <t>Interruptible (85)</t>
  </si>
  <si>
    <t>Limited interruptible (86)</t>
  </si>
  <si>
    <t>Non exclusive interruptible (87)</t>
  </si>
  <si>
    <t>Trans. General services (31T)</t>
  </si>
  <si>
    <t>Trans. large volume (41T)</t>
  </si>
  <si>
    <t>Trans. interrupt with firm option (85T)</t>
  </si>
  <si>
    <t>Trans. limited interrupt w/ firm option - ind (86T)</t>
  </si>
  <si>
    <t>Trans. non-exclus inter w/firm option (87T)</t>
  </si>
  <si>
    <t>Summary of Weather Normalized Volume by Rate Class (Therms)</t>
  </si>
  <si>
    <t>Trans. limited interrupt w/ firm option (86T)</t>
  </si>
  <si>
    <t>Total sales and transport volume</t>
  </si>
  <si>
    <t>Summary of Customer Counts by Rate Groups</t>
  </si>
  <si>
    <t xml:space="preserve">Residential (16,23,53) </t>
  </si>
  <si>
    <t>Standby service (61)</t>
  </si>
  <si>
    <t>Total customer counts</t>
  </si>
  <si>
    <t>Summary of Weather Normalized Volume by Rate Groups (Therms)</t>
  </si>
  <si>
    <t>Total sales volume</t>
  </si>
  <si>
    <t>Total transportation volume</t>
  </si>
  <si>
    <t>Weather Normalized Usage Per Customer (Therms)</t>
  </si>
  <si>
    <t>Residential &amp; residential propane</t>
  </si>
  <si>
    <t>General service - commercial &amp; industrial</t>
  </si>
  <si>
    <t xml:space="preserve">Large volume </t>
  </si>
  <si>
    <t xml:space="preserve">Interruptible with firm option </t>
  </si>
  <si>
    <t xml:space="preserve">Limited interrupt w/ firm option </t>
  </si>
  <si>
    <t xml:space="preserve">Non-exclus interrupt/firm option </t>
  </si>
  <si>
    <t>Development of Margin Revenue</t>
  </si>
  <si>
    <t>Description</t>
  </si>
  <si>
    <t>Development of Schedule 142 Rates for Rate Schedules 41, 41T, 86 &amp; 86T</t>
  </si>
  <si>
    <t>Summary of Proposed Rates</t>
  </si>
  <si>
    <t>Actual Therms (New Rate)</t>
  </si>
  <si>
    <t>Delivery Revenue Per Unit ($/Therm)</t>
  </si>
  <si>
    <t>Actual Therms (Old Rate)</t>
  </si>
  <si>
    <t>Total Actual Volumetric Delivery Revenue</t>
  </si>
  <si>
    <t>Deferral</t>
  </si>
  <si>
    <t>Deferral Amortization Rate ($/Therm) (New Rate)</t>
  </si>
  <si>
    <t>Delivery Revenue Deferral and Amortization Calculations</t>
  </si>
  <si>
    <t>Monthly Allowed Delivery RPC</t>
  </si>
  <si>
    <t>Allowed Delivery Revenue</t>
  </si>
  <si>
    <t>Actual Delivery Revenue</t>
  </si>
  <si>
    <t>Interest</t>
  </si>
  <si>
    <t>Cumulative Deferral &amp; Interest</t>
  </si>
  <si>
    <t>Deferral Amortization Rate ($/Therm) Old Rate)</t>
  </si>
  <si>
    <t>Cumulative Deferral &amp; Interest Net of Amortization</t>
  </si>
  <si>
    <t>Conversion Factor (ERF UG-130138)</t>
  </si>
  <si>
    <t>Conversion Factor (2017 GRC UG-170034)</t>
  </si>
  <si>
    <t>Deferral for Journal Entry</t>
  </si>
  <si>
    <t>Deferral Amorization for Journal Entry</t>
  </si>
  <si>
    <t>Amounts highlighted in green must be updated with actuals each month using customer count and volume reports from SAP Business Objects</t>
  </si>
  <si>
    <t xml:space="preserve">Amounts highlighted in orange will be updated each May when rates change by the Cost of Service Department. </t>
  </si>
  <si>
    <t>The conversion factor should be updated as necessary when rates change and can be obtained from the Revenue Requirement Department.</t>
  </si>
  <si>
    <t>Amounts highlighted in green must be updated with actuals each month using customer count reports from SAP Business Objects</t>
  </si>
  <si>
    <t>Decoupling Account Balance</t>
  </si>
  <si>
    <t>Rate Change Impacts by Rate Schedule</t>
  </si>
  <si>
    <t>Total Forecasted</t>
  </si>
  <si>
    <t>T= S/R</t>
  </si>
  <si>
    <t>Rentals</t>
  </si>
  <si>
    <t>Typical Residential Bill Impacts</t>
  </si>
  <si>
    <t>Schedule 142 Rate Change</t>
  </si>
  <si>
    <t>CRM Charge (Schedule 149)</t>
  </si>
  <si>
    <t>Customer Class</t>
  </si>
  <si>
    <t>Decoupling Revenue</t>
  </si>
  <si>
    <t>Revenue Change</t>
  </si>
  <si>
    <t>Commercial &amp; industrial - Trans.</t>
  </si>
  <si>
    <t>Procurement Credit</t>
  </si>
  <si>
    <t>Schedule 142 Revenue Change</t>
  </si>
  <si>
    <t>Rate Base Adjustments</t>
  </si>
  <si>
    <t xml:space="preserve">Restated Rate Base </t>
  </si>
  <si>
    <t>Normalizing Adjustments</t>
  </si>
  <si>
    <t>Restated Net Operating Income (Cumulative)</t>
  </si>
  <si>
    <t>Excess Earnings (Cumulative)</t>
  </si>
  <si>
    <t>Earnings Sharing %</t>
  </si>
  <si>
    <t>After-Tax Earnings Sharing (Cumulative)</t>
  </si>
  <si>
    <t>Note: Rates above are current schedule 142 amortization rates</t>
  </si>
  <si>
    <t>Trans. limited interrupt w/ firm option - com</t>
  </si>
  <si>
    <t>Trans.  - industrial</t>
  </si>
  <si>
    <t xml:space="preserve">  Schedules 31, 31T</t>
  </si>
  <si>
    <t xml:space="preserve">  Schedules 41, 41T, 86 &amp; 86T</t>
  </si>
  <si>
    <t xml:space="preserve">Source </t>
  </si>
  <si>
    <t>Workpapers</t>
  </si>
  <si>
    <t>2018 ERF: Exh. JAP-11 Page 1/Page 2</t>
  </si>
  <si>
    <t>2018 ERF: Exh. JAP-11 Page 1</t>
  </si>
  <si>
    <t>2018 ERF: WP JAP-3</t>
  </si>
  <si>
    <t>2018 ERF</t>
  </si>
  <si>
    <t>Remove Rev Sensitive Items (2018 ERF Conversion Factor)</t>
  </si>
  <si>
    <t xml:space="preserve">Non-Residential Decoupling Refund/Surcharge Amortization </t>
  </si>
  <si>
    <t>Current Non-Residential Decoupling Deferral</t>
  </si>
  <si>
    <t>Adjustment to Remove Amortization from Actual Revenue</t>
  </si>
  <si>
    <t>Allocate Deferral Amounts to Sch. 85, 85T, 87, 87T</t>
  </si>
  <si>
    <t>Interest on Non-Residential Decoupling Deferral</t>
  </si>
  <si>
    <t>Interest Adjustment (2016)</t>
  </si>
  <si>
    <t>Allocate Interest Amounts to Sch. 85, 85T, 87, 87T</t>
  </si>
  <si>
    <t>Activity (19100022)</t>
  </si>
  <si>
    <t xml:space="preserve">Deferral Adjustment </t>
  </si>
  <si>
    <t>Activity (19100012)</t>
  </si>
  <si>
    <t>Balance Write off due to formula roundings</t>
  </si>
  <si>
    <t>Sched 141</t>
  </si>
  <si>
    <t>Sched 141X</t>
  </si>
  <si>
    <t>As Used in UE-180282 and UG-180283</t>
  </si>
  <si>
    <t>PUGET SOUND ENERGY-GAS (PER SETTLEMENT)</t>
  </si>
  <si>
    <t>ADJUSTED FOR FEDERAL TAX RATE CHANGE FROM 35% to 21%</t>
  </si>
  <si>
    <t>FOR THE TWELVE MONTHS ENDED SEPTEMBER 30, 2016</t>
  </si>
  <si>
    <t>GENERAL RATE CASE</t>
  </si>
  <si>
    <t>Sched 141Y</t>
  </si>
  <si>
    <t>Revenue (3)</t>
  </si>
  <si>
    <t>P</t>
  </si>
  <si>
    <t xml:space="preserve">S </t>
  </si>
  <si>
    <t>EDIT adjusting charge (Schedule 141X)</t>
  </si>
  <si>
    <t>Tax Reform Credit (Schedule 141Y)</t>
  </si>
  <si>
    <t>Demand</t>
  </si>
  <si>
    <t xml:space="preserve"> Gas Weather Normalization of Volume</t>
  </si>
  <si>
    <t>2020 Gas Decoupling Filing</t>
  </si>
  <si>
    <t>Proposed Effective May 1, 2020</t>
  </si>
  <si>
    <t>12 Months Ended December 31, 2019</t>
  </si>
  <si>
    <t>Trans. limited interrupt w/ firm option - Com</t>
  </si>
  <si>
    <t>CY 2019</t>
  </si>
  <si>
    <t>12ME Apr 2021</t>
  </si>
  <si>
    <t>Source: F2019 Load forecast</t>
  </si>
  <si>
    <r>
      <t xml:space="preserve">Estimated Amortization Balance as of </t>
    </r>
    <r>
      <rPr>
        <sz val="8"/>
        <color rgb="FF0000FF"/>
        <rFont val="Arial"/>
        <family val="2"/>
      </rPr>
      <t>April 30, 2020</t>
    </r>
  </si>
  <si>
    <r>
      <t xml:space="preserve">Deferral Balance at End of </t>
    </r>
    <r>
      <rPr>
        <sz val="8"/>
        <color rgb="FF0000FF"/>
        <rFont val="Arial"/>
        <family val="2"/>
      </rPr>
      <t>CY 2019</t>
    </r>
  </si>
  <si>
    <r>
      <t xml:space="preserve">Interest Balance at End of </t>
    </r>
    <r>
      <rPr>
        <sz val="8"/>
        <color rgb="FF0000FF"/>
        <rFont val="Arial"/>
        <family val="2"/>
      </rPr>
      <t>CY 2019</t>
    </r>
  </si>
  <si>
    <t>ERF adjusting charge (Schedule 141)</t>
  </si>
  <si>
    <r>
      <t>Rates</t>
    </r>
    <r>
      <rPr>
        <vertAlign val="superscript"/>
        <sz val="8"/>
        <rFont val="Arial"/>
        <family val="2"/>
      </rPr>
      <t xml:space="preserve"> (1)</t>
    </r>
  </si>
  <si>
    <t>Deferral amortization (Schedule 106A)</t>
  </si>
  <si>
    <t>Deferral amortization (Schedule 106B)</t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</si>
  <si>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Normalized Revenues </t>
    </r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</si>
  <si>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Normalized Sales (therm)</t>
    </r>
  </si>
  <si>
    <r>
      <rPr>
        <b/>
        <sz val="8"/>
        <color rgb="FF0000FF"/>
        <rFont val="Arial"/>
        <family val="2"/>
      </rPr>
      <t xml:space="preserve">CY 2019 </t>
    </r>
    <r>
      <rPr>
        <b/>
        <sz val="8"/>
        <rFont val="Arial"/>
        <family val="2"/>
      </rPr>
      <t>Normalized Volumes</t>
    </r>
  </si>
  <si>
    <r>
      <rPr>
        <b/>
        <sz val="8"/>
        <color rgb="FF0000FF"/>
        <rFont val="Arial"/>
        <family val="2"/>
      </rPr>
      <t xml:space="preserve">CY 2019 </t>
    </r>
    <r>
      <rPr>
        <b/>
        <sz val="8"/>
        <rFont val="Arial"/>
        <family val="2"/>
      </rPr>
      <t xml:space="preserve">Normalized Revenues </t>
    </r>
  </si>
  <si>
    <t>2019 Filing</t>
  </si>
  <si>
    <r>
      <t xml:space="preserve">Deferred Balance at End of </t>
    </r>
    <r>
      <rPr>
        <sz val="8"/>
        <color rgb="FF0000FF"/>
        <rFont val="Arial"/>
        <family val="2"/>
      </rPr>
      <t>CY 2019</t>
    </r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</si>
  <si>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Earnings Test Adjustment</t>
    </r>
  </si>
  <si>
    <r>
      <rPr>
        <b/>
        <sz val="8"/>
        <rFont val="Arial"/>
        <family val="2"/>
      </rPr>
      <t>Estimated Amortization through</t>
    </r>
    <r>
      <rPr>
        <b/>
        <sz val="8"/>
        <color rgb="FF0000FF"/>
        <rFont val="Arial"/>
        <family val="2"/>
      </rPr>
      <t xml:space="preserve"> April 2020</t>
    </r>
  </si>
  <si>
    <r>
      <t xml:space="preserve">Avg. Rate per @ rates effective </t>
    </r>
    <r>
      <rPr>
        <b/>
        <sz val="8"/>
        <color rgb="FF0000FF"/>
        <rFont val="Arial"/>
        <family val="2"/>
      </rPr>
      <t>11/1/2019</t>
    </r>
  </si>
  <si>
    <t>0 to 900 therms</t>
  </si>
  <si>
    <r>
      <t>Rentals</t>
    </r>
    <r>
      <rPr>
        <vertAlign val="superscript"/>
        <sz val="8"/>
        <rFont val="Arial"/>
        <family val="2"/>
      </rPr>
      <t>(2)</t>
    </r>
  </si>
  <si>
    <r>
      <t>(Therms)</t>
    </r>
    <r>
      <rPr>
        <b/>
        <vertAlign val="superscript"/>
        <sz val="8"/>
        <color theme="1"/>
        <rFont val="Arial"/>
        <family val="2"/>
      </rPr>
      <t xml:space="preserve"> (1)</t>
    </r>
  </si>
  <si>
    <r>
      <t>Revenue</t>
    </r>
    <r>
      <rPr>
        <b/>
        <vertAlign val="superscript"/>
        <sz val="8"/>
        <color theme="1"/>
        <rFont val="Arial"/>
        <family val="2"/>
      </rPr>
      <t xml:space="preserve"> (1)</t>
    </r>
  </si>
  <si>
    <t>May 2020 - April 2021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</si>
  <si>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Rates for Schedule 23 customers in effect November 1, 2019</t>
    </r>
  </si>
  <si>
    <r>
      <t xml:space="preserve">Earnings Test Allocation to </t>
    </r>
    <r>
      <rPr>
        <b/>
        <sz val="8"/>
        <color rgb="FF0000FF"/>
        <rFont val="Arial"/>
        <family val="2"/>
      </rPr>
      <t>CY2019</t>
    </r>
    <r>
      <rPr>
        <b/>
        <sz val="8"/>
        <rFont val="Arial"/>
        <family val="2"/>
      </rPr>
      <t xml:space="preserve"> Decoupling Groups</t>
    </r>
  </si>
  <si>
    <t xml:space="preserve">Average Customer counts </t>
  </si>
  <si>
    <t>Two months 17GRC; Ten months 18ERF</t>
  </si>
  <si>
    <t>Incremental Earnings Sharing for CY 2019 for Cost of Svc</t>
  </si>
  <si>
    <t>Commission basis report pg 3-A thru 3-B</t>
  </si>
  <si>
    <t>Commission basis report pg 1.01 line b</t>
  </si>
  <si>
    <t>(Source:  UE-170033/UG-170034 and UE-180899/UG-180900)</t>
  </si>
  <si>
    <t>Line 2 x Line 3</t>
  </si>
  <si>
    <t>Previous Column + Line 5</t>
  </si>
  <si>
    <t>Line 4 - Line 6</t>
  </si>
  <si>
    <t>Greater of zero or line 7</t>
  </si>
  <si>
    <t>UG-121705</t>
  </si>
  <si>
    <t>Line 8 x Line 9</t>
  </si>
  <si>
    <t>(Source:  UE-170033/UG-170034)</t>
  </si>
  <si>
    <t>Line 10 ÷ Line11, &amp; for adj:  (Line 10 - Previous Line 10) ÷ Line11</t>
  </si>
  <si>
    <t>Normalizing Adjustments to Remove</t>
  </si>
  <si>
    <t>2019 CBR as Filed</t>
  </si>
  <si>
    <t>Temp Normalization</t>
  </si>
  <si>
    <t>Rate Case Expense</t>
  </si>
  <si>
    <t>Bad Debt</t>
  </si>
  <si>
    <t>Injuries &amp; Damages</t>
  </si>
  <si>
    <t>2019 Adjusted CBR Earnings Test</t>
  </si>
  <si>
    <t>PUGET SOUND ENERGY</t>
  </si>
  <si>
    <t>Gas Earnings Sharing Test (Excludes Normalizing Adjustments per UE-170033 / UG-170034)</t>
  </si>
  <si>
    <t>Commission Basis Report</t>
  </si>
  <si>
    <t>FOR THE TWELVE MONTHS ENDED DECEMBER 31, 2019</t>
  </si>
  <si>
    <t>2020 Gas Schedule 142 Decoupling Filing</t>
  </si>
  <si>
    <t>Proposed Rates Effective May 1, 2020</t>
  </si>
  <si>
    <t>UG-180283</t>
  </si>
  <si>
    <t>(1) Weather normalized volume and margin for 12 months ending September 2016, at approved rates from UG-180283 Tax Reform compliance filing. The rates do not include schedules 140, 141 and 142.</t>
  </si>
  <si>
    <t>(2) Forecasted annual rental counts calculated using actual January 2020 count.</t>
  </si>
  <si>
    <t>(3) Forecasted revenues at current rates effective November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</si>
</sst>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0.0%"/>
    <numFmt numFmtId="168" formatCode="&quot;$&quot;#,##0\ ;\(&quot;$&quot;#,##0\)"/>
    <numFmt numFmtId="169" formatCode="&quot;$&quot;#,##0.00000"/>
    <numFmt numFmtId="170" formatCode="&quot;$&quot;#,##0.00\ ;\(&quot;$&quot;#,##0.00\)"/>
    <numFmt numFmtId="171" formatCode="0.000%"/>
    <numFmt numFmtId="172" formatCode="&quot;$&quot;#,##0.00000_);\(&quot;$&quot;#,##0.00000\)"/>
    <numFmt numFmtId="173" formatCode="&quot;$&quot;#,##0.00000\ ;\(&quot;$&quot;#,##0.00000\)"/>
    <numFmt numFmtId="174" formatCode="_(&quot;$&quot;* #,##0.00000_);_(&quot;$&quot;* \(#,##0.00000\);_(&quot;$&quot;* &quot;-&quot;?????_);_(@_)"/>
    <numFmt numFmtId="175" formatCode="_(&quot;$&quot;* #,##0.00_);_(&quot;$&quot;* \(#,##0.00\);_(&quot;$&quot;* &quot;-&quot;?????_);_(@_)"/>
    <numFmt numFmtId="176" formatCode="_(&quot;$&quot;* #,##0.00_);_(&quot;$&quot;* \(#,##0.00\);_(&quot;$&quot;* &quot;-&quot;_);_(@_)"/>
    <numFmt numFmtId="177" formatCode="#,##0.000_);\(#,##0.000\)"/>
    <numFmt numFmtId="178" formatCode="_(&quot;$&quot;* #,##0.0_);_(&quot;$&quot;* \(#,##0.0\);_(&quot;$&quot;* &quot;-&quot;??_);_(@_)"/>
    <numFmt numFmtId="179" formatCode="_(* #,##0.000000_);_(* \(#,##0.000000\);_(* &quot;-&quot;??_);_(@_)"/>
    <numFmt numFmtId="180" formatCode="0.000000"/>
    <numFmt numFmtId="181" formatCode="_(* #,##0.000000_);_(* \(#,##0.000000\);_(* &quot;-&quot;?????_);_(@_)"/>
    <numFmt numFmtId="182" formatCode="[$-409]mmm\-yy;@"/>
    <numFmt numFmtId="183" formatCode="0.0000"/>
    <numFmt numFmtId="184" formatCode="0.00000"/>
    <numFmt numFmtId="185" formatCode="#,##0;&quot;-&quot;#,##0"/>
    <numFmt numFmtId="186" formatCode="_(&quot;$&quot;* #,##0.0000_);_(&quot;$&quot;* \(#,##0.0000\);_(&quot;$&quot;* &quot;-&quot;????_);_(@_)"/>
    <numFmt numFmtId="187" formatCode="00000"/>
    <numFmt numFmtId="188" formatCode="#,##0.00000000000;[Red]\-#,##0.00000000000"/>
    <numFmt numFmtId="189" formatCode="&quot;$&quot;#,##0.00"/>
    <numFmt numFmtId="190" formatCode="_(* #,##0.000000_);_(* \(#,##0.000000\);_(* &quot;-&quot;??????_);_(@_)"/>
    <numFmt numFmtId="191" formatCode="_(&quot;$&quot;* #,##0_);_(&quot;$&quot;* \(#,##0\);_(&quot;$&quot;* &quot;-&quot;?????_);_(@_)"/>
    <numFmt numFmtId="192" formatCode="_(&quot;$&quot;* #,##0.000000_);_(&quot;$&quot;* \(#,##0.000000\);_(&quot;$&quot;* &quot;-&quot;??_);_(@_)"/>
    <numFmt numFmtId="193" formatCode="_(&quot;$&quot;* #,##0.0000000_);_(&quot;$&quot;* \(#,##0.0000000\);_(&quot;$&quot;* &quot;-&quot;??_);_(@_)"/>
    <numFmt numFmtId="194" formatCode="_(&quot;$&quot;* #,##0.00_);_(&quot;$&quot;* \(#,##0.00\);_(&quot;$&quot;* &quot;-&quot;?????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8080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sz val="8"/>
      <color indexed="12"/>
      <name val="Arial"/>
      <family val="2"/>
    </font>
    <font>
      <sz val="8"/>
      <color rgb="FF008080"/>
      <name val="Arial"/>
      <family val="2"/>
    </font>
    <font>
      <sz val="8"/>
      <color indexed="17"/>
      <name val="Arial"/>
      <family val="2"/>
    </font>
    <font>
      <sz val="8"/>
      <color theme="1"/>
      <name val="Calibri"/>
      <family val="2"/>
    </font>
    <font>
      <b/>
      <sz val="8"/>
      <color rgb="FF0000FF"/>
      <name val="Arial"/>
      <family val="2"/>
    </font>
    <font>
      <b/>
      <i/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sz val="8"/>
      <color indexed="8"/>
      <name val="Arial"/>
      <family val="2"/>
    </font>
    <font>
      <sz val="8"/>
      <color theme="8" tint="-0.249977111117893"/>
      <name val="Arial"/>
      <family val="2"/>
    </font>
    <font>
      <sz val="10"/>
      <name val="MS Sans Serif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2"/>
      <name val="Helv"/>
    </font>
    <font>
      <b/>
      <sz val="10"/>
      <name val="Arial"/>
      <family val="2"/>
    </font>
    <font>
      <sz val="10.5"/>
      <color theme="1"/>
      <name val="Calibri"/>
      <family val="2"/>
    </font>
    <font>
      <sz val="8"/>
      <name val="Helv"/>
    </font>
    <font>
      <sz val="11"/>
      <color indexed="8"/>
      <name val="Calibri"/>
      <family val="2"/>
      <scheme val="minor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i/>
      <sz val="8"/>
      <color rgb="FF0000FF"/>
      <name val="Arial"/>
      <family val="2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vertAlign val="superscript"/>
      <sz val="8"/>
      <name val="Arial"/>
      <family val="2"/>
    </font>
    <font>
      <sz val="8"/>
      <color indexed="21"/>
      <name val="Arial"/>
      <family val="2"/>
    </font>
    <font>
      <b/>
      <vertAlign val="superscript"/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3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43" fontId="24" fillId="0" borderId="0" applyFont="0" applyFill="0" applyBorder="0" applyAlignment="0" applyProtection="0"/>
    <xf numFmtId="186" fontId="1" fillId="0" borderId="0">
      <alignment horizontal="left" wrapText="1"/>
    </xf>
    <xf numFmtId="44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44" fontId="1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187" fontId="1" fillId="0" borderId="0"/>
    <xf numFmtId="2" fontId="30" fillId="0" borderId="0" applyFont="0" applyFill="0" applyBorder="0" applyAlignment="0" applyProtection="0"/>
    <xf numFmtId="38" fontId="6" fillId="7" borderId="0" applyNumberFormat="0" applyBorder="0" applyAlignment="0" applyProtection="0"/>
    <xf numFmtId="38" fontId="7" fillId="0" borderId="0"/>
    <xf numFmtId="40" fontId="7" fillId="0" borderId="0"/>
    <xf numFmtId="10" fontId="6" fillId="8" borderId="11" applyNumberFormat="0" applyBorder="0" applyAlignment="0" applyProtection="0"/>
    <xf numFmtId="44" fontId="32" fillId="0" borderId="16" applyNumberFormat="0" applyFont="0" applyAlignment="0">
      <alignment horizontal="center"/>
    </xf>
    <xf numFmtId="44" fontId="32" fillId="0" borderId="17" applyNumberFormat="0" applyFont="0" applyAlignment="0">
      <alignment horizontal="center"/>
    </xf>
    <xf numFmtId="188" fontId="1" fillId="0" borderId="0"/>
    <xf numFmtId="0" fontId="33" fillId="0" borderId="0"/>
    <xf numFmtId="180" fontId="34" fillId="0" borderId="0">
      <alignment horizontal="left" wrapText="1"/>
    </xf>
    <xf numFmtId="0" fontId="35" fillId="0" borderId="0"/>
    <xf numFmtId="0" fontId="27" fillId="0" borderId="0"/>
    <xf numFmtId="0" fontId="1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8" borderId="0"/>
    <xf numFmtId="0" fontId="31" fillId="9" borderId="0"/>
    <xf numFmtId="0" fontId="36" fillId="9" borderId="18"/>
    <xf numFmtId="0" fontId="37" fillId="10" borderId="19"/>
    <xf numFmtId="0" fontId="38" fillId="9" borderId="20"/>
    <xf numFmtId="42" fontId="39" fillId="11" borderId="5">
      <alignment vertical="center"/>
    </xf>
    <xf numFmtId="0" fontId="32" fillId="8" borderId="1" applyNumberFormat="0">
      <alignment horizontal="center" vertical="center" wrapText="1"/>
    </xf>
    <xf numFmtId="186" fontId="1" fillId="8" borderId="0"/>
    <xf numFmtId="42" fontId="40" fillId="8" borderId="21">
      <alignment horizontal="left"/>
    </xf>
    <xf numFmtId="38" fontId="6" fillId="0" borderId="22"/>
    <xf numFmtId="38" fontId="7" fillId="0" borderId="21"/>
    <xf numFmtId="180" fontId="1" fillId="0" borderId="0">
      <alignment horizontal="left" wrapText="1"/>
    </xf>
    <xf numFmtId="0" fontId="1" fillId="0" borderId="0" applyNumberFormat="0" applyBorder="0" applyAlignment="0"/>
    <xf numFmtId="0" fontId="31" fillId="0" borderId="0"/>
    <xf numFmtId="0" fontId="36" fillId="9" borderId="0"/>
    <xf numFmtId="189" fontId="41" fillId="0" borderId="0">
      <alignment horizontal="left" vertical="center"/>
    </xf>
    <xf numFmtId="0" fontId="32" fillId="8" borderId="0">
      <alignment horizontal="left" wrapText="1"/>
    </xf>
    <xf numFmtId="0" fontId="42" fillId="0" borderId="0">
      <alignment horizontal="left" vertical="center"/>
    </xf>
    <xf numFmtId="9" fontId="27" fillId="0" borderId="0" applyFont="0" applyFill="0" applyBorder="0" applyAlignment="0" applyProtection="0"/>
    <xf numFmtId="0" fontId="1" fillId="0" borderId="0"/>
    <xf numFmtId="0" fontId="35" fillId="0" borderId="0"/>
  </cellStyleXfs>
  <cellXfs count="446">
    <xf numFmtId="0" fontId="0" fillId="0" borderId="0" xfId="0"/>
    <xf numFmtId="0" fontId="4" fillId="0" borderId="0" xfId="0" applyNumberFormat="1" applyFont="1" applyAlignment="1">
      <alignment horizontal="center"/>
    </xf>
    <xf numFmtId="42" fontId="4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Font="1"/>
    <xf numFmtId="0" fontId="7" fillId="0" borderId="0" xfId="0" applyFont="1" applyFill="1" applyAlignment="1"/>
    <xf numFmtId="0" fontId="8" fillId="0" borderId="0" xfId="0" applyFont="1" applyFill="1" applyAlignment="1"/>
    <xf numFmtId="0" fontId="6" fillId="0" borderId="0" xfId="0" applyFont="1"/>
    <xf numFmtId="0" fontId="6" fillId="0" borderId="0" xfId="0" applyFont="1" applyFill="1"/>
    <xf numFmtId="0" fontId="9" fillId="0" borderId="0" xfId="0" applyFont="1" applyFill="1" applyAlignment="1"/>
    <xf numFmtId="0" fontId="10" fillId="0" borderId="0" xfId="0" applyFont="1" applyFill="1" applyAlignment="1"/>
    <xf numFmtId="0" fontId="4" fillId="0" borderId="0" xfId="0" applyFont="1" applyFill="1"/>
    <xf numFmtId="0" fontId="11" fillId="0" borderId="0" xfId="0" applyFont="1" applyFill="1" applyAlignment="1">
      <alignment horizontal="center"/>
    </xf>
    <xf numFmtId="17" fontId="12" fillId="0" borderId="0" xfId="0" applyNumberFormat="1" applyFont="1" applyFill="1" applyAlignment="1">
      <alignment horizontal="center" wrapText="1"/>
    </xf>
    <xf numFmtId="0" fontId="7" fillId="0" borderId="0" xfId="0" applyFont="1" applyAlignment="1"/>
    <xf numFmtId="0" fontId="13" fillId="0" borderId="0" xfId="0" applyFont="1" applyFill="1" applyAlignment="1">
      <alignment horizontal="left"/>
    </xf>
    <xf numFmtId="44" fontId="5" fillId="0" borderId="0" xfId="0" applyNumberFormat="1" applyFont="1" applyFill="1"/>
    <xf numFmtId="44" fontId="6" fillId="0" borderId="0" xfId="0" applyNumberFormat="1" applyFont="1" applyFill="1"/>
    <xf numFmtId="0" fontId="5" fillId="0" borderId="0" xfId="0" applyFont="1"/>
    <xf numFmtId="0" fontId="4" fillId="0" borderId="0" xfId="0" applyFont="1" applyFill="1" applyAlignment="1">
      <alignment horizontal="left"/>
    </xf>
    <xf numFmtId="43" fontId="13" fillId="0" borderId="0" xfId="0" applyNumberFormat="1" applyFont="1" applyFill="1"/>
    <xf numFmtId="0" fontId="14" fillId="0" borderId="0" xfId="0" applyFont="1"/>
    <xf numFmtId="43" fontId="15" fillId="0" borderId="0" xfId="0" applyNumberFormat="1" applyFont="1" applyFill="1"/>
    <xf numFmtId="43" fontId="5" fillId="0" borderId="0" xfId="0" applyNumberFormat="1" applyFont="1" applyFill="1"/>
    <xf numFmtId="43" fontId="6" fillId="0" borderId="5" xfId="0" applyNumberFormat="1" applyFont="1" applyFill="1" applyBorder="1"/>
    <xf numFmtId="0" fontId="16" fillId="0" borderId="0" xfId="0" applyFont="1"/>
    <xf numFmtId="0" fontId="4" fillId="0" borderId="0" xfId="0" applyFont="1"/>
    <xf numFmtId="44" fontId="6" fillId="0" borderId="0" xfId="0" applyNumberFormat="1" applyFont="1" applyFill="1" applyBorder="1"/>
    <xf numFmtId="43" fontId="6" fillId="0" borderId="1" xfId="0" applyNumberFormat="1" applyFont="1" applyFill="1" applyBorder="1"/>
    <xf numFmtId="44" fontId="6" fillId="0" borderId="2" xfId="0" applyNumberFormat="1" applyFont="1" applyFill="1" applyBorder="1"/>
    <xf numFmtId="43" fontId="6" fillId="0" borderId="0" xfId="0" applyNumberFormat="1" applyFont="1" applyFill="1"/>
    <xf numFmtId="44" fontId="6" fillId="0" borderId="3" xfId="0" applyNumberFormat="1" applyFont="1" applyFill="1" applyBorder="1"/>
    <xf numFmtId="44" fontId="6" fillId="0" borderId="0" xfId="0" applyNumberFormat="1" applyFont="1"/>
    <xf numFmtId="164" fontId="6" fillId="0" borderId="0" xfId="0" applyNumberFormat="1" applyFont="1"/>
    <xf numFmtId="178" fontId="6" fillId="0" borderId="0" xfId="0" applyNumberFormat="1" applyFont="1"/>
    <xf numFmtId="0" fontId="5" fillId="6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Font="1"/>
    <xf numFmtId="0" fontId="17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164" fontId="13" fillId="0" borderId="0" xfId="0" applyNumberFormat="1" applyFont="1" applyFill="1" applyBorder="1"/>
    <xf numFmtId="164" fontId="15" fillId="0" borderId="0" xfId="0" applyNumberFormat="1" applyFont="1" applyFill="1" applyBorder="1"/>
    <xf numFmtId="164" fontId="15" fillId="0" borderId="1" xfId="0" applyNumberFormat="1" applyFont="1" applyFill="1" applyBorder="1"/>
    <xf numFmtId="3" fontId="15" fillId="0" borderId="1" xfId="0" applyNumberFormat="1" applyFont="1" applyFill="1" applyBorder="1"/>
    <xf numFmtId="165" fontId="13" fillId="0" borderId="2" xfId="0" applyNumberFormat="1" applyFont="1" applyFill="1" applyBorder="1"/>
    <xf numFmtId="165" fontId="13" fillId="0" borderId="0" xfId="0" applyNumberFormat="1" applyFont="1" applyFill="1"/>
    <xf numFmtId="164" fontId="13" fillId="0" borderId="0" xfId="0" applyNumberFormat="1" applyFont="1" applyFill="1"/>
    <xf numFmtId="10" fontId="13" fillId="0" borderId="0" xfId="0" applyNumberFormat="1" applyFont="1" applyFill="1"/>
    <xf numFmtId="168" fontId="6" fillId="0" borderId="0" xfId="0" applyNumberFormat="1" applyFont="1" applyAlignment="1">
      <alignment horizontal="centerContinuous"/>
    </xf>
    <xf numFmtId="0" fontId="6" fillId="0" borderId="0" xfId="0" applyFont="1" applyAlignment="1"/>
    <xf numFmtId="169" fontId="6" fillId="0" borderId="0" xfId="0" applyNumberFormat="1" applyFont="1" applyAlignment="1"/>
    <xf numFmtId="0" fontId="6" fillId="0" borderId="0" xfId="0" applyFont="1" applyBorder="1" applyAlignment="1"/>
    <xf numFmtId="0" fontId="9" fillId="0" borderId="0" xfId="0" applyFont="1" applyAlignment="1"/>
    <xf numFmtId="0" fontId="15" fillId="0" borderId="0" xfId="0" applyFont="1" applyAlignment="1"/>
    <xf numFmtId="168" fontId="7" fillId="0" borderId="0" xfId="0" applyNumberFormat="1" applyFont="1" applyAlignment="1">
      <alignment horizontal="centerContinuous"/>
    </xf>
    <xf numFmtId="169" fontId="7" fillId="0" borderId="0" xfId="0" applyNumberFormat="1" applyFont="1" applyAlignment="1"/>
    <xf numFmtId="0" fontId="7" fillId="0" borderId="0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41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71" fontId="6" fillId="0" borderId="0" xfId="0" applyNumberFormat="1" applyFont="1" applyBorder="1" applyAlignment="1"/>
    <xf numFmtId="0" fontId="6" fillId="0" borderId="1" xfId="0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171" fontId="6" fillId="0" borderId="0" xfId="0" applyNumberFormat="1" applyFont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9" fontId="15" fillId="0" borderId="0" xfId="0" applyNumberFormat="1" applyFont="1" applyFill="1" applyBorder="1"/>
    <xf numFmtId="167" fontId="6" fillId="0" borderId="0" xfId="0" applyNumberFormat="1" applyFont="1" applyBorder="1" applyAlignment="1">
      <alignment horizontal="left"/>
    </xf>
    <xf numFmtId="171" fontId="6" fillId="0" borderId="0" xfId="0" applyNumberFormat="1" applyFont="1" applyBorder="1"/>
    <xf numFmtId="9" fontId="6" fillId="0" borderId="0" xfId="0" applyNumberFormat="1" applyFont="1" applyFill="1" applyBorder="1"/>
    <xf numFmtId="172" fontId="6" fillId="0" borderId="0" xfId="0" applyNumberFormat="1" applyFont="1" applyAlignment="1"/>
    <xf numFmtId="0" fontId="7" fillId="0" borderId="0" xfId="0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15" fillId="0" borderId="0" xfId="0" applyFont="1" applyFill="1" applyBorder="1"/>
    <xf numFmtId="0" fontId="6" fillId="0" borderId="0" xfId="0" applyFont="1" applyFill="1" applyBorder="1"/>
    <xf numFmtId="173" fontId="15" fillId="0" borderId="0" xfId="0" applyNumberFormat="1" applyFont="1" applyFill="1" applyBorder="1"/>
    <xf numFmtId="173" fontId="6" fillId="0" borderId="0" xfId="0" applyNumberFormat="1" applyFont="1" applyFill="1" applyBorder="1"/>
    <xf numFmtId="170" fontId="6" fillId="0" borderId="0" xfId="0" applyNumberFormat="1" applyFont="1" applyFill="1" applyBorder="1"/>
    <xf numFmtId="0" fontId="6" fillId="0" borderId="0" xfId="0" applyFont="1" applyFill="1" applyBorder="1" applyProtection="1">
      <protection locked="0"/>
    </xf>
    <xf numFmtId="3" fontId="6" fillId="0" borderId="0" xfId="0" applyNumberFormat="1" applyFont="1" applyFill="1" applyBorder="1"/>
    <xf numFmtId="171" fontId="6" fillId="0" borderId="0" xfId="0" applyNumberFormat="1" applyFont="1" applyBorder="1" applyAlignment="1">
      <alignment horizontal="left"/>
    </xf>
    <xf numFmtId="0" fontId="13" fillId="0" borderId="0" xfId="0" applyFont="1"/>
    <xf numFmtId="37" fontId="6" fillId="0" borderId="0" xfId="0" applyNumberFormat="1" applyFont="1" applyBorder="1"/>
    <xf numFmtId="0" fontId="7" fillId="0" borderId="0" xfId="0" applyFont="1" applyBorder="1" applyProtection="1">
      <protection locked="0"/>
    </xf>
    <xf numFmtId="0" fontId="6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172" fontId="15" fillId="0" borderId="0" xfId="0" applyNumberFormat="1" applyFont="1" applyFill="1" applyAlignment="1"/>
    <xf numFmtId="0" fontId="20" fillId="0" borderId="0" xfId="0" applyFont="1" applyFill="1"/>
    <xf numFmtId="0" fontId="20" fillId="0" borderId="0" xfId="0" applyFont="1"/>
    <xf numFmtId="0" fontId="13" fillId="0" borderId="1" xfId="0" applyFont="1" applyFill="1" applyBorder="1" applyAlignment="1"/>
    <xf numFmtId="164" fontId="15" fillId="0" borderId="0" xfId="0" applyNumberFormat="1" applyFont="1" applyFill="1"/>
    <xf numFmtId="0" fontId="15" fillId="0" borderId="0" xfId="0" applyFont="1" applyFill="1"/>
    <xf numFmtId="165" fontId="15" fillId="0" borderId="0" xfId="0" applyNumberFormat="1" applyFont="1" applyFill="1"/>
    <xf numFmtId="10" fontId="13" fillId="0" borderId="0" xfId="0" applyNumberFormat="1" applyFont="1" applyFill="1" applyBorder="1"/>
    <xf numFmtId="165" fontId="13" fillId="0" borderId="0" xfId="0" applyNumberFormat="1" applyFont="1" applyFill="1" applyBorder="1"/>
    <xf numFmtId="165" fontId="17" fillId="0" borderId="0" xfId="0" applyNumberFormat="1" applyFont="1" applyFill="1"/>
    <xf numFmtId="0" fontId="7" fillId="0" borderId="0" xfId="0" applyNumberFormat="1" applyFont="1" applyAlignment="1"/>
    <xf numFmtId="0" fontId="6" fillId="0" borderId="0" xfId="0" applyNumberFormat="1" applyFont="1" applyFill="1" applyAlignment="1"/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Continuous" vertical="center"/>
    </xf>
    <xf numFmtId="0" fontId="6" fillId="0" borderId="8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left"/>
    </xf>
    <xf numFmtId="0" fontId="6" fillId="0" borderId="9" xfId="0" applyNumberFormat="1" applyFont="1" applyBorder="1" applyAlignment="1"/>
    <xf numFmtId="42" fontId="6" fillId="0" borderId="15" xfId="0" applyNumberFormat="1" applyFont="1" applyFill="1" applyBorder="1" applyAlignment="1"/>
    <xf numFmtId="0" fontId="6" fillId="0" borderId="9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left"/>
    </xf>
    <xf numFmtId="42" fontId="6" fillId="0" borderId="9" xfId="0" applyNumberFormat="1" applyFont="1" applyBorder="1" applyAlignment="1"/>
    <xf numFmtId="42" fontId="6" fillId="0" borderId="9" xfId="0" applyNumberFormat="1" applyFont="1" applyFill="1" applyBorder="1" applyAlignment="1"/>
    <xf numFmtId="42" fontId="6" fillId="0" borderId="8" xfId="0" applyNumberFormat="1" applyFont="1" applyBorder="1" applyAlignment="1"/>
    <xf numFmtId="42" fontId="6" fillId="0" borderId="8" xfId="0" applyNumberFormat="1" applyFont="1" applyFill="1" applyBorder="1" applyAlignment="1"/>
    <xf numFmtId="3" fontId="6" fillId="0" borderId="8" xfId="0" applyNumberFormat="1" applyFont="1" applyBorder="1" applyAlignment="1"/>
    <xf numFmtId="3" fontId="6" fillId="0" borderId="8" xfId="0" applyNumberFormat="1" applyFont="1" applyFill="1" applyBorder="1" applyAlignment="1"/>
    <xf numFmtId="0" fontId="6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left"/>
    </xf>
    <xf numFmtId="42" fontId="6" fillId="0" borderId="11" xfId="0" applyNumberFormat="1" applyFont="1" applyBorder="1" applyAlignment="1"/>
    <xf numFmtId="42" fontId="6" fillId="0" borderId="11" xfId="0" applyNumberFormat="1" applyFont="1" applyFill="1" applyBorder="1" applyAlignment="1"/>
    <xf numFmtId="0" fontId="13" fillId="0" borderId="1" xfId="0" applyNumberFormat="1" applyFont="1" applyFill="1" applyBorder="1" applyAlignment="1"/>
    <xf numFmtId="0" fontId="13" fillId="0" borderId="0" xfId="0" quotePrefix="1" applyFont="1" applyFill="1" applyAlignment="1">
      <alignment horizontal="center"/>
    </xf>
    <xf numFmtId="164" fontId="13" fillId="0" borderId="0" xfId="0" quotePrefix="1" applyNumberFormat="1" applyFont="1" applyFill="1" applyAlignment="1">
      <alignment horizontal="center"/>
    </xf>
    <xf numFmtId="9" fontId="13" fillId="0" borderId="0" xfId="0" quotePrefix="1" applyNumberFormat="1" applyFont="1" applyFill="1" applyAlignment="1">
      <alignment horizontal="right"/>
    </xf>
    <xf numFmtId="167" fontId="13" fillId="0" borderId="0" xfId="0" applyNumberFormat="1" applyFont="1" applyFill="1" applyBorder="1"/>
    <xf numFmtId="164" fontId="15" fillId="0" borderId="0" xfId="0" quotePrefix="1" applyNumberFormat="1" applyFont="1" applyFill="1" applyAlignment="1">
      <alignment horizontal="center"/>
    </xf>
    <xf numFmtId="41" fontId="7" fillId="0" borderId="1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21" fillId="0" borderId="0" xfId="0" applyFont="1"/>
    <xf numFmtId="166" fontId="15" fillId="0" borderId="0" xfId="0" applyNumberFormat="1" applyFont="1"/>
    <xf numFmtId="164" fontId="13" fillId="0" borderId="5" xfId="0" applyNumberFormat="1" applyFont="1" applyBorder="1"/>
    <xf numFmtId="0" fontId="15" fillId="0" borderId="0" xfId="0" applyFont="1"/>
    <xf numFmtId="0" fontId="6" fillId="0" borderId="0" xfId="0" applyFont="1" applyBorder="1" applyAlignment="1">
      <alignment horizontal="left"/>
    </xf>
    <xf numFmtId="3" fontId="5" fillId="0" borderId="0" xfId="0" applyNumberFormat="1" applyFont="1" applyFill="1"/>
    <xf numFmtId="37" fontId="6" fillId="0" borderId="0" xfId="0" applyNumberFormat="1" applyFont="1" applyFill="1"/>
    <xf numFmtId="0" fontId="6" fillId="0" borderId="0" xfId="0" applyFont="1" applyAlignment="1">
      <alignment horizontal="left"/>
    </xf>
    <xf numFmtId="3" fontId="6" fillId="0" borderId="0" xfId="0" applyNumberFormat="1" applyFont="1" applyBorder="1"/>
    <xf numFmtId="0" fontId="7" fillId="0" borderId="0" xfId="0" applyFont="1" applyAlignment="1">
      <alignment horizontal="left"/>
    </xf>
    <xf numFmtId="166" fontId="6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6" fontId="6" fillId="0" borderId="4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166" fontId="14" fillId="0" borderId="0" xfId="0" applyNumberFormat="1" applyFont="1" applyFill="1" applyBorder="1"/>
    <xf numFmtId="166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37" fontId="6" fillId="0" borderId="0" xfId="0" applyNumberFormat="1" applyFont="1" applyFill="1" applyBorder="1"/>
    <xf numFmtId="166" fontId="6" fillId="0" borderId="0" xfId="0" applyNumberFormat="1" applyFont="1" applyFill="1" applyAlignment="1">
      <alignment horizontal="left"/>
    </xf>
    <xf numFmtId="166" fontId="6" fillId="0" borderId="1" xfId="0" applyNumberFormat="1" applyFont="1" applyFill="1" applyBorder="1" applyAlignment="1">
      <alignment horizontal="center"/>
    </xf>
    <xf numFmtId="17" fontId="6" fillId="0" borderId="0" xfId="0" applyNumberFormat="1" applyFont="1" applyFill="1" applyBorder="1"/>
    <xf numFmtId="166" fontId="22" fillId="0" borderId="0" xfId="0" applyNumberFormat="1" applyFont="1" applyFill="1" applyBorder="1"/>
    <xf numFmtId="37" fontId="14" fillId="0" borderId="0" xfId="0" applyNumberFormat="1" applyFont="1" applyFill="1" applyBorder="1"/>
    <xf numFmtId="39" fontId="6" fillId="0" borderId="0" xfId="0" applyNumberFormat="1" applyFont="1" applyFill="1"/>
    <xf numFmtId="2" fontId="6" fillId="0" borderId="0" xfId="0" applyNumberFormat="1" applyFont="1" applyFill="1"/>
    <xf numFmtId="177" fontId="6" fillId="0" borderId="0" xfId="0" applyNumberFormat="1" applyFont="1" applyFill="1"/>
    <xf numFmtId="177" fontId="6" fillId="0" borderId="0" xfId="0" applyNumberFormat="1" applyFont="1" applyFill="1" applyAlignment="1">
      <alignment horizontal="center"/>
    </xf>
    <xf numFmtId="166" fontId="5" fillId="0" borderId="0" xfId="0" applyNumberFormat="1" applyFont="1" applyFill="1"/>
    <xf numFmtId="0" fontId="7" fillId="0" borderId="0" xfId="0" applyFont="1" applyAlignment="1">
      <alignment horizontal="right"/>
    </xf>
    <xf numFmtId="4" fontId="6" fillId="0" borderId="0" xfId="0" applyNumberFormat="1" applyFont="1"/>
    <xf numFmtId="0" fontId="6" fillId="0" borderId="0" xfId="0" applyFont="1" applyFill="1" applyAlignment="1">
      <alignment horizontal="right"/>
    </xf>
    <xf numFmtId="3" fontId="6" fillId="0" borderId="0" xfId="0" applyNumberFormat="1" applyFont="1" applyFill="1"/>
    <xf numFmtId="9" fontId="6" fillId="0" borderId="0" xfId="0" applyNumberFormat="1" applyFont="1" applyFill="1"/>
    <xf numFmtId="167" fontId="6" fillId="0" borderId="0" xfId="0" applyNumberFormat="1" applyFont="1" applyFill="1"/>
    <xf numFmtId="0" fontId="6" fillId="0" borderId="0" xfId="0" applyFont="1" applyAlignment="1">
      <alignment horizontal="right"/>
    </xf>
    <xf numFmtId="3" fontId="6" fillId="0" borderId="1" xfId="0" applyNumberFormat="1" applyFont="1" applyFill="1" applyBorder="1"/>
    <xf numFmtId="3" fontId="6" fillId="0" borderId="4" xfId="0" applyNumberFormat="1" applyFont="1" applyFill="1" applyBorder="1"/>
    <xf numFmtId="3" fontId="6" fillId="0" borderId="0" xfId="0" applyNumberFormat="1" applyFont="1"/>
    <xf numFmtId="3" fontId="23" fillId="0" borderId="0" xfId="0" applyNumberFormat="1" applyFont="1" applyFill="1"/>
    <xf numFmtId="180" fontId="14" fillId="0" borderId="0" xfId="0" applyNumberFormat="1" applyFont="1" applyFill="1"/>
    <xf numFmtId="183" fontId="14" fillId="0" borderId="0" xfId="0" applyNumberFormat="1" applyFont="1" applyFill="1"/>
    <xf numFmtId="184" fontId="14" fillId="0" borderId="0" xfId="0" applyNumberFormat="1" applyFont="1" applyFill="1" applyBorder="1"/>
    <xf numFmtId="180" fontId="14" fillId="0" borderId="0" xfId="0" applyNumberFormat="1" applyFont="1" applyFill="1" applyBorder="1"/>
    <xf numFmtId="3" fontId="6" fillId="0" borderId="4" xfId="0" applyNumberFormat="1" applyFont="1" applyBorder="1"/>
    <xf numFmtId="167" fontId="6" fillId="0" borderId="0" xfId="0" applyNumberFormat="1" applyFont="1" applyFill="1" applyBorder="1"/>
    <xf numFmtId="0" fontId="6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6" fillId="0" borderId="0" xfId="0" applyNumberFormat="1" applyFont="1" applyFill="1" applyAlignment="1"/>
    <xf numFmtId="4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182" fontId="10" fillId="0" borderId="1" xfId="0" applyNumberFormat="1" applyFont="1" applyFill="1" applyBorder="1" applyAlignment="1">
      <alignment horizontal="center" vertical="center"/>
    </xf>
    <xf numFmtId="0" fontId="13" fillId="2" borderId="0" xfId="0" applyFont="1" applyFill="1"/>
    <xf numFmtId="166" fontId="5" fillId="2" borderId="0" xfId="0" applyNumberFormat="1" applyFont="1" applyFill="1"/>
    <xf numFmtId="165" fontId="5" fillId="0" borderId="0" xfId="0" applyNumberFormat="1" applyFont="1" applyFill="1"/>
    <xf numFmtId="165" fontId="6" fillId="0" borderId="0" xfId="0" applyNumberFormat="1" applyFont="1" applyFill="1"/>
    <xf numFmtId="0" fontId="13" fillId="3" borderId="0" xfId="0" applyFont="1" applyFill="1"/>
    <xf numFmtId="165" fontId="5" fillId="3" borderId="0" xfId="0" applyNumberFormat="1" applyFont="1" applyFill="1"/>
    <xf numFmtId="165" fontId="13" fillId="3" borderId="0" xfId="0" applyNumberFormat="1" applyFont="1" applyFill="1"/>
    <xf numFmtId="165" fontId="6" fillId="3" borderId="0" xfId="0" applyNumberFormat="1" applyFont="1" applyFill="1"/>
    <xf numFmtId="0" fontId="13" fillId="4" borderId="0" xfId="0" applyFont="1" applyFill="1"/>
    <xf numFmtId="164" fontId="13" fillId="0" borderId="12" xfId="0" applyNumberFormat="1" applyFont="1" applyFill="1" applyBorder="1"/>
    <xf numFmtId="166" fontId="13" fillId="0" borderId="0" xfId="0" applyNumberFormat="1" applyFont="1" applyFill="1" applyAlignment="1">
      <alignment horizontal="center"/>
    </xf>
    <xf numFmtId="0" fontId="13" fillId="0" borderId="0" xfId="0" applyFont="1" applyFill="1" applyBorder="1"/>
    <xf numFmtId="17" fontId="1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3" fontId="15" fillId="0" borderId="0" xfId="0" applyNumberFormat="1" applyFont="1" applyFill="1"/>
    <xf numFmtId="0" fontId="11" fillId="0" borderId="0" xfId="0" applyFont="1" applyFill="1"/>
    <xf numFmtId="44" fontId="15" fillId="0" borderId="0" xfId="0" applyNumberFormat="1" applyFont="1" applyFill="1"/>
    <xf numFmtId="41" fontId="7" fillId="0" borderId="0" xfId="0" applyNumberFormat="1" applyFont="1" applyFill="1" applyBorder="1" applyAlignment="1">
      <alignment horizontal="center" wrapText="1"/>
    </xf>
    <xf numFmtId="41" fontId="7" fillId="0" borderId="1" xfId="0" applyNumberFormat="1" applyFont="1" applyFill="1" applyBorder="1" applyAlignment="1">
      <alignment horizontal="center" wrapText="1"/>
    </xf>
    <xf numFmtId="41" fontId="7" fillId="0" borderId="1" xfId="0" applyNumberFormat="1" applyFont="1" applyFill="1" applyBorder="1" applyAlignment="1">
      <alignment horizontal="center"/>
    </xf>
    <xf numFmtId="166" fontId="15" fillId="0" borderId="0" xfId="0" applyNumberFormat="1" applyFont="1" applyFill="1" applyBorder="1"/>
    <xf numFmtId="166" fontId="13" fillId="0" borderId="0" xfId="0" applyNumberFormat="1" applyFont="1" applyFill="1" applyBorder="1"/>
    <xf numFmtId="165" fontId="13" fillId="0" borderId="5" xfId="0" applyNumberFormat="1" applyFont="1" applyFill="1" applyBorder="1"/>
    <xf numFmtId="182" fontId="18" fillId="0" borderId="1" xfId="0" applyNumberFormat="1" applyFont="1" applyFill="1" applyBorder="1" applyAlignment="1">
      <alignment horizontal="center"/>
    </xf>
    <xf numFmtId="165" fontId="15" fillId="0" borderId="0" xfId="0" applyNumberFormat="1" applyFont="1"/>
    <xf numFmtId="165" fontId="6" fillId="0" borderId="0" xfId="0" applyNumberFormat="1" applyFont="1"/>
    <xf numFmtId="0" fontId="18" fillId="0" borderId="0" xfId="0" applyFont="1" applyFill="1" applyBorder="1" applyAlignment="1">
      <alignment horizontal="centerContinuous"/>
    </xf>
    <xf numFmtId="37" fontId="15" fillId="0" borderId="1" xfId="3" applyNumberFormat="1" applyFont="1" applyFill="1" applyBorder="1"/>
    <xf numFmtId="0" fontId="14" fillId="0" borderId="0" xfId="0" applyFont="1" applyFill="1"/>
    <xf numFmtId="0" fontId="16" fillId="0" borderId="0" xfId="0" applyFont="1" applyFill="1"/>
    <xf numFmtId="0" fontId="5" fillId="0" borderId="0" xfId="0" applyFont="1" applyFill="1"/>
    <xf numFmtId="0" fontId="26" fillId="0" borderId="0" xfId="0" applyFont="1" applyFill="1" applyAlignment="1">
      <alignment horizontal="center"/>
    </xf>
    <xf numFmtId="166" fontId="26" fillId="0" borderId="0" xfId="0" applyNumberFormat="1" applyFont="1" applyFill="1"/>
    <xf numFmtId="43" fontId="14" fillId="0" borderId="0" xfId="0" applyNumberFormat="1" applyFont="1" applyFill="1"/>
    <xf numFmtId="44" fontId="5" fillId="0" borderId="0" xfId="3" applyFont="1" applyFill="1"/>
    <xf numFmtId="0" fontId="26" fillId="0" borderId="0" xfId="0" applyFont="1" applyFill="1"/>
    <xf numFmtId="0" fontId="10" fillId="6" borderId="0" xfId="0" applyFont="1" applyFill="1" applyAlignment="1">
      <alignment horizontal="center"/>
    </xf>
    <xf numFmtId="165" fontId="15" fillId="0" borderId="0" xfId="0" applyNumberFormat="1" applyFont="1" applyFill="1" applyBorder="1"/>
    <xf numFmtId="173" fontId="6" fillId="0" borderId="0" xfId="0" applyNumberFormat="1" applyFont="1" applyBorder="1" applyAlignment="1">
      <alignment horizontal="left"/>
    </xf>
    <xf numFmtId="173" fontId="6" fillId="0" borderId="0" xfId="0" applyNumberFormat="1" applyFont="1" applyFill="1"/>
    <xf numFmtId="173" fontId="6" fillId="0" borderId="0" xfId="0" applyNumberFormat="1" applyFont="1" applyAlignment="1"/>
    <xf numFmtId="173" fontId="6" fillId="0" borderId="0" xfId="0" applyNumberFormat="1" applyFont="1"/>
    <xf numFmtId="173" fontId="6" fillId="0" borderId="0" xfId="0" applyNumberFormat="1" applyFont="1" applyFill="1" applyBorder="1" applyAlignment="1">
      <alignment horizontal="left"/>
    </xf>
    <xf numFmtId="10" fontId="15" fillId="0" borderId="0" xfId="55" applyNumberFormat="1" applyFont="1" applyBorder="1"/>
    <xf numFmtId="10" fontId="6" fillId="0" borderId="0" xfId="55" applyNumberFormat="1" applyFont="1" applyBorder="1"/>
    <xf numFmtId="7" fontId="15" fillId="0" borderId="0" xfId="0" applyNumberFormat="1" applyFont="1" applyFill="1" applyAlignment="1"/>
    <xf numFmtId="170" fontId="15" fillId="0" borderId="0" xfId="0" applyNumberFormat="1" applyFont="1" applyFill="1" applyBorder="1"/>
    <xf numFmtId="170" fontId="6" fillId="0" borderId="0" xfId="0" applyNumberFormat="1" applyFont="1"/>
    <xf numFmtId="170" fontId="6" fillId="0" borderId="0" xfId="0" applyNumberFormat="1" applyFont="1" applyAlignment="1"/>
    <xf numFmtId="170" fontId="6" fillId="0" borderId="0" xfId="0" applyNumberFormat="1" applyFont="1" applyFill="1"/>
    <xf numFmtId="181" fontId="6" fillId="0" borderId="0" xfId="24" applyNumberFormat="1" applyFont="1" applyFill="1" applyAlignment="1"/>
    <xf numFmtId="171" fontId="6" fillId="0" borderId="0" xfId="24" applyNumberFormat="1" applyFont="1" applyFill="1" applyAlignment="1"/>
    <xf numFmtId="190" fontId="6" fillId="0" borderId="1" xfId="24" applyNumberFormat="1" applyFont="1" applyFill="1" applyBorder="1" applyAlignment="1"/>
    <xf numFmtId="0" fontId="6" fillId="0" borderId="0" xfId="24" applyNumberFormat="1" applyFont="1" applyFill="1" applyAlignment="1"/>
    <xf numFmtId="0" fontId="6" fillId="0" borderId="0" xfId="24" applyFont="1" applyFill="1" applyAlignment="1"/>
    <xf numFmtId="9" fontId="43" fillId="12" borderId="0" xfId="24" applyNumberFormat="1" applyFont="1" applyFill="1" applyBorder="1" applyAlignment="1">
      <alignment horizontal="right" wrapText="1"/>
    </xf>
    <xf numFmtId="181" fontId="43" fillId="12" borderId="0" xfId="24" applyNumberFormat="1" applyFont="1" applyFill="1" applyAlignment="1"/>
    <xf numFmtId="181" fontId="6" fillId="0" borderId="0" xfId="24" applyNumberFormat="1" applyFont="1" applyFill="1" applyBorder="1" applyAlignment="1"/>
    <xf numFmtId="181" fontId="6" fillId="0" borderId="4" xfId="24" applyNumberFormat="1" applyFont="1" applyFill="1" applyBorder="1" applyAlignment="1"/>
    <xf numFmtId="181" fontId="43" fillId="12" borderId="2" xfId="24" applyNumberFormat="1" applyFont="1" applyFill="1" applyBorder="1" applyAlignment="1" applyProtection="1">
      <protection locked="0"/>
    </xf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center"/>
    </xf>
    <xf numFmtId="0" fontId="7" fillId="0" borderId="1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180" fontId="6" fillId="0" borderId="0" xfId="0" applyNumberFormat="1" applyFont="1" applyFill="1" applyAlignment="1">
      <alignment horizontal="left"/>
    </xf>
    <xf numFmtId="180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/>
    </xf>
    <xf numFmtId="4" fontId="6" fillId="0" borderId="0" xfId="0" applyNumberFormat="1" applyFont="1" applyFill="1"/>
    <xf numFmtId="0" fontId="6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9" fillId="0" borderId="0" xfId="0" applyNumberFormat="1" applyFont="1" applyAlignment="1">
      <alignment horizontal="centerContinuous"/>
    </xf>
    <xf numFmtId="0" fontId="15" fillId="0" borderId="0" xfId="0" applyNumberFormat="1" applyFont="1" applyAlignment="1">
      <alignment horizontal="centerContinuous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3" fontId="15" fillId="0" borderId="0" xfId="0" applyNumberFormat="1" applyFont="1" applyFill="1" applyBorder="1"/>
    <xf numFmtId="3" fontId="15" fillId="0" borderId="0" xfId="0" applyNumberFormat="1" applyFont="1"/>
    <xf numFmtId="179" fontId="15" fillId="0" borderId="0" xfId="0" applyNumberFormat="1" applyFont="1" applyFill="1"/>
    <xf numFmtId="179" fontId="15" fillId="0" borderId="0" xfId="0" applyNumberFormat="1" applyFont="1" applyFill="1" applyBorder="1"/>
    <xf numFmtId="182" fontId="9" fillId="0" borderId="1" xfId="0" applyNumberFormat="1" applyFont="1" applyFill="1" applyBorder="1" applyAlignment="1">
      <alignment horizontal="center" vertical="center"/>
    </xf>
    <xf numFmtId="182" fontId="18" fillId="0" borderId="1" xfId="0" applyNumberFormat="1" applyFont="1" applyFill="1" applyBorder="1" applyAlignment="1">
      <alignment horizontal="center" vertical="center"/>
    </xf>
    <xf numFmtId="192" fontId="13" fillId="4" borderId="0" xfId="0" applyNumberFormat="1" applyFont="1" applyFill="1"/>
    <xf numFmtId="192" fontId="5" fillId="4" borderId="0" xfId="0" applyNumberFormat="1" applyFont="1" applyFill="1"/>
    <xf numFmtId="44" fontId="13" fillId="0" borderId="12" xfId="0" applyNumberFormat="1" applyFont="1" applyFill="1" applyBorder="1"/>
    <xf numFmtId="164" fontId="5" fillId="0" borderId="0" xfId="0" applyNumberFormat="1" applyFont="1" applyFill="1"/>
    <xf numFmtId="164" fontId="5" fillId="0" borderId="12" xfId="0" applyNumberFormat="1" applyFont="1" applyFill="1" applyBorder="1"/>
    <xf numFmtId="44" fontId="5" fillId="0" borderId="12" xfId="0" applyNumberFormat="1" applyFont="1" applyFill="1" applyBorder="1"/>
    <xf numFmtId="164" fontId="6" fillId="0" borderId="0" xfId="0" applyNumberFormat="1" applyFont="1" applyFill="1"/>
    <xf numFmtId="164" fontId="13" fillId="4" borderId="0" xfId="0" applyNumberFormat="1" applyFont="1" applyFill="1"/>
    <xf numFmtId="182" fontId="7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13" fillId="0" borderId="0" xfId="0" applyFont="1" applyAlignment="1"/>
    <xf numFmtId="0" fontId="10" fillId="0" borderId="0" xfId="0" applyFont="1" applyAlignment="1">
      <alignment horizontal="centerContinuous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/>
    <xf numFmtId="174" fontId="5" fillId="0" borderId="0" xfId="0" applyNumberFormat="1" applyFont="1"/>
    <xf numFmtId="174" fontId="15" fillId="0" borderId="0" xfId="0" applyNumberFormat="1" applyFont="1"/>
    <xf numFmtId="164" fontId="13" fillId="0" borderId="0" xfId="0" applyNumberFormat="1" applyFont="1"/>
    <xf numFmtId="164" fontId="13" fillId="0" borderId="4" xfId="0" applyNumberFormat="1" applyFont="1" applyBorder="1"/>
    <xf numFmtId="175" fontId="15" fillId="0" borderId="0" xfId="0" applyNumberFormat="1" applyFont="1"/>
    <xf numFmtId="164" fontId="13" fillId="0" borderId="1" xfId="0" applyNumberFormat="1" applyFont="1" applyBorder="1"/>
    <xf numFmtId="3" fontId="15" fillId="0" borderId="0" xfId="0" applyNumberFormat="1" applyFont="1" applyBorder="1"/>
    <xf numFmtId="174" fontId="13" fillId="0" borderId="0" xfId="0" applyNumberFormat="1" applyFont="1"/>
    <xf numFmtId="0" fontId="13" fillId="0" borderId="0" xfId="0" quotePrefix="1" applyFont="1" applyFill="1" applyAlignment="1">
      <alignment vertical="top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0" borderId="0" xfId="0" quotePrefix="1" applyNumberFormat="1" applyFont="1" applyFill="1" applyBorder="1" applyAlignment="1">
      <alignment horizontal="right"/>
    </xf>
    <xf numFmtId="0" fontId="7" fillId="0" borderId="0" xfId="24" applyNumberFormat="1" applyFont="1" applyFill="1" applyAlignment="1">
      <alignment horizontal="centerContinuous"/>
    </xf>
    <xf numFmtId="0" fontId="18" fillId="0" borderId="0" xfId="24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Continuous"/>
    </xf>
    <xf numFmtId="0" fontId="7" fillId="0" borderId="0" xfId="24" applyNumberFormat="1" applyFont="1" applyFill="1" applyAlignment="1" applyProtection="1">
      <alignment horizontal="centerContinuous"/>
      <protection locked="0"/>
    </xf>
    <xf numFmtId="44" fontId="13" fillId="0" borderId="0" xfId="0" applyNumberFormat="1" applyFont="1" applyFill="1"/>
    <xf numFmtId="44" fontId="13" fillId="0" borderId="0" xfId="0" applyNumberFormat="1" applyFont="1"/>
    <xf numFmtId="0" fontId="13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0" fontId="13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182" fontId="9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80" fontId="6" fillId="0" borderId="0" xfId="0" applyNumberFormat="1" applyFont="1" applyFill="1" applyBorder="1"/>
    <xf numFmtId="0" fontId="6" fillId="0" borderId="1" xfId="0" applyFont="1" applyBorder="1" applyAlignment="1">
      <alignment horizontal="centerContinuous"/>
    </xf>
    <xf numFmtId="176" fontId="6" fillId="0" borderId="0" xfId="0" applyNumberFormat="1" applyFont="1"/>
    <xf numFmtId="44" fontId="14" fillId="0" borderId="0" xfId="0" applyNumberFormat="1" applyFont="1"/>
    <xf numFmtId="44" fontId="14" fillId="0" borderId="0" xfId="0" applyNumberFormat="1" applyFont="1" applyBorder="1"/>
    <xf numFmtId="176" fontId="6" fillId="0" borderId="0" xfId="0" applyNumberFormat="1" applyFont="1" applyBorder="1"/>
    <xf numFmtId="44" fontId="6" fillId="0" borderId="0" xfId="0" applyNumberFormat="1" applyFont="1" applyBorder="1"/>
    <xf numFmtId="44" fontId="6" fillId="0" borderId="4" xfId="0" applyNumberFormat="1" applyFont="1" applyBorder="1"/>
    <xf numFmtId="174" fontId="14" fillId="0" borderId="0" xfId="0" applyNumberFormat="1" applyFont="1"/>
    <xf numFmtId="174" fontId="6" fillId="0" borderId="0" xfId="0" applyNumberFormat="1" applyFont="1"/>
    <xf numFmtId="174" fontId="14" fillId="0" borderId="0" xfId="0" applyNumberFormat="1" applyFont="1" applyFill="1"/>
    <xf numFmtId="174" fontId="6" fillId="0" borderId="4" xfId="0" applyNumberFormat="1" applyFont="1" applyBorder="1"/>
    <xf numFmtId="174" fontId="13" fillId="0" borderId="0" xfId="0" applyNumberFormat="1" applyFont="1" applyFill="1"/>
    <xf numFmtId="176" fontId="6" fillId="0" borderId="4" xfId="0" applyNumberFormat="1" applyFont="1" applyBorder="1"/>
    <xf numFmtId="167" fontId="6" fillId="0" borderId="0" xfId="0" applyNumberFormat="1" applyFont="1"/>
    <xf numFmtId="10" fontId="6" fillId="0" borderId="0" xfId="0" applyNumberFormat="1" applyFont="1"/>
    <xf numFmtId="0" fontId="10" fillId="0" borderId="0" xfId="0" applyFont="1" applyAlignment="1">
      <alignment horizontal="left"/>
    </xf>
    <xf numFmtId="3" fontId="7" fillId="0" borderId="0" xfId="0" applyNumberFormat="1" applyFont="1"/>
    <xf numFmtId="174" fontId="10" fillId="0" borderId="0" xfId="0" applyNumberFormat="1" applyFont="1"/>
    <xf numFmtId="164" fontId="10" fillId="0" borderId="0" xfId="0" applyNumberFormat="1" applyFont="1"/>
    <xf numFmtId="0" fontId="7" fillId="13" borderId="0" xfId="0" applyFont="1" applyFill="1" applyAlignment="1">
      <alignment horizontal="center" wrapText="1"/>
    </xf>
    <xf numFmtId="193" fontId="13" fillId="13" borderId="0" xfId="0" applyNumberFormat="1" applyFont="1" applyFill="1"/>
    <xf numFmtId="37" fontId="6" fillId="0" borderId="0" xfId="0" applyNumberFormat="1" applyFont="1"/>
    <xf numFmtId="0" fontId="7" fillId="6" borderId="0" xfId="0" applyFont="1" applyFill="1" applyAlignment="1">
      <alignment horizontal="center" wrapText="1"/>
    </xf>
    <xf numFmtId="0" fontId="13" fillId="6" borderId="0" xfId="0" applyFont="1" applyFill="1"/>
    <xf numFmtId="0" fontId="13" fillId="13" borderId="0" xfId="0" applyFont="1" applyFill="1"/>
    <xf numFmtId="194" fontId="13" fillId="6" borderId="0" xfId="0" applyNumberFormat="1" applyFont="1" applyFill="1"/>
    <xf numFmtId="3" fontId="15" fillId="6" borderId="0" xfId="0" applyNumberFormat="1" applyFont="1" applyFill="1"/>
    <xf numFmtId="3" fontId="20" fillId="0" borderId="0" xfId="0" applyNumberFormat="1" applyFont="1" applyFill="1"/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3" fontId="13" fillId="0" borderId="0" xfId="0" applyNumberFormat="1" applyFont="1" applyAlignment="1">
      <alignment wrapText="1"/>
    </xf>
    <xf numFmtId="3" fontId="13" fillId="0" borderId="0" xfId="0" applyNumberFormat="1" applyFont="1"/>
    <xf numFmtId="42" fontId="9" fillId="0" borderId="0" xfId="0" applyNumberFormat="1" applyFont="1" applyAlignment="1">
      <alignment horizontal="center"/>
    </xf>
    <xf numFmtId="3" fontId="13" fillId="0" borderId="0" xfId="0" applyNumberFormat="1" applyFont="1" applyBorder="1" applyAlignment="1">
      <alignment horizontal="center"/>
    </xf>
    <xf numFmtId="42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2" fontId="15" fillId="0" borderId="0" xfId="0" applyNumberFormat="1" applyFont="1"/>
    <xf numFmtId="165" fontId="13" fillId="0" borderId="0" xfId="0" applyNumberFormat="1" applyFont="1"/>
    <xf numFmtId="42" fontId="13" fillId="0" borderId="0" xfId="0" applyNumberFormat="1" applyFont="1"/>
    <xf numFmtId="42" fontId="6" fillId="0" borderId="0" xfId="0" applyNumberFormat="1" applyFont="1"/>
    <xf numFmtId="10" fontId="13" fillId="0" borderId="0" xfId="0" applyNumberFormat="1" applyFont="1"/>
    <xf numFmtId="165" fontId="13" fillId="0" borderId="1" xfId="0" applyNumberFormat="1" applyFont="1" applyBorder="1"/>
    <xf numFmtId="3" fontId="13" fillId="0" borderId="4" xfId="0" applyNumberFormat="1" applyFont="1" applyBorder="1"/>
    <xf numFmtId="42" fontId="13" fillId="0" borderId="4" xfId="0" applyNumberFormat="1" applyFont="1" applyBorder="1"/>
    <xf numFmtId="42" fontId="6" fillId="0" borderId="4" xfId="0" applyNumberFormat="1" applyFont="1" applyBorder="1"/>
    <xf numFmtId="10" fontId="13" fillId="0" borderId="4" xfId="0" applyNumberFormat="1" applyFont="1" applyBorder="1"/>
    <xf numFmtId="42" fontId="6" fillId="0" borderId="0" xfId="0" applyNumberFormat="1" applyFont="1" applyFill="1" applyBorder="1"/>
    <xf numFmtId="174" fontId="6" fillId="0" borderId="0" xfId="0" applyNumberFormat="1" applyFont="1" applyFill="1" applyBorder="1"/>
    <xf numFmtId="174" fontId="6" fillId="0" borderId="0" xfId="0" applyNumberFormat="1" applyFont="1" applyFill="1"/>
    <xf numFmtId="174" fontId="47" fillId="0" borderId="0" xfId="0" applyNumberFormat="1" applyFont="1"/>
    <xf numFmtId="175" fontId="6" fillId="0" borderId="0" xfId="0" applyNumberFormat="1" applyFont="1" applyFill="1" applyBorder="1"/>
    <xf numFmtId="42" fontId="15" fillId="0" borderId="0" xfId="0" applyNumberFormat="1" applyFont="1" applyFill="1" applyBorder="1"/>
    <xf numFmtId="174" fontId="15" fillId="0" borderId="0" xfId="0" applyNumberFormat="1" applyFont="1" applyFill="1"/>
    <xf numFmtId="191" fontId="15" fillId="0" borderId="0" xfId="0" applyNumberFormat="1" applyFont="1" applyFill="1" applyBorder="1"/>
    <xf numFmtId="42" fontId="6" fillId="0" borderId="4" xfId="0" applyNumberFormat="1" applyFont="1" applyFill="1" applyBorder="1"/>
    <xf numFmtId="42" fontId="6" fillId="0" borderId="0" xfId="0" applyNumberFormat="1" applyFont="1" applyBorder="1"/>
    <xf numFmtId="0" fontId="6" fillId="0" borderId="0" xfId="0" applyFont="1" applyFill="1" applyBorder="1" applyAlignment="1">
      <alignment horizontal="left" vertical="center" textRotation="180"/>
    </xf>
    <xf numFmtId="164" fontId="6" fillId="0" borderId="0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64" fontId="6" fillId="0" borderId="4" xfId="0" applyNumberFormat="1" applyFont="1" applyFill="1" applyBorder="1"/>
    <xf numFmtId="3" fontId="9" fillId="0" borderId="0" xfId="0" applyNumberFormat="1" applyFont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/>
    </xf>
    <xf numFmtId="173" fontId="5" fillId="0" borderId="0" xfId="0" applyNumberFormat="1" applyFont="1" applyFill="1" applyBorder="1"/>
    <xf numFmtId="0" fontId="7" fillId="0" borderId="1" xfId="0" applyFont="1" applyFill="1" applyBorder="1"/>
    <xf numFmtId="0" fontId="7" fillId="0" borderId="0" xfId="0" applyFont="1" applyBorder="1" applyAlignment="1">
      <alignment horizontal="center"/>
    </xf>
    <xf numFmtId="170" fontId="7" fillId="0" borderId="0" xfId="0" applyNumberFormat="1" applyFont="1" applyBorder="1" applyAlignment="1"/>
    <xf numFmtId="9" fontId="7" fillId="0" borderId="0" xfId="0" applyNumberFormat="1" applyFont="1" applyBorder="1" applyAlignment="1">
      <alignment horizontal="center"/>
    </xf>
    <xf numFmtId="0" fontId="7" fillId="0" borderId="1" xfId="0" applyFont="1" applyBorder="1"/>
    <xf numFmtId="171" fontId="7" fillId="0" borderId="0" xfId="0" applyNumberFormat="1" applyFont="1" applyBorder="1" applyAlignment="1"/>
    <xf numFmtId="9" fontId="7" fillId="0" borderId="1" xfId="0" applyNumberFormat="1" applyFont="1" applyBorder="1" applyAlignment="1">
      <alignment horizontal="center"/>
    </xf>
    <xf numFmtId="0" fontId="25" fillId="6" borderId="23" xfId="0" applyFont="1" applyFill="1" applyBorder="1" applyAlignment="1">
      <alignment horizontal="center" wrapText="1"/>
    </xf>
    <xf numFmtId="0" fontId="13" fillId="6" borderId="24" xfId="0" applyFont="1" applyFill="1" applyBorder="1"/>
    <xf numFmtId="185" fontId="25" fillId="6" borderId="25" xfId="0" applyNumberFormat="1" applyFont="1" applyFill="1" applyBorder="1"/>
    <xf numFmtId="0" fontId="5" fillId="0" borderId="8" xfId="0" applyFont="1" applyBorder="1"/>
    <xf numFmtId="0" fontId="5" fillId="0" borderId="9" xfId="0" applyFont="1" applyBorder="1"/>
    <xf numFmtId="0" fontId="5" fillId="0" borderId="9" xfId="0" applyNumberFormat="1" applyFont="1" applyBorder="1" applyAlignment="1"/>
    <xf numFmtId="0" fontId="5" fillId="0" borderId="10" xfId="0" applyNumberFormat="1" applyFont="1" applyBorder="1" applyAlignment="1"/>
    <xf numFmtId="0" fontId="9" fillId="14" borderId="13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/>
    <xf numFmtId="0" fontId="18" fillId="5" borderId="7" xfId="0" applyNumberFormat="1" applyFont="1" applyFill="1" applyBorder="1" applyAlignment="1">
      <alignment horizontal="centerContinuous"/>
    </xf>
    <xf numFmtId="0" fontId="18" fillId="5" borderId="5" xfId="0" applyNumberFormat="1" applyFont="1" applyFill="1" applyBorder="1" applyAlignment="1">
      <alignment horizontal="centerContinuous"/>
    </xf>
    <xf numFmtId="0" fontId="18" fillId="5" borderId="6" xfId="0" applyNumberFormat="1" applyFont="1" applyFill="1" applyBorder="1" applyAlignment="1">
      <alignment horizontal="centerContinuous"/>
    </xf>
    <xf numFmtId="0" fontId="18" fillId="5" borderId="14" xfId="0" applyNumberFormat="1" applyFont="1" applyFill="1" applyBorder="1" applyAlignment="1">
      <alignment horizontal="center" vertical="center" wrapText="1"/>
    </xf>
    <xf numFmtId="0" fontId="18" fillId="5" borderId="13" xfId="0" applyNumberFormat="1" applyFont="1" applyFill="1" applyBorder="1" applyAlignment="1">
      <alignment horizontal="center" vertical="center" wrapText="1"/>
    </xf>
    <xf numFmtId="17" fontId="5" fillId="14" borderId="1" xfId="0" applyNumberFormat="1" applyFont="1" applyFill="1" applyBorder="1" applyAlignment="1">
      <alignment horizontal="center"/>
    </xf>
    <xf numFmtId="17" fontId="6" fillId="14" borderId="1" xfId="0" applyNumberFormat="1" applyFont="1" applyFill="1" applyBorder="1" applyAlignment="1">
      <alignment horizontal="center"/>
    </xf>
    <xf numFmtId="166" fontId="15" fillId="14" borderId="0" xfId="0" applyNumberFormat="1" applyFont="1" applyFill="1" applyBorder="1"/>
    <xf numFmtId="166" fontId="6" fillId="14" borderId="4" xfId="0" applyNumberFormat="1" applyFont="1" applyFill="1" applyBorder="1"/>
    <xf numFmtId="0" fontId="6" fillId="14" borderId="0" xfId="0" applyFont="1" applyFill="1" applyAlignment="1">
      <alignment horizontal="left"/>
    </xf>
    <xf numFmtId="166" fontId="6" fillId="14" borderId="0" xfId="0" applyNumberFormat="1" applyFont="1" applyFill="1"/>
    <xf numFmtId="166" fontId="6" fillId="14" borderId="0" xfId="0" applyNumberFormat="1" applyFont="1" applyFill="1" applyAlignment="1">
      <alignment horizontal="left"/>
    </xf>
    <xf numFmtId="174" fontId="15" fillId="14" borderId="0" xfId="0" applyNumberFormat="1" applyFont="1" applyFill="1"/>
    <xf numFmtId="10" fontId="5" fillId="4" borderId="9" xfId="0" applyNumberFormat="1" applyFont="1" applyFill="1" applyBorder="1" applyAlignment="1"/>
    <xf numFmtId="10" fontId="5" fillId="0" borderId="9" xfId="0" applyNumberFormat="1" applyFont="1" applyBorder="1" applyAlignment="1"/>
    <xf numFmtId="9" fontId="5" fillId="0" borderId="9" xfId="0" applyNumberFormat="1" applyFont="1" applyFill="1" applyBorder="1" applyAlignment="1"/>
    <xf numFmtId="181" fontId="5" fillId="0" borderId="9" xfId="0" applyNumberFormat="1" applyFont="1" applyBorder="1" applyAlignment="1"/>
    <xf numFmtId="0" fontId="5" fillId="0" borderId="9" xfId="0" applyNumberFormat="1" applyFont="1" applyFill="1" applyBorder="1" applyAlignment="1"/>
    <xf numFmtId="42" fontId="6" fillId="15" borderId="11" xfId="0" applyNumberFormat="1" applyFont="1" applyFill="1" applyBorder="1" applyAlignment="1"/>
    <xf numFmtId="0" fontId="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9" fillId="0" borderId="0" xfId="0" quotePrefix="1" applyFont="1" applyFill="1" applyAlignment="1">
      <alignment horizontal="center" wrapText="1"/>
    </xf>
    <xf numFmtId="0" fontId="10" fillId="0" borderId="0" xfId="0" applyFont="1" applyAlignment="1">
      <alignment horizontal="center"/>
    </xf>
    <xf numFmtId="0" fontId="45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9" fillId="0" borderId="0" xfId="0" quotePrefix="1" applyFont="1" applyFill="1" applyAlignment="1">
      <alignment horizontal="center"/>
    </xf>
    <xf numFmtId="0" fontId="18" fillId="0" borderId="0" xfId="0" applyFont="1" applyAlignment="1">
      <alignment horizontal="center"/>
    </xf>
  </cellXfs>
  <cellStyles count="58">
    <cellStyle name="Comma 18" xfId="1"/>
    <cellStyle name="Comma 2" xfId="4"/>
    <cellStyle name="Comma0" xfId="5"/>
    <cellStyle name="Comma0 - Style4" xfId="6"/>
    <cellStyle name="Comma1 - Style1" xfId="7"/>
    <cellStyle name="Curren - Style2" xfId="8"/>
    <cellStyle name="Currency" xfId="3" builtinId="4"/>
    <cellStyle name="Currency 2" xfId="9"/>
    <cellStyle name="Currency0" xfId="10"/>
    <cellStyle name="Date" xfId="11"/>
    <cellStyle name="Entered" xfId="12"/>
    <cellStyle name="Fixed" xfId="13"/>
    <cellStyle name="Grey" xfId="14"/>
    <cellStyle name="Heading1" xfId="15"/>
    <cellStyle name="Heading2" xfId="16"/>
    <cellStyle name="Input [yellow]" xfId="17"/>
    <cellStyle name="modified border" xfId="18"/>
    <cellStyle name="modified border1" xfId="19"/>
    <cellStyle name="Normal" xfId="0" builtinId="0"/>
    <cellStyle name="Normal - Style1" xfId="20"/>
    <cellStyle name="Normal 10" xfId="21"/>
    <cellStyle name="Normal 11_16.37E Wild Horse Expansion DeferralRevwrkingfile SF" xfId="22"/>
    <cellStyle name="Normal 118" xfId="23"/>
    <cellStyle name="Normal 2" xfId="24"/>
    <cellStyle name="Normal 2 11" xfId="25"/>
    <cellStyle name="Normal 2 16 2" xfId="56"/>
    <cellStyle name="Normal 2 2" xfId="26"/>
    <cellStyle name="Normal 2 3" xfId="57"/>
    <cellStyle name="Normal 3" xfId="27"/>
    <cellStyle name="Normal 4" xfId="28"/>
    <cellStyle name="Normal 5" xfId="29"/>
    <cellStyle name="Normal 6" xfId="30"/>
    <cellStyle name="Normal 7" xfId="31"/>
    <cellStyle name="Normal 8" xfId="2"/>
    <cellStyle name="Normal 9" xfId="32"/>
    <cellStyle name="Percen - Style2" xfId="33"/>
    <cellStyle name="Percen - Style3" xfId="34"/>
    <cellStyle name="Percent" xfId="55" builtinId="5"/>
    <cellStyle name="Percent [2]" xfId="35"/>
    <cellStyle name="Percent 2" xfId="36"/>
    <cellStyle name="Report" xfId="37"/>
    <cellStyle name="Report - Style5" xfId="38"/>
    <cellStyle name="Report - Style6" xfId="39"/>
    <cellStyle name="Report - Style7" xfId="40"/>
    <cellStyle name="Report - Style8" xfId="41"/>
    <cellStyle name="Report Bar" xfId="42"/>
    <cellStyle name="Report Heading" xfId="43"/>
    <cellStyle name="Report Unit Cost" xfId="44"/>
    <cellStyle name="Reports Total" xfId="45"/>
    <cellStyle name="StmtTtl1" xfId="46"/>
    <cellStyle name="StmtTtl2" xfId="47"/>
    <cellStyle name="Style 1" xfId="48"/>
    <cellStyle name="Test" xfId="49"/>
    <cellStyle name="Title: - Style3" xfId="50"/>
    <cellStyle name="Title: - Style4" xfId="51"/>
    <cellStyle name="Title: Major" xfId="52"/>
    <cellStyle name="Title: Minor" xfId="53"/>
    <cellStyle name="Title: Worksheet" xfId="54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32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1</xdr:row>
      <xdr:rowOff>28576</xdr:rowOff>
    </xdr:from>
    <xdr:to>
      <xdr:col>21</xdr:col>
      <xdr:colOff>608367</xdr:colOff>
      <xdr:row>40</xdr:row>
      <xdr:rowOff>43527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171451"/>
          <a:ext cx="8247417" cy="5644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2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F38"/>
  <sheetViews>
    <sheetView tabSelected="1" zoomScaleNormal="100" workbookViewId="0">
      <selection activeCell="B25" sqref="B25"/>
    </sheetView>
  </sheetViews>
  <sheetFormatPr defaultColWidth="56.5703125" defaultRowHeight="11.25" x14ac:dyDescent="0.2"/>
  <cols>
    <col min="1" max="1" width="3.85546875" style="37" bestFit="1" customWidth="1"/>
    <col min="2" max="2" width="44.140625" style="37" bestFit="1" customWidth="1"/>
    <col min="3" max="3" width="10.85546875" style="37" bestFit="1" customWidth="1"/>
    <col min="4" max="4" width="11.28515625" style="37" bestFit="1" customWidth="1"/>
    <col min="5" max="5" width="10.7109375" style="37" bestFit="1" customWidth="1"/>
    <col min="6" max="6" width="13.7109375" style="37" bestFit="1" customWidth="1"/>
    <col min="7" max="16384" width="56.5703125" style="37"/>
  </cols>
  <sheetData>
    <row r="1" spans="1:6" x14ac:dyDescent="0.2">
      <c r="A1" s="431" t="s">
        <v>0</v>
      </c>
      <c r="B1" s="431"/>
      <c r="C1" s="431"/>
      <c r="D1" s="431"/>
      <c r="E1" s="431"/>
      <c r="F1" s="431"/>
    </row>
    <row r="2" spans="1:6" x14ac:dyDescent="0.2">
      <c r="A2" s="432" t="s">
        <v>426</v>
      </c>
      <c r="B2" s="432"/>
      <c r="C2" s="432"/>
      <c r="D2" s="432"/>
      <c r="E2" s="432"/>
      <c r="F2" s="432"/>
    </row>
    <row r="3" spans="1:6" x14ac:dyDescent="0.2">
      <c r="A3" s="431" t="s">
        <v>176</v>
      </c>
      <c r="B3" s="431"/>
      <c r="C3" s="431"/>
      <c r="D3" s="431"/>
      <c r="E3" s="431"/>
      <c r="F3" s="431"/>
    </row>
    <row r="4" spans="1:6" x14ac:dyDescent="0.2">
      <c r="A4" s="432" t="s">
        <v>427</v>
      </c>
      <c r="B4" s="432"/>
      <c r="C4" s="432"/>
      <c r="D4" s="432"/>
      <c r="E4" s="432"/>
      <c r="F4" s="432"/>
    </row>
    <row r="5" spans="1:6" x14ac:dyDescent="0.2">
      <c r="A5" s="38"/>
      <c r="B5" s="38"/>
      <c r="C5" s="38"/>
      <c r="D5" s="38"/>
      <c r="E5" s="38"/>
      <c r="F5" s="38"/>
    </row>
    <row r="6" spans="1:6" x14ac:dyDescent="0.2">
      <c r="A6" s="38"/>
      <c r="B6" s="38"/>
      <c r="C6" s="38"/>
      <c r="D6" s="38"/>
      <c r="E6" s="39"/>
      <c r="F6" s="39"/>
    </row>
    <row r="7" spans="1:6" x14ac:dyDescent="0.2">
      <c r="A7" s="40" t="s">
        <v>2</v>
      </c>
      <c r="B7" s="38"/>
      <c r="C7" s="38"/>
      <c r="D7" s="40" t="s">
        <v>3</v>
      </c>
      <c r="E7" s="40" t="s">
        <v>3</v>
      </c>
      <c r="F7" s="40" t="s">
        <v>3</v>
      </c>
    </row>
    <row r="8" spans="1:6" x14ac:dyDescent="0.2">
      <c r="A8" s="41" t="s">
        <v>4</v>
      </c>
      <c r="B8" s="42"/>
      <c r="C8" s="41" t="s">
        <v>5</v>
      </c>
      <c r="D8" s="41" t="s">
        <v>6</v>
      </c>
      <c r="E8" s="41" t="s">
        <v>7</v>
      </c>
      <c r="F8" s="41" t="s">
        <v>8</v>
      </c>
    </row>
    <row r="9" spans="1:6" x14ac:dyDescent="0.2">
      <c r="A9" s="43"/>
      <c r="B9" s="44" t="s">
        <v>9</v>
      </c>
      <c r="C9" s="44" t="s">
        <v>10</v>
      </c>
      <c r="D9" s="44" t="s">
        <v>11</v>
      </c>
      <c r="E9" s="44" t="s">
        <v>12</v>
      </c>
      <c r="F9" s="44" t="s">
        <v>13</v>
      </c>
    </row>
    <row r="10" spans="1:6" x14ac:dyDescent="0.2">
      <c r="A10" s="44"/>
      <c r="B10" s="45"/>
      <c r="C10" s="44"/>
      <c r="D10" s="44"/>
      <c r="E10" s="44"/>
      <c r="F10" s="44"/>
    </row>
    <row r="11" spans="1:6" x14ac:dyDescent="0.2">
      <c r="A11" s="44">
        <v>1</v>
      </c>
      <c r="B11" s="43"/>
      <c r="C11" s="44"/>
      <c r="D11" s="46"/>
      <c r="E11" s="46"/>
      <c r="F11" s="46"/>
    </row>
    <row r="12" spans="1:6" x14ac:dyDescent="0.2">
      <c r="A12" s="44">
        <f t="shared" ref="A12:A36" si="0">A11+1</f>
        <v>2</v>
      </c>
      <c r="B12" s="43" t="s">
        <v>433</v>
      </c>
      <c r="C12" s="44" t="s">
        <v>14</v>
      </c>
      <c r="D12" s="47">
        <f>'Deferral Balance'!D20</f>
        <v>1647531.1486109707</v>
      </c>
      <c r="E12" s="47">
        <f>'Deferral Balance'!E20</f>
        <v>-75830.830208430605</v>
      </c>
      <c r="F12" s="47">
        <f>'Deferral Balance'!F20</f>
        <v>-37412.636329078734</v>
      </c>
    </row>
    <row r="13" spans="1:6" x14ac:dyDescent="0.2">
      <c r="A13" s="44">
        <f t="shared" si="0"/>
        <v>3</v>
      </c>
      <c r="B13" s="43"/>
      <c r="C13" s="44"/>
      <c r="D13" s="46"/>
      <c r="E13" s="46"/>
      <c r="F13" s="46"/>
    </row>
    <row r="14" spans="1:6" x14ac:dyDescent="0.2">
      <c r="A14" s="44">
        <f t="shared" si="0"/>
        <v>4</v>
      </c>
      <c r="B14" s="43" t="s">
        <v>445</v>
      </c>
      <c r="C14" s="44" t="s">
        <v>14</v>
      </c>
      <c r="D14" s="47">
        <f>'Deferral Balance'!D22</f>
        <v>5164771.9315522267</v>
      </c>
      <c r="E14" s="47">
        <f>'Deferral Balance'!E22</f>
        <v>-1517327.4505572326</v>
      </c>
      <c r="F14" s="47">
        <f>'Deferral Balance'!F22</f>
        <v>-1195825.6874006062</v>
      </c>
    </row>
    <row r="15" spans="1:6" x14ac:dyDescent="0.2">
      <c r="A15" s="44">
        <f t="shared" si="0"/>
        <v>5</v>
      </c>
      <c r="B15" s="43"/>
      <c r="C15" s="44"/>
      <c r="D15" s="47"/>
      <c r="E15" s="47"/>
      <c r="F15" s="47"/>
    </row>
    <row r="16" spans="1:6" x14ac:dyDescent="0.2">
      <c r="A16" s="44">
        <f t="shared" si="0"/>
        <v>6</v>
      </c>
      <c r="B16" s="43" t="s">
        <v>435</v>
      </c>
      <c r="C16" s="44" t="s">
        <v>14</v>
      </c>
      <c r="D16" s="47">
        <f>'Deferral Balance'!D24</f>
        <v>752840.99742493173</v>
      </c>
      <c r="E16" s="47">
        <f>'Deferral Balance'!E24</f>
        <v>-181501.0507701108</v>
      </c>
      <c r="F16" s="47">
        <f>'Deferral Balance'!F24</f>
        <v>-29981.64557094637</v>
      </c>
    </row>
    <row r="17" spans="1:6" x14ac:dyDescent="0.2">
      <c r="A17" s="44">
        <f t="shared" si="0"/>
        <v>7</v>
      </c>
      <c r="B17" s="43"/>
      <c r="C17" s="44"/>
      <c r="D17" s="47"/>
      <c r="E17" s="47"/>
      <c r="F17" s="47"/>
    </row>
    <row r="18" spans="1:6" x14ac:dyDescent="0.2">
      <c r="A18" s="44">
        <f t="shared" si="0"/>
        <v>8</v>
      </c>
      <c r="B18" s="43" t="s">
        <v>446</v>
      </c>
      <c r="C18" s="44" t="s">
        <v>14</v>
      </c>
      <c r="D18" s="48">
        <f>-'Earnings Test Alloc'!E17</f>
        <v>0</v>
      </c>
      <c r="E18" s="48">
        <f>-'Earnings Test Alloc'!E17</f>
        <v>0</v>
      </c>
      <c r="F18" s="48">
        <f>-'Earnings Test Alloc'!E17</f>
        <v>0</v>
      </c>
    </row>
    <row r="19" spans="1:6" x14ac:dyDescent="0.2">
      <c r="A19" s="44">
        <f t="shared" si="0"/>
        <v>9</v>
      </c>
      <c r="B19" s="43"/>
      <c r="C19" s="44"/>
      <c r="D19" s="46"/>
      <c r="E19" s="46"/>
      <c r="F19" s="46"/>
    </row>
    <row r="20" spans="1:6" x14ac:dyDescent="0.2">
      <c r="A20" s="44">
        <f t="shared" si="0"/>
        <v>10</v>
      </c>
      <c r="B20" s="43" t="s">
        <v>15</v>
      </c>
      <c r="C20" s="44" t="str">
        <f>"("&amp;A12&amp;")+("&amp;A14&amp;")+("&amp;A16&amp;")+("&amp;A18&amp;")"</f>
        <v>(2)+(4)+(6)+(8)</v>
      </c>
      <c r="D20" s="46">
        <f>D12+D14+D16+D18</f>
        <v>7565144.0775881298</v>
      </c>
      <c r="E20" s="46">
        <f t="shared" ref="E20:F20" si="1">E12+E14+E16+E18</f>
        <v>-1774659.3315357738</v>
      </c>
      <c r="F20" s="46">
        <f t="shared" si="1"/>
        <v>-1263219.9693006314</v>
      </c>
    </row>
    <row r="21" spans="1:6" x14ac:dyDescent="0.2">
      <c r="A21" s="44">
        <f t="shared" si="0"/>
        <v>11</v>
      </c>
      <c r="B21" s="43"/>
      <c r="C21" s="44"/>
      <c r="D21" s="46"/>
      <c r="E21" s="46"/>
      <c r="F21" s="46"/>
    </row>
    <row r="22" spans="1:6" x14ac:dyDescent="0.2">
      <c r="A22" s="44">
        <f t="shared" si="0"/>
        <v>12</v>
      </c>
      <c r="B22" s="43" t="s">
        <v>16</v>
      </c>
      <c r="C22" s="44" t="s">
        <v>14</v>
      </c>
      <c r="D22" s="49">
        <f>'F2019 Forecast'!$P$24</f>
        <v>613997001</v>
      </c>
      <c r="E22" s="49">
        <f>'F2019 Forecast'!$P$25</f>
        <v>240242876</v>
      </c>
      <c r="F22" s="49">
        <f>'F2019 Forecast'!$P$26</f>
        <v>98527641</v>
      </c>
    </row>
    <row r="23" spans="1:6" x14ac:dyDescent="0.2">
      <c r="A23" s="44">
        <f t="shared" si="0"/>
        <v>13</v>
      </c>
      <c r="B23" s="38"/>
      <c r="C23" s="38"/>
      <c r="D23" s="38"/>
      <c r="E23" s="38"/>
      <c r="F23" s="38"/>
    </row>
    <row r="24" spans="1:6" ht="12" thickBot="1" x14ac:dyDescent="0.25">
      <c r="A24" s="44">
        <f t="shared" si="0"/>
        <v>14</v>
      </c>
      <c r="B24" s="43" t="s">
        <v>17</v>
      </c>
      <c r="C24" s="44" t="str">
        <f>"("&amp;A20&amp;") / ("&amp;A22&amp;")"</f>
        <v>(10) / (12)</v>
      </c>
      <c r="D24" s="50">
        <f>ROUND(D20/D22,5)</f>
        <v>1.2319999999999999E-2</v>
      </c>
      <c r="E24" s="50">
        <f>ROUND(E20/E22,5)</f>
        <v>-7.3899999999999999E-3</v>
      </c>
      <c r="F24" s="50">
        <f t="shared" ref="F24" si="2">ROUND(F20/F22,5)</f>
        <v>-1.282E-2</v>
      </c>
    </row>
    <row r="25" spans="1:6" ht="12" thickTop="1" x14ac:dyDescent="0.2">
      <c r="A25" s="44">
        <f t="shared" si="0"/>
        <v>15</v>
      </c>
      <c r="B25" s="38"/>
      <c r="C25" s="38"/>
      <c r="D25" s="38"/>
      <c r="E25" s="38"/>
      <c r="F25" s="38"/>
    </row>
    <row r="26" spans="1:6" x14ac:dyDescent="0.2">
      <c r="A26" s="44">
        <f t="shared" si="0"/>
        <v>16</v>
      </c>
      <c r="B26" s="43" t="s">
        <v>18</v>
      </c>
      <c r="C26" s="44" t="s">
        <v>14</v>
      </c>
      <c r="D26" s="104">
        <f>'Rate Test'!D29</f>
        <v>1.2319999999999999E-2</v>
      </c>
      <c r="E26" s="104">
        <f>'Rate Test'!E29</f>
        <v>-7.3899999999999999E-3</v>
      </c>
      <c r="F26" s="104">
        <f>'Rate Test'!F29</f>
        <v>-1.282E-2</v>
      </c>
    </row>
    <row r="27" spans="1:6" x14ac:dyDescent="0.2">
      <c r="A27" s="44">
        <f t="shared" si="0"/>
        <v>17</v>
      </c>
      <c r="B27" s="43"/>
      <c r="C27" s="44"/>
      <c r="D27" s="38"/>
      <c r="E27" s="38"/>
      <c r="F27" s="38"/>
    </row>
    <row r="28" spans="1:6" x14ac:dyDescent="0.2">
      <c r="A28" s="44">
        <f t="shared" si="0"/>
        <v>18</v>
      </c>
      <c r="B28" s="43" t="s">
        <v>19</v>
      </c>
      <c r="C28" s="44" t="s">
        <v>20</v>
      </c>
      <c r="D28" s="46">
        <f>IF(D24=D26,D14,(D14-((D24-D26)*D22)))</f>
        <v>5164771.9315522267</v>
      </c>
      <c r="E28" s="46">
        <f>IF(E24=E26,E14,(E14-((E24-E26)*E22)))</f>
        <v>-1517327.4505572326</v>
      </c>
      <c r="F28" s="46">
        <f t="shared" ref="F28" si="3">IF(F24=F26,F14,(F14-((F24-F26)*F22)))</f>
        <v>-1195825.6874006062</v>
      </c>
    </row>
    <row r="29" spans="1:6" x14ac:dyDescent="0.2">
      <c r="A29" s="44">
        <f t="shared" si="0"/>
        <v>19</v>
      </c>
      <c r="B29" s="38"/>
      <c r="C29" s="38"/>
      <c r="D29" s="46"/>
      <c r="E29" s="52"/>
      <c r="F29" s="52"/>
    </row>
    <row r="30" spans="1:6" x14ac:dyDescent="0.2">
      <c r="A30" s="44">
        <f t="shared" si="0"/>
        <v>20</v>
      </c>
      <c r="B30" s="43" t="s">
        <v>21</v>
      </c>
      <c r="C30" s="44" t="str">
        <f>"("&amp;A12&amp;")+("&amp;A16&amp;")+("&amp;A18&amp;")+("&amp;A28&amp;")"</f>
        <v>(2)+(6)+(8)+(18)</v>
      </c>
      <c r="D30" s="46">
        <f>D28+D12+D16+D18</f>
        <v>7565144.0775881298</v>
      </c>
      <c r="E30" s="52">
        <f>E28+E12+E16+E18</f>
        <v>-1774659.3315357738</v>
      </c>
      <c r="F30" s="52">
        <f>F28+F12+F16+F18</f>
        <v>-1263219.9693006314</v>
      </c>
    </row>
    <row r="31" spans="1:6" x14ac:dyDescent="0.2">
      <c r="A31" s="44">
        <f t="shared" si="0"/>
        <v>21</v>
      </c>
      <c r="B31" s="38"/>
      <c r="C31" s="38"/>
      <c r="D31" s="43"/>
      <c r="E31" s="43"/>
      <c r="F31" s="43"/>
    </row>
    <row r="32" spans="1:6" x14ac:dyDescent="0.2">
      <c r="A32" s="44">
        <f t="shared" si="0"/>
        <v>22</v>
      </c>
      <c r="B32" s="43" t="s">
        <v>22</v>
      </c>
      <c r="C32" s="44" t="str">
        <f>"("&amp;A$30&amp;") - ("&amp;A20&amp;")"</f>
        <v>(20) - (10)</v>
      </c>
      <c r="D32" s="52">
        <f>D30-D20</f>
        <v>0</v>
      </c>
      <c r="E32" s="52">
        <f t="shared" ref="E32:F32" si="4">E30-E20</f>
        <v>0</v>
      </c>
      <c r="F32" s="52">
        <f t="shared" si="4"/>
        <v>0</v>
      </c>
    </row>
    <row r="33" spans="1:6" x14ac:dyDescent="0.2">
      <c r="A33" s="44">
        <f t="shared" si="0"/>
        <v>23</v>
      </c>
      <c r="B33" s="43"/>
      <c r="C33" s="38"/>
      <c r="D33" s="38"/>
      <c r="E33" s="38"/>
      <c r="F33" s="38"/>
    </row>
    <row r="34" spans="1:6" x14ac:dyDescent="0.2">
      <c r="A34" s="44">
        <f t="shared" si="0"/>
        <v>24</v>
      </c>
      <c r="B34" s="43" t="s">
        <v>23</v>
      </c>
      <c r="C34" s="44" t="s">
        <v>20</v>
      </c>
      <c r="D34" s="47"/>
      <c r="E34" s="47">
        <f>'2018 ERF Volumetric DeliveryRev'!E14*'Delivery Rate Change Calc'!E22</f>
        <v>76728769.736880004</v>
      </c>
      <c r="F34" s="47">
        <f>'2018 ERF Volumetric DeliveryRev'!F14*'Delivery Rate Change Calc'!F22</f>
        <v>17909369.304569997</v>
      </c>
    </row>
    <row r="35" spans="1:6" x14ac:dyDescent="0.2">
      <c r="A35" s="44">
        <f t="shared" si="0"/>
        <v>25</v>
      </c>
    </row>
    <row r="36" spans="1:6" x14ac:dyDescent="0.2">
      <c r="A36" s="44">
        <f t="shared" si="0"/>
        <v>26</v>
      </c>
      <c r="B36" s="43" t="s">
        <v>24</v>
      </c>
      <c r="C36" s="44" t="str">
        <f>"("&amp;A$30&amp;") / ("&amp;A34&amp;")"</f>
        <v>(20) / (24)</v>
      </c>
      <c r="D36" s="52"/>
      <c r="E36" s="53">
        <f>E30/E34</f>
        <v>-2.3128994999157094E-2</v>
      </c>
      <c r="F36" s="53">
        <f>F30/F34</f>
        <v>-7.0534028743172494E-2</v>
      </c>
    </row>
    <row r="38" spans="1:6" x14ac:dyDescent="0.2">
      <c r="B38" s="43" t="s">
        <v>25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/>
  </sheetPr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M43"/>
  <sheetViews>
    <sheetView zoomScaleNormal="100" workbookViewId="0">
      <selection activeCell="D24" sqref="D24"/>
    </sheetView>
  </sheetViews>
  <sheetFormatPr defaultColWidth="9.140625" defaultRowHeight="11.25" x14ac:dyDescent="0.2"/>
  <cols>
    <col min="1" max="1" width="4" style="90" bestFit="1" customWidth="1"/>
    <col min="2" max="2" width="41.28515625" style="90" bestFit="1" customWidth="1"/>
    <col min="3" max="3" width="13.140625" style="90" bestFit="1" customWidth="1"/>
    <col min="4" max="4" width="11.28515625" style="90" bestFit="1" customWidth="1"/>
    <col min="5" max="5" width="10.42578125" style="90" bestFit="1" customWidth="1"/>
    <col min="6" max="6" width="13.7109375" style="90" bestFit="1" customWidth="1"/>
    <col min="7" max="16384" width="9.140625" style="90"/>
  </cols>
  <sheetData>
    <row r="1" spans="1:13" x14ac:dyDescent="0.2">
      <c r="A1" s="431" t="s">
        <v>0</v>
      </c>
      <c r="B1" s="431"/>
      <c r="C1" s="431"/>
      <c r="D1" s="431"/>
      <c r="E1" s="431"/>
      <c r="F1" s="431"/>
      <c r="G1" s="5"/>
      <c r="H1" s="14"/>
      <c r="I1" s="14"/>
      <c r="J1" s="14"/>
      <c r="K1" s="14"/>
      <c r="L1" s="14"/>
      <c r="M1" s="14"/>
    </row>
    <row r="2" spans="1:13" x14ac:dyDescent="0.2">
      <c r="A2" s="433" t="str">
        <f>'Delivery Rate Change Calc'!A2:F2</f>
        <v>2020 Gas Decoupling Filing</v>
      </c>
      <c r="B2" s="433"/>
      <c r="C2" s="433"/>
      <c r="D2" s="433"/>
      <c r="E2" s="433"/>
      <c r="F2" s="433"/>
      <c r="G2" s="5"/>
      <c r="H2" s="14"/>
      <c r="I2" s="14"/>
      <c r="J2" s="14"/>
      <c r="K2" s="14"/>
      <c r="L2" s="14"/>
      <c r="M2" s="14"/>
    </row>
    <row r="3" spans="1:13" x14ac:dyDescent="0.2">
      <c r="A3" s="434" t="s">
        <v>218</v>
      </c>
      <c r="B3" s="434"/>
      <c r="C3" s="434"/>
      <c r="D3" s="434"/>
      <c r="E3" s="434"/>
      <c r="F3" s="434"/>
      <c r="G3" s="5"/>
      <c r="H3" s="14"/>
      <c r="I3" s="14"/>
      <c r="J3" s="14"/>
      <c r="K3" s="14"/>
      <c r="L3" s="14"/>
      <c r="M3" s="14"/>
    </row>
    <row r="4" spans="1:13" x14ac:dyDescent="0.2">
      <c r="A4" s="444" t="str">
        <f>'Delivery Rate Change Calc'!A4:F4</f>
        <v>Proposed Effective May 1, 2020</v>
      </c>
      <c r="B4" s="444"/>
      <c r="C4" s="444"/>
      <c r="D4" s="444"/>
      <c r="E4" s="444"/>
      <c r="F4" s="444"/>
      <c r="G4" s="5"/>
      <c r="H4" s="14"/>
      <c r="I4" s="14"/>
      <c r="J4" s="14"/>
      <c r="K4" s="14"/>
      <c r="L4" s="14"/>
      <c r="M4" s="14"/>
    </row>
    <row r="5" spans="1:13" x14ac:dyDescent="0.2">
      <c r="A5" s="43"/>
      <c r="B5" s="43"/>
      <c r="C5" s="43"/>
      <c r="D5" s="43"/>
      <c r="E5" s="43"/>
      <c r="F5" s="43"/>
      <c r="G5" s="43"/>
    </row>
    <row r="6" spans="1:13" x14ac:dyDescent="0.2">
      <c r="A6" s="39" t="s">
        <v>2</v>
      </c>
      <c r="B6" s="43"/>
      <c r="C6" s="43"/>
      <c r="D6" s="40" t="s">
        <v>3</v>
      </c>
      <c r="E6" s="40" t="s">
        <v>3</v>
      </c>
      <c r="F6" s="40" t="s">
        <v>3</v>
      </c>
      <c r="G6" s="43"/>
    </row>
    <row r="7" spans="1:13" x14ac:dyDescent="0.2">
      <c r="A7" s="135" t="s">
        <v>4</v>
      </c>
      <c r="B7" s="42"/>
      <c r="C7" s="135" t="s">
        <v>5</v>
      </c>
      <c r="D7" s="41" t="s">
        <v>6</v>
      </c>
      <c r="E7" s="41" t="s">
        <v>7</v>
      </c>
      <c r="F7" s="41" t="s">
        <v>8</v>
      </c>
      <c r="G7" s="43"/>
    </row>
    <row r="8" spans="1:13" x14ac:dyDescent="0.2">
      <c r="A8" s="43"/>
      <c r="B8" s="44" t="s">
        <v>9</v>
      </c>
      <c r="C8" s="44" t="s">
        <v>10</v>
      </c>
      <c r="D8" s="44" t="s">
        <v>11</v>
      </c>
      <c r="E8" s="44" t="s">
        <v>12</v>
      </c>
      <c r="F8" s="44" t="s">
        <v>13</v>
      </c>
      <c r="G8" s="43"/>
    </row>
    <row r="9" spans="1:13" x14ac:dyDescent="0.2">
      <c r="A9" s="44">
        <v>1</v>
      </c>
      <c r="B9" s="45"/>
      <c r="C9" s="44"/>
      <c r="D9" s="44"/>
      <c r="E9" s="44"/>
      <c r="F9" s="43"/>
      <c r="G9" s="43"/>
    </row>
    <row r="10" spans="1:13" x14ac:dyDescent="0.2">
      <c r="A10" s="44">
        <f t="shared" ref="A10:A26" si="0">A9+1</f>
        <v>2</v>
      </c>
      <c r="B10" s="43" t="s">
        <v>433</v>
      </c>
      <c r="C10" s="130" t="s">
        <v>219</v>
      </c>
      <c r="D10" s="102">
        <f>'Account Balance'!CM13</f>
        <v>1572631.0875328188</v>
      </c>
      <c r="E10" s="102">
        <f>'Account Balance'!CM30</f>
        <v>-72383.409005494934</v>
      </c>
      <c r="F10" s="102">
        <f>'Account Balance'!CM38</f>
        <v>-35711.783056286156</v>
      </c>
      <c r="G10" s="43"/>
    </row>
    <row r="11" spans="1:13" x14ac:dyDescent="0.2">
      <c r="A11" s="44">
        <f t="shared" si="0"/>
        <v>3</v>
      </c>
      <c r="F11" s="43"/>
      <c r="G11" s="43"/>
    </row>
    <row r="12" spans="1:13" x14ac:dyDescent="0.2">
      <c r="A12" s="44">
        <f t="shared" si="0"/>
        <v>4</v>
      </c>
      <c r="B12" s="43" t="s">
        <v>434</v>
      </c>
      <c r="C12" s="130" t="s">
        <v>219</v>
      </c>
      <c r="D12" s="102">
        <f>'Account Balance'!CI46</f>
        <v>4929971.0699999994</v>
      </c>
      <c r="E12" s="102">
        <f>'Account Balance'!CI65</f>
        <v>-1448346.7099999997</v>
      </c>
      <c r="F12" s="102">
        <f>'Account Balance'!CI73</f>
        <v>-1141461.0599999998</v>
      </c>
      <c r="G12" s="43"/>
    </row>
    <row r="13" spans="1:13" x14ac:dyDescent="0.2">
      <c r="A13" s="44">
        <f t="shared" si="0"/>
        <v>5</v>
      </c>
      <c r="B13" s="43"/>
      <c r="C13" s="44"/>
      <c r="D13" s="103"/>
      <c r="E13" s="103"/>
      <c r="F13" s="43"/>
      <c r="G13" s="43"/>
    </row>
    <row r="14" spans="1:13" x14ac:dyDescent="0.2">
      <c r="A14" s="44">
        <f t="shared" si="0"/>
        <v>6</v>
      </c>
      <c r="B14" s="43" t="s">
        <v>435</v>
      </c>
      <c r="C14" s="130" t="s">
        <v>219</v>
      </c>
      <c r="D14" s="102">
        <f>'Account Balance'!CI82</f>
        <v>718615.3399999995</v>
      </c>
      <c r="E14" s="102">
        <f>'Account Balance'!CI102</f>
        <v>-173249.65000000002</v>
      </c>
      <c r="F14" s="102">
        <f>'Account Balance'!CI110</f>
        <v>-28618.620000000006</v>
      </c>
      <c r="G14" s="43"/>
    </row>
    <row r="15" spans="1:13" x14ac:dyDescent="0.2">
      <c r="A15" s="44">
        <f t="shared" si="0"/>
        <v>7</v>
      </c>
      <c r="B15" s="43"/>
      <c r="C15" s="44"/>
      <c r="D15" s="103"/>
      <c r="E15" s="103"/>
      <c r="F15" s="43"/>
      <c r="G15" s="43"/>
    </row>
    <row r="16" spans="1:13" x14ac:dyDescent="0.2">
      <c r="A16" s="44">
        <f t="shared" si="0"/>
        <v>8</v>
      </c>
      <c r="B16" s="43" t="s">
        <v>220</v>
      </c>
      <c r="C16" s="44" t="s">
        <v>221</v>
      </c>
      <c r="D16" s="52">
        <f>D12+D14+D10</f>
        <v>7221217.4975328185</v>
      </c>
      <c r="E16" s="52">
        <f>E12+E14+E10</f>
        <v>-1693979.7690054949</v>
      </c>
      <c r="F16" s="52">
        <f>F12+F14+F10</f>
        <v>-1205791.4630562861</v>
      </c>
      <c r="G16" s="43"/>
    </row>
    <row r="17" spans="1:7" x14ac:dyDescent="0.2">
      <c r="A17" s="44">
        <f t="shared" si="0"/>
        <v>9</v>
      </c>
      <c r="B17" s="43"/>
      <c r="C17" s="44"/>
      <c r="D17" s="103"/>
      <c r="E17" s="103"/>
      <c r="F17" s="43"/>
      <c r="G17" s="43"/>
    </row>
    <row r="18" spans="1:7" x14ac:dyDescent="0.2">
      <c r="A18" s="44">
        <f t="shared" si="0"/>
        <v>10</v>
      </c>
      <c r="B18" s="43" t="s">
        <v>175</v>
      </c>
      <c r="C18" s="130" t="s">
        <v>14</v>
      </c>
      <c r="D18" s="136">
        <f>'2017 GRC Conversion Factor'!$D$18</f>
        <v>0.954538</v>
      </c>
      <c r="E18" s="327">
        <f>D18</f>
        <v>0.954538</v>
      </c>
      <c r="F18" s="327">
        <f>D18</f>
        <v>0.954538</v>
      </c>
      <c r="G18" s="43"/>
    </row>
    <row r="19" spans="1:7" x14ac:dyDescent="0.2">
      <c r="A19" s="44">
        <f t="shared" si="0"/>
        <v>11</v>
      </c>
      <c r="B19" s="43"/>
      <c r="C19" s="130"/>
      <c r="D19" s="52"/>
      <c r="E19" s="52"/>
      <c r="F19" s="43"/>
      <c r="G19" s="43"/>
    </row>
    <row r="20" spans="1:7" x14ac:dyDescent="0.2">
      <c r="A20" s="44">
        <f t="shared" si="0"/>
        <v>12</v>
      </c>
      <c r="B20" s="43" t="s">
        <v>222</v>
      </c>
      <c r="C20" s="44" t="s">
        <v>223</v>
      </c>
      <c r="D20" s="52">
        <f>D10/D$18</f>
        <v>1647531.1486109707</v>
      </c>
      <c r="E20" s="52">
        <f>E10/E$18</f>
        <v>-75830.830208430605</v>
      </c>
      <c r="F20" s="52">
        <f>F10/F$18</f>
        <v>-37412.636329078734</v>
      </c>
      <c r="G20" s="43"/>
    </row>
    <row r="21" spans="1:7" x14ac:dyDescent="0.2">
      <c r="A21" s="44">
        <f t="shared" si="0"/>
        <v>13</v>
      </c>
      <c r="G21" s="43"/>
    </row>
    <row r="22" spans="1:7" x14ac:dyDescent="0.2">
      <c r="A22" s="44">
        <f t="shared" si="0"/>
        <v>14</v>
      </c>
      <c r="B22" s="43" t="s">
        <v>224</v>
      </c>
      <c r="C22" s="44" t="s">
        <v>225</v>
      </c>
      <c r="D22" s="52">
        <f>D12/D$18</f>
        <v>5164771.9315522267</v>
      </c>
      <c r="E22" s="52">
        <f>E12/E$18</f>
        <v>-1517327.4505572326</v>
      </c>
      <c r="F22" s="52">
        <f>F12/F$18</f>
        <v>-1195825.6874006062</v>
      </c>
      <c r="G22" s="43"/>
    </row>
    <row r="23" spans="1:7" x14ac:dyDescent="0.2">
      <c r="A23" s="44">
        <f t="shared" si="0"/>
        <v>15</v>
      </c>
      <c r="B23" s="43"/>
      <c r="C23" s="130"/>
      <c r="D23" s="43"/>
      <c r="E23" s="43"/>
      <c r="F23" s="43"/>
      <c r="G23" s="43"/>
    </row>
    <row r="24" spans="1:7" x14ac:dyDescent="0.2">
      <c r="A24" s="44">
        <f t="shared" si="0"/>
        <v>16</v>
      </c>
      <c r="B24" s="43" t="s">
        <v>226</v>
      </c>
      <c r="C24" s="44" t="s">
        <v>227</v>
      </c>
      <c r="D24" s="52">
        <f>D14/D$18</f>
        <v>752840.99742493173</v>
      </c>
      <c r="E24" s="52">
        <f>E14/E$18</f>
        <v>-181501.0507701108</v>
      </c>
      <c r="F24" s="52">
        <f>F14/F$18</f>
        <v>-29981.64557094637</v>
      </c>
      <c r="G24" s="43"/>
    </row>
    <row r="25" spans="1:7" x14ac:dyDescent="0.2">
      <c r="A25" s="44">
        <f t="shared" si="0"/>
        <v>17</v>
      </c>
      <c r="B25" s="43"/>
      <c r="C25" s="130"/>
      <c r="D25" s="43"/>
      <c r="E25" s="43"/>
      <c r="F25" s="43"/>
      <c r="G25" s="43"/>
    </row>
    <row r="26" spans="1:7" x14ac:dyDescent="0.2">
      <c r="A26" s="44">
        <f t="shared" si="0"/>
        <v>18</v>
      </c>
      <c r="B26" s="43" t="s">
        <v>228</v>
      </c>
      <c r="C26" s="44" t="s">
        <v>229</v>
      </c>
      <c r="D26" s="52">
        <f>D22+D24+D20</f>
        <v>7565144.0775881289</v>
      </c>
      <c r="E26" s="52">
        <f>E22+E24+E20</f>
        <v>-1774659.3315357738</v>
      </c>
      <c r="F26" s="52">
        <f>F22+F24+F20</f>
        <v>-1263219.9693006314</v>
      </c>
      <c r="G26" s="43"/>
    </row>
    <row r="27" spans="1:7" x14ac:dyDescent="0.2">
      <c r="A27" s="44"/>
      <c r="B27" s="43"/>
      <c r="C27" s="130"/>
      <c r="D27" s="43"/>
      <c r="E27" s="43"/>
      <c r="F27" s="43"/>
      <c r="G27" s="43"/>
    </row>
    <row r="28" spans="1:7" x14ac:dyDescent="0.2">
      <c r="A28" s="44"/>
      <c r="B28" s="43"/>
      <c r="C28" s="43"/>
      <c r="D28" s="52"/>
      <c r="E28" s="52"/>
      <c r="F28" s="43"/>
      <c r="G28" s="43"/>
    </row>
    <row r="29" spans="1:7" x14ac:dyDescent="0.2">
      <c r="A29" s="44"/>
      <c r="B29" s="43"/>
      <c r="C29" s="43"/>
      <c r="D29" s="52"/>
      <c r="E29" s="52"/>
      <c r="F29" s="43"/>
      <c r="G29" s="43"/>
    </row>
    <row r="30" spans="1:7" x14ac:dyDescent="0.2">
      <c r="A30" s="43"/>
      <c r="B30" s="43"/>
      <c r="C30" s="43"/>
      <c r="D30" s="43"/>
      <c r="E30" s="43"/>
      <c r="F30" s="43"/>
      <c r="G30" s="43"/>
    </row>
    <row r="31" spans="1:7" x14ac:dyDescent="0.2">
      <c r="A31" s="43"/>
      <c r="B31" s="43"/>
      <c r="C31" s="43"/>
      <c r="D31" s="52"/>
      <c r="E31" s="52"/>
      <c r="F31" s="43"/>
      <c r="G31" s="43"/>
    </row>
    <row r="32" spans="1:7" x14ac:dyDescent="0.2">
      <c r="A32" s="43"/>
      <c r="B32" s="43"/>
      <c r="C32" s="43"/>
      <c r="D32" s="43"/>
      <c r="E32" s="43"/>
      <c r="F32" s="43"/>
      <c r="G32" s="43"/>
    </row>
    <row r="33" spans="1:7" x14ac:dyDescent="0.2">
      <c r="A33" s="43"/>
      <c r="F33" s="43"/>
      <c r="G33" s="43"/>
    </row>
    <row r="34" spans="1:7" x14ac:dyDescent="0.2">
      <c r="A34" s="43"/>
      <c r="F34" s="43"/>
      <c r="G34" s="43"/>
    </row>
    <row r="35" spans="1:7" x14ac:dyDescent="0.2">
      <c r="A35" s="43"/>
      <c r="F35" s="43"/>
      <c r="G35" s="43"/>
    </row>
    <row r="36" spans="1:7" x14ac:dyDescent="0.2">
      <c r="A36" s="43"/>
      <c r="B36" s="43"/>
      <c r="C36" s="43"/>
      <c r="D36" s="43"/>
      <c r="E36" s="43"/>
      <c r="F36" s="43"/>
      <c r="G36" s="43"/>
    </row>
    <row r="37" spans="1:7" x14ac:dyDescent="0.2">
      <c r="A37" s="43"/>
      <c r="B37" s="43"/>
      <c r="C37" s="43"/>
      <c r="D37" s="43"/>
      <c r="E37" s="43"/>
      <c r="F37" s="43"/>
      <c r="G37" s="43"/>
    </row>
    <row r="38" spans="1:7" x14ac:dyDescent="0.2">
      <c r="A38" s="43"/>
      <c r="B38" s="43"/>
      <c r="C38" s="43"/>
      <c r="D38" s="43"/>
      <c r="E38" s="43"/>
      <c r="F38" s="43"/>
      <c r="G38" s="43"/>
    </row>
    <row r="39" spans="1:7" x14ac:dyDescent="0.2">
      <c r="A39" s="43"/>
      <c r="B39" s="43"/>
      <c r="C39" s="43"/>
      <c r="D39" s="43"/>
      <c r="E39" s="43"/>
      <c r="F39" s="43"/>
      <c r="G39" s="43"/>
    </row>
    <row r="40" spans="1:7" x14ac:dyDescent="0.2">
      <c r="A40" s="43"/>
      <c r="B40" s="43"/>
      <c r="C40" s="43"/>
      <c r="D40" s="43"/>
      <c r="E40" s="43"/>
      <c r="F40" s="43"/>
      <c r="G40" s="43"/>
    </row>
    <row r="41" spans="1:7" x14ac:dyDescent="0.2">
      <c r="A41" s="43"/>
      <c r="B41" s="43"/>
      <c r="C41" s="43"/>
      <c r="D41" s="43"/>
      <c r="E41" s="43"/>
      <c r="F41" s="43"/>
      <c r="G41" s="43"/>
    </row>
    <row r="42" spans="1:7" x14ac:dyDescent="0.2">
      <c r="A42" s="43"/>
      <c r="B42" s="43"/>
      <c r="C42" s="43"/>
      <c r="D42" s="43"/>
      <c r="E42" s="43"/>
      <c r="F42" s="43"/>
      <c r="G42" s="43"/>
    </row>
    <row r="43" spans="1:7" x14ac:dyDescent="0.2">
      <c r="A43" s="43"/>
      <c r="B43" s="43"/>
      <c r="C43" s="43"/>
      <c r="D43" s="43"/>
      <c r="E43" s="43"/>
      <c r="F43" s="43"/>
      <c r="G43" s="43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CN133"/>
  <sheetViews>
    <sheetView zoomScaleNormal="100" workbookViewId="0">
      <pane xSplit="3" ySplit="6" topLeftCell="CE76" activePane="bottomRight" state="frozen"/>
      <selection activeCell="B35" sqref="B35"/>
      <selection pane="topRight" activeCell="B35" sqref="B35"/>
      <selection pane="bottomLeft" activeCell="B35" sqref="B35"/>
      <selection pane="bottomRight" activeCell="CI110" sqref="CI110"/>
    </sheetView>
  </sheetViews>
  <sheetFormatPr defaultRowHeight="11.25" x14ac:dyDescent="0.2"/>
  <cols>
    <col min="1" max="1" width="10.28515625" style="7" customWidth="1"/>
    <col min="2" max="2" width="41.7109375" style="7" bestFit="1" customWidth="1"/>
    <col min="3" max="3" width="7.85546875" style="11" bestFit="1" customWidth="1"/>
    <col min="4" max="4" width="5.7109375" style="8" bestFit="1" customWidth="1"/>
    <col min="5" max="5" width="5.85546875" style="8" bestFit="1" customWidth="1"/>
    <col min="6" max="6" width="5.85546875" style="234" bestFit="1" customWidth="1"/>
    <col min="7" max="7" width="5.85546875" style="8" bestFit="1" customWidth="1"/>
    <col min="8" max="8" width="6.140625" style="8" bestFit="1" customWidth="1"/>
    <col min="9" max="9" width="5.7109375" style="8" bestFit="1" customWidth="1"/>
    <col min="10" max="10" width="11.28515625" style="8" bestFit="1" customWidth="1"/>
    <col min="11" max="12" width="12" style="8" bestFit="1" customWidth="1"/>
    <col min="13" max="21" width="12.5703125" style="8" bestFit="1" customWidth="1"/>
    <col min="22" max="48" width="12.85546875" style="8" bestFit="1" customWidth="1"/>
    <col min="49" max="52" width="13.85546875" style="8" bestFit="1" customWidth="1"/>
    <col min="53" max="55" width="12.85546875" style="8" bestFit="1" customWidth="1"/>
    <col min="56" max="56" width="13.5703125" style="8" bestFit="1" customWidth="1"/>
    <col min="57" max="63" width="12.85546875" style="8" bestFit="1" customWidth="1"/>
    <col min="64" max="66" width="12.85546875" style="8" customWidth="1"/>
    <col min="67" max="68" width="13.5703125" style="8" bestFit="1" customWidth="1"/>
    <col min="69" max="75" width="12.85546875" style="8" customWidth="1"/>
    <col min="76" max="80" width="13.5703125" style="8" bestFit="1" customWidth="1"/>
    <col min="81" max="86" width="12.85546875" style="8" bestFit="1" customWidth="1"/>
    <col min="87" max="87" width="12.85546875" style="7" bestFit="1" customWidth="1"/>
    <col min="88" max="89" width="12.85546875" style="8" bestFit="1" customWidth="1"/>
    <col min="90" max="91" width="13.5703125" style="7" bestFit="1" customWidth="1"/>
    <col min="92" max="92" width="11.28515625" style="7" bestFit="1" customWidth="1"/>
    <col min="93" max="271" width="9.140625" style="7"/>
    <col min="272" max="272" width="5.7109375" style="7" customWidth="1"/>
    <col min="273" max="273" width="58.7109375" style="7" bestFit="1" customWidth="1"/>
    <col min="274" max="274" width="11.5703125" style="7" bestFit="1" customWidth="1"/>
    <col min="275" max="275" width="18.28515625" style="7" bestFit="1" customWidth="1"/>
    <col min="276" max="276" width="9.140625" style="7"/>
    <col min="277" max="278" width="0" style="7" hidden="1" customWidth="1"/>
    <col min="279" max="527" width="9.140625" style="7"/>
    <col min="528" max="528" width="5.7109375" style="7" customWidth="1"/>
    <col min="529" max="529" width="58.7109375" style="7" bestFit="1" customWidth="1"/>
    <col min="530" max="530" width="11.5703125" style="7" bestFit="1" customWidth="1"/>
    <col min="531" max="531" width="18.28515625" style="7" bestFit="1" customWidth="1"/>
    <col min="532" max="532" width="9.140625" style="7"/>
    <col min="533" max="534" width="0" style="7" hidden="1" customWidth="1"/>
    <col min="535" max="783" width="9.140625" style="7"/>
    <col min="784" max="784" width="5.7109375" style="7" customWidth="1"/>
    <col min="785" max="785" width="58.7109375" style="7" bestFit="1" customWidth="1"/>
    <col min="786" max="786" width="11.5703125" style="7" bestFit="1" customWidth="1"/>
    <col min="787" max="787" width="18.28515625" style="7" bestFit="1" customWidth="1"/>
    <col min="788" max="788" width="9.140625" style="7"/>
    <col min="789" max="790" width="0" style="7" hidden="1" customWidth="1"/>
    <col min="791" max="1039" width="9.140625" style="7"/>
    <col min="1040" max="1040" width="5.7109375" style="7" customWidth="1"/>
    <col min="1041" max="1041" width="58.7109375" style="7" bestFit="1" customWidth="1"/>
    <col min="1042" max="1042" width="11.5703125" style="7" bestFit="1" customWidth="1"/>
    <col min="1043" max="1043" width="18.28515625" style="7" bestFit="1" customWidth="1"/>
    <col min="1044" max="1044" width="9.140625" style="7"/>
    <col min="1045" max="1046" width="0" style="7" hidden="1" customWidth="1"/>
    <col min="1047" max="1295" width="9.140625" style="7"/>
    <col min="1296" max="1296" width="5.7109375" style="7" customWidth="1"/>
    <col min="1297" max="1297" width="58.7109375" style="7" bestFit="1" customWidth="1"/>
    <col min="1298" max="1298" width="11.5703125" style="7" bestFit="1" customWidth="1"/>
    <col min="1299" max="1299" width="18.28515625" style="7" bestFit="1" customWidth="1"/>
    <col min="1300" max="1300" width="9.140625" style="7"/>
    <col min="1301" max="1302" width="0" style="7" hidden="1" customWidth="1"/>
    <col min="1303" max="1551" width="9.140625" style="7"/>
    <col min="1552" max="1552" width="5.7109375" style="7" customWidth="1"/>
    <col min="1553" max="1553" width="58.7109375" style="7" bestFit="1" customWidth="1"/>
    <col min="1554" max="1554" width="11.5703125" style="7" bestFit="1" customWidth="1"/>
    <col min="1555" max="1555" width="18.28515625" style="7" bestFit="1" customWidth="1"/>
    <col min="1556" max="1556" width="9.140625" style="7"/>
    <col min="1557" max="1558" width="0" style="7" hidden="1" customWidth="1"/>
    <col min="1559" max="1807" width="9.140625" style="7"/>
    <col min="1808" max="1808" width="5.7109375" style="7" customWidth="1"/>
    <col min="1809" max="1809" width="58.7109375" style="7" bestFit="1" customWidth="1"/>
    <col min="1810" max="1810" width="11.5703125" style="7" bestFit="1" customWidth="1"/>
    <col min="1811" max="1811" width="18.28515625" style="7" bestFit="1" customWidth="1"/>
    <col min="1812" max="1812" width="9.140625" style="7"/>
    <col min="1813" max="1814" width="0" style="7" hidden="1" customWidth="1"/>
    <col min="1815" max="2063" width="9.140625" style="7"/>
    <col min="2064" max="2064" width="5.7109375" style="7" customWidth="1"/>
    <col min="2065" max="2065" width="58.7109375" style="7" bestFit="1" customWidth="1"/>
    <col min="2066" max="2066" width="11.5703125" style="7" bestFit="1" customWidth="1"/>
    <col min="2067" max="2067" width="18.28515625" style="7" bestFit="1" customWidth="1"/>
    <col min="2068" max="2068" width="9.140625" style="7"/>
    <col min="2069" max="2070" width="0" style="7" hidden="1" customWidth="1"/>
    <col min="2071" max="2319" width="9.140625" style="7"/>
    <col min="2320" max="2320" width="5.7109375" style="7" customWidth="1"/>
    <col min="2321" max="2321" width="58.7109375" style="7" bestFit="1" customWidth="1"/>
    <col min="2322" max="2322" width="11.5703125" style="7" bestFit="1" customWidth="1"/>
    <col min="2323" max="2323" width="18.28515625" style="7" bestFit="1" customWidth="1"/>
    <col min="2324" max="2324" width="9.140625" style="7"/>
    <col min="2325" max="2326" width="0" style="7" hidden="1" customWidth="1"/>
    <col min="2327" max="2575" width="9.140625" style="7"/>
    <col min="2576" max="2576" width="5.7109375" style="7" customWidth="1"/>
    <col min="2577" max="2577" width="58.7109375" style="7" bestFit="1" customWidth="1"/>
    <col min="2578" max="2578" width="11.5703125" style="7" bestFit="1" customWidth="1"/>
    <col min="2579" max="2579" width="18.28515625" style="7" bestFit="1" customWidth="1"/>
    <col min="2580" max="2580" width="9.140625" style="7"/>
    <col min="2581" max="2582" width="0" style="7" hidden="1" customWidth="1"/>
    <col min="2583" max="2831" width="9.140625" style="7"/>
    <col min="2832" max="2832" width="5.7109375" style="7" customWidth="1"/>
    <col min="2833" max="2833" width="58.7109375" style="7" bestFit="1" customWidth="1"/>
    <col min="2834" max="2834" width="11.5703125" style="7" bestFit="1" customWidth="1"/>
    <col min="2835" max="2835" width="18.28515625" style="7" bestFit="1" customWidth="1"/>
    <col min="2836" max="2836" width="9.140625" style="7"/>
    <col min="2837" max="2838" width="0" style="7" hidden="1" customWidth="1"/>
    <col min="2839" max="3087" width="9.140625" style="7"/>
    <col min="3088" max="3088" width="5.7109375" style="7" customWidth="1"/>
    <col min="3089" max="3089" width="58.7109375" style="7" bestFit="1" customWidth="1"/>
    <col min="3090" max="3090" width="11.5703125" style="7" bestFit="1" customWidth="1"/>
    <col min="3091" max="3091" width="18.28515625" style="7" bestFit="1" customWidth="1"/>
    <col min="3092" max="3092" width="9.140625" style="7"/>
    <col min="3093" max="3094" width="0" style="7" hidden="1" customWidth="1"/>
    <col min="3095" max="3343" width="9.140625" style="7"/>
    <col min="3344" max="3344" width="5.7109375" style="7" customWidth="1"/>
    <col min="3345" max="3345" width="58.7109375" style="7" bestFit="1" customWidth="1"/>
    <col min="3346" max="3346" width="11.5703125" style="7" bestFit="1" customWidth="1"/>
    <col min="3347" max="3347" width="18.28515625" style="7" bestFit="1" customWidth="1"/>
    <col min="3348" max="3348" width="9.140625" style="7"/>
    <col min="3349" max="3350" width="0" style="7" hidden="1" customWidth="1"/>
    <col min="3351" max="3599" width="9.140625" style="7"/>
    <col min="3600" max="3600" width="5.7109375" style="7" customWidth="1"/>
    <col min="3601" max="3601" width="58.7109375" style="7" bestFit="1" customWidth="1"/>
    <col min="3602" max="3602" width="11.5703125" style="7" bestFit="1" customWidth="1"/>
    <col min="3603" max="3603" width="18.28515625" style="7" bestFit="1" customWidth="1"/>
    <col min="3604" max="3604" width="9.140625" style="7"/>
    <col min="3605" max="3606" width="0" style="7" hidden="1" customWidth="1"/>
    <col min="3607" max="3855" width="9.140625" style="7"/>
    <col min="3856" max="3856" width="5.7109375" style="7" customWidth="1"/>
    <col min="3857" max="3857" width="58.7109375" style="7" bestFit="1" customWidth="1"/>
    <col min="3858" max="3858" width="11.5703125" style="7" bestFit="1" customWidth="1"/>
    <col min="3859" max="3859" width="18.28515625" style="7" bestFit="1" customWidth="1"/>
    <col min="3860" max="3860" width="9.140625" style="7"/>
    <col min="3861" max="3862" width="0" style="7" hidden="1" customWidth="1"/>
    <col min="3863" max="4111" width="9.140625" style="7"/>
    <col min="4112" max="4112" width="5.7109375" style="7" customWidth="1"/>
    <col min="4113" max="4113" width="58.7109375" style="7" bestFit="1" customWidth="1"/>
    <col min="4114" max="4114" width="11.5703125" style="7" bestFit="1" customWidth="1"/>
    <col min="4115" max="4115" width="18.28515625" style="7" bestFit="1" customWidth="1"/>
    <col min="4116" max="4116" width="9.140625" style="7"/>
    <col min="4117" max="4118" width="0" style="7" hidden="1" customWidth="1"/>
    <col min="4119" max="4367" width="9.140625" style="7"/>
    <col min="4368" max="4368" width="5.7109375" style="7" customWidth="1"/>
    <col min="4369" max="4369" width="58.7109375" style="7" bestFit="1" customWidth="1"/>
    <col min="4370" max="4370" width="11.5703125" style="7" bestFit="1" customWidth="1"/>
    <col min="4371" max="4371" width="18.28515625" style="7" bestFit="1" customWidth="1"/>
    <col min="4372" max="4372" width="9.140625" style="7"/>
    <col min="4373" max="4374" width="0" style="7" hidden="1" customWidth="1"/>
    <col min="4375" max="4623" width="9.140625" style="7"/>
    <col min="4624" max="4624" width="5.7109375" style="7" customWidth="1"/>
    <col min="4625" max="4625" width="58.7109375" style="7" bestFit="1" customWidth="1"/>
    <col min="4626" max="4626" width="11.5703125" style="7" bestFit="1" customWidth="1"/>
    <col min="4627" max="4627" width="18.28515625" style="7" bestFit="1" customWidth="1"/>
    <col min="4628" max="4628" width="9.140625" style="7"/>
    <col min="4629" max="4630" width="0" style="7" hidden="1" customWidth="1"/>
    <col min="4631" max="4879" width="9.140625" style="7"/>
    <col min="4880" max="4880" width="5.7109375" style="7" customWidth="1"/>
    <col min="4881" max="4881" width="58.7109375" style="7" bestFit="1" customWidth="1"/>
    <col min="4882" max="4882" width="11.5703125" style="7" bestFit="1" customWidth="1"/>
    <col min="4883" max="4883" width="18.28515625" style="7" bestFit="1" customWidth="1"/>
    <col min="4884" max="4884" width="9.140625" style="7"/>
    <col min="4885" max="4886" width="0" style="7" hidden="1" customWidth="1"/>
    <col min="4887" max="5135" width="9.140625" style="7"/>
    <col min="5136" max="5136" width="5.7109375" style="7" customWidth="1"/>
    <col min="5137" max="5137" width="58.7109375" style="7" bestFit="1" customWidth="1"/>
    <col min="5138" max="5138" width="11.5703125" style="7" bestFit="1" customWidth="1"/>
    <col min="5139" max="5139" width="18.28515625" style="7" bestFit="1" customWidth="1"/>
    <col min="5140" max="5140" width="9.140625" style="7"/>
    <col min="5141" max="5142" width="0" style="7" hidden="1" customWidth="1"/>
    <col min="5143" max="5391" width="9.140625" style="7"/>
    <col min="5392" max="5392" width="5.7109375" style="7" customWidth="1"/>
    <col min="5393" max="5393" width="58.7109375" style="7" bestFit="1" customWidth="1"/>
    <col min="5394" max="5394" width="11.5703125" style="7" bestFit="1" customWidth="1"/>
    <col min="5395" max="5395" width="18.28515625" style="7" bestFit="1" customWidth="1"/>
    <col min="5396" max="5396" width="9.140625" style="7"/>
    <col min="5397" max="5398" width="0" style="7" hidden="1" customWidth="1"/>
    <col min="5399" max="5647" width="9.140625" style="7"/>
    <col min="5648" max="5648" width="5.7109375" style="7" customWidth="1"/>
    <col min="5649" max="5649" width="58.7109375" style="7" bestFit="1" customWidth="1"/>
    <col min="5650" max="5650" width="11.5703125" style="7" bestFit="1" customWidth="1"/>
    <col min="5651" max="5651" width="18.28515625" style="7" bestFit="1" customWidth="1"/>
    <col min="5652" max="5652" width="9.140625" style="7"/>
    <col min="5653" max="5654" width="0" style="7" hidden="1" customWidth="1"/>
    <col min="5655" max="5903" width="9.140625" style="7"/>
    <col min="5904" max="5904" width="5.7109375" style="7" customWidth="1"/>
    <col min="5905" max="5905" width="58.7109375" style="7" bestFit="1" customWidth="1"/>
    <col min="5906" max="5906" width="11.5703125" style="7" bestFit="1" customWidth="1"/>
    <col min="5907" max="5907" width="18.28515625" style="7" bestFit="1" customWidth="1"/>
    <col min="5908" max="5908" width="9.140625" style="7"/>
    <col min="5909" max="5910" width="0" style="7" hidden="1" customWidth="1"/>
    <col min="5911" max="6159" width="9.140625" style="7"/>
    <col min="6160" max="6160" width="5.7109375" style="7" customWidth="1"/>
    <col min="6161" max="6161" width="58.7109375" style="7" bestFit="1" customWidth="1"/>
    <col min="6162" max="6162" width="11.5703125" style="7" bestFit="1" customWidth="1"/>
    <col min="6163" max="6163" width="18.28515625" style="7" bestFit="1" customWidth="1"/>
    <col min="6164" max="6164" width="9.140625" style="7"/>
    <col min="6165" max="6166" width="0" style="7" hidden="1" customWidth="1"/>
    <col min="6167" max="6415" width="9.140625" style="7"/>
    <col min="6416" max="6416" width="5.7109375" style="7" customWidth="1"/>
    <col min="6417" max="6417" width="58.7109375" style="7" bestFit="1" customWidth="1"/>
    <col min="6418" max="6418" width="11.5703125" style="7" bestFit="1" customWidth="1"/>
    <col min="6419" max="6419" width="18.28515625" style="7" bestFit="1" customWidth="1"/>
    <col min="6420" max="6420" width="9.140625" style="7"/>
    <col min="6421" max="6422" width="0" style="7" hidden="1" customWidth="1"/>
    <col min="6423" max="6671" width="9.140625" style="7"/>
    <col min="6672" max="6672" width="5.7109375" style="7" customWidth="1"/>
    <col min="6673" max="6673" width="58.7109375" style="7" bestFit="1" customWidth="1"/>
    <col min="6674" max="6674" width="11.5703125" style="7" bestFit="1" customWidth="1"/>
    <col min="6675" max="6675" width="18.28515625" style="7" bestFit="1" customWidth="1"/>
    <col min="6676" max="6676" width="9.140625" style="7"/>
    <col min="6677" max="6678" width="0" style="7" hidden="1" customWidth="1"/>
    <col min="6679" max="6927" width="9.140625" style="7"/>
    <col min="6928" max="6928" width="5.7109375" style="7" customWidth="1"/>
    <col min="6929" max="6929" width="58.7109375" style="7" bestFit="1" customWidth="1"/>
    <col min="6930" max="6930" width="11.5703125" style="7" bestFit="1" customWidth="1"/>
    <col min="6931" max="6931" width="18.28515625" style="7" bestFit="1" customWidth="1"/>
    <col min="6932" max="6932" width="9.140625" style="7"/>
    <col min="6933" max="6934" width="0" style="7" hidden="1" customWidth="1"/>
    <col min="6935" max="7183" width="9.140625" style="7"/>
    <col min="7184" max="7184" width="5.7109375" style="7" customWidth="1"/>
    <col min="7185" max="7185" width="58.7109375" style="7" bestFit="1" customWidth="1"/>
    <col min="7186" max="7186" width="11.5703125" style="7" bestFit="1" customWidth="1"/>
    <col min="7187" max="7187" width="18.28515625" style="7" bestFit="1" customWidth="1"/>
    <col min="7188" max="7188" width="9.140625" style="7"/>
    <col min="7189" max="7190" width="0" style="7" hidden="1" customWidth="1"/>
    <col min="7191" max="7439" width="9.140625" style="7"/>
    <col min="7440" max="7440" width="5.7109375" style="7" customWidth="1"/>
    <col min="7441" max="7441" width="58.7109375" style="7" bestFit="1" customWidth="1"/>
    <col min="7442" max="7442" width="11.5703125" style="7" bestFit="1" customWidth="1"/>
    <col min="7443" max="7443" width="18.28515625" style="7" bestFit="1" customWidth="1"/>
    <col min="7444" max="7444" width="9.140625" style="7"/>
    <col min="7445" max="7446" width="0" style="7" hidden="1" customWidth="1"/>
    <col min="7447" max="7695" width="9.140625" style="7"/>
    <col min="7696" max="7696" width="5.7109375" style="7" customWidth="1"/>
    <col min="7697" max="7697" width="58.7109375" style="7" bestFit="1" customWidth="1"/>
    <col min="7698" max="7698" width="11.5703125" style="7" bestFit="1" customWidth="1"/>
    <col min="7699" max="7699" width="18.28515625" style="7" bestFit="1" customWidth="1"/>
    <col min="7700" max="7700" width="9.140625" style="7"/>
    <col min="7701" max="7702" width="0" style="7" hidden="1" customWidth="1"/>
    <col min="7703" max="7951" width="9.140625" style="7"/>
    <col min="7952" max="7952" width="5.7109375" style="7" customWidth="1"/>
    <col min="7953" max="7953" width="58.7109375" style="7" bestFit="1" customWidth="1"/>
    <col min="7954" max="7954" width="11.5703125" style="7" bestFit="1" customWidth="1"/>
    <col min="7955" max="7955" width="18.28515625" style="7" bestFit="1" customWidth="1"/>
    <col min="7956" max="7956" width="9.140625" style="7"/>
    <col min="7957" max="7958" width="0" style="7" hidden="1" customWidth="1"/>
    <col min="7959" max="8207" width="9.140625" style="7"/>
    <col min="8208" max="8208" width="5.7109375" style="7" customWidth="1"/>
    <col min="8209" max="8209" width="58.7109375" style="7" bestFit="1" customWidth="1"/>
    <col min="8210" max="8210" width="11.5703125" style="7" bestFit="1" customWidth="1"/>
    <col min="8211" max="8211" width="18.28515625" style="7" bestFit="1" customWidth="1"/>
    <col min="8212" max="8212" width="9.140625" style="7"/>
    <col min="8213" max="8214" width="0" style="7" hidden="1" customWidth="1"/>
    <col min="8215" max="8463" width="9.140625" style="7"/>
    <col min="8464" max="8464" width="5.7109375" style="7" customWidth="1"/>
    <col min="8465" max="8465" width="58.7109375" style="7" bestFit="1" customWidth="1"/>
    <col min="8466" max="8466" width="11.5703125" style="7" bestFit="1" customWidth="1"/>
    <col min="8467" max="8467" width="18.28515625" style="7" bestFit="1" customWidth="1"/>
    <col min="8468" max="8468" width="9.140625" style="7"/>
    <col min="8469" max="8470" width="0" style="7" hidden="1" customWidth="1"/>
    <col min="8471" max="8719" width="9.140625" style="7"/>
    <col min="8720" max="8720" width="5.7109375" style="7" customWidth="1"/>
    <col min="8721" max="8721" width="58.7109375" style="7" bestFit="1" customWidth="1"/>
    <col min="8722" max="8722" width="11.5703125" style="7" bestFit="1" customWidth="1"/>
    <col min="8723" max="8723" width="18.28515625" style="7" bestFit="1" customWidth="1"/>
    <col min="8724" max="8724" width="9.140625" style="7"/>
    <col min="8725" max="8726" width="0" style="7" hidden="1" customWidth="1"/>
    <col min="8727" max="8975" width="9.140625" style="7"/>
    <col min="8976" max="8976" width="5.7109375" style="7" customWidth="1"/>
    <col min="8977" max="8977" width="58.7109375" style="7" bestFit="1" customWidth="1"/>
    <col min="8978" max="8978" width="11.5703125" style="7" bestFit="1" customWidth="1"/>
    <col min="8979" max="8979" width="18.28515625" style="7" bestFit="1" customWidth="1"/>
    <col min="8980" max="8980" width="9.140625" style="7"/>
    <col min="8981" max="8982" width="0" style="7" hidden="1" customWidth="1"/>
    <col min="8983" max="9231" width="9.140625" style="7"/>
    <col min="9232" max="9232" width="5.7109375" style="7" customWidth="1"/>
    <col min="9233" max="9233" width="58.7109375" style="7" bestFit="1" customWidth="1"/>
    <col min="9234" max="9234" width="11.5703125" style="7" bestFit="1" customWidth="1"/>
    <col min="9235" max="9235" width="18.28515625" style="7" bestFit="1" customWidth="1"/>
    <col min="9236" max="9236" width="9.140625" style="7"/>
    <col min="9237" max="9238" width="0" style="7" hidden="1" customWidth="1"/>
    <col min="9239" max="9487" width="9.140625" style="7"/>
    <col min="9488" max="9488" width="5.7109375" style="7" customWidth="1"/>
    <col min="9489" max="9489" width="58.7109375" style="7" bestFit="1" customWidth="1"/>
    <col min="9490" max="9490" width="11.5703125" style="7" bestFit="1" customWidth="1"/>
    <col min="9491" max="9491" width="18.28515625" style="7" bestFit="1" customWidth="1"/>
    <col min="9492" max="9492" width="9.140625" style="7"/>
    <col min="9493" max="9494" width="0" style="7" hidden="1" customWidth="1"/>
    <col min="9495" max="9743" width="9.140625" style="7"/>
    <col min="9744" max="9744" width="5.7109375" style="7" customWidth="1"/>
    <col min="9745" max="9745" width="58.7109375" style="7" bestFit="1" customWidth="1"/>
    <col min="9746" max="9746" width="11.5703125" style="7" bestFit="1" customWidth="1"/>
    <col min="9747" max="9747" width="18.28515625" style="7" bestFit="1" customWidth="1"/>
    <col min="9748" max="9748" width="9.140625" style="7"/>
    <col min="9749" max="9750" width="0" style="7" hidden="1" customWidth="1"/>
    <col min="9751" max="9999" width="9.140625" style="7"/>
    <col min="10000" max="10000" width="5.7109375" style="7" customWidth="1"/>
    <col min="10001" max="10001" width="58.7109375" style="7" bestFit="1" customWidth="1"/>
    <col min="10002" max="10002" width="11.5703125" style="7" bestFit="1" customWidth="1"/>
    <col min="10003" max="10003" width="18.28515625" style="7" bestFit="1" customWidth="1"/>
    <col min="10004" max="10004" width="9.140625" style="7"/>
    <col min="10005" max="10006" width="0" style="7" hidden="1" customWidth="1"/>
    <col min="10007" max="10255" width="9.140625" style="7"/>
    <col min="10256" max="10256" width="5.7109375" style="7" customWidth="1"/>
    <col min="10257" max="10257" width="58.7109375" style="7" bestFit="1" customWidth="1"/>
    <col min="10258" max="10258" width="11.5703125" style="7" bestFit="1" customWidth="1"/>
    <col min="10259" max="10259" width="18.28515625" style="7" bestFit="1" customWidth="1"/>
    <col min="10260" max="10260" width="9.140625" style="7"/>
    <col min="10261" max="10262" width="0" style="7" hidden="1" customWidth="1"/>
    <col min="10263" max="10511" width="9.140625" style="7"/>
    <col min="10512" max="10512" width="5.7109375" style="7" customWidth="1"/>
    <col min="10513" max="10513" width="58.7109375" style="7" bestFit="1" customWidth="1"/>
    <col min="10514" max="10514" width="11.5703125" style="7" bestFit="1" customWidth="1"/>
    <col min="10515" max="10515" width="18.28515625" style="7" bestFit="1" customWidth="1"/>
    <col min="10516" max="10516" width="9.140625" style="7"/>
    <col min="10517" max="10518" width="0" style="7" hidden="1" customWidth="1"/>
    <col min="10519" max="10767" width="9.140625" style="7"/>
    <col min="10768" max="10768" width="5.7109375" style="7" customWidth="1"/>
    <col min="10769" max="10769" width="58.7109375" style="7" bestFit="1" customWidth="1"/>
    <col min="10770" max="10770" width="11.5703125" style="7" bestFit="1" customWidth="1"/>
    <col min="10771" max="10771" width="18.28515625" style="7" bestFit="1" customWidth="1"/>
    <col min="10772" max="10772" width="9.140625" style="7"/>
    <col min="10773" max="10774" width="0" style="7" hidden="1" customWidth="1"/>
    <col min="10775" max="11023" width="9.140625" style="7"/>
    <col min="11024" max="11024" width="5.7109375" style="7" customWidth="1"/>
    <col min="11025" max="11025" width="58.7109375" style="7" bestFit="1" customWidth="1"/>
    <col min="11026" max="11026" width="11.5703125" style="7" bestFit="1" customWidth="1"/>
    <col min="11027" max="11027" width="18.28515625" style="7" bestFit="1" customWidth="1"/>
    <col min="11028" max="11028" width="9.140625" style="7"/>
    <col min="11029" max="11030" width="0" style="7" hidden="1" customWidth="1"/>
    <col min="11031" max="11279" width="9.140625" style="7"/>
    <col min="11280" max="11280" width="5.7109375" style="7" customWidth="1"/>
    <col min="11281" max="11281" width="58.7109375" style="7" bestFit="1" customWidth="1"/>
    <col min="11282" max="11282" width="11.5703125" style="7" bestFit="1" customWidth="1"/>
    <col min="11283" max="11283" width="18.28515625" style="7" bestFit="1" customWidth="1"/>
    <col min="11284" max="11284" width="9.140625" style="7"/>
    <col min="11285" max="11286" width="0" style="7" hidden="1" customWidth="1"/>
    <col min="11287" max="11535" width="9.140625" style="7"/>
    <col min="11536" max="11536" width="5.7109375" style="7" customWidth="1"/>
    <col min="11537" max="11537" width="58.7109375" style="7" bestFit="1" customWidth="1"/>
    <col min="11538" max="11538" width="11.5703125" style="7" bestFit="1" customWidth="1"/>
    <col min="11539" max="11539" width="18.28515625" style="7" bestFit="1" customWidth="1"/>
    <col min="11540" max="11540" width="9.140625" style="7"/>
    <col min="11541" max="11542" width="0" style="7" hidden="1" customWidth="1"/>
    <col min="11543" max="11791" width="9.140625" style="7"/>
    <col min="11792" max="11792" width="5.7109375" style="7" customWidth="1"/>
    <col min="11793" max="11793" width="58.7109375" style="7" bestFit="1" customWidth="1"/>
    <col min="11794" max="11794" width="11.5703125" style="7" bestFit="1" customWidth="1"/>
    <col min="11795" max="11795" width="18.28515625" style="7" bestFit="1" customWidth="1"/>
    <col min="11796" max="11796" width="9.140625" style="7"/>
    <col min="11797" max="11798" width="0" style="7" hidden="1" customWidth="1"/>
    <col min="11799" max="12047" width="9.140625" style="7"/>
    <col min="12048" max="12048" width="5.7109375" style="7" customWidth="1"/>
    <col min="12049" max="12049" width="58.7109375" style="7" bestFit="1" customWidth="1"/>
    <col min="12050" max="12050" width="11.5703125" style="7" bestFit="1" customWidth="1"/>
    <col min="12051" max="12051" width="18.28515625" style="7" bestFit="1" customWidth="1"/>
    <col min="12052" max="12052" width="9.140625" style="7"/>
    <col min="12053" max="12054" width="0" style="7" hidden="1" customWidth="1"/>
    <col min="12055" max="12303" width="9.140625" style="7"/>
    <col min="12304" max="12304" width="5.7109375" style="7" customWidth="1"/>
    <col min="12305" max="12305" width="58.7109375" style="7" bestFit="1" customWidth="1"/>
    <col min="12306" max="12306" width="11.5703125" style="7" bestFit="1" customWidth="1"/>
    <col min="12307" max="12307" width="18.28515625" style="7" bestFit="1" customWidth="1"/>
    <col min="12308" max="12308" width="9.140625" style="7"/>
    <col min="12309" max="12310" width="0" style="7" hidden="1" customWidth="1"/>
    <col min="12311" max="12559" width="9.140625" style="7"/>
    <col min="12560" max="12560" width="5.7109375" style="7" customWidth="1"/>
    <col min="12561" max="12561" width="58.7109375" style="7" bestFit="1" customWidth="1"/>
    <col min="12562" max="12562" width="11.5703125" style="7" bestFit="1" customWidth="1"/>
    <col min="12563" max="12563" width="18.28515625" style="7" bestFit="1" customWidth="1"/>
    <col min="12564" max="12564" width="9.140625" style="7"/>
    <col min="12565" max="12566" width="0" style="7" hidden="1" customWidth="1"/>
    <col min="12567" max="12815" width="9.140625" style="7"/>
    <col min="12816" max="12816" width="5.7109375" style="7" customWidth="1"/>
    <col min="12817" max="12817" width="58.7109375" style="7" bestFit="1" customWidth="1"/>
    <col min="12818" max="12818" width="11.5703125" style="7" bestFit="1" customWidth="1"/>
    <col min="12819" max="12819" width="18.28515625" style="7" bestFit="1" customWidth="1"/>
    <col min="12820" max="12820" width="9.140625" style="7"/>
    <col min="12821" max="12822" width="0" style="7" hidden="1" customWidth="1"/>
    <col min="12823" max="13071" width="9.140625" style="7"/>
    <col min="13072" max="13072" width="5.7109375" style="7" customWidth="1"/>
    <col min="13073" max="13073" width="58.7109375" style="7" bestFit="1" customWidth="1"/>
    <col min="13074" max="13074" width="11.5703125" style="7" bestFit="1" customWidth="1"/>
    <col min="13075" max="13075" width="18.28515625" style="7" bestFit="1" customWidth="1"/>
    <col min="13076" max="13076" width="9.140625" style="7"/>
    <col min="13077" max="13078" width="0" style="7" hidden="1" customWidth="1"/>
    <col min="13079" max="13327" width="9.140625" style="7"/>
    <col min="13328" max="13328" width="5.7109375" style="7" customWidth="1"/>
    <col min="13329" max="13329" width="58.7109375" style="7" bestFit="1" customWidth="1"/>
    <col min="13330" max="13330" width="11.5703125" style="7" bestFit="1" customWidth="1"/>
    <col min="13331" max="13331" width="18.28515625" style="7" bestFit="1" customWidth="1"/>
    <col min="13332" max="13332" width="9.140625" style="7"/>
    <col min="13333" max="13334" width="0" style="7" hidden="1" customWidth="1"/>
    <col min="13335" max="13583" width="9.140625" style="7"/>
    <col min="13584" max="13584" width="5.7109375" style="7" customWidth="1"/>
    <col min="13585" max="13585" width="58.7109375" style="7" bestFit="1" customWidth="1"/>
    <col min="13586" max="13586" width="11.5703125" style="7" bestFit="1" customWidth="1"/>
    <col min="13587" max="13587" width="18.28515625" style="7" bestFit="1" customWidth="1"/>
    <col min="13588" max="13588" width="9.140625" style="7"/>
    <col min="13589" max="13590" width="0" style="7" hidden="1" customWidth="1"/>
    <col min="13591" max="13839" width="9.140625" style="7"/>
    <col min="13840" max="13840" width="5.7109375" style="7" customWidth="1"/>
    <col min="13841" max="13841" width="58.7109375" style="7" bestFit="1" customWidth="1"/>
    <col min="13842" max="13842" width="11.5703125" style="7" bestFit="1" customWidth="1"/>
    <col min="13843" max="13843" width="18.28515625" style="7" bestFit="1" customWidth="1"/>
    <col min="13844" max="13844" width="9.140625" style="7"/>
    <col min="13845" max="13846" width="0" style="7" hidden="1" customWidth="1"/>
    <col min="13847" max="14095" width="9.140625" style="7"/>
    <col min="14096" max="14096" width="5.7109375" style="7" customWidth="1"/>
    <col min="14097" max="14097" width="58.7109375" style="7" bestFit="1" customWidth="1"/>
    <col min="14098" max="14098" width="11.5703125" style="7" bestFit="1" customWidth="1"/>
    <col min="14099" max="14099" width="18.28515625" style="7" bestFit="1" customWidth="1"/>
    <col min="14100" max="14100" width="9.140625" style="7"/>
    <col min="14101" max="14102" width="0" style="7" hidden="1" customWidth="1"/>
    <col min="14103" max="14351" width="9.140625" style="7"/>
    <col min="14352" max="14352" width="5.7109375" style="7" customWidth="1"/>
    <col min="14353" max="14353" width="58.7109375" style="7" bestFit="1" customWidth="1"/>
    <col min="14354" max="14354" width="11.5703125" style="7" bestFit="1" customWidth="1"/>
    <col min="14355" max="14355" width="18.28515625" style="7" bestFit="1" customWidth="1"/>
    <col min="14356" max="14356" width="9.140625" style="7"/>
    <col min="14357" max="14358" width="0" style="7" hidden="1" customWidth="1"/>
    <col min="14359" max="14607" width="9.140625" style="7"/>
    <col min="14608" max="14608" width="5.7109375" style="7" customWidth="1"/>
    <col min="14609" max="14609" width="58.7109375" style="7" bestFit="1" customWidth="1"/>
    <col min="14610" max="14610" width="11.5703125" style="7" bestFit="1" customWidth="1"/>
    <col min="14611" max="14611" width="18.28515625" style="7" bestFit="1" customWidth="1"/>
    <col min="14612" max="14612" width="9.140625" style="7"/>
    <col min="14613" max="14614" width="0" style="7" hidden="1" customWidth="1"/>
    <col min="14615" max="14863" width="9.140625" style="7"/>
    <col min="14864" max="14864" width="5.7109375" style="7" customWidth="1"/>
    <col min="14865" max="14865" width="58.7109375" style="7" bestFit="1" customWidth="1"/>
    <col min="14866" max="14866" width="11.5703125" style="7" bestFit="1" customWidth="1"/>
    <col min="14867" max="14867" width="18.28515625" style="7" bestFit="1" customWidth="1"/>
    <col min="14868" max="14868" width="9.140625" style="7"/>
    <col min="14869" max="14870" width="0" style="7" hidden="1" customWidth="1"/>
    <col min="14871" max="15119" width="9.140625" style="7"/>
    <col min="15120" max="15120" width="5.7109375" style="7" customWidth="1"/>
    <col min="15121" max="15121" width="58.7109375" style="7" bestFit="1" customWidth="1"/>
    <col min="15122" max="15122" width="11.5703125" style="7" bestFit="1" customWidth="1"/>
    <col min="15123" max="15123" width="18.28515625" style="7" bestFit="1" customWidth="1"/>
    <col min="15124" max="15124" width="9.140625" style="7"/>
    <col min="15125" max="15126" width="0" style="7" hidden="1" customWidth="1"/>
    <col min="15127" max="15375" width="9.140625" style="7"/>
    <col min="15376" max="15376" width="5.7109375" style="7" customWidth="1"/>
    <col min="15377" max="15377" width="58.7109375" style="7" bestFit="1" customWidth="1"/>
    <col min="15378" max="15378" width="11.5703125" style="7" bestFit="1" customWidth="1"/>
    <col min="15379" max="15379" width="18.28515625" style="7" bestFit="1" customWidth="1"/>
    <col min="15380" max="15380" width="9.140625" style="7"/>
    <col min="15381" max="15382" width="0" style="7" hidden="1" customWidth="1"/>
    <col min="15383" max="15631" width="9.140625" style="7"/>
    <col min="15632" max="15632" width="5.7109375" style="7" customWidth="1"/>
    <col min="15633" max="15633" width="58.7109375" style="7" bestFit="1" customWidth="1"/>
    <col min="15634" max="15634" width="11.5703125" style="7" bestFit="1" customWidth="1"/>
    <col min="15635" max="15635" width="18.28515625" style="7" bestFit="1" customWidth="1"/>
    <col min="15636" max="15636" width="9.140625" style="7"/>
    <col min="15637" max="15638" width="0" style="7" hidden="1" customWidth="1"/>
    <col min="15639" max="15887" width="9.140625" style="7"/>
    <col min="15888" max="15888" width="5.7109375" style="7" customWidth="1"/>
    <col min="15889" max="15889" width="58.7109375" style="7" bestFit="1" customWidth="1"/>
    <col min="15890" max="15890" width="11.5703125" style="7" bestFit="1" customWidth="1"/>
    <col min="15891" max="15891" width="18.28515625" style="7" bestFit="1" customWidth="1"/>
    <col min="15892" max="15892" width="9.140625" style="7"/>
    <col min="15893" max="15894" width="0" style="7" hidden="1" customWidth="1"/>
    <col min="15895" max="16143" width="9.140625" style="7"/>
    <col min="16144" max="16144" width="5.7109375" style="7" customWidth="1"/>
    <col min="16145" max="16145" width="58.7109375" style="7" bestFit="1" customWidth="1"/>
    <col min="16146" max="16146" width="11.5703125" style="7" bestFit="1" customWidth="1"/>
    <col min="16147" max="16147" width="18.28515625" style="7" bestFit="1" customWidth="1"/>
    <col min="16148" max="16148" width="9.140625" style="7"/>
    <col min="16149" max="16150" width="0" style="7" hidden="1" customWidth="1"/>
    <col min="16151" max="16379" width="9.140625" style="7"/>
    <col min="16380" max="16384" width="9.140625" style="7" customWidth="1"/>
  </cols>
  <sheetData>
    <row r="1" spans="1:91" x14ac:dyDescent="0.2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91" x14ac:dyDescent="0.2">
      <c r="A2" s="290" t="str">
        <f>'Delivery Rate Change Calc'!A2:F2</f>
        <v>2020 Gas Decoupling Filing</v>
      </c>
      <c r="B2" s="9"/>
      <c r="C2" s="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CI2" s="8"/>
      <c r="CL2" s="8"/>
      <c r="CM2" s="8"/>
    </row>
    <row r="3" spans="1:91" x14ac:dyDescent="0.2">
      <c r="A3" s="4" t="s">
        <v>367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BD3" s="30"/>
    </row>
    <row r="4" spans="1:91" x14ac:dyDescent="0.2">
      <c r="A4" s="9" t="str">
        <f>'Delivery Rate Change Calc'!A4:F4</f>
        <v>Proposed Effective May 1, 2020</v>
      </c>
      <c r="B4" s="9"/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91" x14ac:dyDescent="0.2">
      <c r="D5" s="36" t="s">
        <v>217</v>
      </c>
      <c r="E5" s="36" t="s">
        <v>217</v>
      </c>
      <c r="F5" s="36" t="s">
        <v>217</v>
      </c>
      <c r="G5" s="36" t="s">
        <v>217</v>
      </c>
      <c r="H5" s="36" t="s">
        <v>217</v>
      </c>
      <c r="I5" s="36" t="s">
        <v>217</v>
      </c>
      <c r="J5" s="36" t="s">
        <v>217</v>
      </c>
      <c r="K5" s="36" t="s">
        <v>217</v>
      </c>
      <c r="L5" s="36" t="s">
        <v>217</v>
      </c>
      <c r="M5" s="36" t="s">
        <v>217</v>
      </c>
      <c r="N5" s="36" t="s">
        <v>217</v>
      </c>
      <c r="O5" s="36" t="s">
        <v>217</v>
      </c>
      <c r="P5" s="36" t="s">
        <v>217</v>
      </c>
      <c r="Q5" s="36" t="s">
        <v>217</v>
      </c>
      <c r="R5" s="36" t="s">
        <v>217</v>
      </c>
      <c r="S5" s="36" t="s">
        <v>217</v>
      </c>
      <c r="T5" s="36" t="s">
        <v>217</v>
      </c>
      <c r="U5" s="36" t="s">
        <v>217</v>
      </c>
      <c r="V5" s="36" t="s">
        <v>217</v>
      </c>
      <c r="W5" s="36" t="s">
        <v>217</v>
      </c>
      <c r="X5" s="36" t="s">
        <v>217</v>
      </c>
      <c r="Y5" s="36" t="s">
        <v>217</v>
      </c>
      <c r="Z5" s="36" t="s">
        <v>217</v>
      </c>
      <c r="AA5" s="36" t="s">
        <v>217</v>
      </c>
      <c r="AB5" s="36" t="s">
        <v>217</v>
      </c>
      <c r="AC5" s="36" t="s">
        <v>217</v>
      </c>
      <c r="AD5" s="36" t="s">
        <v>217</v>
      </c>
      <c r="AE5" s="36" t="s">
        <v>217</v>
      </c>
      <c r="AF5" s="36" t="s">
        <v>217</v>
      </c>
      <c r="AG5" s="36" t="s">
        <v>217</v>
      </c>
      <c r="AH5" s="36" t="s">
        <v>217</v>
      </c>
      <c r="AI5" s="36" t="s">
        <v>217</v>
      </c>
      <c r="AJ5" s="36" t="s">
        <v>217</v>
      </c>
      <c r="AK5" s="36" t="s">
        <v>217</v>
      </c>
      <c r="AL5" s="36" t="s">
        <v>217</v>
      </c>
      <c r="AM5" s="36" t="s">
        <v>217</v>
      </c>
      <c r="AN5" s="36" t="s">
        <v>217</v>
      </c>
      <c r="AO5" s="36" t="s">
        <v>217</v>
      </c>
      <c r="AP5" s="36" t="s">
        <v>217</v>
      </c>
      <c r="AQ5" s="36" t="s">
        <v>217</v>
      </c>
      <c r="AR5" s="36" t="s">
        <v>217</v>
      </c>
      <c r="AS5" s="36" t="s">
        <v>217</v>
      </c>
      <c r="AT5" s="36" t="s">
        <v>217</v>
      </c>
      <c r="AU5" s="36" t="s">
        <v>217</v>
      </c>
      <c r="AV5" s="36" t="s">
        <v>217</v>
      </c>
      <c r="AW5" s="36" t="s">
        <v>217</v>
      </c>
      <c r="AX5" s="36" t="s">
        <v>217</v>
      </c>
      <c r="AY5" s="36" t="s">
        <v>217</v>
      </c>
      <c r="AZ5" s="36" t="s">
        <v>217</v>
      </c>
      <c r="BA5" s="36" t="s">
        <v>217</v>
      </c>
      <c r="BB5" s="36" t="s">
        <v>217</v>
      </c>
      <c r="BC5" s="36" t="s">
        <v>217</v>
      </c>
      <c r="BD5" s="36" t="s">
        <v>217</v>
      </c>
      <c r="BE5" s="36" t="s">
        <v>217</v>
      </c>
      <c r="BF5" s="36" t="s">
        <v>217</v>
      </c>
      <c r="BG5" s="36" t="s">
        <v>217</v>
      </c>
      <c r="BH5" s="36" t="s">
        <v>217</v>
      </c>
      <c r="BI5" s="36" t="s">
        <v>217</v>
      </c>
      <c r="BJ5" s="36" t="s">
        <v>217</v>
      </c>
      <c r="BK5" s="36" t="s">
        <v>217</v>
      </c>
      <c r="BL5" s="36" t="s">
        <v>217</v>
      </c>
      <c r="BM5" s="36" t="s">
        <v>217</v>
      </c>
      <c r="BN5" s="36" t="s">
        <v>217</v>
      </c>
      <c r="BO5" s="36" t="s">
        <v>217</v>
      </c>
      <c r="BP5" s="36" t="s">
        <v>217</v>
      </c>
      <c r="BQ5" s="36" t="s">
        <v>217</v>
      </c>
      <c r="BR5" s="36" t="s">
        <v>217</v>
      </c>
      <c r="BS5" s="36" t="s">
        <v>217</v>
      </c>
      <c r="BT5" s="36" t="s">
        <v>217</v>
      </c>
      <c r="BU5" s="36" t="s">
        <v>217</v>
      </c>
      <c r="BV5" s="36" t="s">
        <v>217</v>
      </c>
      <c r="BW5" s="36" t="s">
        <v>217</v>
      </c>
      <c r="BX5" s="36" t="s">
        <v>217</v>
      </c>
      <c r="BY5" s="36" t="s">
        <v>217</v>
      </c>
      <c r="BZ5" s="36" t="s">
        <v>217</v>
      </c>
      <c r="CA5" s="36" t="s">
        <v>217</v>
      </c>
      <c r="CB5" s="36" t="s">
        <v>217</v>
      </c>
      <c r="CC5" s="36" t="s">
        <v>217</v>
      </c>
      <c r="CD5" s="36" t="s">
        <v>217</v>
      </c>
      <c r="CE5" s="36" t="s">
        <v>217</v>
      </c>
      <c r="CF5" s="36" t="s">
        <v>217</v>
      </c>
      <c r="CG5" s="36" t="s">
        <v>217</v>
      </c>
      <c r="CH5" s="36" t="s">
        <v>217</v>
      </c>
      <c r="CI5" s="36" t="s">
        <v>217</v>
      </c>
      <c r="CJ5" s="36" t="s">
        <v>217</v>
      </c>
      <c r="CK5" s="36" t="s">
        <v>217</v>
      </c>
      <c r="CL5" s="35" t="s">
        <v>242</v>
      </c>
      <c r="CM5" s="35" t="s">
        <v>242</v>
      </c>
    </row>
    <row r="6" spans="1:91" x14ac:dyDescent="0.2">
      <c r="C6" s="12" t="s">
        <v>193</v>
      </c>
      <c r="D6" s="13">
        <v>41275</v>
      </c>
      <c r="E6" s="13">
        <v>41306</v>
      </c>
      <c r="F6" s="13">
        <v>41334</v>
      </c>
      <c r="G6" s="13">
        <v>41365</v>
      </c>
      <c r="H6" s="13">
        <v>41395</v>
      </c>
      <c r="I6" s="13">
        <v>41426</v>
      </c>
      <c r="J6" s="13">
        <v>41456</v>
      </c>
      <c r="K6" s="13">
        <v>41487</v>
      </c>
      <c r="L6" s="13">
        <v>41518</v>
      </c>
      <c r="M6" s="13">
        <v>41548</v>
      </c>
      <c r="N6" s="13">
        <v>41579</v>
      </c>
      <c r="O6" s="13">
        <v>41609</v>
      </c>
      <c r="P6" s="13">
        <v>41640</v>
      </c>
      <c r="Q6" s="13">
        <v>41671</v>
      </c>
      <c r="R6" s="13">
        <v>41699</v>
      </c>
      <c r="S6" s="13">
        <v>41730</v>
      </c>
      <c r="T6" s="13">
        <v>41760</v>
      </c>
      <c r="U6" s="13">
        <v>41791</v>
      </c>
      <c r="V6" s="13">
        <v>41821</v>
      </c>
      <c r="W6" s="13">
        <v>41852</v>
      </c>
      <c r="X6" s="13">
        <v>41883</v>
      </c>
      <c r="Y6" s="13">
        <v>41913</v>
      </c>
      <c r="Z6" s="13">
        <v>41944</v>
      </c>
      <c r="AA6" s="13">
        <v>41974</v>
      </c>
      <c r="AB6" s="13">
        <v>42005</v>
      </c>
      <c r="AC6" s="13">
        <v>42036</v>
      </c>
      <c r="AD6" s="13">
        <v>42064</v>
      </c>
      <c r="AE6" s="13">
        <v>42095</v>
      </c>
      <c r="AF6" s="13">
        <v>42125</v>
      </c>
      <c r="AG6" s="13">
        <v>42156</v>
      </c>
      <c r="AH6" s="13">
        <v>42186</v>
      </c>
      <c r="AI6" s="13">
        <v>42217</v>
      </c>
      <c r="AJ6" s="13">
        <v>42248</v>
      </c>
      <c r="AK6" s="13">
        <v>42278</v>
      </c>
      <c r="AL6" s="13">
        <v>42309</v>
      </c>
      <c r="AM6" s="13">
        <v>42339</v>
      </c>
      <c r="AN6" s="13">
        <v>42370</v>
      </c>
      <c r="AO6" s="13">
        <v>42401</v>
      </c>
      <c r="AP6" s="13">
        <v>42430</v>
      </c>
      <c r="AQ6" s="13">
        <v>42461</v>
      </c>
      <c r="AR6" s="13">
        <v>42491</v>
      </c>
      <c r="AS6" s="13">
        <v>42522</v>
      </c>
      <c r="AT6" s="13">
        <v>42552</v>
      </c>
      <c r="AU6" s="13">
        <v>42583</v>
      </c>
      <c r="AV6" s="13">
        <v>42614</v>
      </c>
      <c r="AW6" s="13">
        <v>42644</v>
      </c>
      <c r="AX6" s="13">
        <v>42675</v>
      </c>
      <c r="AY6" s="13">
        <v>42705</v>
      </c>
      <c r="AZ6" s="13">
        <v>42736</v>
      </c>
      <c r="BA6" s="13">
        <v>42767</v>
      </c>
      <c r="BB6" s="13">
        <v>42795</v>
      </c>
      <c r="BC6" s="13">
        <v>42826</v>
      </c>
      <c r="BD6" s="13">
        <v>42856</v>
      </c>
      <c r="BE6" s="13">
        <v>42887</v>
      </c>
      <c r="BF6" s="13">
        <v>42917</v>
      </c>
      <c r="BG6" s="13">
        <v>42948</v>
      </c>
      <c r="BH6" s="13">
        <v>42979</v>
      </c>
      <c r="BI6" s="13">
        <v>43009</v>
      </c>
      <c r="BJ6" s="13">
        <v>43040</v>
      </c>
      <c r="BK6" s="13">
        <v>43070</v>
      </c>
      <c r="BL6" s="13">
        <v>43101</v>
      </c>
      <c r="BM6" s="13">
        <v>43132</v>
      </c>
      <c r="BN6" s="13">
        <v>43160</v>
      </c>
      <c r="BO6" s="13">
        <v>43191</v>
      </c>
      <c r="BP6" s="13">
        <v>43221</v>
      </c>
      <c r="BQ6" s="13">
        <v>43252</v>
      </c>
      <c r="BR6" s="13">
        <v>43282</v>
      </c>
      <c r="BS6" s="13">
        <v>43313</v>
      </c>
      <c r="BT6" s="13">
        <v>43344</v>
      </c>
      <c r="BU6" s="13">
        <v>43374</v>
      </c>
      <c r="BV6" s="13">
        <v>43405</v>
      </c>
      <c r="BW6" s="13">
        <v>43435</v>
      </c>
      <c r="BX6" s="13">
        <v>43466</v>
      </c>
      <c r="BY6" s="13">
        <v>43497</v>
      </c>
      <c r="BZ6" s="13">
        <v>43525</v>
      </c>
      <c r="CA6" s="13">
        <v>43556</v>
      </c>
      <c r="CB6" s="13">
        <v>43586</v>
      </c>
      <c r="CC6" s="13">
        <v>43617</v>
      </c>
      <c r="CD6" s="13">
        <v>43647</v>
      </c>
      <c r="CE6" s="13">
        <v>43678</v>
      </c>
      <c r="CF6" s="13">
        <v>43709</v>
      </c>
      <c r="CG6" s="13">
        <v>43739</v>
      </c>
      <c r="CH6" s="13">
        <v>43770</v>
      </c>
      <c r="CI6" s="13">
        <v>43800</v>
      </c>
      <c r="CJ6" s="13">
        <v>43831</v>
      </c>
      <c r="CK6" s="13">
        <v>43862</v>
      </c>
      <c r="CL6" s="13">
        <f t="shared" ref="CL6:CM6" si="0">EDATE(CK6,1)</f>
        <v>43891</v>
      </c>
      <c r="CM6" s="13">
        <f t="shared" si="0"/>
        <v>43922</v>
      </c>
    </row>
    <row r="7" spans="1:91" x14ac:dyDescent="0.2">
      <c r="F7" s="230"/>
    </row>
    <row r="8" spans="1:91" x14ac:dyDescent="0.2">
      <c r="A8" s="14" t="s">
        <v>194</v>
      </c>
      <c r="C8" s="15">
        <v>18239082</v>
      </c>
      <c r="E8" s="17"/>
      <c r="F8" s="231"/>
    </row>
    <row r="9" spans="1:91" x14ac:dyDescent="0.2">
      <c r="B9" s="7" t="s">
        <v>195</v>
      </c>
      <c r="C9" s="15">
        <v>25400412</v>
      </c>
      <c r="D9" s="17">
        <v>0</v>
      </c>
      <c r="E9" s="17">
        <f t="shared" ref="E9:M9" si="1">D13</f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si="1"/>
        <v>0</v>
      </c>
      <c r="N9" s="17">
        <f>M13</f>
        <v>0</v>
      </c>
      <c r="O9" s="17">
        <f>N13</f>
        <v>0</v>
      </c>
      <c r="P9" s="17">
        <f t="shared" ref="P9:BY9" si="2">O13</f>
        <v>0</v>
      </c>
      <c r="Q9" s="17">
        <f t="shared" si="2"/>
        <v>0</v>
      </c>
      <c r="R9" s="17">
        <f t="shared" si="2"/>
        <v>0</v>
      </c>
      <c r="S9" s="17">
        <f t="shared" si="2"/>
        <v>0</v>
      </c>
      <c r="T9" s="17">
        <f t="shared" si="2"/>
        <v>0</v>
      </c>
      <c r="U9" s="17">
        <f t="shared" si="2"/>
        <v>-5222526.7040983113</v>
      </c>
      <c r="V9" s="17">
        <f t="shared" si="2"/>
        <v>-5064939.8606615961</v>
      </c>
      <c r="W9" s="17">
        <f t="shared" si="2"/>
        <v>-4946106.7696486525</v>
      </c>
      <c r="X9" s="17">
        <f t="shared" si="2"/>
        <v>-4836352.1231295196</v>
      </c>
      <c r="Y9" s="17">
        <f t="shared" si="2"/>
        <v>-4701398.4451656453</v>
      </c>
      <c r="Z9" s="17">
        <f t="shared" si="2"/>
        <v>-4453407.2239690805</v>
      </c>
      <c r="AA9" s="17">
        <f t="shared" si="2"/>
        <v>-3824591.1652678656</v>
      </c>
      <c r="AB9" s="17">
        <f t="shared" si="2"/>
        <v>-3111835.317659677</v>
      </c>
      <c r="AC9" s="17">
        <f t="shared" si="2"/>
        <v>-2429085.1229123641</v>
      </c>
      <c r="AD9" s="17">
        <f t="shared" si="2"/>
        <v>-1922536.7854623632</v>
      </c>
      <c r="AE9" s="17">
        <f t="shared" si="2"/>
        <v>-1447617.5725841762</v>
      </c>
      <c r="AF9" s="17">
        <f t="shared" si="2"/>
        <v>-1048644.2981405864</v>
      </c>
      <c r="AG9" s="17">
        <f t="shared" si="2"/>
        <v>10957437.844701342</v>
      </c>
      <c r="AH9" s="17">
        <f t="shared" si="2"/>
        <v>10701971.866956672</v>
      </c>
      <c r="AI9" s="17">
        <f t="shared" si="2"/>
        <v>10487525.394495903</v>
      </c>
      <c r="AJ9" s="17">
        <f t="shared" si="2"/>
        <v>10257175.922051119</v>
      </c>
      <c r="AK9" s="17">
        <f t="shared" si="2"/>
        <v>9911407.402148664</v>
      </c>
      <c r="AL9" s="17">
        <f t="shared" si="2"/>
        <v>9358219.9825485852</v>
      </c>
      <c r="AM9" s="17">
        <f t="shared" si="2"/>
        <v>7991077.0738406461</v>
      </c>
      <c r="AN9" s="17">
        <f t="shared" si="2"/>
        <v>6351177.060204003</v>
      </c>
      <c r="AO9" s="17">
        <f t="shared" si="2"/>
        <v>4707283.1406416912</v>
      </c>
      <c r="AP9" s="17">
        <f t="shared" si="2"/>
        <v>3484712.6318692612</v>
      </c>
      <c r="AQ9" s="17">
        <f t="shared" si="2"/>
        <v>2314742.7941199057</v>
      </c>
      <c r="AR9" s="17">
        <f t="shared" si="2"/>
        <v>1705390.790814545</v>
      </c>
      <c r="AS9" s="17">
        <f t="shared" si="2"/>
        <v>22583186.061250929</v>
      </c>
      <c r="AT9" s="17">
        <f t="shared" si="2"/>
        <v>21965195.042341564</v>
      </c>
      <c r="AU9" s="17">
        <f t="shared" si="2"/>
        <v>21433779.068659481</v>
      </c>
      <c r="AV9" s="17">
        <f t="shared" si="2"/>
        <v>20977984.396871068</v>
      </c>
      <c r="AW9" s="17">
        <f t="shared" si="2"/>
        <v>20309269.94989638</v>
      </c>
      <c r="AX9" s="17">
        <f t="shared" si="2"/>
        <v>18939241.027016897</v>
      </c>
      <c r="AY9" s="17">
        <f t="shared" si="2"/>
        <v>17024348.727209497</v>
      </c>
      <c r="AZ9" s="17">
        <f t="shared" si="2"/>
        <v>13240555.566464433</v>
      </c>
      <c r="BA9" s="17">
        <f t="shared" si="2"/>
        <v>9126128.9464644343</v>
      </c>
      <c r="BB9" s="17">
        <f t="shared" si="2"/>
        <v>5922680.1764644347</v>
      </c>
      <c r="BC9" s="17">
        <f t="shared" si="2"/>
        <v>3165462.5864644349</v>
      </c>
      <c r="BD9" s="17">
        <f t="shared" si="2"/>
        <v>1301989.9964644348</v>
      </c>
      <c r="BE9" s="17">
        <f t="shared" si="2"/>
        <v>22817338.786464434</v>
      </c>
      <c r="BF9" s="17">
        <f t="shared" si="2"/>
        <v>22109910.816464435</v>
      </c>
      <c r="BG9" s="17">
        <f t="shared" si="2"/>
        <v>21576708.106464434</v>
      </c>
      <c r="BH9" s="17">
        <f t="shared" si="2"/>
        <v>21085745.736464433</v>
      </c>
      <c r="BI9" s="17">
        <f t="shared" si="2"/>
        <v>20425440.846464433</v>
      </c>
      <c r="BJ9" s="17">
        <f t="shared" si="2"/>
        <v>18686975.236464433</v>
      </c>
      <c r="BK9" s="17">
        <f t="shared" si="2"/>
        <v>15894968.716464434</v>
      </c>
      <c r="BL9" s="17">
        <f t="shared" ref="BL9" si="3">BK13</f>
        <v>12049034.546464434</v>
      </c>
      <c r="BM9" s="17">
        <f t="shared" ref="BM9" si="4">BL13</f>
        <v>8728972.4864644334</v>
      </c>
      <c r="BN9" s="17">
        <f t="shared" ref="BN9" si="5">BM13</f>
        <v>5269192.0564644337</v>
      </c>
      <c r="BO9" s="17">
        <f t="shared" ref="BO9" si="6">BN13</f>
        <v>2340214.0364644337</v>
      </c>
      <c r="BP9" s="17">
        <f t="shared" ref="BP9" si="7">BO13</f>
        <v>266403.79646443366</v>
      </c>
      <c r="BQ9" s="17">
        <f t="shared" ref="BQ9" si="8">BP13</f>
        <v>45565283.3791641</v>
      </c>
      <c r="BR9" s="17">
        <f t="shared" ref="BR9" si="9">BQ13</f>
        <v>44116788.609164096</v>
      </c>
      <c r="BS9" s="17">
        <f t="shared" ref="BS9" si="10">BR13</f>
        <v>43102177.819164097</v>
      </c>
      <c r="BT9" s="17">
        <f t="shared" ref="BT9" si="11">BS13</f>
        <v>42116154.179164097</v>
      </c>
      <c r="BU9" s="17">
        <f t="shared" ref="BU9" si="12">BT13</f>
        <v>40728027.549164094</v>
      </c>
      <c r="BV9" s="17">
        <f t="shared" ref="BV9" si="13">BU13</f>
        <v>37407785.509164095</v>
      </c>
      <c r="BW9" s="17">
        <f t="shared" ref="BW9" si="14">BV13</f>
        <v>32556567.519164093</v>
      </c>
      <c r="BX9" s="17">
        <f t="shared" ref="BX9" si="15">BW13</f>
        <v>25754332.809164092</v>
      </c>
      <c r="BY9" s="17">
        <f t="shared" si="2"/>
        <v>19031417.969164092</v>
      </c>
      <c r="BZ9" s="17">
        <f t="shared" ref="BZ9" si="16">BY13</f>
        <v>10931919.669164091</v>
      </c>
      <c r="CA9" s="17">
        <f t="shared" ref="CA9" si="17">BZ13</f>
        <v>5204276.6291640913</v>
      </c>
      <c r="CB9" s="17">
        <f t="shared" ref="CB9" si="18">CA13</f>
        <v>1675719.0291640912</v>
      </c>
      <c r="CC9" s="17">
        <f t="shared" ref="CC9" si="19">CB13</f>
        <v>12094779.633998223</v>
      </c>
      <c r="CD9" s="17">
        <f t="shared" ref="CD9" si="20">CC13</f>
        <v>11752433.783998223</v>
      </c>
      <c r="CE9" s="17">
        <f t="shared" ref="CE9" si="21">CD13</f>
        <v>11490561.043998223</v>
      </c>
      <c r="CF9" s="17">
        <f t="shared" ref="CF9" si="22">CE13</f>
        <v>11249273.133998223</v>
      </c>
      <c r="CG9" s="17">
        <f t="shared" ref="CG9" si="23">CF13</f>
        <v>10907910.583998222</v>
      </c>
      <c r="CH9" s="17">
        <f t="shared" ref="CH9" si="24">CG13</f>
        <v>9913036.2239982225</v>
      </c>
      <c r="CI9" s="17">
        <f t="shared" ref="CI9" si="25">CH13</f>
        <v>8627936.6339982226</v>
      </c>
      <c r="CJ9" s="17">
        <f t="shared" ref="CJ9:CM9" si="26">CI13</f>
        <v>7015484.6139982231</v>
      </c>
      <c r="CK9" s="17">
        <f t="shared" si="26"/>
        <v>5377475.9039982231</v>
      </c>
      <c r="CL9" s="17">
        <f t="shared" si="26"/>
        <v>3844872.4839982232</v>
      </c>
      <c r="CM9" s="17">
        <f t="shared" si="26"/>
        <v>2523174.0727185896</v>
      </c>
    </row>
    <row r="10" spans="1:91" x14ac:dyDescent="0.2">
      <c r="B10" s="18" t="s">
        <v>196</v>
      </c>
      <c r="C10" s="19"/>
      <c r="D10" s="232">
        <v>0</v>
      </c>
      <c r="E10" s="232">
        <v>0</v>
      </c>
      <c r="F10" s="232">
        <v>0</v>
      </c>
      <c r="G10" s="232">
        <v>0</v>
      </c>
      <c r="H10" s="232">
        <v>0</v>
      </c>
      <c r="I10" s="232">
        <v>0</v>
      </c>
      <c r="J10" s="232">
        <v>0</v>
      </c>
      <c r="K10" s="232">
        <v>0</v>
      </c>
      <c r="L10" s="232">
        <v>0</v>
      </c>
      <c r="M10" s="232">
        <v>0</v>
      </c>
      <c r="N10" s="232">
        <v>0</v>
      </c>
      <c r="O10" s="232">
        <v>0</v>
      </c>
      <c r="P10" s="232">
        <v>0</v>
      </c>
      <c r="Q10" s="232">
        <v>0</v>
      </c>
      <c r="R10" s="232">
        <v>0</v>
      </c>
      <c r="S10" s="232">
        <v>0</v>
      </c>
      <c r="T10" s="232">
        <v>-5454930.8074556598</v>
      </c>
      <c r="U10" s="232">
        <v>0</v>
      </c>
      <c r="V10" s="232">
        <v>0</v>
      </c>
      <c r="W10" s="232">
        <v>0</v>
      </c>
      <c r="X10" s="232">
        <v>0</v>
      </c>
      <c r="Y10" s="232">
        <v>0</v>
      </c>
      <c r="Z10" s="232">
        <v>0</v>
      </c>
      <c r="AA10" s="232">
        <v>0</v>
      </c>
      <c r="AB10" s="232">
        <v>0</v>
      </c>
      <c r="AC10" s="232">
        <v>0</v>
      </c>
      <c r="AD10" s="232">
        <v>0</v>
      </c>
      <c r="AE10" s="232">
        <v>0</v>
      </c>
      <c r="AF10" s="16">
        <v>12484587.894814277</v>
      </c>
      <c r="AG10" s="232">
        <v>0</v>
      </c>
      <c r="AH10" s="232">
        <v>0</v>
      </c>
      <c r="AI10" s="232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21759954.130103283</v>
      </c>
      <c r="AS10" s="23">
        <v>0</v>
      </c>
      <c r="AT10" s="23">
        <v>0</v>
      </c>
      <c r="AU10" s="23">
        <v>0</v>
      </c>
      <c r="AV10" s="23">
        <v>0</v>
      </c>
      <c r="AW10" s="23">
        <v>0</v>
      </c>
      <c r="AX10" s="23">
        <v>0</v>
      </c>
      <c r="AY10" s="23">
        <v>0</v>
      </c>
      <c r="AZ10" s="23">
        <v>0</v>
      </c>
      <c r="BA10" s="23">
        <v>0</v>
      </c>
      <c r="BB10" s="23">
        <v>0</v>
      </c>
      <c r="BC10" s="23">
        <v>0</v>
      </c>
      <c r="BD10" s="23">
        <v>22736596.59</v>
      </c>
      <c r="BE10" s="23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>
        <v>47064040.012699664</v>
      </c>
      <c r="BQ10" s="23">
        <v>0</v>
      </c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3">
        <v>0</v>
      </c>
      <c r="BX10" s="23">
        <v>0</v>
      </c>
      <c r="BY10" s="23">
        <v>0</v>
      </c>
      <c r="BZ10" s="23">
        <v>0</v>
      </c>
      <c r="CA10" s="23">
        <v>0</v>
      </c>
      <c r="CB10" s="23">
        <v>10735612.764834132</v>
      </c>
      <c r="CC10" s="20">
        <v>0</v>
      </c>
      <c r="CD10" s="20">
        <v>0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  <c r="CL10" s="20">
        <v>0</v>
      </c>
      <c r="CM10" s="20">
        <v>0</v>
      </c>
    </row>
    <row r="11" spans="1:91" x14ac:dyDescent="0.2">
      <c r="B11" s="21" t="s">
        <v>197</v>
      </c>
      <c r="D11" s="232">
        <v>0</v>
      </c>
      <c r="E11" s="232">
        <v>0</v>
      </c>
      <c r="F11" s="232">
        <v>0</v>
      </c>
      <c r="G11" s="232">
        <v>0</v>
      </c>
      <c r="H11" s="232">
        <v>0</v>
      </c>
      <c r="I11" s="232">
        <v>0</v>
      </c>
      <c r="J11" s="232">
        <v>0</v>
      </c>
      <c r="K11" s="232">
        <v>0</v>
      </c>
      <c r="L11" s="232">
        <v>0</v>
      </c>
      <c r="M11" s="232">
        <v>0</v>
      </c>
      <c r="N11" s="232">
        <v>0</v>
      </c>
      <c r="O11" s="232">
        <v>0</v>
      </c>
      <c r="P11" s="232">
        <v>0</v>
      </c>
      <c r="Q11" s="232">
        <v>0</v>
      </c>
      <c r="R11" s="232">
        <v>0</v>
      </c>
      <c r="S11" s="232">
        <v>0</v>
      </c>
      <c r="T11" s="23">
        <v>232404.10335734897</v>
      </c>
      <c r="U11" s="23">
        <v>157586.84343671499</v>
      </c>
      <c r="V11" s="23">
        <v>118833.09101294399</v>
      </c>
      <c r="W11" s="23">
        <v>109754.64651913299</v>
      </c>
      <c r="X11" s="23">
        <v>134953.67796387398</v>
      </c>
      <c r="Y11" s="23">
        <v>247991.22119656496</v>
      </c>
      <c r="Z11" s="23">
        <v>628816.05870121496</v>
      </c>
      <c r="AA11" s="23">
        <v>712755.84760818887</v>
      </c>
      <c r="AB11" s="23">
        <v>682750.19474731293</v>
      </c>
      <c r="AC11" s="23">
        <v>506548.33745000092</v>
      </c>
      <c r="AD11" s="23">
        <v>474919.21287818695</v>
      </c>
      <c r="AE11" s="23">
        <v>398973.27444358997</v>
      </c>
      <c r="AF11" s="23">
        <v>-478505.75197234703</v>
      </c>
      <c r="AG11" s="23">
        <v>-255465.97774466997</v>
      </c>
      <c r="AH11" s="23">
        <v>-214446.47246076999</v>
      </c>
      <c r="AI11" s="23">
        <v>-230349.47244478401</v>
      </c>
      <c r="AJ11" s="23">
        <v>-345768.51990245399</v>
      </c>
      <c r="AK11" s="23">
        <v>-553187.41960007907</v>
      </c>
      <c r="AL11" s="23">
        <v>-1367142.9087079391</v>
      </c>
      <c r="AM11" s="23">
        <v>-1639900.0136366431</v>
      </c>
      <c r="AN11" s="23">
        <v>-1643893.9195623118</v>
      </c>
      <c r="AO11" s="23">
        <v>-1222570.5087724302</v>
      </c>
      <c r="AP11" s="23">
        <v>-1169969.8377493555</v>
      </c>
      <c r="AQ11" s="23">
        <v>-609352.00330536067</v>
      </c>
      <c r="AR11" s="23">
        <v>-882158.85966690071</v>
      </c>
      <c r="AS11" s="23">
        <v>-617991.01890936634</v>
      </c>
      <c r="AT11" s="23">
        <v>-531415.97368208366</v>
      </c>
      <c r="AU11" s="23">
        <v>-455794.67178841273</v>
      </c>
      <c r="AV11" s="23">
        <v>-668714.44697468798</v>
      </c>
      <c r="AW11" s="23">
        <v>-1370028.9228794824</v>
      </c>
      <c r="AX11" s="23">
        <v>-1914892.2998073981</v>
      </c>
      <c r="AY11" s="23">
        <v>-3783793.1607450638</v>
      </c>
      <c r="AZ11" s="23">
        <v>-4114426.62</v>
      </c>
      <c r="BA11" s="23">
        <v>-3203448.77</v>
      </c>
      <c r="BB11" s="23">
        <v>-2757217.59</v>
      </c>
      <c r="BC11" s="23">
        <v>-1863472.59</v>
      </c>
      <c r="BD11" s="23">
        <v>-1221247.8</v>
      </c>
      <c r="BE11" s="23">
        <v>-707427.97</v>
      </c>
      <c r="BF11" s="23">
        <v>-533202.71</v>
      </c>
      <c r="BG11" s="23">
        <v>-490962.37</v>
      </c>
      <c r="BH11" s="23">
        <v>-660304.89</v>
      </c>
      <c r="BI11" s="23">
        <v>-1738465.61</v>
      </c>
      <c r="BJ11" s="23">
        <v>-2792006.52</v>
      </c>
      <c r="BK11" s="23">
        <v>-3845934.17</v>
      </c>
      <c r="BL11" s="23">
        <v>-3320062.06</v>
      </c>
      <c r="BM11" s="23">
        <v>-3459780.43</v>
      </c>
      <c r="BN11" s="23">
        <v>-2928978.02</v>
      </c>
      <c r="BO11" s="23">
        <v>-2073810.24</v>
      </c>
      <c r="BP11" s="23">
        <v>-1765160.43</v>
      </c>
      <c r="BQ11" s="23">
        <v>-1448494.77</v>
      </c>
      <c r="BR11" s="23">
        <v>-1014610.79</v>
      </c>
      <c r="BS11" s="23">
        <v>-986023.64</v>
      </c>
      <c r="BT11" s="23">
        <v>-1388126.63</v>
      </c>
      <c r="BU11" s="23">
        <v>-3320242.04</v>
      </c>
      <c r="BV11" s="23">
        <v>-4851217.99</v>
      </c>
      <c r="BW11" s="23">
        <v>-6802234.71</v>
      </c>
      <c r="BX11" s="22">
        <f>-'Sch23&amp;53 Deferral Calc'!C42</f>
        <v>-6722914.8399999999</v>
      </c>
      <c r="BY11" s="22">
        <f>-'Sch23&amp;53 Deferral Calc'!D42</f>
        <v>-8099498.2999999998</v>
      </c>
      <c r="BZ11" s="22">
        <f>-'Sch23&amp;53 Deferral Calc'!E42</f>
        <v>-5727643.04</v>
      </c>
      <c r="CA11" s="22">
        <f>-'Sch23&amp;53 Deferral Calc'!F42</f>
        <v>-3528557.6</v>
      </c>
      <c r="CB11" s="22">
        <f>-'Sch23&amp;53 Deferral Calc'!G42</f>
        <v>-316552.15999999997</v>
      </c>
      <c r="CC11" s="22">
        <f>-'Sch23&amp;53 Deferral Calc'!H42</f>
        <v>-342345.85</v>
      </c>
      <c r="CD11" s="22">
        <f>-'Sch23&amp;53 Deferral Calc'!I42</f>
        <v>-261872.74</v>
      </c>
      <c r="CE11" s="22">
        <f>-'Sch23&amp;53 Deferral Calc'!J42</f>
        <v>-241287.91</v>
      </c>
      <c r="CF11" s="22">
        <f>-'Sch23&amp;53 Deferral Calc'!K42</f>
        <v>-341362.55</v>
      </c>
      <c r="CG11" s="22">
        <f>-'Sch23&amp;53 Deferral Calc'!L42</f>
        <v>-994874.36</v>
      </c>
      <c r="CH11" s="22">
        <f>-'Sch23&amp;53 Deferral Calc'!M42</f>
        <v>-1285099.5900000001</v>
      </c>
      <c r="CI11" s="22">
        <f>-'Sch23&amp;53 Deferral Calc'!N42</f>
        <v>-1612452.02</v>
      </c>
      <c r="CJ11" s="23">
        <v>-1638008.71</v>
      </c>
      <c r="CK11" s="23">
        <v>-1532603.42</v>
      </c>
      <c r="CL11" s="22">
        <f>-'Amort Estimate'!D15</f>
        <v>-1321698.4112796336</v>
      </c>
      <c r="CM11" s="22">
        <f>-'Amort Estimate'!E15</f>
        <v>-950542.98518577067</v>
      </c>
    </row>
    <row r="12" spans="1:91" x14ac:dyDescent="0.2">
      <c r="B12" s="7" t="s">
        <v>198</v>
      </c>
      <c r="D12" s="24">
        <f t="shared" ref="D12" si="27">SUM(D10:D11)</f>
        <v>0</v>
      </c>
      <c r="E12" s="24">
        <f t="shared" ref="E12:BK12" si="28">SUM(E10:E11)</f>
        <v>0</v>
      </c>
      <c r="F12" s="24">
        <f t="shared" si="28"/>
        <v>0</v>
      </c>
      <c r="G12" s="24">
        <f t="shared" si="28"/>
        <v>0</v>
      </c>
      <c r="H12" s="24">
        <f t="shared" si="28"/>
        <v>0</v>
      </c>
      <c r="I12" s="24">
        <f t="shared" si="28"/>
        <v>0</v>
      </c>
      <c r="J12" s="24">
        <f t="shared" si="28"/>
        <v>0</v>
      </c>
      <c r="K12" s="24">
        <f t="shared" si="28"/>
        <v>0</v>
      </c>
      <c r="L12" s="24">
        <f t="shared" si="28"/>
        <v>0</v>
      </c>
      <c r="M12" s="24">
        <f t="shared" si="28"/>
        <v>0</v>
      </c>
      <c r="N12" s="24">
        <f t="shared" si="28"/>
        <v>0</v>
      </c>
      <c r="O12" s="24">
        <f t="shared" si="28"/>
        <v>0</v>
      </c>
      <c r="P12" s="24">
        <f t="shared" si="28"/>
        <v>0</v>
      </c>
      <c r="Q12" s="24">
        <f t="shared" si="28"/>
        <v>0</v>
      </c>
      <c r="R12" s="24">
        <f t="shared" si="28"/>
        <v>0</v>
      </c>
      <c r="S12" s="24">
        <f t="shared" si="28"/>
        <v>0</v>
      </c>
      <c r="T12" s="24">
        <f t="shared" si="28"/>
        <v>-5222526.7040983113</v>
      </c>
      <c r="U12" s="24">
        <f t="shared" si="28"/>
        <v>157586.84343671499</v>
      </c>
      <c r="V12" s="24">
        <f t="shared" si="28"/>
        <v>118833.09101294399</v>
      </c>
      <c r="W12" s="24">
        <f t="shared" si="28"/>
        <v>109754.64651913299</v>
      </c>
      <c r="X12" s="24">
        <f t="shared" si="28"/>
        <v>134953.67796387398</v>
      </c>
      <c r="Y12" s="24">
        <f t="shared" si="28"/>
        <v>247991.22119656496</v>
      </c>
      <c r="Z12" s="24">
        <f t="shared" si="28"/>
        <v>628816.05870121496</v>
      </c>
      <c r="AA12" s="24">
        <f t="shared" si="28"/>
        <v>712755.84760818887</v>
      </c>
      <c r="AB12" s="24">
        <f t="shared" si="28"/>
        <v>682750.19474731293</v>
      </c>
      <c r="AC12" s="24">
        <f t="shared" si="28"/>
        <v>506548.33745000092</v>
      </c>
      <c r="AD12" s="24">
        <f t="shared" si="28"/>
        <v>474919.21287818695</v>
      </c>
      <c r="AE12" s="24">
        <f t="shared" si="28"/>
        <v>398973.27444358997</v>
      </c>
      <c r="AF12" s="24">
        <f t="shared" si="28"/>
        <v>12006082.14284193</v>
      </c>
      <c r="AG12" s="24">
        <f t="shared" si="28"/>
        <v>-255465.97774466997</v>
      </c>
      <c r="AH12" s="24">
        <f t="shared" si="28"/>
        <v>-214446.47246076999</v>
      </c>
      <c r="AI12" s="24">
        <f t="shared" si="28"/>
        <v>-230349.47244478401</v>
      </c>
      <c r="AJ12" s="24">
        <f t="shared" si="28"/>
        <v>-345768.51990245399</v>
      </c>
      <c r="AK12" s="24">
        <f t="shared" si="28"/>
        <v>-553187.41960007907</v>
      </c>
      <c r="AL12" s="24">
        <f t="shared" si="28"/>
        <v>-1367142.9087079391</v>
      </c>
      <c r="AM12" s="24">
        <f t="shared" si="28"/>
        <v>-1639900.0136366431</v>
      </c>
      <c r="AN12" s="24">
        <f t="shared" si="28"/>
        <v>-1643893.9195623118</v>
      </c>
      <c r="AO12" s="24">
        <f t="shared" si="28"/>
        <v>-1222570.5087724302</v>
      </c>
      <c r="AP12" s="24">
        <f t="shared" si="28"/>
        <v>-1169969.8377493555</v>
      </c>
      <c r="AQ12" s="24">
        <f t="shared" si="28"/>
        <v>-609352.00330536067</v>
      </c>
      <c r="AR12" s="24">
        <f t="shared" si="28"/>
        <v>20877795.270436384</v>
      </c>
      <c r="AS12" s="24">
        <f t="shared" si="28"/>
        <v>-617991.01890936634</v>
      </c>
      <c r="AT12" s="24">
        <f t="shared" si="28"/>
        <v>-531415.97368208366</v>
      </c>
      <c r="AU12" s="24">
        <f t="shared" si="28"/>
        <v>-455794.67178841273</v>
      </c>
      <c r="AV12" s="24">
        <f t="shared" si="28"/>
        <v>-668714.44697468798</v>
      </c>
      <c r="AW12" s="24">
        <f t="shared" si="28"/>
        <v>-1370028.9228794824</v>
      </c>
      <c r="AX12" s="24">
        <f t="shared" si="28"/>
        <v>-1914892.2998073981</v>
      </c>
      <c r="AY12" s="24">
        <f t="shared" si="28"/>
        <v>-3783793.1607450638</v>
      </c>
      <c r="AZ12" s="24">
        <f t="shared" si="28"/>
        <v>-4114426.62</v>
      </c>
      <c r="BA12" s="24">
        <f t="shared" si="28"/>
        <v>-3203448.77</v>
      </c>
      <c r="BB12" s="24">
        <f t="shared" si="28"/>
        <v>-2757217.59</v>
      </c>
      <c r="BC12" s="24">
        <f t="shared" si="28"/>
        <v>-1863472.59</v>
      </c>
      <c r="BD12" s="24">
        <f t="shared" si="28"/>
        <v>21515348.789999999</v>
      </c>
      <c r="BE12" s="24">
        <f t="shared" si="28"/>
        <v>-707427.97</v>
      </c>
      <c r="BF12" s="24">
        <f t="shared" si="28"/>
        <v>-533202.71</v>
      </c>
      <c r="BG12" s="24">
        <f t="shared" si="28"/>
        <v>-490962.37</v>
      </c>
      <c r="BH12" s="24">
        <f t="shared" si="28"/>
        <v>-660304.89</v>
      </c>
      <c r="BI12" s="24">
        <f t="shared" si="28"/>
        <v>-1738465.61</v>
      </c>
      <c r="BJ12" s="24">
        <f t="shared" si="28"/>
        <v>-2792006.52</v>
      </c>
      <c r="BK12" s="24">
        <f t="shared" si="28"/>
        <v>-3845934.17</v>
      </c>
      <c r="BL12" s="24">
        <f t="shared" ref="BL12:BY12" si="29">SUM(BL10:BL11)</f>
        <v>-3320062.06</v>
      </c>
      <c r="BM12" s="24">
        <f t="shared" si="29"/>
        <v>-3459780.43</v>
      </c>
      <c r="BN12" s="24">
        <f t="shared" si="29"/>
        <v>-2928978.02</v>
      </c>
      <c r="BO12" s="24">
        <f t="shared" si="29"/>
        <v>-2073810.24</v>
      </c>
      <c r="BP12" s="24">
        <f t="shared" si="29"/>
        <v>45298879.582699664</v>
      </c>
      <c r="BQ12" s="24">
        <f t="shared" si="29"/>
        <v>-1448494.77</v>
      </c>
      <c r="BR12" s="24">
        <f t="shared" si="29"/>
        <v>-1014610.79</v>
      </c>
      <c r="BS12" s="24">
        <f t="shared" si="29"/>
        <v>-986023.64</v>
      </c>
      <c r="BT12" s="24">
        <f t="shared" si="29"/>
        <v>-1388126.63</v>
      </c>
      <c r="BU12" s="24">
        <f t="shared" si="29"/>
        <v>-3320242.04</v>
      </c>
      <c r="BV12" s="24">
        <f t="shared" si="29"/>
        <v>-4851217.99</v>
      </c>
      <c r="BW12" s="24">
        <f t="shared" si="29"/>
        <v>-6802234.71</v>
      </c>
      <c r="BX12" s="24">
        <f t="shared" si="29"/>
        <v>-6722914.8399999999</v>
      </c>
      <c r="BY12" s="24">
        <f t="shared" si="29"/>
        <v>-8099498.2999999998</v>
      </c>
      <c r="BZ12" s="24">
        <f t="shared" ref="BZ12:CH12" si="30">SUM(BZ10:BZ11)</f>
        <v>-5727643.04</v>
      </c>
      <c r="CA12" s="24">
        <f t="shared" si="30"/>
        <v>-3528557.6</v>
      </c>
      <c r="CB12" s="24">
        <f t="shared" si="30"/>
        <v>10419060.604834132</v>
      </c>
      <c r="CC12" s="24">
        <f t="shared" si="30"/>
        <v>-342345.85</v>
      </c>
      <c r="CD12" s="24">
        <f t="shared" si="30"/>
        <v>-261872.74</v>
      </c>
      <c r="CE12" s="24">
        <f t="shared" si="30"/>
        <v>-241287.91</v>
      </c>
      <c r="CF12" s="24">
        <f t="shared" si="30"/>
        <v>-341362.55</v>
      </c>
      <c r="CG12" s="24">
        <f t="shared" si="30"/>
        <v>-994874.36</v>
      </c>
      <c r="CH12" s="24">
        <f t="shared" si="30"/>
        <v>-1285099.5900000001</v>
      </c>
      <c r="CI12" s="24">
        <f t="shared" ref="CI12:CL12" si="31">SUM(CI10:CI11)</f>
        <v>-1612452.02</v>
      </c>
      <c r="CJ12" s="24">
        <f t="shared" si="31"/>
        <v>-1638008.71</v>
      </c>
      <c r="CK12" s="24">
        <f t="shared" si="31"/>
        <v>-1532603.42</v>
      </c>
      <c r="CL12" s="24">
        <f t="shared" si="31"/>
        <v>-1321698.4112796336</v>
      </c>
      <c r="CM12" s="24">
        <f t="shared" ref="CM12" si="32">SUM(CM10:CM11)</f>
        <v>-950542.98518577067</v>
      </c>
    </row>
    <row r="13" spans="1:91" x14ac:dyDescent="0.2">
      <c r="B13" s="7" t="s">
        <v>199</v>
      </c>
      <c r="D13" s="17">
        <f t="shared" ref="D13:BK13" si="33">D9+D12</f>
        <v>0</v>
      </c>
      <c r="E13" s="17">
        <f t="shared" si="33"/>
        <v>0</v>
      </c>
      <c r="F13" s="17">
        <f t="shared" si="33"/>
        <v>0</v>
      </c>
      <c r="G13" s="17">
        <f t="shared" si="33"/>
        <v>0</v>
      </c>
      <c r="H13" s="17">
        <f t="shared" si="33"/>
        <v>0</v>
      </c>
      <c r="I13" s="17">
        <f t="shared" si="33"/>
        <v>0</v>
      </c>
      <c r="J13" s="17">
        <f t="shared" si="33"/>
        <v>0</v>
      </c>
      <c r="K13" s="17">
        <f t="shared" si="33"/>
        <v>0</v>
      </c>
      <c r="L13" s="17">
        <f t="shared" si="33"/>
        <v>0</v>
      </c>
      <c r="M13" s="17">
        <f t="shared" si="33"/>
        <v>0</v>
      </c>
      <c r="N13" s="17">
        <f t="shared" si="33"/>
        <v>0</v>
      </c>
      <c r="O13" s="17">
        <f t="shared" si="33"/>
        <v>0</v>
      </c>
      <c r="P13" s="17">
        <f t="shared" si="33"/>
        <v>0</v>
      </c>
      <c r="Q13" s="17">
        <f t="shared" si="33"/>
        <v>0</v>
      </c>
      <c r="R13" s="17">
        <f t="shared" si="33"/>
        <v>0</v>
      </c>
      <c r="S13" s="17">
        <f t="shared" si="33"/>
        <v>0</v>
      </c>
      <c r="T13" s="17">
        <f t="shared" si="33"/>
        <v>-5222526.7040983113</v>
      </c>
      <c r="U13" s="17">
        <f t="shared" si="33"/>
        <v>-5064939.8606615961</v>
      </c>
      <c r="V13" s="17">
        <f t="shared" si="33"/>
        <v>-4946106.7696486525</v>
      </c>
      <c r="W13" s="17">
        <f t="shared" si="33"/>
        <v>-4836352.1231295196</v>
      </c>
      <c r="X13" s="17">
        <f t="shared" si="33"/>
        <v>-4701398.4451656453</v>
      </c>
      <c r="Y13" s="17">
        <f t="shared" si="33"/>
        <v>-4453407.2239690805</v>
      </c>
      <c r="Z13" s="17">
        <f t="shared" si="33"/>
        <v>-3824591.1652678656</v>
      </c>
      <c r="AA13" s="17">
        <f t="shared" si="33"/>
        <v>-3111835.317659677</v>
      </c>
      <c r="AB13" s="17">
        <f t="shared" si="33"/>
        <v>-2429085.1229123641</v>
      </c>
      <c r="AC13" s="17">
        <f t="shared" si="33"/>
        <v>-1922536.7854623632</v>
      </c>
      <c r="AD13" s="17">
        <f t="shared" si="33"/>
        <v>-1447617.5725841762</v>
      </c>
      <c r="AE13" s="17">
        <f t="shared" si="33"/>
        <v>-1048644.2981405864</v>
      </c>
      <c r="AF13" s="17">
        <f t="shared" si="33"/>
        <v>10957437.844701342</v>
      </c>
      <c r="AG13" s="17">
        <f t="shared" si="33"/>
        <v>10701971.866956672</v>
      </c>
      <c r="AH13" s="17">
        <f t="shared" si="33"/>
        <v>10487525.394495903</v>
      </c>
      <c r="AI13" s="17">
        <f t="shared" si="33"/>
        <v>10257175.922051119</v>
      </c>
      <c r="AJ13" s="17">
        <f t="shared" si="33"/>
        <v>9911407.402148664</v>
      </c>
      <c r="AK13" s="17">
        <f t="shared" si="33"/>
        <v>9358219.9825485852</v>
      </c>
      <c r="AL13" s="17">
        <f t="shared" si="33"/>
        <v>7991077.0738406461</v>
      </c>
      <c r="AM13" s="17">
        <f t="shared" si="33"/>
        <v>6351177.060204003</v>
      </c>
      <c r="AN13" s="17">
        <f t="shared" si="33"/>
        <v>4707283.1406416912</v>
      </c>
      <c r="AO13" s="17">
        <f t="shared" si="33"/>
        <v>3484712.6318692612</v>
      </c>
      <c r="AP13" s="17">
        <f t="shared" si="33"/>
        <v>2314742.7941199057</v>
      </c>
      <c r="AQ13" s="17">
        <f t="shared" si="33"/>
        <v>1705390.790814545</v>
      </c>
      <c r="AR13" s="17">
        <f t="shared" si="33"/>
        <v>22583186.061250929</v>
      </c>
      <c r="AS13" s="17">
        <f t="shared" si="33"/>
        <v>21965195.042341564</v>
      </c>
      <c r="AT13" s="17">
        <f t="shared" si="33"/>
        <v>21433779.068659481</v>
      </c>
      <c r="AU13" s="17">
        <f t="shared" si="33"/>
        <v>20977984.396871068</v>
      </c>
      <c r="AV13" s="17">
        <f t="shared" si="33"/>
        <v>20309269.94989638</v>
      </c>
      <c r="AW13" s="17">
        <f t="shared" si="33"/>
        <v>18939241.027016897</v>
      </c>
      <c r="AX13" s="17">
        <f t="shared" si="33"/>
        <v>17024348.727209497</v>
      </c>
      <c r="AY13" s="17">
        <f t="shared" si="33"/>
        <v>13240555.566464433</v>
      </c>
      <c r="AZ13" s="17">
        <f t="shared" si="33"/>
        <v>9126128.9464644343</v>
      </c>
      <c r="BA13" s="17">
        <f t="shared" si="33"/>
        <v>5922680.1764644347</v>
      </c>
      <c r="BB13" s="17">
        <f t="shared" si="33"/>
        <v>3165462.5864644349</v>
      </c>
      <c r="BC13" s="17">
        <f t="shared" si="33"/>
        <v>1301989.9964644348</v>
      </c>
      <c r="BD13" s="17">
        <f t="shared" si="33"/>
        <v>22817338.786464434</v>
      </c>
      <c r="BE13" s="17">
        <f t="shared" si="33"/>
        <v>22109910.816464435</v>
      </c>
      <c r="BF13" s="17">
        <f t="shared" si="33"/>
        <v>21576708.106464434</v>
      </c>
      <c r="BG13" s="17">
        <f t="shared" si="33"/>
        <v>21085745.736464433</v>
      </c>
      <c r="BH13" s="17">
        <f t="shared" si="33"/>
        <v>20425440.846464433</v>
      </c>
      <c r="BI13" s="17">
        <f t="shared" si="33"/>
        <v>18686975.236464433</v>
      </c>
      <c r="BJ13" s="17">
        <f t="shared" si="33"/>
        <v>15894968.716464434</v>
      </c>
      <c r="BK13" s="17">
        <f t="shared" si="33"/>
        <v>12049034.546464434</v>
      </c>
      <c r="BL13" s="17">
        <f t="shared" ref="BL13:BY13" si="34">BL9+BL12</f>
        <v>8728972.4864644334</v>
      </c>
      <c r="BM13" s="17">
        <f t="shared" si="34"/>
        <v>5269192.0564644337</v>
      </c>
      <c r="BN13" s="17">
        <f t="shared" si="34"/>
        <v>2340214.0364644337</v>
      </c>
      <c r="BO13" s="17">
        <f t="shared" si="34"/>
        <v>266403.79646443366</v>
      </c>
      <c r="BP13" s="17">
        <f t="shared" si="34"/>
        <v>45565283.3791641</v>
      </c>
      <c r="BQ13" s="17">
        <f t="shared" si="34"/>
        <v>44116788.609164096</v>
      </c>
      <c r="BR13" s="17">
        <f t="shared" si="34"/>
        <v>43102177.819164097</v>
      </c>
      <c r="BS13" s="17">
        <f t="shared" si="34"/>
        <v>42116154.179164097</v>
      </c>
      <c r="BT13" s="17">
        <f t="shared" si="34"/>
        <v>40728027.549164094</v>
      </c>
      <c r="BU13" s="17">
        <f t="shared" si="34"/>
        <v>37407785.509164095</v>
      </c>
      <c r="BV13" s="17">
        <f t="shared" si="34"/>
        <v>32556567.519164093</v>
      </c>
      <c r="BW13" s="17">
        <f t="shared" si="34"/>
        <v>25754332.809164092</v>
      </c>
      <c r="BX13" s="17">
        <f t="shared" si="34"/>
        <v>19031417.969164092</v>
      </c>
      <c r="BY13" s="17">
        <f t="shared" si="34"/>
        <v>10931919.669164091</v>
      </c>
      <c r="BZ13" s="17">
        <f t="shared" ref="BZ13:CH13" si="35">BZ9+BZ12</f>
        <v>5204276.6291640913</v>
      </c>
      <c r="CA13" s="17">
        <f t="shared" si="35"/>
        <v>1675719.0291640912</v>
      </c>
      <c r="CB13" s="17">
        <f t="shared" si="35"/>
        <v>12094779.633998223</v>
      </c>
      <c r="CC13" s="17">
        <f t="shared" si="35"/>
        <v>11752433.783998223</v>
      </c>
      <c r="CD13" s="17">
        <f t="shared" si="35"/>
        <v>11490561.043998223</v>
      </c>
      <c r="CE13" s="17">
        <f t="shared" si="35"/>
        <v>11249273.133998223</v>
      </c>
      <c r="CF13" s="17">
        <f t="shared" si="35"/>
        <v>10907910.583998222</v>
      </c>
      <c r="CG13" s="17">
        <f t="shared" si="35"/>
        <v>9913036.2239982225</v>
      </c>
      <c r="CH13" s="17">
        <f t="shared" si="35"/>
        <v>8627936.6339982226</v>
      </c>
      <c r="CI13" s="17">
        <f t="shared" ref="CI13:CM13" si="36">CI9+CI12</f>
        <v>7015484.6139982231</v>
      </c>
      <c r="CJ13" s="17">
        <f t="shared" si="36"/>
        <v>5377475.9039982231</v>
      </c>
      <c r="CK13" s="17">
        <f t="shared" si="36"/>
        <v>3844872.4839982232</v>
      </c>
      <c r="CL13" s="17">
        <f t="shared" si="36"/>
        <v>2523174.0727185896</v>
      </c>
      <c r="CM13" s="17">
        <f t="shared" si="36"/>
        <v>1572631.0875328188</v>
      </c>
    </row>
    <row r="14" spans="1:91" x14ac:dyDescent="0.2">
      <c r="C14" s="19"/>
      <c r="F14" s="8"/>
      <c r="CI14" s="8"/>
      <c r="CL14" s="8"/>
      <c r="CM14" s="8"/>
    </row>
    <row r="15" spans="1:91" x14ac:dyDescent="0.2">
      <c r="A15" s="94" t="s">
        <v>400</v>
      </c>
      <c r="B15" s="8"/>
      <c r="C15" s="160">
        <v>18239092</v>
      </c>
      <c r="F15" s="8"/>
      <c r="CI15" s="8"/>
      <c r="CL15" s="8"/>
      <c r="CM15" s="8"/>
    </row>
    <row r="16" spans="1:91" x14ac:dyDescent="0.2">
      <c r="A16" s="8"/>
      <c r="B16" s="8" t="s">
        <v>195</v>
      </c>
      <c r="C16" s="160">
        <v>25400422</v>
      </c>
      <c r="D16" s="17">
        <v>0</v>
      </c>
      <c r="E16" s="17">
        <f t="shared" ref="E16:M16" si="37">D22</f>
        <v>0</v>
      </c>
      <c r="F16" s="17">
        <f t="shared" si="37"/>
        <v>0</v>
      </c>
      <c r="G16" s="17">
        <f t="shared" si="37"/>
        <v>0</v>
      </c>
      <c r="H16" s="17">
        <f t="shared" si="37"/>
        <v>0</v>
      </c>
      <c r="I16" s="17">
        <f t="shared" si="37"/>
        <v>0</v>
      </c>
      <c r="J16" s="17">
        <f t="shared" si="37"/>
        <v>0</v>
      </c>
      <c r="K16" s="17">
        <f t="shared" si="37"/>
        <v>0</v>
      </c>
      <c r="L16" s="17">
        <f t="shared" si="37"/>
        <v>0</v>
      </c>
      <c r="M16" s="17">
        <f t="shared" si="37"/>
        <v>0</v>
      </c>
      <c r="N16" s="17">
        <f>M22</f>
        <v>0</v>
      </c>
      <c r="O16" s="17">
        <f>N22</f>
        <v>0</v>
      </c>
      <c r="P16" s="17">
        <f t="shared" ref="P16:BK16" si="38">O22</f>
        <v>0</v>
      </c>
      <c r="Q16" s="17">
        <f t="shared" si="38"/>
        <v>0</v>
      </c>
      <c r="R16" s="17">
        <f t="shared" si="38"/>
        <v>0</v>
      </c>
      <c r="S16" s="17">
        <f t="shared" si="38"/>
        <v>0</v>
      </c>
      <c r="T16" s="17">
        <f t="shared" si="38"/>
        <v>0</v>
      </c>
      <c r="U16" s="17">
        <f t="shared" si="38"/>
        <v>238053.66538763192</v>
      </c>
      <c r="V16" s="17">
        <f t="shared" si="38"/>
        <v>230586.59001145011</v>
      </c>
      <c r="W16" s="17">
        <f t="shared" si="38"/>
        <v>222594.22567545201</v>
      </c>
      <c r="X16" s="17">
        <f t="shared" si="38"/>
        <v>214620.52339179895</v>
      </c>
      <c r="Y16" s="17">
        <f t="shared" si="38"/>
        <v>206422.93583268652</v>
      </c>
      <c r="Z16" s="17">
        <f t="shared" si="38"/>
        <v>195081.16111722233</v>
      </c>
      <c r="AA16" s="17">
        <f t="shared" si="38"/>
        <v>170451.44474055726</v>
      </c>
      <c r="AB16" s="17">
        <f t="shared" si="38"/>
        <v>143868.60101756486</v>
      </c>
      <c r="AC16" s="17">
        <f t="shared" si="38"/>
        <v>117611.04907977948</v>
      </c>
      <c r="AD16" s="17">
        <f t="shared" si="38"/>
        <v>97269.286514728214</v>
      </c>
      <c r="AE16" s="17">
        <f t="shared" si="38"/>
        <v>77361.507511680815</v>
      </c>
      <c r="AF16" s="17">
        <f t="shared" si="38"/>
        <v>60297.320111638226</v>
      </c>
      <c r="AG16" s="17">
        <f t="shared" si="38"/>
        <v>5307905.2028076006</v>
      </c>
      <c r="AH16" s="17">
        <f t="shared" si="38"/>
        <v>5117110.4040621184</v>
      </c>
      <c r="AI16" s="17">
        <f t="shared" si="38"/>
        <v>4940926.7655538982</v>
      </c>
      <c r="AJ16" s="17">
        <f t="shared" si="38"/>
        <v>4755725.955852516</v>
      </c>
      <c r="AK16" s="17">
        <f t="shared" si="38"/>
        <v>4546902.1142505612</v>
      </c>
      <c r="AL16" s="17">
        <f t="shared" si="38"/>
        <v>4269554.9245421542</v>
      </c>
      <c r="AM16" s="17">
        <f t="shared" si="38"/>
        <v>3770192.4435498933</v>
      </c>
      <c r="AN16" s="17">
        <f t="shared" si="38"/>
        <v>3068961.7450243598</v>
      </c>
      <c r="AO16" s="17">
        <f t="shared" si="38"/>
        <v>2485075.3406491471</v>
      </c>
      <c r="AP16" s="17">
        <f t="shared" si="38"/>
        <v>2004407.5904290127</v>
      </c>
      <c r="AQ16" s="17">
        <f t="shared" si="38"/>
        <v>1499604.3855144724</v>
      </c>
      <c r="AR16" s="17">
        <f t="shared" si="38"/>
        <v>1187438.2001181981</v>
      </c>
      <c r="AS16" s="17">
        <f t="shared" si="38"/>
        <v>10267200.248905197</v>
      </c>
      <c r="AT16" s="17">
        <f t="shared" si="38"/>
        <v>9875046.2130130194</v>
      </c>
      <c r="AU16" s="17">
        <f t="shared" si="38"/>
        <v>9505473.6261175033</v>
      </c>
      <c r="AV16" s="17">
        <f t="shared" si="38"/>
        <v>9192121.9587167483</v>
      </c>
      <c r="AW16" s="17">
        <f t="shared" si="38"/>
        <v>8798289.7943648119</v>
      </c>
      <c r="AX16" s="17">
        <f t="shared" si="38"/>
        <v>8279004.8960010437</v>
      </c>
      <c r="AY16" s="17">
        <f t="shared" si="38"/>
        <v>7598281.9778405596</v>
      </c>
      <c r="AZ16" s="17">
        <f t="shared" si="38"/>
        <v>6399552.0940645272</v>
      </c>
      <c r="BA16" s="17">
        <f t="shared" si="38"/>
        <v>5015708.894064527</v>
      </c>
      <c r="BB16" s="17">
        <f t="shared" si="38"/>
        <v>3908143.1540645268</v>
      </c>
      <c r="BC16" s="17">
        <f t="shared" si="38"/>
        <v>2892587.8140645269</v>
      </c>
      <c r="BD16" s="17">
        <f t="shared" si="38"/>
        <v>2159657.2640645271</v>
      </c>
      <c r="BE16" s="17">
        <f t="shared" si="38"/>
        <v>14126309.68406453</v>
      </c>
      <c r="BF16" s="17">
        <f t="shared" si="38"/>
        <v>13600234.33406453</v>
      </c>
      <c r="BG16" s="17">
        <f t="shared" si="38"/>
        <v>13111525.714064531</v>
      </c>
      <c r="BH16" s="17">
        <f t="shared" si="38"/>
        <v>12668002.644064531</v>
      </c>
      <c r="BI16" s="17">
        <f t="shared" si="38"/>
        <v>12177416.67406453</v>
      </c>
      <c r="BJ16" s="17">
        <f t="shared" si="38"/>
        <v>11374695.07406453</v>
      </c>
      <c r="BK16" s="17">
        <f t="shared" si="38"/>
        <v>10190758.43406453</v>
      </c>
      <c r="BL16" s="17">
        <f t="shared" ref="BL16" si="39">BK22</f>
        <v>9277912.6640645303</v>
      </c>
      <c r="BM16" s="17">
        <f t="shared" ref="BM16" si="40">BL22</f>
        <v>2.0340645294636488</v>
      </c>
      <c r="BN16" s="17">
        <f t="shared" ref="BN16" si="41">BM22</f>
        <v>2.0340645294636488</v>
      </c>
      <c r="BO16" s="17">
        <f t="shared" ref="BO16" si="42">BN22</f>
        <v>2.0340645294636488</v>
      </c>
      <c r="BP16" s="17">
        <f t="shared" ref="BP16" si="43">BO22</f>
        <v>2.0340645294636488</v>
      </c>
      <c r="BQ16" s="17">
        <f t="shared" ref="BQ16" si="44">BP22</f>
        <v>2.0340645294636488</v>
      </c>
      <c r="BR16" s="17">
        <f t="shared" ref="BR16" si="45">BQ22</f>
        <v>2.0340645294636488</v>
      </c>
      <c r="BS16" s="17">
        <f t="shared" ref="BS16" si="46">BR22</f>
        <v>2.0340645294636488</v>
      </c>
      <c r="BT16" s="17">
        <f t="shared" ref="BT16" si="47">BS22</f>
        <v>2.0340645294636488</v>
      </c>
      <c r="BU16" s="17">
        <f t="shared" ref="BU16" si="48">BT22</f>
        <v>2.0340645294636488</v>
      </c>
      <c r="BV16" s="17">
        <f t="shared" ref="BV16" si="49">BU22</f>
        <v>2.0340645294636488</v>
      </c>
      <c r="BW16" s="17">
        <f t="shared" ref="BW16" si="50">BV22</f>
        <v>2.0340645294636488</v>
      </c>
      <c r="BX16" s="17">
        <f t="shared" ref="BX16" si="51">BW22</f>
        <v>4.0645294636489915E-3</v>
      </c>
      <c r="BY16" s="17">
        <f t="shared" ref="BY16" si="52">BX22</f>
        <v>4.0645294636489915E-3</v>
      </c>
      <c r="BZ16" s="17">
        <f t="shared" ref="BZ16" si="53">BY22</f>
        <v>4.0645294636489915E-3</v>
      </c>
      <c r="CA16" s="17">
        <f t="shared" ref="CA16" si="54">BZ22</f>
        <v>4.0645294636489915E-3</v>
      </c>
      <c r="CB16" s="17">
        <f t="shared" ref="CB16" si="55">CA22</f>
        <v>4.0645294636489915E-3</v>
      </c>
      <c r="CC16" s="17">
        <f t="shared" ref="CC16" si="56">CB22</f>
        <v>4.0645294636489915E-3</v>
      </c>
      <c r="CD16" s="17">
        <f t="shared" ref="CD16" si="57">CC22</f>
        <v>4.0645294636489915E-3</v>
      </c>
      <c r="CE16" s="17">
        <f t="shared" ref="CE16" si="58">CD22</f>
        <v>4.0645294636489915E-3</v>
      </c>
      <c r="CF16" s="17">
        <f t="shared" ref="CF16" si="59">CE22</f>
        <v>4.0645294636489915E-3</v>
      </c>
      <c r="CG16" s="17">
        <f t="shared" ref="CG16" si="60">CF22</f>
        <v>4.0645294636489915E-3</v>
      </c>
      <c r="CH16" s="17">
        <f t="shared" ref="CH16" si="61">CG22</f>
        <v>4.0645294636489915E-3</v>
      </c>
      <c r="CI16" s="17">
        <f t="shared" ref="CI16" si="62">CH22</f>
        <v>4.0645294636489915E-3</v>
      </c>
      <c r="CJ16" s="17">
        <f t="shared" ref="CJ16" si="63">CI22</f>
        <v>4.0645294636489915E-3</v>
      </c>
      <c r="CK16" s="17">
        <f t="shared" ref="CK16" si="64">CJ22</f>
        <v>4.0645294636489915E-3</v>
      </c>
      <c r="CL16" s="17">
        <f t="shared" ref="CL16" si="65">CK22</f>
        <v>4.0645294636489915E-3</v>
      </c>
      <c r="CM16" s="17">
        <f t="shared" ref="CM16" si="66">CL22</f>
        <v>4.0645294636489915E-3</v>
      </c>
    </row>
    <row r="17" spans="1:91" x14ac:dyDescent="0.2">
      <c r="A17" s="8"/>
      <c r="B17" s="227" t="s">
        <v>196</v>
      </c>
      <c r="C17" s="160"/>
      <c r="D17" s="232">
        <v>0</v>
      </c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32">
        <v>0</v>
      </c>
      <c r="K17" s="232">
        <v>0</v>
      </c>
      <c r="L17" s="232">
        <v>0</v>
      </c>
      <c r="M17" s="232">
        <v>0</v>
      </c>
      <c r="N17" s="232">
        <v>0</v>
      </c>
      <c r="O17" s="232">
        <v>0</v>
      </c>
      <c r="P17" s="232">
        <v>0</v>
      </c>
      <c r="Q17" s="232">
        <v>0</v>
      </c>
      <c r="R17" s="232">
        <v>0</v>
      </c>
      <c r="S17" s="232">
        <v>0</v>
      </c>
      <c r="T17" s="232">
        <v>250942.28976841201</v>
      </c>
      <c r="U17" s="232">
        <v>0</v>
      </c>
      <c r="V17" s="232">
        <v>0</v>
      </c>
      <c r="W17" s="232">
        <v>0</v>
      </c>
      <c r="X17" s="232">
        <v>0</v>
      </c>
      <c r="Y17" s="232">
        <v>0</v>
      </c>
      <c r="Z17" s="232">
        <v>0</v>
      </c>
      <c r="AA17" s="232">
        <v>0</v>
      </c>
      <c r="AB17" s="232">
        <v>0</v>
      </c>
      <c r="AC17" s="232">
        <v>0</v>
      </c>
      <c r="AD17" s="232">
        <v>0</v>
      </c>
      <c r="AE17" s="232">
        <v>0</v>
      </c>
      <c r="AF17" s="16">
        <v>5474838.4769011335</v>
      </c>
      <c r="AG17" s="232">
        <v>0</v>
      </c>
      <c r="AH17" s="232">
        <v>0</v>
      </c>
      <c r="AI17" s="232">
        <v>0</v>
      </c>
      <c r="AJ17" s="232">
        <v>0</v>
      </c>
      <c r="AK17" s="232">
        <v>0</v>
      </c>
      <c r="AL17" s="232">
        <v>0</v>
      </c>
      <c r="AM17" s="232">
        <v>0</v>
      </c>
      <c r="AN17" s="232">
        <v>0</v>
      </c>
      <c r="AO17" s="232">
        <v>0</v>
      </c>
      <c r="AP17" s="232">
        <v>0</v>
      </c>
      <c r="AQ17" s="232">
        <v>0</v>
      </c>
      <c r="AR17" s="232">
        <v>9473239.356902115</v>
      </c>
      <c r="AS17" s="232">
        <v>0</v>
      </c>
      <c r="AT17" s="232">
        <v>0</v>
      </c>
      <c r="AU17" s="232">
        <v>0</v>
      </c>
      <c r="AV17" s="232">
        <v>0</v>
      </c>
      <c r="AW17" s="232">
        <v>0</v>
      </c>
      <c r="AX17" s="232">
        <v>0</v>
      </c>
      <c r="AY17" s="232">
        <v>0</v>
      </c>
      <c r="AZ17" s="232">
        <v>0</v>
      </c>
      <c r="BA17" s="232">
        <v>0</v>
      </c>
      <c r="BB17" s="232">
        <v>0</v>
      </c>
      <c r="BC17" s="232">
        <v>0</v>
      </c>
      <c r="BD17" s="23">
        <f>(12574592.26-543810.78+625875.65)</f>
        <v>12656657.130000001</v>
      </c>
      <c r="BE17" s="232">
        <v>0</v>
      </c>
      <c r="BF17" s="232">
        <v>0</v>
      </c>
      <c r="BG17" s="232">
        <v>0</v>
      </c>
      <c r="BH17" s="232">
        <v>0</v>
      </c>
      <c r="BI17" s="232">
        <v>0</v>
      </c>
      <c r="BJ17" s="232">
        <v>0</v>
      </c>
      <c r="BK17" s="232">
        <v>0</v>
      </c>
      <c r="BL17" s="232">
        <v>0</v>
      </c>
      <c r="BM17" s="232">
        <v>0</v>
      </c>
      <c r="BN17" s="232">
        <v>0</v>
      </c>
      <c r="BO17" s="232">
        <v>0</v>
      </c>
      <c r="BP17" s="232">
        <v>0</v>
      </c>
      <c r="BQ17" s="232">
        <v>0</v>
      </c>
      <c r="BR17" s="232">
        <v>0</v>
      </c>
      <c r="BS17" s="232">
        <v>0</v>
      </c>
      <c r="BT17" s="232">
        <v>0</v>
      </c>
      <c r="BU17" s="232">
        <v>0</v>
      </c>
      <c r="BV17" s="232">
        <v>0</v>
      </c>
      <c r="BW17" s="232">
        <v>0</v>
      </c>
      <c r="BX17" s="23">
        <v>0</v>
      </c>
      <c r="BY17" s="232">
        <v>0</v>
      </c>
      <c r="BZ17" s="232">
        <v>0</v>
      </c>
      <c r="CA17" s="232">
        <v>0</v>
      </c>
      <c r="CB17" s="232">
        <v>0</v>
      </c>
      <c r="CC17" s="232">
        <v>0</v>
      </c>
      <c r="CD17" s="232">
        <v>0</v>
      </c>
      <c r="CE17" s="232">
        <v>0</v>
      </c>
      <c r="CF17" s="232">
        <v>0</v>
      </c>
      <c r="CG17" s="232">
        <v>0</v>
      </c>
      <c r="CH17" s="232">
        <v>0</v>
      </c>
      <c r="CI17" s="232">
        <v>0</v>
      </c>
      <c r="CJ17" s="232">
        <v>0</v>
      </c>
      <c r="CK17" s="232">
        <v>0</v>
      </c>
      <c r="CL17" s="232">
        <v>0</v>
      </c>
      <c r="CM17" s="232">
        <v>0</v>
      </c>
    </row>
    <row r="18" spans="1:91" x14ac:dyDescent="0.2">
      <c r="A18" s="8"/>
      <c r="B18" s="227" t="s">
        <v>201</v>
      </c>
      <c r="C18" s="19"/>
      <c r="D18" s="232">
        <v>0</v>
      </c>
      <c r="E18" s="232">
        <v>0</v>
      </c>
      <c r="F18" s="232">
        <v>0</v>
      </c>
      <c r="G18" s="232">
        <v>0</v>
      </c>
      <c r="H18" s="232">
        <v>0</v>
      </c>
      <c r="I18" s="232">
        <v>0</v>
      </c>
      <c r="J18" s="232">
        <v>0</v>
      </c>
      <c r="K18" s="232">
        <v>0</v>
      </c>
      <c r="L18" s="232">
        <v>0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>
        <v>0</v>
      </c>
      <c r="S18" s="232">
        <v>0</v>
      </c>
      <c r="T18" s="232">
        <v>0</v>
      </c>
      <c r="U18" s="232">
        <v>0</v>
      </c>
      <c r="V18" s="232">
        <v>0</v>
      </c>
      <c r="W18" s="232">
        <v>0</v>
      </c>
      <c r="X18" s="232">
        <v>0</v>
      </c>
      <c r="Y18" s="232">
        <v>0</v>
      </c>
      <c r="Z18" s="232">
        <v>0</v>
      </c>
      <c r="AA18" s="232">
        <v>0</v>
      </c>
      <c r="AB18" s="232">
        <v>0</v>
      </c>
      <c r="AC18" s="232">
        <v>0</v>
      </c>
      <c r="AD18" s="232">
        <v>0</v>
      </c>
      <c r="AE18" s="232">
        <v>0</v>
      </c>
      <c r="AF18" s="232">
        <v>0</v>
      </c>
      <c r="AG18" s="232">
        <v>0</v>
      </c>
      <c r="AH18" s="232">
        <v>0</v>
      </c>
      <c r="AI18" s="232">
        <v>0</v>
      </c>
      <c r="AJ18" s="232">
        <v>0</v>
      </c>
      <c r="AK18" s="232">
        <v>0</v>
      </c>
      <c r="AL18" s="232">
        <v>0</v>
      </c>
      <c r="AM18" s="232">
        <v>0</v>
      </c>
      <c r="AN18" s="232">
        <v>0</v>
      </c>
      <c r="AO18" s="232">
        <v>0</v>
      </c>
      <c r="AP18" s="232">
        <v>0</v>
      </c>
      <c r="AQ18" s="232">
        <v>0</v>
      </c>
      <c r="AR18" s="232">
        <v>0</v>
      </c>
      <c r="AS18" s="232">
        <v>0</v>
      </c>
      <c r="AT18" s="232">
        <v>0</v>
      </c>
      <c r="AU18" s="232">
        <v>0</v>
      </c>
      <c r="AV18" s="232">
        <v>0</v>
      </c>
      <c r="AW18" s="232">
        <v>0</v>
      </c>
      <c r="AX18" s="232">
        <v>0</v>
      </c>
      <c r="AY18" s="232">
        <v>0</v>
      </c>
      <c r="AZ18" s="232">
        <v>0</v>
      </c>
      <c r="BA18" s="232">
        <v>0</v>
      </c>
      <c r="BB18" s="232">
        <v>0</v>
      </c>
      <c r="BC18" s="232">
        <v>0</v>
      </c>
      <c r="BD18" s="23">
        <v>0</v>
      </c>
      <c r="BE18" s="232">
        <v>0</v>
      </c>
      <c r="BF18" s="232">
        <v>0</v>
      </c>
      <c r="BG18" s="232">
        <v>0</v>
      </c>
      <c r="BH18" s="232">
        <v>0</v>
      </c>
      <c r="BI18" s="232">
        <v>0</v>
      </c>
      <c r="BJ18" s="232">
        <v>0</v>
      </c>
      <c r="BK18" s="232">
        <v>0</v>
      </c>
      <c r="BL18" s="232">
        <v>-9277910.6300000008</v>
      </c>
      <c r="BM18" s="232">
        <v>0</v>
      </c>
      <c r="BN18" s="232">
        <v>0</v>
      </c>
      <c r="BO18" s="232">
        <v>0</v>
      </c>
      <c r="BP18" s="232">
        <v>0</v>
      </c>
      <c r="BQ18" s="232">
        <v>0</v>
      </c>
      <c r="BR18" s="232">
        <v>0</v>
      </c>
      <c r="BS18" s="232">
        <v>0</v>
      </c>
      <c r="BT18" s="232">
        <v>0</v>
      </c>
      <c r="BU18" s="232">
        <v>0</v>
      </c>
      <c r="BV18" s="232">
        <v>0</v>
      </c>
      <c r="BW18" s="232">
        <v>-2.0299999999999998</v>
      </c>
      <c r="BX18" s="23">
        <v>0</v>
      </c>
      <c r="BY18" s="232">
        <v>0</v>
      </c>
      <c r="BZ18" s="232">
        <v>0</v>
      </c>
      <c r="CA18" s="232">
        <v>0</v>
      </c>
      <c r="CB18" s="232">
        <v>0</v>
      </c>
      <c r="CC18" s="232">
        <v>0</v>
      </c>
      <c r="CD18" s="232">
        <v>0</v>
      </c>
      <c r="CE18" s="232">
        <v>0</v>
      </c>
      <c r="CF18" s="232">
        <v>0</v>
      </c>
      <c r="CG18" s="232">
        <v>0</v>
      </c>
      <c r="CH18" s="232">
        <v>0</v>
      </c>
      <c r="CI18" s="232">
        <v>0</v>
      </c>
      <c r="CJ18" s="232">
        <v>0</v>
      </c>
      <c r="CK18" s="232">
        <v>0</v>
      </c>
      <c r="CL18" s="232">
        <v>0</v>
      </c>
      <c r="CM18" s="232">
        <v>0</v>
      </c>
    </row>
    <row r="19" spans="1:91" x14ac:dyDescent="0.2">
      <c r="A19" s="8"/>
      <c r="B19" s="229" t="s">
        <v>410</v>
      </c>
      <c r="C19" s="19"/>
      <c r="D19" s="232">
        <v>0</v>
      </c>
      <c r="E19" s="232">
        <v>0</v>
      </c>
      <c r="F19" s="232">
        <v>0</v>
      </c>
      <c r="G19" s="232">
        <v>0</v>
      </c>
      <c r="H19" s="232">
        <v>0</v>
      </c>
      <c r="I19" s="232">
        <v>0</v>
      </c>
      <c r="J19" s="232">
        <v>0</v>
      </c>
      <c r="K19" s="232">
        <v>0</v>
      </c>
      <c r="L19" s="232">
        <v>0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2">
        <v>0</v>
      </c>
      <c r="S19" s="232">
        <v>0</v>
      </c>
      <c r="T19" s="232">
        <v>0</v>
      </c>
      <c r="U19" s="232">
        <v>0</v>
      </c>
      <c r="V19" s="232">
        <v>0</v>
      </c>
      <c r="W19" s="232">
        <v>0</v>
      </c>
      <c r="X19" s="232">
        <v>0</v>
      </c>
      <c r="Y19" s="232">
        <v>0</v>
      </c>
      <c r="Z19" s="232">
        <v>0</v>
      </c>
      <c r="AA19" s="232">
        <v>0</v>
      </c>
      <c r="AB19" s="232">
        <v>0</v>
      </c>
      <c r="AC19" s="232">
        <v>0</v>
      </c>
      <c r="AD19" s="232">
        <v>0</v>
      </c>
      <c r="AE19" s="232">
        <v>0</v>
      </c>
      <c r="AF19" s="232">
        <v>0</v>
      </c>
      <c r="AG19" s="232">
        <v>0</v>
      </c>
      <c r="AH19" s="232">
        <v>0</v>
      </c>
      <c r="AI19" s="232">
        <v>0</v>
      </c>
      <c r="AJ19" s="232">
        <v>0</v>
      </c>
      <c r="AK19" s="232">
        <v>0</v>
      </c>
      <c r="AL19" s="232">
        <v>0</v>
      </c>
      <c r="AM19" s="232">
        <v>0</v>
      </c>
      <c r="AN19" s="232">
        <v>0</v>
      </c>
      <c r="AO19" s="232">
        <v>0</v>
      </c>
      <c r="AP19" s="232">
        <v>0</v>
      </c>
      <c r="AQ19" s="232">
        <v>0</v>
      </c>
      <c r="AR19" s="232">
        <v>0</v>
      </c>
      <c r="AS19" s="232">
        <v>0</v>
      </c>
      <c r="AT19" s="232">
        <v>0</v>
      </c>
      <c r="AU19" s="232">
        <v>0</v>
      </c>
      <c r="AV19" s="232">
        <v>0</v>
      </c>
      <c r="AW19" s="232">
        <v>0</v>
      </c>
      <c r="AX19" s="232">
        <v>0</v>
      </c>
      <c r="AY19" s="232">
        <v>0</v>
      </c>
      <c r="AZ19" s="232">
        <v>0</v>
      </c>
      <c r="BA19" s="232">
        <v>0</v>
      </c>
      <c r="BB19" s="232">
        <v>0</v>
      </c>
      <c r="BC19" s="232">
        <v>0</v>
      </c>
      <c r="BD19" s="232">
        <v>0</v>
      </c>
      <c r="BE19" s="232">
        <v>0</v>
      </c>
      <c r="BF19" s="232">
        <v>0</v>
      </c>
      <c r="BG19" s="232">
        <v>0</v>
      </c>
      <c r="BH19" s="232">
        <v>0</v>
      </c>
      <c r="BI19" s="232">
        <v>0</v>
      </c>
      <c r="BJ19" s="232">
        <v>0</v>
      </c>
      <c r="BK19" s="232">
        <v>0</v>
      </c>
      <c r="BL19" s="232">
        <v>0</v>
      </c>
      <c r="BM19" s="232">
        <v>0</v>
      </c>
      <c r="BN19" s="232">
        <v>0</v>
      </c>
      <c r="BO19" s="232">
        <v>0</v>
      </c>
      <c r="BP19" s="232">
        <v>0</v>
      </c>
      <c r="BQ19" s="232">
        <v>0</v>
      </c>
      <c r="BR19" s="232">
        <v>0</v>
      </c>
      <c r="BS19" s="232">
        <v>0</v>
      </c>
      <c r="BT19" s="232">
        <v>0</v>
      </c>
      <c r="BU19" s="232">
        <v>0</v>
      </c>
      <c r="BV19" s="232">
        <v>0</v>
      </c>
      <c r="BW19" s="232">
        <v>0</v>
      </c>
      <c r="BX19" s="23">
        <v>0</v>
      </c>
      <c r="BY19" s="232">
        <v>0</v>
      </c>
      <c r="BZ19" s="232">
        <v>0</v>
      </c>
      <c r="CA19" s="232">
        <v>0</v>
      </c>
      <c r="CB19" s="232">
        <v>0</v>
      </c>
      <c r="CC19" s="232">
        <v>0</v>
      </c>
      <c r="CD19" s="232">
        <v>0</v>
      </c>
      <c r="CE19" s="232">
        <v>0</v>
      </c>
      <c r="CF19" s="232">
        <v>0</v>
      </c>
      <c r="CG19" s="232">
        <v>0</v>
      </c>
      <c r="CH19" s="232">
        <v>0</v>
      </c>
      <c r="CI19" s="232">
        <v>0</v>
      </c>
      <c r="CJ19" s="232">
        <v>0</v>
      </c>
      <c r="CK19" s="232">
        <v>0</v>
      </c>
      <c r="CL19" s="232">
        <v>0</v>
      </c>
      <c r="CM19" s="232">
        <v>0</v>
      </c>
    </row>
    <row r="20" spans="1:91" x14ac:dyDescent="0.2">
      <c r="A20" s="8"/>
      <c r="B20" s="227" t="s">
        <v>197</v>
      </c>
      <c r="C20" s="8"/>
      <c r="D20" s="232">
        <v>0</v>
      </c>
      <c r="E20" s="232">
        <v>0</v>
      </c>
      <c r="F20" s="232">
        <v>0</v>
      </c>
      <c r="G20" s="232">
        <v>0</v>
      </c>
      <c r="H20" s="232">
        <v>0</v>
      </c>
      <c r="I20" s="232">
        <v>0</v>
      </c>
      <c r="J20" s="232">
        <v>0</v>
      </c>
      <c r="K20" s="232">
        <v>0</v>
      </c>
      <c r="L20" s="232">
        <v>0</v>
      </c>
      <c r="M20" s="232">
        <v>0</v>
      </c>
      <c r="N20" s="232">
        <v>0</v>
      </c>
      <c r="O20" s="232">
        <v>0</v>
      </c>
      <c r="P20" s="232">
        <v>0</v>
      </c>
      <c r="Q20" s="232">
        <v>0</v>
      </c>
      <c r="R20" s="232">
        <v>0</v>
      </c>
      <c r="S20" s="232">
        <v>0</v>
      </c>
      <c r="T20" s="23">
        <v>-12888.624380780098</v>
      </c>
      <c r="U20" s="23">
        <v>-7467.0753761818032</v>
      </c>
      <c r="V20" s="23">
        <v>-7992.364335998097</v>
      </c>
      <c r="W20" s="23">
        <v>-7973.7022836530414</v>
      </c>
      <c r="X20" s="23">
        <v>-8197.5875591124441</v>
      </c>
      <c r="Y20" s="23">
        <v>-11341.774715464175</v>
      </c>
      <c r="Z20" s="23">
        <v>-24629.716376665074</v>
      </c>
      <c r="AA20" s="23">
        <v>-26582.843722992413</v>
      </c>
      <c r="AB20" s="23">
        <v>-26257.551937785374</v>
      </c>
      <c r="AC20" s="23">
        <v>-20341.762565051264</v>
      </c>
      <c r="AD20" s="23">
        <v>-19907.779003047399</v>
      </c>
      <c r="AE20" s="23">
        <v>-17064.187400042585</v>
      </c>
      <c r="AF20" s="23">
        <v>-227230.59420517046</v>
      </c>
      <c r="AG20" s="23">
        <v>-190794.79874548214</v>
      </c>
      <c r="AH20" s="23">
        <v>-176183.63850822003</v>
      </c>
      <c r="AI20" s="23">
        <v>-185200.80970138207</v>
      </c>
      <c r="AJ20" s="23">
        <v>-208823.84160195506</v>
      </c>
      <c r="AK20" s="23">
        <v>-277347.18970840669</v>
      </c>
      <c r="AL20" s="23">
        <v>-499362.48099226074</v>
      </c>
      <c r="AM20" s="23">
        <v>-701230.69852553343</v>
      </c>
      <c r="AN20" s="23">
        <v>-583886.40437521273</v>
      </c>
      <c r="AO20" s="23">
        <v>-480667.75022013433</v>
      </c>
      <c r="AP20" s="23">
        <v>-504803.20491454034</v>
      </c>
      <c r="AQ20" s="23">
        <v>-312166.1853962742</v>
      </c>
      <c r="AR20" s="23">
        <v>-393477.3081151162</v>
      </c>
      <c r="AS20" s="23">
        <v>-392154.03589217796</v>
      </c>
      <c r="AT20" s="23">
        <v>-369572.58689551661</v>
      </c>
      <c r="AU20" s="23">
        <v>-313351.66740075476</v>
      </c>
      <c r="AV20" s="23">
        <v>-393832.16435193561</v>
      </c>
      <c r="AW20" s="23">
        <v>-519284.89836376801</v>
      </c>
      <c r="AX20" s="23">
        <v>-680722.91816048371</v>
      </c>
      <c r="AY20" s="23">
        <v>-1198729.8837760321</v>
      </c>
      <c r="AZ20" s="23">
        <v>-1383843.2</v>
      </c>
      <c r="BA20" s="23">
        <v>-1107565.74</v>
      </c>
      <c r="BB20" s="23">
        <v>-1015555.34</v>
      </c>
      <c r="BC20" s="23">
        <v>-732930.55</v>
      </c>
      <c r="BD20" s="23">
        <v>-690004.71</v>
      </c>
      <c r="BE20" s="23">
        <v>-526075.35</v>
      </c>
      <c r="BF20" s="23">
        <v>-488708.62</v>
      </c>
      <c r="BG20" s="23">
        <v>-443523.07</v>
      </c>
      <c r="BH20" s="23">
        <v>-490585.97</v>
      </c>
      <c r="BI20" s="23">
        <v>-802721.6</v>
      </c>
      <c r="BJ20" s="23">
        <v>-1183936.6399999999</v>
      </c>
      <c r="BK20" s="23">
        <v>-912845.77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2">
        <v>0</v>
      </c>
      <c r="BZ20" s="232">
        <v>0</v>
      </c>
      <c r="CA20" s="232">
        <v>0</v>
      </c>
      <c r="CB20" s="232">
        <v>0</v>
      </c>
      <c r="CC20" s="232">
        <v>0</v>
      </c>
      <c r="CD20" s="232">
        <v>0</v>
      </c>
      <c r="CE20" s="232">
        <v>0</v>
      </c>
      <c r="CF20" s="232">
        <v>0</v>
      </c>
      <c r="CG20" s="232">
        <v>0</v>
      </c>
      <c r="CH20" s="232">
        <v>0</v>
      </c>
      <c r="CI20" s="232">
        <v>0</v>
      </c>
      <c r="CJ20" s="232">
        <v>0</v>
      </c>
      <c r="CK20" s="232">
        <v>0</v>
      </c>
      <c r="CL20" s="232">
        <v>0</v>
      </c>
      <c r="CM20" s="232">
        <v>0</v>
      </c>
    </row>
    <row r="21" spans="1:91" x14ac:dyDescent="0.2">
      <c r="A21" s="8"/>
      <c r="B21" s="8" t="s">
        <v>198</v>
      </c>
      <c r="C21" s="8"/>
      <c r="D21" s="24">
        <f t="shared" ref="D21:I21" si="67">SUM(D17:D20)</f>
        <v>0</v>
      </c>
      <c r="E21" s="24">
        <f t="shared" si="67"/>
        <v>0</v>
      </c>
      <c r="F21" s="24">
        <f t="shared" si="67"/>
        <v>0</v>
      </c>
      <c r="G21" s="24">
        <f t="shared" si="67"/>
        <v>0</v>
      </c>
      <c r="H21" s="24">
        <f t="shared" si="67"/>
        <v>0</v>
      </c>
      <c r="I21" s="24">
        <f t="shared" si="67"/>
        <v>0</v>
      </c>
      <c r="J21" s="24">
        <f>SUM(J17:J20)</f>
        <v>0</v>
      </c>
      <c r="K21" s="24">
        <f t="shared" ref="K21:BY21" si="68">SUM(K17:K20)</f>
        <v>0</v>
      </c>
      <c r="L21" s="24">
        <f t="shared" si="68"/>
        <v>0</v>
      </c>
      <c r="M21" s="24">
        <f t="shared" si="68"/>
        <v>0</v>
      </c>
      <c r="N21" s="24">
        <f t="shared" si="68"/>
        <v>0</v>
      </c>
      <c r="O21" s="24">
        <f t="shared" si="68"/>
        <v>0</v>
      </c>
      <c r="P21" s="24">
        <f t="shared" si="68"/>
        <v>0</v>
      </c>
      <c r="Q21" s="24">
        <f t="shared" si="68"/>
        <v>0</v>
      </c>
      <c r="R21" s="24">
        <f t="shared" si="68"/>
        <v>0</v>
      </c>
      <c r="S21" s="24">
        <f t="shared" si="68"/>
        <v>0</v>
      </c>
      <c r="T21" s="24">
        <f t="shared" si="68"/>
        <v>238053.66538763192</v>
      </c>
      <c r="U21" s="24">
        <f t="shared" si="68"/>
        <v>-7467.0753761818032</v>
      </c>
      <c r="V21" s="24">
        <f t="shared" si="68"/>
        <v>-7992.364335998097</v>
      </c>
      <c r="W21" s="24">
        <f t="shared" si="68"/>
        <v>-7973.7022836530414</v>
      </c>
      <c r="X21" s="24">
        <f t="shared" si="68"/>
        <v>-8197.5875591124441</v>
      </c>
      <c r="Y21" s="24">
        <f t="shared" si="68"/>
        <v>-11341.774715464175</v>
      </c>
      <c r="Z21" s="24">
        <f t="shared" si="68"/>
        <v>-24629.716376665074</v>
      </c>
      <c r="AA21" s="24">
        <f t="shared" si="68"/>
        <v>-26582.843722992413</v>
      </c>
      <c r="AB21" s="24">
        <f t="shared" si="68"/>
        <v>-26257.551937785374</v>
      </c>
      <c r="AC21" s="24">
        <f t="shared" si="68"/>
        <v>-20341.762565051264</v>
      </c>
      <c r="AD21" s="24">
        <f t="shared" si="68"/>
        <v>-19907.779003047399</v>
      </c>
      <c r="AE21" s="24">
        <f t="shared" si="68"/>
        <v>-17064.187400042585</v>
      </c>
      <c r="AF21" s="24">
        <f t="shared" si="68"/>
        <v>5247607.8826959627</v>
      </c>
      <c r="AG21" s="24">
        <f t="shared" si="68"/>
        <v>-190794.79874548214</v>
      </c>
      <c r="AH21" s="24">
        <f t="shared" si="68"/>
        <v>-176183.63850822003</v>
      </c>
      <c r="AI21" s="24">
        <f t="shared" si="68"/>
        <v>-185200.80970138207</v>
      </c>
      <c r="AJ21" s="24">
        <f t="shared" si="68"/>
        <v>-208823.84160195506</v>
      </c>
      <c r="AK21" s="24">
        <f t="shared" si="68"/>
        <v>-277347.18970840669</v>
      </c>
      <c r="AL21" s="24">
        <f t="shared" si="68"/>
        <v>-499362.48099226074</v>
      </c>
      <c r="AM21" s="24">
        <f t="shared" si="68"/>
        <v>-701230.69852553343</v>
      </c>
      <c r="AN21" s="24">
        <f t="shared" si="68"/>
        <v>-583886.40437521273</v>
      </c>
      <c r="AO21" s="24">
        <f t="shared" si="68"/>
        <v>-480667.75022013433</v>
      </c>
      <c r="AP21" s="24">
        <f t="shared" si="68"/>
        <v>-504803.20491454034</v>
      </c>
      <c r="AQ21" s="24">
        <f t="shared" si="68"/>
        <v>-312166.1853962742</v>
      </c>
      <c r="AR21" s="24">
        <f t="shared" si="68"/>
        <v>9079762.0487869997</v>
      </c>
      <c r="AS21" s="24">
        <f t="shared" si="68"/>
        <v>-392154.03589217796</v>
      </c>
      <c r="AT21" s="24">
        <f t="shared" si="68"/>
        <v>-369572.58689551661</v>
      </c>
      <c r="AU21" s="24">
        <f t="shared" si="68"/>
        <v>-313351.66740075476</v>
      </c>
      <c r="AV21" s="24">
        <f t="shared" si="68"/>
        <v>-393832.16435193561</v>
      </c>
      <c r="AW21" s="24">
        <f t="shared" si="68"/>
        <v>-519284.89836376801</v>
      </c>
      <c r="AX21" s="24">
        <f t="shared" si="68"/>
        <v>-680722.91816048371</v>
      </c>
      <c r="AY21" s="24">
        <f t="shared" si="68"/>
        <v>-1198729.8837760321</v>
      </c>
      <c r="AZ21" s="24">
        <f t="shared" si="68"/>
        <v>-1383843.2</v>
      </c>
      <c r="BA21" s="24">
        <f t="shared" si="68"/>
        <v>-1107565.74</v>
      </c>
      <c r="BB21" s="24">
        <f t="shared" si="68"/>
        <v>-1015555.34</v>
      </c>
      <c r="BC21" s="24">
        <f t="shared" si="68"/>
        <v>-732930.55</v>
      </c>
      <c r="BD21" s="24">
        <f t="shared" si="68"/>
        <v>11966652.420000002</v>
      </c>
      <c r="BE21" s="24">
        <f t="shared" si="68"/>
        <v>-526075.35</v>
      </c>
      <c r="BF21" s="24">
        <f t="shared" si="68"/>
        <v>-488708.62</v>
      </c>
      <c r="BG21" s="24">
        <f t="shared" si="68"/>
        <v>-443523.07</v>
      </c>
      <c r="BH21" s="24">
        <f t="shared" si="68"/>
        <v>-490585.97</v>
      </c>
      <c r="BI21" s="24">
        <f t="shared" si="68"/>
        <v>-802721.6</v>
      </c>
      <c r="BJ21" s="24">
        <f t="shared" si="68"/>
        <v>-1183936.6399999999</v>
      </c>
      <c r="BK21" s="24">
        <f t="shared" si="68"/>
        <v>-912845.77</v>
      </c>
      <c r="BL21" s="24">
        <f t="shared" ref="BL21:BX21" si="69">SUM(BL17:BL20)</f>
        <v>-9277910.6300000008</v>
      </c>
      <c r="BM21" s="24">
        <f t="shared" si="69"/>
        <v>0</v>
      </c>
      <c r="BN21" s="24">
        <f t="shared" si="69"/>
        <v>0</v>
      </c>
      <c r="BO21" s="24">
        <f t="shared" si="69"/>
        <v>0</v>
      </c>
      <c r="BP21" s="24">
        <f t="shared" si="69"/>
        <v>0</v>
      </c>
      <c r="BQ21" s="24">
        <f t="shared" si="69"/>
        <v>0</v>
      </c>
      <c r="BR21" s="24">
        <f t="shared" si="69"/>
        <v>0</v>
      </c>
      <c r="BS21" s="24">
        <f t="shared" si="69"/>
        <v>0</v>
      </c>
      <c r="BT21" s="24">
        <f t="shared" si="69"/>
        <v>0</v>
      </c>
      <c r="BU21" s="24">
        <f t="shared" si="69"/>
        <v>0</v>
      </c>
      <c r="BV21" s="24">
        <f t="shared" si="69"/>
        <v>0</v>
      </c>
      <c r="BW21" s="24">
        <f t="shared" si="69"/>
        <v>-2.0299999999999998</v>
      </c>
      <c r="BX21" s="24">
        <f t="shared" si="69"/>
        <v>0</v>
      </c>
      <c r="BY21" s="24">
        <f t="shared" si="68"/>
        <v>0</v>
      </c>
      <c r="BZ21" s="24">
        <f t="shared" ref="BZ21:CM21" si="70">SUM(BZ17:BZ20)</f>
        <v>0</v>
      </c>
      <c r="CA21" s="24">
        <f t="shared" si="70"/>
        <v>0</v>
      </c>
      <c r="CB21" s="24">
        <f t="shared" si="70"/>
        <v>0</v>
      </c>
      <c r="CC21" s="24">
        <f t="shared" si="70"/>
        <v>0</v>
      </c>
      <c r="CD21" s="24">
        <f t="shared" si="70"/>
        <v>0</v>
      </c>
      <c r="CE21" s="24">
        <f t="shared" si="70"/>
        <v>0</v>
      </c>
      <c r="CF21" s="24">
        <f t="shared" si="70"/>
        <v>0</v>
      </c>
      <c r="CG21" s="24">
        <f t="shared" si="70"/>
        <v>0</v>
      </c>
      <c r="CH21" s="24">
        <f t="shared" si="70"/>
        <v>0</v>
      </c>
      <c r="CI21" s="24">
        <f t="shared" si="70"/>
        <v>0</v>
      </c>
      <c r="CJ21" s="24">
        <f t="shared" si="70"/>
        <v>0</v>
      </c>
      <c r="CK21" s="24">
        <f t="shared" si="70"/>
        <v>0</v>
      </c>
      <c r="CL21" s="24">
        <f t="shared" si="70"/>
        <v>0</v>
      </c>
      <c r="CM21" s="24">
        <f t="shared" si="70"/>
        <v>0</v>
      </c>
    </row>
    <row r="22" spans="1:91" x14ac:dyDescent="0.2">
      <c r="A22" s="8"/>
      <c r="B22" s="8" t="s">
        <v>199</v>
      </c>
      <c r="C22" s="8"/>
      <c r="D22" s="17">
        <f t="shared" ref="D22:BY22" si="71">D16+D21</f>
        <v>0</v>
      </c>
      <c r="E22" s="17">
        <f t="shared" si="71"/>
        <v>0</v>
      </c>
      <c r="F22" s="17">
        <f t="shared" si="71"/>
        <v>0</v>
      </c>
      <c r="G22" s="17">
        <f t="shared" si="71"/>
        <v>0</v>
      </c>
      <c r="H22" s="17">
        <f t="shared" si="71"/>
        <v>0</v>
      </c>
      <c r="I22" s="17">
        <f t="shared" si="71"/>
        <v>0</v>
      </c>
      <c r="J22" s="17">
        <f t="shared" si="71"/>
        <v>0</v>
      </c>
      <c r="K22" s="17">
        <f t="shared" si="71"/>
        <v>0</v>
      </c>
      <c r="L22" s="17">
        <f t="shared" si="71"/>
        <v>0</v>
      </c>
      <c r="M22" s="17">
        <f t="shared" si="71"/>
        <v>0</v>
      </c>
      <c r="N22" s="17">
        <f t="shared" si="71"/>
        <v>0</v>
      </c>
      <c r="O22" s="17">
        <f t="shared" si="71"/>
        <v>0</v>
      </c>
      <c r="P22" s="17">
        <f t="shared" si="71"/>
        <v>0</v>
      </c>
      <c r="Q22" s="17">
        <f t="shared" si="71"/>
        <v>0</v>
      </c>
      <c r="R22" s="17">
        <f t="shared" si="71"/>
        <v>0</v>
      </c>
      <c r="S22" s="17">
        <f t="shared" si="71"/>
        <v>0</v>
      </c>
      <c r="T22" s="17">
        <f t="shared" si="71"/>
        <v>238053.66538763192</v>
      </c>
      <c r="U22" s="17">
        <f t="shared" si="71"/>
        <v>230586.59001145011</v>
      </c>
      <c r="V22" s="17">
        <f t="shared" si="71"/>
        <v>222594.22567545201</v>
      </c>
      <c r="W22" s="17">
        <f t="shared" si="71"/>
        <v>214620.52339179895</v>
      </c>
      <c r="X22" s="17">
        <f t="shared" si="71"/>
        <v>206422.93583268652</v>
      </c>
      <c r="Y22" s="17">
        <f t="shared" si="71"/>
        <v>195081.16111722233</v>
      </c>
      <c r="Z22" s="17">
        <f t="shared" si="71"/>
        <v>170451.44474055726</v>
      </c>
      <c r="AA22" s="17">
        <f t="shared" si="71"/>
        <v>143868.60101756486</v>
      </c>
      <c r="AB22" s="17">
        <f t="shared" si="71"/>
        <v>117611.04907977948</v>
      </c>
      <c r="AC22" s="17">
        <f t="shared" si="71"/>
        <v>97269.286514728214</v>
      </c>
      <c r="AD22" s="17">
        <f t="shared" si="71"/>
        <v>77361.507511680815</v>
      </c>
      <c r="AE22" s="17">
        <f t="shared" si="71"/>
        <v>60297.320111638226</v>
      </c>
      <c r="AF22" s="17">
        <f t="shared" si="71"/>
        <v>5307905.2028076006</v>
      </c>
      <c r="AG22" s="17">
        <f t="shared" si="71"/>
        <v>5117110.4040621184</v>
      </c>
      <c r="AH22" s="17">
        <f t="shared" si="71"/>
        <v>4940926.7655538982</v>
      </c>
      <c r="AI22" s="17">
        <f t="shared" si="71"/>
        <v>4755725.955852516</v>
      </c>
      <c r="AJ22" s="17">
        <f t="shared" si="71"/>
        <v>4546902.1142505612</v>
      </c>
      <c r="AK22" s="17">
        <f t="shared" si="71"/>
        <v>4269554.9245421542</v>
      </c>
      <c r="AL22" s="17">
        <f t="shared" si="71"/>
        <v>3770192.4435498933</v>
      </c>
      <c r="AM22" s="17">
        <f t="shared" si="71"/>
        <v>3068961.7450243598</v>
      </c>
      <c r="AN22" s="17">
        <f t="shared" si="71"/>
        <v>2485075.3406491471</v>
      </c>
      <c r="AO22" s="17">
        <f t="shared" si="71"/>
        <v>2004407.5904290127</v>
      </c>
      <c r="AP22" s="17">
        <f t="shared" si="71"/>
        <v>1499604.3855144724</v>
      </c>
      <c r="AQ22" s="17">
        <f t="shared" si="71"/>
        <v>1187438.2001181981</v>
      </c>
      <c r="AR22" s="17">
        <f t="shared" si="71"/>
        <v>10267200.248905197</v>
      </c>
      <c r="AS22" s="17">
        <f t="shared" si="71"/>
        <v>9875046.2130130194</v>
      </c>
      <c r="AT22" s="17">
        <f t="shared" si="71"/>
        <v>9505473.6261175033</v>
      </c>
      <c r="AU22" s="17">
        <f t="shared" si="71"/>
        <v>9192121.9587167483</v>
      </c>
      <c r="AV22" s="17">
        <f t="shared" si="71"/>
        <v>8798289.7943648119</v>
      </c>
      <c r="AW22" s="17">
        <f t="shared" si="71"/>
        <v>8279004.8960010437</v>
      </c>
      <c r="AX22" s="17">
        <f t="shared" si="71"/>
        <v>7598281.9778405596</v>
      </c>
      <c r="AY22" s="17">
        <f t="shared" si="71"/>
        <v>6399552.0940645272</v>
      </c>
      <c r="AZ22" s="17">
        <f t="shared" si="71"/>
        <v>5015708.894064527</v>
      </c>
      <c r="BA22" s="17">
        <f t="shared" si="71"/>
        <v>3908143.1540645268</v>
      </c>
      <c r="BB22" s="17">
        <f t="shared" si="71"/>
        <v>2892587.8140645269</v>
      </c>
      <c r="BC22" s="17">
        <f t="shared" si="71"/>
        <v>2159657.2640645271</v>
      </c>
      <c r="BD22" s="17">
        <f t="shared" si="71"/>
        <v>14126309.68406453</v>
      </c>
      <c r="BE22" s="17">
        <f t="shared" si="71"/>
        <v>13600234.33406453</v>
      </c>
      <c r="BF22" s="17">
        <f t="shared" si="71"/>
        <v>13111525.714064531</v>
      </c>
      <c r="BG22" s="17">
        <f t="shared" si="71"/>
        <v>12668002.644064531</v>
      </c>
      <c r="BH22" s="17">
        <f t="shared" si="71"/>
        <v>12177416.67406453</v>
      </c>
      <c r="BI22" s="17">
        <f t="shared" si="71"/>
        <v>11374695.07406453</v>
      </c>
      <c r="BJ22" s="17">
        <f t="shared" si="71"/>
        <v>10190758.43406453</v>
      </c>
      <c r="BK22" s="17">
        <f t="shared" si="71"/>
        <v>9277912.6640645303</v>
      </c>
      <c r="BL22" s="17">
        <f t="shared" ref="BL22:BX22" si="72">BL16+BL21</f>
        <v>2.0340645294636488</v>
      </c>
      <c r="BM22" s="17">
        <f t="shared" si="72"/>
        <v>2.0340645294636488</v>
      </c>
      <c r="BN22" s="17">
        <f t="shared" si="72"/>
        <v>2.0340645294636488</v>
      </c>
      <c r="BO22" s="17">
        <f t="shared" si="72"/>
        <v>2.0340645294636488</v>
      </c>
      <c r="BP22" s="17">
        <f t="shared" si="72"/>
        <v>2.0340645294636488</v>
      </c>
      <c r="BQ22" s="17">
        <f t="shared" si="72"/>
        <v>2.0340645294636488</v>
      </c>
      <c r="BR22" s="17">
        <f t="shared" si="72"/>
        <v>2.0340645294636488</v>
      </c>
      <c r="BS22" s="17">
        <f t="shared" si="72"/>
        <v>2.0340645294636488</v>
      </c>
      <c r="BT22" s="17">
        <f t="shared" si="72"/>
        <v>2.0340645294636488</v>
      </c>
      <c r="BU22" s="17">
        <f t="shared" si="72"/>
        <v>2.0340645294636488</v>
      </c>
      <c r="BV22" s="17">
        <f t="shared" si="72"/>
        <v>2.0340645294636488</v>
      </c>
      <c r="BW22" s="17">
        <f t="shared" si="72"/>
        <v>4.0645294636489915E-3</v>
      </c>
      <c r="BX22" s="17">
        <f t="shared" si="72"/>
        <v>4.0645294636489915E-3</v>
      </c>
      <c r="BY22" s="17">
        <f t="shared" si="71"/>
        <v>4.0645294636489915E-3</v>
      </c>
      <c r="BZ22" s="17">
        <f t="shared" ref="BZ22:CM22" si="73">BZ16+BZ21</f>
        <v>4.0645294636489915E-3</v>
      </c>
      <c r="CA22" s="17">
        <f t="shared" si="73"/>
        <v>4.0645294636489915E-3</v>
      </c>
      <c r="CB22" s="17">
        <f t="shared" si="73"/>
        <v>4.0645294636489915E-3</v>
      </c>
      <c r="CC22" s="17">
        <f t="shared" si="73"/>
        <v>4.0645294636489915E-3</v>
      </c>
      <c r="CD22" s="17">
        <f t="shared" si="73"/>
        <v>4.0645294636489915E-3</v>
      </c>
      <c r="CE22" s="17">
        <f t="shared" si="73"/>
        <v>4.0645294636489915E-3</v>
      </c>
      <c r="CF22" s="17">
        <f t="shared" si="73"/>
        <v>4.0645294636489915E-3</v>
      </c>
      <c r="CG22" s="17">
        <f t="shared" si="73"/>
        <v>4.0645294636489915E-3</v>
      </c>
      <c r="CH22" s="17">
        <f t="shared" si="73"/>
        <v>4.0645294636489915E-3</v>
      </c>
      <c r="CI22" s="17">
        <f t="shared" si="73"/>
        <v>4.0645294636489915E-3</v>
      </c>
      <c r="CJ22" s="17">
        <f t="shared" si="73"/>
        <v>4.0645294636489915E-3</v>
      </c>
      <c r="CK22" s="17">
        <f t="shared" si="73"/>
        <v>4.0645294636489915E-3</v>
      </c>
      <c r="CL22" s="17">
        <f t="shared" si="73"/>
        <v>4.0645294636489915E-3</v>
      </c>
      <c r="CM22" s="17">
        <f t="shared" si="73"/>
        <v>4.0645294636489915E-3</v>
      </c>
    </row>
    <row r="23" spans="1:91" x14ac:dyDescent="0.2">
      <c r="C23" s="19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8"/>
      <c r="CL23" s="8"/>
      <c r="CM23" s="8"/>
    </row>
    <row r="24" spans="1:91" x14ac:dyDescent="0.2">
      <c r="A24" s="14" t="s">
        <v>200</v>
      </c>
      <c r="C24" s="15">
        <v>18237502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8"/>
      <c r="CL24" s="8"/>
      <c r="CM24" s="8"/>
    </row>
    <row r="25" spans="1:91" x14ac:dyDescent="0.2">
      <c r="B25" s="7" t="s">
        <v>195</v>
      </c>
      <c r="C25" s="15">
        <v>25400902</v>
      </c>
      <c r="D25" s="17">
        <v>0</v>
      </c>
      <c r="E25" s="17">
        <f>D30</f>
        <v>0</v>
      </c>
      <c r="F25" s="17">
        <f t="shared" ref="F25:BY25" si="74">E30</f>
        <v>0</v>
      </c>
      <c r="G25" s="17">
        <f t="shared" si="74"/>
        <v>0</v>
      </c>
      <c r="H25" s="17">
        <f t="shared" si="74"/>
        <v>0</v>
      </c>
      <c r="I25" s="17">
        <f t="shared" si="74"/>
        <v>0</v>
      </c>
      <c r="J25" s="17">
        <f t="shared" si="74"/>
        <v>0</v>
      </c>
      <c r="K25" s="17">
        <f t="shared" si="74"/>
        <v>0</v>
      </c>
      <c r="L25" s="17">
        <f t="shared" si="74"/>
        <v>0</v>
      </c>
      <c r="M25" s="17">
        <f t="shared" si="74"/>
        <v>0</v>
      </c>
      <c r="N25" s="17">
        <f t="shared" si="74"/>
        <v>0</v>
      </c>
      <c r="O25" s="17">
        <f t="shared" si="74"/>
        <v>0</v>
      </c>
      <c r="P25" s="17">
        <f t="shared" si="74"/>
        <v>0</v>
      </c>
      <c r="Q25" s="17">
        <f t="shared" si="74"/>
        <v>0</v>
      </c>
      <c r="R25" s="17">
        <f t="shared" si="74"/>
        <v>0</v>
      </c>
      <c r="S25" s="17">
        <f t="shared" si="74"/>
        <v>0</v>
      </c>
      <c r="T25" s="17">
        <f t="shared" si="74"/>
        <v>0</v>
      </c>
      <c r="U25" s="17">
        <f t="shared" si="74"/>
        <v>0</v>
      </c>
      <c r="V25" s="17">
        <f t="shared" si="74"/>
        <v>0</v>
      </c>
      <c r="W25" s="17">
        <f t="shared" si="74"/>
        <v>0</v>
      </c>
      <c r="X25" s="17">
        <f t="shared" si="74"/>
        <v>0</v>
      </c>
      <c r="Y25" s="17">
        <f t="shared" si="74"/>
        <v>0</v>
      </c>
      <c r="Z25" s="17">
        <f t="shared" si="74"/>
        <v>0</v>
      </c>
      <c r="AA25" s="17">
        <f t="shared" si="74"/>
        <v>0</v>
      </c>
      <c r="AB25" s="17">
        <f t="shared" si="74"/>
        <v>0</v>
      </c>
      <c r="AC25" s="17">
        <f t="shared" si="74"/>
        <v>0</v>
      </c>
      <c r="AD25" s="17">
        <f t="shared" si="74"/>
        <v>0</v>
      </c>
      <c r="AE25" s="17">
        <f t="shared" si="74"/>
        <v>0</v>
      </c>
      <c r="AF25" s="17">
        <f t="shared" si="74"/>
        <v>0</v>
      </c>
      <c r="AG25" s="17">
        <f t="shared" si="74"/>
        <v>0</v>
      </c>
      <c r="AH25" s="17">
        <f t="shared" si="74"/>
        <v>0</v>
      </c>
      <c r="AI25" s="17">
        <f t="shared" si="74"/>
        <v>0</v>
      </c>
      <c r="AJ25" s="17">
        <f t="shared" si="74"/>
        <v>0</v>
      </c>
      <c r="AK25" s="17">
        <f t="shared" si="74"/>
        <v>0</v>
      </c>
      <c r="AL25" s="17">
        <f t="shared" si="74"/>
        <v>0</v>
      </c>
      <c r="AM25" s="17">
        <f t="shared" si="74"/>
        <v>0</v>
      </c>
      <c r="AN25" s="17">
        <f t="shared" si="74"/>
        <v>0</v>
      </c>
      <c r="AO25" s="17">
        <f t="shared" si="74"/>
        <v>0</v>
      </c>
      <c r="AP25" s="17">
        <f t="shared" si="74"/>
        <v>0</v>
      </c>
      <c r="AQ25" s="17">
        <f t="shared" si="74"/>
        <v>0</v>
      </c>
      <c r="AR25" s="17">
        <f t="shared" si="74"/>
        <v>0</v>
      </c>
      <c r="AS25" s="17">
        <f t="shared" si="74"/>
        <v>0</v>
      </c>
      <c r="AT25" s="17">
        <f t="shared" si="74"/>
        <v>0</v>
      </c>
      <c r="AU25" s="17">
        <f t="shared" si="74"/>
        <v>0</v>
      </c>
      <c r="AV25" s="17">
        <f t="shared" si="74"/>
        <v>0</v>
      </c>
      <c r="AW25" s="17">
        <f t="shared" si="74"/>
        <v>0</v>
      </c>
      <c r="AX25" s="17">
        <f t="shared" si="74"/>
        <v>0</v>
      </c>
      <c r="AY25" s="17">
        <f t="shared" si="74"/>
        <v>0</v>
      </c>
      <c r="AZ25" s="17">
        <f t="shared" si="74"/>
        <v>0</v>
      </c>
      <c r="BA25" s="17">
        <f t="shared" si="74"/>
        <v>0</v>
      </c>
      <c r="BB25" s="17">
        <f t="shared" si="74"/>
        <v>0</v>
      </c>
      <c r="BC25" s="17">
        <f t="shared" si="74"/>
        <v>0</v>
      </c>
      <c r="BD25" s="17">
        <f t="shared" si="74"/>
        <v>0</v>
      </c>
      <c r="BE25" s="17">
        <f t="shared" si="74"/>
        <v>0</v>
      </c>
      <c r="BF25" s="17">
        <f t="shared" si="74"/>
        <v>0</v>
      </c>
      <c r="BG25" s="17">
        <f t="shared" si="74"/>
        <v>0</v>
      </c>
      <c r="BH25" s="17">
        <f t="shared" si="74"/>
        <v>0</v>
      </c>
      <c r="BI25" s="17">
        <f t="shared" si="74"/>
        <v>0</v>
      </c>
      <c r="BJ25" s="17">
        <f t="shared" si="74"/>
        <v>0</v>
      </c>
      <c r="BK25" s="17">
        <f t="shared" si="74"/>
        <v>0</v>
      </c>
      <c r="BL25" s="17">
        <f t="shared" ref="BL25" si="75">BK30</f>
        <v>-567913.01</v>
      </c>
      <c r="BM25" s="17">
        <f t="shared" ref="BM25" si="76">BL30</f>
        <v>4734808.6528900005</v>
      </c>
      <c r="BN25" s="17">
        <f t="shared" ref="BN25" si="77">BM30</f>
        <v>3487510.0528900004</v>
      </c>
      <c r="BO25" s="17">
        <f t="shared" ref="BO25" si="78">BN30</f>
        <v>2363798.3128900006</v>
      </c>
      <c r="BP25" s="17">
        <f t="shared" ref="BP25" si="79">BO30</f>
        <v>1609188.6728900005</v>
      </c>
      <c r="BQ25" s="17">
        <f t="shared" ref="BQ25" si="80">BP30</f>
        <v>1385855.7428881619</v>
      </c>
      <c r="BR25" s="17">
        <f t="shared" ref="BR25" si="81">BQ30</f>
        <v>1307804.802888162</v>
      </c>
      <c r="BS25" s="17">
        <f t="shared" ref="BS25" si="82">BR30</f>
        <v>1254829.9628881619</v>
      </c>
      <c r="BT25" s="17">
        <f t="shared" ref="BT25" si="83">BS30</f>
        <v>1197700.812888162</v>
      </c>
      <c r="BU25" s="17">
        <f t="shared" ref="BU25" si="84">BT30</f>
        <v>1133788.2428881619</v>
      </c>
      <c r="BV25" s="17">
        <f t="shared" ref="BV25" si="85">BU30</f>
        <v>1022274.4328881619</v>
      </c>
      <c r="BW25" s="17">
        <f t="shared" ref="BW25" si="86">BV30</f>
        <v>868291.21288816188</v>
      </c>
      <c r="BX25" s="17">
        <f t="shared" ref="BX25" si="87">BW30</f>
        <v>639222.58288816188</v>
      </c>
      <c r="BY25" s="17">
        <f t="shared" si="74"/>
        <v>440711.84288816189</v>
      </c>
      <c r="BZ25" s="17">
        <f t="shared" ref="BZ25" si="88">BY30</f>
        <v>191719.08288816188</v>
      </c>
      <c r="CA25" s="17">
        <f t="shared" ref="CA25" si="89">BZ30</f>
        <v>-714.47711183811771</v>
      </c>
      <c r="CB25" s="17">
        <f t="shared" ref="CB25" si="90">CA30</f>
        <v>-127426.15711183811</v>
      </c>
      <c r="CC25" s="17">
        <f t="shared" ref="CC25" si="91">CB30</f>
        <v>-2223845.8771118387</v>
      </c>
      <c r="CD25" s="17">
        <f t="shared" ref="CD25" si="92">CC30</f>
        <v>-2142368.9171118387</v>
      </c>
      <c r="CE25" s="17">
        <f t="shared" ref="CE25" si="93">CD30</f>
        <v>-2063192.7871118388</v>
      </c>
      <c r="CF25" s="17">
        <f t="shared" ref="CF25" si="94">CE30</f>
        <v>-1976534.0971118389</v>
      </c>
      <c r="CG25" s="17">
        <f t="shared" ref="CG25" si="95">CF30</f>
        <v>-1863635.6471118389</v>
      </c>
      <c r="CH25" s="17">
        <f t="shared" ref="CH25" si="96">CG30</f>
        <v>-1676922.967111839</v>
      </c>
      <c r="CI25" s="17">
        <f t="shared" ref="CI25" si="97">CH30</f>
        <v>-1464145.977111839</v>
      </c>
      <c r="CJ25" s="17">
        <f t="shared" ref="CJ25" si="98">CI30</f>
        <v>-1139841.767111839</v>
      </c>
      <c r="CK25" s="17">
        <f t="shared" ref="CK25" si="99">CJ30</f>
        <v>-816854.63711183902</v>
      </c>
      <c r="CL25" s="17">
        <f t="shared" ref="CL25" si="100">CK30</f>
        <v>-528988.17711183894</v>
      </c>
      <c r="CM25" s="17">
        <f t="shared" ref="CM25" si="101">CL30</f>
        <v>-268321.46397427574</v>
      </c>
    </row>
    <row r="26" spans="1:91" x14ac:dyDescent="0.2">
      <c r="B26" s="21" t="s">
        <v>196</v>
      </c>
      <c r="C26" s="19"/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v>0</v>
      </c>
      <c r="M26" s="232">
        <v>0</v>
      </c>
      <c r="N26" s="232">
        <v>0</v>
      </c>
      <c r="O26" s="232">
        <v>0</v>
      </c>
      <c r="P26" s="232">
        <v>0</v>
      </c>
      <c r="Q26" s="232">
        <v>0</v>
      </c>
      <c r="R26" s="232">
        <v>0</v>
      </c>
      <c r="S26" s="232">
        <v>0</v>
      </c>
      <c r="T26" s="232">
        <v>0</v>
      </c>
      <c r="U26" s="232">
        <v>0</v>
      </c>
      <c r="V26" s="232">
        <v>0</v>
      </c>
      <c r="W26" s="232">
        <v>0</v>
      </c>
      <c r="X26" s="232">
        <v>0</v>
      </c>
      <c r="Y26" s="232">
        <v>0</v>
      </c>
      <c r="Z26" s="232">
        <v>0</v>
      </c>
      <c r="AA26" s="232">
        <v>0</v>
      </c>
      <c r="AB26" s="232">
        <v>0</v>
      </c>
      <c r="AC26" s="232">
        <v>0</v>
      </c>
      <c r="AD26" s="232">
        <v>0</v>
      </c>
      <c r="AE26" s="232">
        <v>0</v>
      </c>
      <c r="AF26" s="232">
        <v>0</v>
      </c>
      <c r="AG26" s="232">
        <v>0</v>
      </c>
      <c r="AH26" s="232">
        <v>0</v>
      </c>
      <c r="AI26" s="232">
        <v>0</v>
      </c>
      <c r="AJ26" s="232">
        <v>0</v>
      </c>
      <c r="AK26" s="232">
        <v>0</v>
      </c>
      <c r="AL26" s="232">
        <v>0</v>
      </c>
      <c r="AM26" s="232">
        <v>0</v>
      </c>
      <c r="AN26" s="232">
        <v>0</v>
      </c>
      <c r="AO26" s="232">
        <v>0</v>
      </c>
      <c r="AP26" s="232">
        <v>0</v>
      </c>
      <c r="AQ26" s="232">
        <v>0</v>
      </c>
      <c r="AR26" s="232">
        <v>0</v>
      </c>
      <c r="AS26" s="232">
        <v>0</v>
      </c>
      <c r="AT26" s="232">
        <v>0</v>
      </c>
      <c r="AU26" s="232">
        <v>0</v>
      </c>
      <c r="AV26" s="232">
        <v>0</v>
      </c>
      <c r="AW26" s="232">
        <v>0</v>
      </c>
      <c r="AX26" s="232">
        <v>0</v>
      </c>
      <c r="AY26" s="232">
        <v>0</v>
      </c>
      <c r="AZ26" s="232">
        <v>0</v>
      </c>
      <c r="BA26" s="232">
        <v>0</v>
      </c>
      <c r="BB26" s="232">
        <v>0</v>
      </c>
      <c r="BC26" s="232">
        <v>0</v>
      </c>
      <c r="BD26" s="232">
        <v>0</v>
      </c>
      <c r="BE26" s="232">
        <v>0</v>
      </c>
      <c r="BF26" s="232">
        <v>0</v>
      </c>
      <c r="BG26" s="232">
        <v>0</v>
      </c>
      <c r="BH26" s="232">
        <v>0</v>
      </c>
      <c r="BI26" s="232">
        <v>0</v>
      </c>
      <c r="BJ26" s="232">
        <v>0</v>
      </c>
      <c r="BK26" s="232">
        <v>0</v>
      </c>
      <c r="BL26" s="232">
        <v>0</v>
      </c>
      <c r="BM26" s="232">
        <v>0</v>
      </c>
      <c r="BN26" s="232">
        <v>0</v>
      </c>
      <c r="BO26" s="232">
        <v>0</v>
      </c>
      <c r="BP26" s="232">
        <v>-106404.90000183869</v>
      </c>
      <c r="BQ26" s="232">
        <v>0</v>
      </c>
      <c r="BR26" s="232">
        <v>0</v>
      </c>
      <c r="BS26" s="232">
        <v>0</v>
      </c>
      <c r="BT26" s="232">
        <v>0</v>
      </c>
      <c r="BU26" s="232">
        <v>0</v>
      </c>
      <c r="BV26" s="232">
        <v>0</v>
      </c>
      <c r="BW26" s="232">
        <v>0</v>
      </c>
      <c r="BX26" s="232">
        <v>0</v>
      </c>
      <c r="BY26" s="232">
        <v>0</v>
      </c>
      <c r="BZ26" s="232">
        <v>0</v>
      </c>
      <c r="CA26" s="232">
        <v>0</v>
      </c>
      <c r="CB26" s="23">
        <v>-2240555.5600000005</v>
      </c>
      <c r="CC26" s="23">
        <v>0</v>
      </c>
      <c r="CD26" s="23">
        <v>0</v>
      </c>
      <c r="CE26" s="23">
        <v>0</v>
      </c>
      <c r="CF26" s="23">
        <v>0</v>
      </c>
      <c r="CG26" s="23">
        <v>0</v>
      </c>
      <c r="CH26" s="23">
        <v>0</v>
      </c>
      <c r="CI26" s="23">
        <v>0</v>
      </c>
      <c r="CJ26" s="23">
        <v>0</v>
      </c>
      <c r="CK26" s="23">
        <v>0</v>
      </c>
      <c r="CL26" s="23">
        <v>0</v>
      </c>
      <c r="CM26" s="23">
        <v>0</v>
      </c>
    </row>
    <row r="27" spans="1:91" x14ac:dyDescent="0.2">
      <c r="B27" s="21" t="s">
        <v>201</v>
      </c>
      <c r="C27" s="19"/>
      <c r="D27" s="232">
        <v>0</v>
      </c>
      <c r="E27" s="232">
        <v>0</v>
      </c>
      <c r="F27" s="232">
        <v>0</v>
      </c>
      <c r="G27" s="232">
        <v>0</v>
      </c>
      <c r="H27" s="232">
        <v>0</v>
      </c>
      <c r="I27" s="232">
        <v>0</v>
      </c>
      <c r="J27" s="232">
        <v>0</v>
      </c>
      <c r="K27" s="232">
        <v>0</v>
      </c>
      <c r="L27" s="232">
        <v>0</v>
      </c>
      <c r="M27" s="232">
        <v>0</v>
      </c>
      <c r="N27" s="232">
        <v>0</v>
      </c>
      <c r="O27" s="232">
        <v>0</v>
      </c>
      <c r="P27" s="232">
        <v>0</v>
      </c>
      <c r="Q27" s="232">
        <v>0</v>
      </c>
      <c r="R27" s="232">
        <v>0</v>
      </c>
      <c r="S27" s="232">
        <v>0</v>
      </c>
      <c r="T27" s="232">
        <v>0</v>
      </c>
      <c r="U27" s="232">
        <v>0</v>
      </c>
      <c r="V27" s="232">
        <v>0</v>
      </c>
      <c r="W27" s="232">
        <v>0</v>
      </c>
      <c r="X27" s="232">
        <v>0</v>
      </c>
      <c r="Y27" s="232">
        <v>0</v>
      </c>
      <c r="Z27" s="232">
        <v>0</v>
      </c>
      <c r="AA27" s="232">
        <v>0</v>
      </c>
      <c r="AB27" s="232">
        <v>0</v>
      </c>
      <c r="AC27" s="232">
        <v>0</v>
      </c>
      <c r="AD27" s="232">
        <v>0</v>
      </c>
      <c r="AE27" s="232">
        <v>0</v>
      </c>
      <c r="AF27" s="232">
        <v>0</v>
      </c>
      <c r="AG27" s="232">
        <v>0</v>
      </c>
      <c r="AH27" s="232">
        <v>0</v>
      </c>
      <c r="AI27" s="232">
        <v>0</v>
      </c>
      <c r="AJ27" s="232">
        <v>0</v>
      </c>
      <c r="AK27" s="232">
        <v>0</v>
      </c>
      <c r="AL27" s="232">
        <v>0</v>
      </c>
      <c r="AM27" s="232">
        <v>0</v>
      </c>
      <c r="AN27" s="232">
        <v>0</v>
      </c>
      <c r="AO27" s="232">
        <v>0</v>
      </c>
      <c r="AP27" s="232">
        <v>0</v>
      </c>
      <c r="AQ27" s="232">
        <v>0</v>
      </c>
      <c r="AR27" s="232">
        <v>0</v>
      </c>
      <c r="AS27" s="232">
        <v>0</v>
      </c>
      <c r="AT27" s="232">
        <v>0</v>
      </c>
      <c r="AU27" s="232">
        <v>0</v>
      </c>
      <c r="AV27" s="232">
        <v>0</v>
      </c>
      <c r="AW27" s="232">
        <v>0</v>
      </c>
      <c r="AX27" s="232">
        <v>0</v>
      </c>
      <c r="AY27" s="232">
        <v>0</v>
      </c>
      <c r="AZ27" s="232">
        <v>0</v>
      </c>
      <c r="BA27" s="232">
        <v>0</v>
      </c>
      <c r="BB27" s="232">
        <v>0</v>
      </c>
      <c r="BC27" s="232">
        <v>0</v>
      </c>
      <c r="BD27" s="232">
        <v>0</v>
      </c>
      <c r="BE27" s="232">
        <v>0</v>
      </c>
      <c r="BF27" s="232">
        <v>0</v>
      </c>
      <c r="BG27" s="232">
        <v>0</v>
      </c>
      <c r="BH27" s="232">
        <v>0</v>
      </c>
      <c r="BI27" s="232">
        <v>0</v>
      </c>
      <c r="BJ27" s="232">
        <v>0</v>
      </c>
      <c r="BK27" s="232">
        <v>0</v>
      </c>
      <c r="BL27" s="232">
        <v>6522371.17289</v>
      </c>
      <c r="BM27" s="232">
        <v>0</v>
      </c>
      <c r="BN27" s="232">
        <v>0</v>
      </c>
      <c r="BO27" s="232">
        <v>0</v>
      </c>
      <c r="BP27" s="232">
        <v>0</v>
      </c>
      <c r="BQ27" s="232">
        <v>0</v>
      </c>
      <c r="BR27" s="232">
        <v>0</v>
      </c>
      <c r="BS27" s="232">
        <v>0</v>
      </c>
      <c r="BT27" s="232">
        <v>0</v>
      </c>
      <c r="BU27" s="232">
        <v>0</v>
      </c>
      <c r="BV27" s="232">
        <v>0</v>
      </c>
      <c r="BW27" s="232">
        <v>0</v>
      </c>
      <c r="BX27" s="23">
        <v>0</v>
      </c>
      <c r="BY27" s="232">
        <v>0</v>
      </c>
      <c r="BZ27" s="232">
        <v>0</v>
      </c>
      <c r="CA27" s="232">
        <v>0</v>
      </c>
      <c r="CB27" s="232">
        <v>0</v>
      </c>
      <c r="CC27" s="23">
        <v>0</v>
      </c>
      <c r="CD27" s="23">
        <v>0</v>
      </c>
      <c r="CE27" s="23">
        <v>0</v>
      </c>
      <c r="CF27" s="23">
        <v>0</v>
      </c>
      <c r="CG27" s="23">
        <v>0</v>
      </c>
      <c r="CH27" s="23">
        <v>0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</row>
    <row r="28" spans="1:91" x14ac:dyDescent="0.2">
      <c r="B28" s="21" t="s">
        <v>197</v>
      </c>
      <c r="D28" s="232">
        <v>0</v>
      </c>
      <c r="E28" s="232">
        <v>0</v>
      </c>
      <c r="F28" s="232">
        <v>0</v>
      </c>
      <c r="G28" s="232">
        <v>0</v>
      </c>
      <c r="H28" s="232">
        <v>0</v>
      </c>
      <c r="I28" s="232">
        <v>0</v>
      </c>
      <c r="J28" s="232">
        <v>0</v>
      </c>
      <c r="K28" s="232">
        <v>0</v>
      </c>
      <c r="L28" s="232">
        <v>0</v>
      </c>
      <c r="M28" s="232">
        <v>0</v>
      </c>
      <c r="N28" s="232">
        <v>0</v>
      </c>
      <c r="O28" s="232">
        <v>0</v>
      </c>
      <c r="P28" s="232">
        <v>0</v>
      </c>
      <c r="Q28" s="232">
        <v>0</v>
      </c>
      <c r="R28" s="232">
        <v>0</v>
      </c>
      <c r="S28" s="232">
        <v>0</v>
      </c>
      <c r="T28" s="232">
        <v>0</v>
      </c>
      <c r="U28" s="232">
        <v>0</v>
      </c>
      <c r="V28" s="232">
        <v>0</v>
      </c>
      <c r="W28" s="232">
        <v>0</v>
      </c>
      <c r="X28" s="232">
        <v>0</v>
      </c>
      <c r="Y28" s="232">
        <v>0</v>
      </c>
      <c r="Z28" s="232">
        <v>0</v>
      </c>
      <c r="AA28" s="232">
        <v>0</v>
      </c>
      <c r="AB28" s="232">
        <v>0</v>
      </c>
      <c r="AC28" s="232">
        <v>0</v>
      </c>
      <c r="AD28" s="232">
        <v>0</v>
      </c>
      <c r="AE28" s="232">
        <v>0</v>
      </c>
      <c r="AF28" s="232">
        <v>0</v>
      </c>
      <c r="AG28" s="232">
        <v>0</v>
      </c>
      <c r="AH28" s="232">
        <v>0</v>
      </c>
      <c r="AI28" s="232">
        <v>0</v>
      </c>
      <c r="AJ28" s="232">
        <v>0</v>
      </c>
      <c r="AK28" s="232">
        <v>0</v>
      </c>
      <c r="AL28" s="232">
        <v>0</v>
      </c>
      <c r="AM28" s="232">
        <v>0</v>
      </c>
      <c r="AN28" s="232">
        <v>0</v>
      </c>
      <c r="AO28" s="232">
        <v>0</v>
      </c>
      <c r="AP28" s="232">
        <v>0</v>
      </c>
      <c r="AQ28" s="232">
        <v>0</v>
      </c>
      <c r="AR28" s="232">
        <v>0</v>
      </c>
      <c r="AS28" s="232">
        <v>0</v>
      </c>
      <c r="AT28" s="232">
        <v>0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0</v>
      </c>
      <c r="BJ28" s="232">
        <v>0</v>
      </c>
      <c r="BK28" s="23">
        <v>-567913.01</v>
      </c>
      <c r="BL28" s="23">
        <v>-1219649.51</v>
      </c>
      <c r="BM28" s="23">
        <v>-1247298.6000000001</v>
      </c>
      <c r="BN28" s="23">
        <v>-1123711.74</v>
      </c>
      <c r="BO28" s="23">
        <v>-754609.64</v>
      </c>
      <c r="BP28" s="23">
        <v>-116928.03</v>
      </c>
      <c r="BQ28" s="23">
        <v>-78050.94</v>
      </c>
      <c r="BR28" s="23">
        <v>-52974.84</v>
      </c>
      <c r="BS28" s="23">
        <v>-57129.15</v>
      </c>
      <c r="BT28" s="23">
        <v>-63912.57</v>
      </c>
      <c r="BU28" s="23">
        <v>-111513.81</v>
      </c>
      <c r="BV28" s="23">
        <v>-153983.22</v>
      </c>
      <c r="BW28" s="23">
        <v>-229068.63</v>
      </c>
      <c r="BX28" s="22">
        <f>-'Sch31&amp;31T Deferral Calc'!C30</f>
        <v>-198510.74</v>
      </c>
      <c r="BY28" s="22">
        <f>-'Sch31&amp;31T Deferral Calc'!D30</f>
        <v>-248992.76</v>
      </c>
      <c r="BZ28" s="22">
        <f>-'Sch31&amp;31T Deferral Calc'!E30</f>
        <v>-192433.56</v>
      </c>
      <c r="CA28" s="22">
        <f>-'Sch31&amp;31T Deferral Calc'!F30</f>
        <v>-126711.67999999999</v>
      </c>
      <c r="CB28" s="22">
        <f>-'Sch31&amp;31T Deferral Calc'!G30</f>
        <v>144135.84</v>
      </c>
      <c r="CC28" s="22">
        <f>-'Sch31&amp;31T Deferral Calc'!H30</f>
        <v>81476.960000000006</v>
      </c>
      <c r="CD28" s="22">
        <f>-'Sch31&amp;31T Deferral Calc'!I30</f>
        <v>79176.13</v>
      </c>
      <c r="CE28" s="22">
        <f>-'Sch31&amp;31T Deferral Calc'!J30</f>
        <v>86658.69</v>
      </c>
      <c r="CF28" s="22">
        <f>-'Sch31&amp;31T Deferral Calc'!K30</f>
        <v>112898.45</v>
      </c>
      <c r="CG28" s="22">
        <f>-'Sch31&amp;31T Deferral Calc'!L30</f>
        <v>186712.68</v>
      </c>
      <c r="CH28" s="22">
        <f>-'Sch31&amp;31T Deferral Calc'!M30</f>
        <v>212776.99</v>
      </c>
      <c r="CI28" s="22">
        <f>-'Sch31&amp;31T Deferral Calc'!N30</f>
        <v>324304.21000000002</v>
      </c>
      <c r="CJ28" s="23">
        <v>322987.13</v>
      </c>
      <c r="CK28" s="23">
        <v>287866.46000000002</v>
      </c>
      <c r="CL28" s="22">
        <f>-'Amort Estimate'!D24</f>
        <v>260666.7131375632</v>
      </c>
      <c r="CM28" s="22">
        <f>-'Amort Estimate'!E24</f>
        <v>195938.05496878081</v>
      </c>
    </row>
    <row r="29" spans="1:91" x14ac:dyDescent="0.2">
      <c r="B29" s="7" t="s">
        <v>198</v>
      </c>
      <c r="D29" s="24">
        <f t="shared" ref="D29:BK29" si="102">SUM(D26:D28)</f>
        <v>0</v>
      </c>
      <c r="E29" s="24">
        <f t="shared" si="102"/>
        <v>0</v>
      </c>
      <c r="F29" s="24">
        <f t="shared" si="102"/>
        <v>0</v>
      </c>
      <c r="G29" s="24">
        <f t="shared" si="102"/>
        <v>0</v>
      </c>
      <c r="H29" s="24">
        <f t="shared" si="102"/>
        <v>0</v>
      </c>
      <c r="I29" s="24">
        <f t="shared" si="102"/>
        <v>0</v>
      </c>
      <c r="J29" s="24">
        <f t="shared" si="102"/>
        <v>0</v>
      </c>
      <c r="K29" s="24">
        <f t="shared" si="102"/>
        <v>0</v>
      </c>
      <c r="L29" s="24">
        <f t="shared" si="102"/>
        <v>0</v>
      </c>
      <c r="M29" s="24">
        <f t="shared" si="102"/>
        <v>0</v>
      </c>
      <c r="N29" s="24">
        <f t="shared" si="102"/>
        <v>0</v>
      </c>
      <c r="O29" s="24">
        <f t="shared" si="102"/>
        <v>0</v>
      </c>
      <c r="P29" s="24">
        <f t="shared" si="102"/>
        <v>0</v>
      </c>
      <c r="Q29" s="24">
        <f t="shared" si="102"/>
        <v>0</v>
      </c>
      <c r="R29" s="24">
        <f t="shared" si="102"/>
        <v>0</v>
      </c>
      <c r="S29" s="24">
        <f t="shared" si="102"/>
        <v>0</v>
      </c>
      <c r="T29" s="24">
        <f t="shared" si="102"/>
        <v>0</v>
      </c>
      <c r="U29" s="24">
        <f t="shared" si="102"/>
        <v>0</v>
      </c>
      <c r="V29" s="24">
        <f t="shared" si="102"/>
        <v>0</v>
      </c>
      <c r="W29" s="24">
        <f t="shared" si="102"/>
        <v>0</v>
      </c>
      <c r="X29" s="24">
        <f t="shared" si="102"/>
        <v>0</v>
      </c>
      <c r="Y29" s="24">
        <f t="shared" si="102"/>
        <v>0</v>
      </c>
      <c r="Z29" s="24">
        <f t="shared" si="102"/>
        <v>0</v>
      </c>
      <c r="AA29" s="24">
        <f t="shared" si="102"/>
        <v>0</v>
      </c>
      <c r="AB29" s="24">
        <f t="shared" si="102"/>
        <v>0</v>
      </c>
      <c r="AC29" s="24">
        <f t="shared" si="102"/>
        <v>0</v>
      </c>
      <c r="AD29" s="24">
        <f t="shared" si="102"/>
        <v>0</v>
      </c>
      <c r="AE29" s="24">
        <f t="shared" si="102"/>
        <v>0</v>
      </c>
      <c r="AF29" s="24">
        <f t="shared" si="102"/>
        <v>0</v>
      </c>
      <c r="AG29" s="24">
        <f t="shared" si="102"/>
        <v>0</v>
      </c>
      <c r="AH29" s="24">
        <f t="shared" si="102"/>
        <v>0</v>
      </c>
      <c r="AI29" s="24">
        <f t="shared" si="102"/>
        <v>0</v>
      </c>
      <c r="AJ29" s="24">
        <f t="shared" si="102"/>
        <v>0</v>
      </c>
      <c r="AK29" s="24">
        <f t="shared" si="102"/>
        <v>0</v>
      </c>
      <c r="AL29" s="24">
        <f t="shared" si="102"/>
        <v>0</v>
      </c>
      <c r="AM29" s="24">
        <f t="shared" si="102"/>
        <v>0</v>
      </c>
      <c r="AN29" s="24">
        <f t="shared" si="102"/>
        <v>0</v>
      </c>
      <c r="AO29" s="24">
        <f t="shared" si="102"/>
        <v>0</v>
      </c>
      <c r="AP29" s="24">
        <f t="shared" si="102"/>
        <v>0</v>
      </c>
      <c r="AQ29" s="24">
        <f t="shared" si="102"/>
        <v>0</v>
      </c>
      <c r="AR29" s="24">
        <f t="shared" si="102"/>
        <v>0</v>
      </c>
      <c r="AS29" s="24">
        <f t="shared" si="102"/>
        <v>0</v>
      </c>
      <c r="AT29" s="24">
        <f t="shared" si="102"/>
        <v>0</v>
      </c>
      <c r="AU29" s="24">
        <f t="shared" si="102"/>
        <v>0</v>
      </c>
      <c r="AV29" s="24">
        <f t="shared" si="102"/>
        <v>0</v>
      </c>
      <c r="AW29" s="24">
        <f t="shared" si="102"/>
        <v>0</v>
      </c>
      <c r="AX29" s="24">
        <f t="shared" si="102"/>
        <v>0</v>
      </c>
      <c r="AY29" s="24">
        <f t="shared" si="102"/>
        <v>0</v>
      </c>
      <c r="AZ29" s="24">
        <f t="shared" si="102"/>
        <v>0</v>
      </c>
      <c r="BA29" s="24">
        <f t="shared" si="102"/>
        <v>0</v>
      </c>
      <c r="BB29" s="24">
        <f t="shared" si="102"/>
        <v>0</v>
      </c>
      <c r="BC29" s="24">
        <f t="shared" si="102"/>
        <v>0</v>
      </c>
      <c r="BD29" s="24">
        <f t="shared" si="102"/>
        <v>0</v>
      </c>
      <c r="BE29" s="24">
        <f t="shared" si="102"/>
        <v>0</v>
      </c>
      <c r="BF29" s="24">
        <f t="shared" si="102"/>
        <v>0</v>
      </c>
      <c r="BG29" s="24">
        <f t="shared" si="102"/>
        <v>0</v>
      </c>
      <c r="BH29" s="24">
        <f t="shared" si="102"/>
        <v>0</v>
      </c>
      <c r="BI29" s="24">
        <f t="shared" si="102"/>
        <v>0</v>
      </c>
      <c r="BJ29" s="24">
        <f t="shared" si="102"/>
        <v>0</v>
      </c>
      <c r="BK29" s="24">
        <f t="shared" si="102"/>
        <v>-567913.01</v>
      </c>
      <c r="BL29" s="24">
        <f t="shared" ref="BL29:BZ29" si="103">SUM(BL26:BL28)</f>
        <v>5302721.6628900003</v>
      </c>
      <c r="BM29" s="24">
        <f t="shared" si="103"/>
        <v>-1247298.6000000001</v>
      </c>
      <c r="BN29" s="24">
        <f t="shared" si="103"/>
        <v>-1123711.74</v>
      </c>
      <c r="BO29" s="24">
        <f t="shared" si="103"/>
        <v>-754609.64</v>
      </c>
      <c r="BP29" s="24">
        <f t="shared" si="103"/>
        <v>-223332.93000183869</v>
      </c>
      <c r="BQ29" s="24">
        <f t="shared" si="103"/>
        <v>-78050.94</v>
      </c>
      <c r="BR29" s="24">
        <f t="shared" si="103"/>
        <v>-52974.84</v>
      </c>
      <c r="BS29" s="24">
        <f t="shared" si="103"/>
        <v>-57129.15</v>
      </c>
      <c r="BT29" s="24">
        <f t="shared" si="103"/>
        <v>-63912.57</v>
      </c>
      <c r="BU29" s="24">
        <f t="shared" si="103"/>
        <v>-111513.81</v>
      </c>
      <c r="BV29" s="24">
        <f t="shared" si="103"/>
        <v>-153983.22</v>
      </c>
      <c r="BW29" s="24">
        <f t="shared" si="103"/>
        <v>-229068.63</v>
      </c>
      <c r="BX29" s="24">
        <f t="shared" si="103"/>
        <v>-198510.74</v>
      </c>
      <c r="BY29" s="24">
        <f t="shared" si="103"/>
        <v>-248992.76</v>
      </c>
      <c r="BZ29" s="24">
        <f t="shared" si="103"/>
        <v>-192433.56</v>
      </c>
      <c r="CA29" s="24">
        <f t="shared" ref="CA29:CI29" si="104">SUM(CA26:CA28)</f>
        <v>-126711.67999999999</v>
      </c>
      <c r="CB29" s="24">
        <f t="shared" si="104"/>
        <v>-2096419.7200000004</v>
      </c>
      <c r="CC29" s="24">
        <f t="shared" si="104"/>
        <v>81476.960000000006</v>
      </c>
      <c r="CD29" s="24">
        <f t="shared" si="104"/>
        <v>79176.13</v>
      </c>
      <c r="CE29" s="24">
        <f t="shared" si="104"/>
        <v>86658.69</v>
      </c>
      <c r="CF29" s="24">
        <f t="shared" si="104"/>
        <v>112898.45</v>
      </c>
      <c r="CG29" s="24">
        <f t="shared" si="104"/>
        <v>186712.68</v>
      </c>
      <c r="CH29" s="24">
        <f t="shared" si="104"/>
        <v>212776.99</v>
      </c>
      <c r="CI29" s="24">
        <f t="shared" si="104"/>
        <v>324304.21000000002</v>
      </c>
      <c r="CJ29" s="24">
        <f t="shared" ref="CJ29:CM29" si="105">SUM(CJ26:CJ28)</f>
        <v>322987.13</v>
      </c>
      <c r="CK29" s="24">
        <f t="shared" si="105"/>
        <v>287866.46000000002</v>
      </c>
      <c r="CL29" s="24">
        <f t="shared" si="105"/>
        <v>260666.7131375632</v>
      </c>
      <c r="CM29" s="24">
        <f t="shared" si="105"/>
        <v>195938.05496878081</v>
      </c>
    </row>
    <row r="30" spans="1:91" x14ac:dyDescent="0.2">
      <c r="B30" s="7" t="s">
        <v>199</v>
      </c>
      <c r="D30" s="17">
        <f>D25+D29</f>
        <v>0</v>
      </c>
      <c r="E30" s="17">
        <f t="shared" ref="E30:BK30" si="106">E25+E29</f>
        <v>0</v>
      </c>
      <c r="F30" s="17">
        <f t="shared" si="106"/>
        <v>0</v>
      </c>
      <c r="G30" s="17">
        <f t="shared" si="106"/>
        <v>0</v>
      </c>
      <c r="H30" s="17">
        <f t="shared" si="106"/>
        <v>0</v>
      </c>
      <c r="I30" s="17">
        <f t="shared" si="106"/>
        <v>0</v>
      </c>
      <c r="J30" s="17">
        <f t="shared" si="106"/>
        <v>0</v>
      </c>
      <c r="K30" s="17">
        <f t="shared" si="106"/>
        <v>0</v>
      </c>
      <c r="L30" s="17">
        <f t="shared" si="106"/>
        <v>0</v>
      </c>
      <c r="M30" s="17">
        <f t="shared" si="106"/>
        <v>0</v>
      </c>
      <c r="N30" s="17">
        <f t="shared" si="106"/>
        <v>0</v>
      </c>
      <c r="O30" s="17">
        <f t="shared" si="106"/>
        <v>0</v>
      </c>
      <c r="P30" s="17">
        <f t="shared" si="106"/>
        <v>0</v>
      </c>
      <c r="Q30" s="17">
        <f t="shared" si="106"/>
        <v>0</v>
      </c>
      <c r="R30" s="17">
        <f t="shared" si="106"/>
        <v>0</v>
      </c>
      <c r="S30" s="17">
        <f t="shared" si="106"/>
        <v>0</v>
      </c>
      <c r="T30" s="17">
        <f t="shared" si="106"/>
        <v>0</v>
      </c>
      <c r="U30" s="17">
        <f t="shared" si="106"/>
        <v>0</v>
      </c>
      <c r="V30" s="17">
        <f t="shared" si="106"/>
        <v>0</v>
      </c>
      <c r="W30" s="17">
        <f t="shared" si="106"/>
        <v>0</v>
      </c>
      <c r="X30" s="17">
        <f t="shared" si="106"/>
        <v>0</v>
      </c>
      <c r="Y30" s="17">
        <f t="shared" si="106"/>
        <v>0</v>
      </c>
      <c r="Z30" s="17">
        <f t="shared" si="106"/>
        <v>0</v>
      </c>
      <c r="AA30" s="17">
        <f t="shared" si="106"/>
        <v>0</v>
      </c>
      <c r="AB30" s="17">
        <f t="shared" si="106"/>
        <v>0</v>
      </c>
      <c r="AC30" s="17">
        <f t="shared" si="106"/>
        <v>0</v>
      </c>
      <c r="AD30" s="17">
        <f t="shared" si="106"/>
        <v>0</v>
      </c>
      <c r="AE30" s="17">
        <f t="shared" si="106"/>
        <v>0</v>
      </c>
      <c r="AF30" s="17">
        <f t="shared" si="106"/>
        <v>0</v>
      </c>
      <c r="AG30" s="17">
        <f t="shared" si="106"/>
        <v>0</v>
      </c>
      <c r="AH30" s="17">
        <f t="shared" si="106"/>
        <v>0</v>
      </c>
      <c r="AI30" s="17">
        <f t="shared" si="106"/>
        <v>0</v>
      </c>
      <c r="AJ30" s="17">
        <f t="shared" si="106"/>
        <v>0</v>
      </c>
      <c r="AK30" s="17">
        <f t="shared" si="106"/>
        <v>0</v>
      </c>
      <c r="AL30" s="17">
        <f t="shared" si="106"/>
        <v>0</v>
      </c>
      <c r="AM30" s="17">
        <f t="shared" si="106"/>
        <v>0</v>
      </c>
      <c r="AN30" s="17">
        <f t="shared" si="106"/>
        <v>0</v>
      </c>
      <c r="AO30" s="17">
        <f t="shared" si="106"/>
        <v>0</v>
      </c>
      <c r="AP30" s="17">
        <f t="shared" si="106"/>
        <v>0</v>
      </c>
      <c r="AQ30" s="17">
        <f t="shared" si="106"/>
        <v>0</v>
      </c>
      <c r="AR30" s="17">
        <f t="shared" si="106"/>
        <v>0</v>
      </c>
      <c r="AS30" s="17">
        <f t="shared" si="106"/>
        <v>0</v>
      </c>
      <c r="AT30" s="17">
        <f t="shared" si="106"/>
        <v>0</v>
      </c>
      <c r="AU30" s="17">
        <f t="shared" si="106"/>
        <v>0</v>
      </c>
      <c r="AV30" s="17">
        <f t="shared" si="106"/>
        <v>0</v>
      </c>
      <c r="AW30" s="17">
        <f t="shared" si="106"/>
        <v>0</v>
      </c>
      <c r="AX30" s="17">
        <f t="shared" si="106"/>
        <v>0</v>
      </c>
      <c r="AY30" s="17">
        <f t="shared" si="106"/>
        <v>0</v>
      </c>
      <c r="AZ30" s="17">
        <f t="shared" si="106"/>
        <v>0</v>
      </c>
      <c r="BA30" s="17">
        <f t="shared" si="106"/>
        <v>0</v>
      </c>
      <c r="BB30" s="17">
        <f t="shared" si="106"/>
        <v>0</v>
      </c>
      <c r="BC30" s="17">
        <f t="shared" si="106"/>
        <v>0</v>
      </c>
      <c r="BD30" s="17">
        <f t="shared" si="106"/>
        <v>0</v>
      </c>
      <c r="BE30" s="17">
        <f t="shared" si="106"/>
        <v>0</v>
      </c>
      <c r="BF30" s="17">
        <f t="shared" si="106"/>
        <v>0</v>
      </c>
      <c r="BG30" s="17">
        <f t="shared" si="106"/>
        <v>0</v>
      </c>
      <c r="BH30" s="17">
        <f t="shared" si="106"/>
        <v>0</v>
      </c>
      <c r="BI30" s="17">
        <f t="shared" si="106"/>
        <v>0</v>
      </c>
      <c r="BJ30" s="17">
        <f t="shared" si="106"/>
        <v>0</v>
      </c>
      <c r="BK30" s="17">
        <f t="shared" si="106"/>
        <v>-567913.01</v>
      </c>
      <c r="BL30" s="17">
        <f t="shared" ref="BL30:BZ30" si="107">BL25+BL29</f>
        <v>4734808.6528900005</v>
      </c>
      <c r="BM30" s="17">
        <f t="shared" si="107"/>
        <v>3487510.0528900004</v>
      </c>
      <c r="BN30" s="17">
        <f t="shared" si="107"/>
        <v>2363798.3128900006</v>
      </c>
      <c r="BO30" s="17">
        <f t="shared" si="107"/>
        <v>1609188.6728900005</v>
      </c>
      <c r="BP30" s="17">
        <f t="shared" si="107"/>
        <v>1385855.7428881619</v>
      </c>
      <c r="BQ30" s="17">
        <f t="shared" si="107"/>
        <v>1307804.802888162</v>
      </c>
      <c r="BR30" s="17">
        <f t="shared" si="107"/>
        <v>1254829.9628881619</v>
      </c>
      <c r="BS30" s="17">
        <f t="shared" si="107"/>
        <v>1197700.812888162</v>
      </c>
      <c r="BT30" s="17">
        <f t="shared" si="107"/>
        <v>1133788.2428881619</v>
      </c>
      <c r="BU30" s="17">
        <f t="shared" si="107"/>
        <v>1022274.4328881619</v>
      </c>
      <c r="BV30" s="17">
        <f t="shared" si="107"/>
        <v>868291.21288816188</v>
      </c>
      <c r="BW30" s="17">
        <f t="shared" si="107"/>
        <v>639222.58288816188</v>
      </c>
      <c r="BX30" s="17">
        <f t="shared" si="107"/>
        <v>440711.84288816189</v>
      </c>
      <c r="BY30" s="17">
        <f t="shared" si="107"/>
        <v>191719.08288816188</v>
      </c>
      <c r="BZ30" s="17">
        <f t="shared" si="107"/>
        <v>-714.47711183811771</v>
      </c>
      <c r="CA30" s="17">
        <f t="shared" ref="CA30:CI30" si="108">CA25+CA29</f>
        <v>-127426.15711183811</v>
      </c>
      <c r="CB30" s="17">
        <f t="shared" si="108"/>
        <v>-2223845.8771118387</v>
      </c>
      <c r="CC30" s="17">
        <f t="shared" si="108"/>
        <v>-2142368.9171118387</v>
      </c>
      <c r="CD30" s="17">
        <f t="shared" si="108"/>
        <v>-2063192.7871118388</v>
      </c>
      <c r="CE30" s="17">
        <f t="shared" si="108"/>
        <v>-1976534.0971118389</v>
      </c>
      <c r="CF30" s="17">
        <f t="shared" si="108"/>
        <v>-1863635.6471118389</v>
      </c>
      <c r="CG30" s="17">
        <f t="shared" si="108"/>
        <v>-1676922.967111839</v>
      </c>
      <c r="CH30" s="17">
        <f t="shared" si="108"/>
        <v>-1464145.977111839</v>
      </c>
      <c r="CI30" s="17">
        <f t="shared" si="108"/>
        <v>-1139841.767111839</v>
      </c>
      <c r="CJ30" s="17">
        <f t="shared" ref="CJ30:CM30" si="109">CJ25+CJ29</f>
        <v>-816854.63711183902</v>
      </c>
      <c r="CK30" s="17">
        <f t="shared" si="109"/>
        <v>-528988.17711183894</v>
      </c>
      <c r="CL30" s="17">
        <f t="shared" si="109"/>
        <v>-268321.46397427574</v>
      </c>
      <c r="CM30" s="17">
        <f t="shared" si="109"/>
        <v>-72383.409005494934</v>
      </c>
    </row>
    <row r="31" spans="1:91" x14ac:dyDescent="0.2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</row>
    <row r="32" spans="1:91" x14ac:dyDescent="0.2">
      <c r="A32" s="14" t="s">
        <v>202</v>
      </c>
      <c r="C32" s="15">
        <v>18237512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</row>
    <row r="33" spans="1:92" x14ac:dyDescent="0.2">
      <c r="B33" s="7" t="s">
        <v>195</v>
      </c>
      <c r="C33" s="15">
        <v>25400912</v>
      </c>
      <c r="D33" s="17">
        <v>0</v>
      </c>
      <c r="E33" s="17">
        <f>D38</f>
        <v>0</v>
      </c>
      <c r="F33" s="17">
        <f t="shared" ref="F33:BZ33" si="110">E38</f>
        <v>0</v>
      </c>
      <c r="G33" s="17">
        <f t="shared" si="110"/>
        <v>0</v>
      </c>
      <c r="H33" s="17">
        <f t="shared" si="110"/>
        <v>0</v>
      </c>
      <c r="I33" s="17">
        <f t="shared" si="110"/>
        <v>0</v>
      </c>
      <c r="J33" s="17">
        <f t="shared" si="110"/>
        <v>0</v>
      </c>
      <c r="K33" s="17">
        <f t="shared" si="110"/>
        <v>0</v>
      </c>
      <c r="L33" s="17">
        <f t="shared" si="110"/>
        <v>0</v>
      </c>
      <c r="M33" s="17">
        <f t="shared" si="110"/>
        <v>0</v>
      </c>
      <c r="N33" s="17">
        <f t="shared" si="110"/>
        <v>0</v>
      </c>
      <c r="O33" s="17">
        <f t="shared" si="110"/>
        <v>0</v>
      </c>
      <c r="P33" s="17">
        <f t="shared" si="110"/>
        <v>0</v>
      </c>
      <c r="Q33" s="17">
        <f t="shared" si="110"/>
        <v>0</v>
      </c>
      <c r="R33" s="17">
        <f t="shared" si="110"/>
        <v>0</v>
      </c>
      <c r="S33" s="17">
        <f t="shared" si="110"/>
        <v>0</v>
      </c>
      <c r="T33" s="17">
        <f t="shared" si="110"/>
        <v>0</v>
      </c>
      <c r="U33" s="17">
        <f t="shared" si="110"/>
        <v>0</v>
      </c>
      <c r="V33" s="17">
        <f t="shared" si="110"/>
        <v>0</v>
      </c>
      <c r="W33" s="17">
        <f t="shared" si="110"/>
        <v>0</v>
      </c>
      <c r="X33" s="17">
        <f t="shared" si="110"/>
        <v>0</v>
      </c>
      <c r="Y33" s="17">
        <f t="shared" si="110"/>
        <v>0</v>
      </c>
      <c r="Z33" s="17">
        <f t="shared" si="110"/>
        <v>0</v>
      </c>
      <c r="AA33" s="17">
        <f t="shared" si="110"/>
        <v>0</v>
      </c>
      <c r="AB33" s="17">
        <f t="shared" si="110"/>
        <v>0</v>
      </c>
      <c r="AC33" s="17">
        <f t="shared" si="110"/>
        <v>0</v>
      </c>
      <c r="AD33" s="17">
        <f t="shared" si="110"/>
        <v>0</v>
      </c>
      <c r="AE33" s="17">
        <f t="shared" si="110"/>
        <v>0</v>
      </c>
      <c r="AF33" s="17">
        <f t="shared" si="110"/>
        <v>0</v>
      </c>
      <c r="AG33" s="17">
        <f t="shared" si="110"/>
        <v>0</v>
      </c>
      <c r="AH33" s="17">
        <f t="shared" si="110"/>
        <v>0</v>
      </c>
      <c r="AI33" s="17">
        <f t="shared" si="110"/>
        <v>0</v>
      </c>
      <c r="AJ33" s="17">
        <f t="shared" si="110"/>
        <v>0</v>
      </c>
      <c r="AK33" s="17">
        <f t="shared" si="110"/>
        <v>0</v>
      </c>
      <c r="AL33" s="17">
        <f t="shared" si="110"/>
        <v>0</v>
      </c>
      <c r="AM33" s="17">
        <f t="shared" si="110"/>
        <v>0</v>
      </c>
      <c r="AN33" s="17">
        <f t="shared" si="110"/>
        <v>0</v>
      </c>
      <c r="AO33" s="17">
        <f t="shared" si="110"/>
        <v>0</v>
      </c>
      <c r="AP33" s="17">
        <f t="shared" si="110"/>
        <v>0</v>
      </c>
      <c r="AQ33" s="17">
        <f t="shared" si="110"/>
        <v>0</v>
      </c>
      <c r="AR33" s="17">
        <f t="shared" si="110"/>
        <v>0</v>
      </c>
      <c r="AS33" s="17">
        <f t="shared" si="110"/>
        <v>0</v>
      </c>
      <c r="AT33" s="17">
        <f t="shared" si="110"/>
        <v>0</v>
      </c>
      <c r="AU33" s="17">
        <f t="shared" si="110"/>
        <v>0</v>
      </c>
      <c r="AV33" s="17">
        <f t="shared" si="110"/>
        <v>0</v>
      </c>
      <c r="AW33" s="17">
        <f t="shared" si="110"/>
        <v>0</v>
      </c>
      <c r="AX33" s="17">
        <f t="shared" si="110"/>
        <v>0</v>
      </c>
      <c r="AY33" s="17">
        <f t="shared" si="110"/>
        <v>0</v>
      </c>
      <c r="AZ33" s="17">
        <f t="shared" si="110"/>
        <v>0</v>
      </c>
      <c r="BA33" s="17">
        <f t="shared" si="110"/>
        <v>0</v>
      </c>
      <c r="BB33" s="17">
        <f t="shared" si="110"/>
        <v>0</v>
      </c>
      <c r="BC33" s="17">
        <f t="shared" si="110"/>
        <v>0</v>
      </c>
      <c r="BD33" s="17">
        <f t="shared" si="110"/>
        <v>0</v>
      </c>
      <c r="BE33" s="17">
        <f t="shared" si="110"/>
        <v>0</v>
      </c>
      <c r="BF33" s="17">
        <f t="shared" si="110"/>
        <v>0</v>
      </c>
      <c r="BG33" s="17">
        <f t="shared" si="110"/>
        <v>0</v>
      </c>
      <c r="BH33" s="17">
        <f t="shared" si="110"/>
        <v>0</v>
      </c>
      <c r="BI33" s="17">
        <f t="shared" si="110"/>
        <v>0</v>
      </c>
      <c r="BJ33" s="17">
        <f t="shared" si="110"/>
        <v>0</v>
      </c>
      <c r="BK33" s="17">
        <f t="shared" si="110"/>
        <v>0</v>
      </c>
      <c r="BL33" s="17">
        <f t="shared" ref="BL33" si="111">BK38</f>
        <v>-85799.86</v>
      </c>
      <c r="BM33" s="17">
        <f t="shared" ref="BM33" si="112">BL38</f>
        <v>2441010.5171100004</v>
      </c>
      <c r="BN33" s="17">
        <f t="shared" ref="BN33" si="113">BM38</f>
        <v>2191392.1971100005</v>
      </c>
      <c r="BO33" s="17">
        <f t="shared" ref="BO33" si="114">BN38</f>
        <v>2010594.1371100005</v>
      </c>
      <c r="BP33" s="17">
        <f t="shared" ref="BP33" si="115">BO38</f>
        <v>1825742.4571100005</v>
      </c>
      <c r="BQ33" s="17">
        <f t="shared" ref="BQ33" si="116">BP38</f>
        <v>1798440.8133436516</v>
      </c>
      <c r="BR33" s="17">
        <f t="shared" ref="BR33" si="117">BQ38</f>
        <v>1686715.5633436516</v>
      </c>
      <c r="BS33" s="17">
        <f t="shared" ref="BS33" si="118">BR38</f>
        <v>1623245.9733436515</v>
      </c>
      <c r="BT33" s="17">
        <f t="shared" ref="BT33" si="119">BS38</f>
        <v>1461501.7633436515</v>
      </c>
      <c r="BU33" s="17">
        <f t="shared" ref="BU33" si="120">BT38</f>
        <v>1357169.5433436516</v>
      </c>
      <c r="BV33" s="17">
        <f t="shared" ref="BV33" si="121">BU38</f>
        <v>1223770.3033436516</v>
      </c>
      <c r="BW33" s="17">
        <f t="shared" ref="BW33" si="122">BV38</f>
        <v>1067532.8333436516</v>
      </c>
      <c r="BX33" s="17">
        <f t="shared" ref="BX33" si="123">BW38</f>
        <v>879938.12334365165</v>
      </c>
      <c r="BY33" s="17">
        <f t="shared" si="110"/>
        <v>700036.33334365161</v>
      </c>
      <c r="BZ33" s="17">
        <f t="shared" si="110"/>
        <v>515259.96334365162</v>
      </c>
      <c r="CA33" s="17">
        <f t="shared" ref="CA33" si="124">BZ38</f>
        <v>334122.79334365157</v>
      </c>
      <c r="CB33" s="17">
        <f t="shared" ref="CB33" si="125">CA38</f>
        <v>174803.98334365158</v>
      </c>
      <c r="CC33" s="17">
        <f t="shared" ref="CC33" si="126">CB38</f>
        <v>-125840.64665634843</v>
      </c>
      <c r="CD33" s="17">
        <f t="shared" ref="CD33" si="127">CC38</f>
        <v>-134782.02665634843</v>
      </c>
      <c r="CE33" s="17">
        <f t="shared" ref="CE33" si="128">CD38</f>
        <v>-123655.85665634843</v>
      </c>
      <c r="CF33" s="17">
        <f t="shared" ref="CF33" si="129">CE38</f>
        <v>-116230.17665634843</v>
      </c>
      <c r="CG33" s="17">
        <f t="shared" ref="CG33" si="130">CF38</f>
        <v>-108533.77665634843</v>
      </c>
      <c r="CH33" s="17">
        <f t="shared" ref="CH33" si="131">CG38</f>
        <v>-99090.706656348426</v>
      </c>
      <c r="CI33" s="17">
        <f t="shared" ref="CI33" si="132">CH38</f>
        <v>-88773.666656348418</v>
      </c>
      <c r="CJ33" s="17">
        <f t="shared" ref="CJ33" si="133">CI38</f>
        <v>-77563.336656348416</v>
      </c>
      <c r="CK33" s="17">
        <f t="shared" ref="CK33" si="134">CJ38</f>
        <v>-66031.136656348419</v>
      </c>
      <c r="CL33" s="17">
        <f t="shared" ref="CL33" si="135">CK38</f>
        <v>-53422.936656348422</v>
      </c>
      <c r="CM33" s="17">
        <f t="shared" ref="CM33" si="136">CL38</f>
        <v>-43908.34282637576</v>
      </c>
    </row>
    <row r="34" spans="1:92" x14ac:dyDescent="0.2">
      <c r="B34" s="21" t="s">
        <v>196</v>
      </c>
      <c r="C34" s="19"/>
      <c r="D34" s="232">
        <v>0</v>
      </c>
      <c r="E34" s="232">
        <v>0</v>
      </c>
      <c r="F34" s="232">
        <v>0</v>
      </c>
      <c r="G34" s="232">
        <v>0</v>
      </c>
      <c r="H34" s="232">
        <v>0</v>
      </c>
      <c r="I34" s="232">
        <v>0</v>
      </c>
      <c r="J34" s="232">
        <v>0</v>
      </c>
      <c r="K34" s="232">
        <v>0</v>
      </c>
      <c r="L34" s="232">
        <v>0</v>
      </c>
      <c r="M34" s="232">
        <v>0</v>
      </c>
      <c r="N34" s="232">
        <v>0</v>
      </c>
      <c r="O34" s="232">
        <v>0</v>
      </c>
      <c r="P34" s="232">
        <v>0</v>
      </c>
      <c r="Q34" s="232">
        <v>0</v>
      </c>
      <c r="R34" s="232">
        <v>0</v>
      </c>
      <c r="S34" s="232">
        <v>0</v>
      </c>
      <c r="T34" s="232">
        <v>0</v>
      </c>
      <c r="U34" s="232">
        <v>0</v>
      </c>
      <c r="V34" s="232">
        <v>0</v>
      </c>
      <c r="W34" s="232">
        <v>0</v>
      </c>
      <c r="X34" s="232">
        <v>0</v>
      </c>
      <c r="Y34" s="232">
        <v>0</v>
      </c>
      <c r="Z34" s="232">
        <v>0</v>
      </c>
      <c r="AA34" s="232">
        <v>0</v>
      </c>
      <c r="AB34" s="232">
        <v>0</v>
      </c>
      <c r="AC34" s="232">
        <v>0</v>
      </c>
      <c r="AD34" s="232">
        <v>0</v>
      </c>
      <c r="AE34" s="232">
        <v>0</v>
      </c>
      <c r="AF34" s="232">
        <v>0</v>
      </c>
      <c r="AG34" s="232">
        <v>0</v>
      </c>
      <c r="AH34" s="232">
        <v>0</v>
      </c>
      <c r="AI34" s="232">
        <v>0</v>
      </c>
      <c r="AJ34" s="232">
        <v>0</v>
      </c>
      <c r="AK34" s="232">
        <v>0</v>
      </c>
      <c r="AL34" s="232">
        <v>0</v>
      </c>
      <c r="AM34" s="232">
        <v>0</v>
      </c>
      <c r="AN34" s="232">
        <v>0</v>
      </c>
      <c r="AO34" s="232">
        <v>0</v>
      </c>
      <c r="AP34" s="232">
        <v>0</v>
      </c>
      <c r="AQ34" s="232">
        <v>0</v>
      </c>
      <c r="AR34" s="232">
        <v>0</v>
      </c>
      <c r="AS34" s="232">
        <v>0</v>
      </c>
      <c r="AT34" s="232">
        <v>0</v>
      </c>
      <c r="AU34" s="232">
        <v>0</v>
      </c>
      <c r="AV34" s="232">
        <v>0</v>
      </c>
      <c r="AW34" s="232">
        <v>0</v>
      </c>
      <c r="AX34" s="232">
        <v>0</v>
      </c>
      <c r="AY34" s="232">
        <v>0</v>
      </c>
      <c r="AZ34" s="232">
        <v>0</v>
      </c>
      <c r="BA34" s="232">
        <v>0</v>
      </c>
      <c r="BB34" s="232">
        <v>0</v>
      </c>
      <c r="BC34" s="232">
        <v>0</v>
      </c>
      <c r="BD34" s="232">
        <v>0</v>
      </c>
      <c r="BE34" s="232">
        <v>0</v>
      </c>
      <c r="BF34" s="232">
        <v>0</v>
      </c>
      <c r="BG34" s="232">
        <v>0</v>
      </c>
      <c r="BH34" s="232">
        <v>0</v>
      </c>
      <c r="BI34" s="232">
        <v>0</v>
      </c>
      <c r="BJ34" s="232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102791.13623365108</v>
      </c>
      <c r="BQ34" s="23">
        <v>0</v>
      </c>
      <c r="BR34" s="23">
        <v>0</v>
      </c>
      <c r="BS34" s="23">
        <v>0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3">
        <v>-261008.87</v>
      </c>
      <c r="CC34" s="23">
        <v>0</v>
      </c>
      <c r="CD34" s="23">
        <v>0</v>
      </c>
      <c r="CE34" s="23">
        <v>0</v>
      </c>
      <c r="CF34" s="23">
        <v>0</v>
      </c>
      <c r="CG34" s="23">
        <v>0</v>
      </c>
      <c r="CH34" s="23">
        <v>0</v>
      </c>
      <c r="CI34" s="23">
        <v>0</v>
      </c>
      <c r="CJ34" s="23">
        <v>0</v>
      </c>
      <c r="CK34" s="23">
        <v>0</v>
      </c>
      <c r="CL34" s="23">
        <v>0</v>
      </c>
      <c r="CM34" s="23">
        <v>0</v>
      </c>
    </row>
    <row r="35" spans="1:92" x14ac:dyDescent="0.2">
      <c r="B35" s="21" t="s">
        <v>201</v>
      </c>
      <c r="C35" s="19"/>
      <c r="D35" s="232">
        <v>0</v>
      </c>
      <c r="E35" s="232">
        <v>0</v>
      </c>
      <c r="F35" s="232">
        <v>0</v>
      </c>
      <c r="G35" s="232">
        <v>0</v>
      </c>
      <c r="H35" s="232">
        <v>0</v>
      </c>
      <c r="I35" s="232">
        <v>0</v>
      </c>
      <c r="J35" s="232">
        <v>0</v>
      </c>
      <c r="K35" s="232">
        <v>0</v>
      </c>
      <c r="L35" s="232">
        <v>0</v>
      </c>
      <c r="M35" s="232">
        <v>0</v>
      </c>
      <c r="N35" s="232">
        <v>0</v>
      </c>
      <c r="O35" s="232">
        <v>0</v>
      </c>
      <c r="P35" s="232">
        <v>0</v>
      </c>
      <c r="Q35" s="232">
        <v>0</v>
      </c>
      <c r="R35" s="232">
        <v>0</v>
      </c>
      <c r="S35" s="232">
        <v>0</v>
      </c>
      <c r="T35" s="232">
        <v>0</v>
      </c>
      <c r="U35" s="232">
        <v>0</v>
      </c>
      <c r="V35" s="232">
        <v>0</v>
      </c>
      <c r="W35" s="232">
        <v>0</v>
      </c>
      <c r="X35" s="232">
        <v>0</v>
      </c>
      <c r="Y35" s="232">
        <v>0</v>
      </c>
      <c r="Z35" s="232">
        <v>0</v>
      </c>
      <c r="AA35" s="232">
        <v>0</v>
      </c>
      <c r="AB35" s="232">
        <v>0</v>
      </c>
      <c r="AC35" s="232">
        <v>0</v>
      </c>
      <c r="AD35" s="232">
        <v>0</v>
      </c>
      <c r="AE35" s="232">
        <v>0</v>
      </c>
      <c r="AF35" s="232">
        <v>0</v>
      </c>
      <c r="AG35" s="232">
        <v>0</v>
      </c>
      <c r="AH35" s="232">
        <v>0</v>
      </c>
      <c r="AI35" s="232">
        <v>0</v>
      </c>
      <c r="AJ35" s="232">
        <v>0</v>
      </c>
      <c r="AK35" s="232">
        <v>0</v>
      </c>
      <c r="AL35" s="232">
        <v>0</v>
      </c>
      <c r="AM35" s="232">
        <v>0</v>
      </c>
      <c r="AN35" s="232">
        <v>0</v>
      </c>
      <c r="AO35" s="232">
        <v>0</v>
      </c>
      <c r="AP35" s="232">
        <v>0</v>
      </c>
      <c r="AQ35" s="232">
        <v>0</v>
      </c>
      <c r="AR35" s="232">
        <v>0</v>
      </c>
      <c r="AS35" s="232">
        <v>0</v>
      </c>
      <c r="AT35" s="232">
        <v>0</v>
      </c>
      <c r="AU35" s="232">
        <v>0</v>
      </c>
      <c r="AV35" s="232">
        <v>0</v>
      </c>
      <c r="AW35" s="232">
        <v>0</v>
      </c>
      <c r="AX35" s="232">
        <v>0</v>
      </c>
      <c r="AY35" s="232">
        <v>0</v>
      </c>
      <c r="AZ35" s="232">
        <v>0</v>
      </c>
      <c r="BA35" s="232">
        <v>0</v>
      </c>
      <c r="BB35" s="232">
        <v>0</v>
      </c>
      <c r="BC35" s="232">
        <v>0</v>
      </c>
      <c r="BD35" s="232">
        <v>0</v>
      </c>
      <c r="BE35" s="232">
        <v>0</v>
      </c>
      <c r="BF35" s="232">
        <v>0</v>
      </c>
      <c r="BG35" s="232">
        <v>0</v>
      </c>
      <c r="BH35" s="232">
        <v>0</v>
      </c>
      <c r="BI35" s="232">
        <v>0</v>
      </c>
      <c r="BJ35" s="232">
        <v>0</v>
      </c>
      <c r="BK35" s="23">
        <v>0</v>
      </c>
      <c r="BL35" s="23">
        <v>2755539.4571100003</v>
      </c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>
        <v>0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23">
        <v>0</v>
      </c>
      <c r="CE35" s="23">
        <v>0</v>
      </c>
      <c r="CF35" s="23">
        <v>0</v>
      </c>
      <c r="CG35" s="23">
        <v>0</v>
      </c>
      <c r="CH35" s="23">
        <v>0</v>
      </c>
      <c r="CI35" s="23">
        <v>0</v>
      </c>
      <c r="CJ35" s="23">
        <v>0</v>
      </c>
      <c r="CK35" s="23">
        <v>0</v>
      </c>
      <c r="CL35" s="23">
        <v>0</v>
      </c>
      <c r="CM35" s="23">
        <v>0</v>
      </c>
    </row>
    <row r="36" spans="1:92" x14ac:dyDescent="0.2">
      <c r="B36" s="21" t="s">
        <v>197</v>
      </c>
      <c r="D36" s="232">
        <v>0</v>
      </c>
      <c r="E36" s="232">
        <v>0</v>
      </c>
      <c r="F36" s="232">
        <v>0</v>
      </c>
      <c r="G36" s="232">
        <v>0</v>
      </c>
      <c r="H36" s="232">
        <v>0</v>
      </c>
      <c r="I36" s="232">
        <v>0</v>
      </c>
      <c r="J36" s="232">
        <v>0</v>
      </c>
      <c r="K36" s="232">
        <v>0</v>
      </c>
      <c r="L36" s="232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2">
        <v>0</v>
      </c>
      <c r="S36" s="232">
        <v>0</v>
      </c>
      <c r="T36" s="232">
        <v>0</v>
      </c>
      <c r="U36" s="232">
        <v>0</v>
      </c>
      <c r="V36" s="232">
        <v>0</v>
      </c>
      <c r="W36" s="232">
        <v>0</v>
      </c>
      <c r="X36" s="232">
        <v>0</v>
      </c>
      <c r="Y36" s="232">
        <v>0</v>
      </c>
      <c r="Z36" s="232">
        <v>0</v>
      </c>
      <c r="AA36" s="232">
        <v>0</v>
      </c>
      <c r="AB36" s="232">
        <v>0</v>
      </c>
      <c r="AC36" s="232">
        <v>0</v>
      </c>
      <c r="AD36" s="232">
        <v>0</v>
      </c>
      <c r="AE36" s="232">
        <v>0</v>
      </c>
      <c r="AF36" s="232">
        <v>0</v>
      </c>
      <c r="AG36" s="232">
        <v>0</v>
      </c>
      <c r="AH36" s="232">
        <v>0</v>
      </c>
      <c r="AI36" s="232">
        <v>0</v>
      </c>
      <c r="AJ36" s="232">
        <v>0</v>
      </c>
      <c r="AK36" s="232">
        <v>0</v>
      </c>
      <c r="AL36" s="232">
        <v>0</v>
      </c>
      <c r="AM36" s="232">
        <v>0</v>
      </c>
      <c r="AN36" s="232">
        <v>0</v>
      </c>
      <c r="AO36" s="232">
        <v>0</v>
      </c>
      <c r="AP36" s="232">
        <v>0</v>
      </c>
      <c r="AQ36" s="232">
        <v>0</v>
      </c>
      <c r="AR36" s="232">
        <v>0</v>
      </c>
      <c r="AS36" s="232">
        <v>0</v>
      </c>
      <c r="AT36" s="232">
        <v>0</v>
      </c>
      <c r="AU36" s="232">
        <v>0</v>
      </c>
      <c r="AV36" s="232">
        <v>0</v>
      </c>
      <c r="AW36" s="232">
        <v>0</v>
      </c>
      <c r="AX36" s="232">
        <v>0</v>
      </c>
      <c r="AY36" s="232">
        <v>0</v>
      </c>
      <c r="AZ36" s="232">
        <v>0</v>
      </c>
      <c r="BA36" s="232">
        <v>0</v>
      </c>
      <c r="BB36" s="232">
        <v>0</v>
      </c>
      <c r="BC36" s="232">
        <v>0</v>
      </c>
      <c r="BD36" s="232">
        <v>0</v>
      </c>
      <c r="BE36" s="232">
        <v>0</v>
      </c>
      <c r="BF36" s="232">
        <v>0</v>
      </c>
      <c r="BG36" s="232">
        <v>0</v>
      </c>
      <c r="BH36" s="232">
        <v>0</v>
      </c>
      <c r="BI36" s="232">
        <v>0</v>
      </c>
      <c r="BJ36" s="232">
        <v>0</v>
      </c>
      <c r="BK36" s="23">
        <v>-85799.86</v>
      </c>
      <c r="BL36" s="23">
        <v>-228729.08</v>
      </c>
      <c r="BM36" s="23">
        <v>-249618.32</v>
      </c>
      <c r="BN36" s="23">
        <v>-180798.06</v>
      </c>
      <c r="BO36" s="23">
        <v>-184851.68</v>
      </c>
      <c r="BP36" s="23">
        <v>-130092.78</v>
      </c>
      <c r="BQ36" s="23">
        <v>-111725.25</v>
      </c>
      <c r="BR36" s="23">
        <v>-63469.59</v>
      </c>
      <c r="BS36" s="23">
        <v>-161744.21</v>
      </c>
      <c r="BT36" s="23">
        <v>-104332.22</v>
      </c>
      <c r="BU36" s="23">
        <v>-133399.24</v>
      </c>
      <c r="BV36" s="23">
        <v>-156237.47</v>
      </c>
      <c r="BW36" s="23">
        <v>-187594.71</v>
      </c>
      <c r="BX36" s="22">
        <f>-'Sch 41&amp;86 Deferral Calc'!C30</f>
        <v>-179901.79</v>
      </c>
      <c r="BY36" s="22">
        <f>-'Sch 41&amp;86 Deferral Calc'!D30</f>
        <v>-184776.37</v>
      </c>
      <c r="BZ36" s="22">
        <f>-'Sch 41&amp;86 Deferral Calc'!E30</f>
        <v>-181137.17</v>
      </c>
      <c r="CA36" s="22">
        <f>-'Sch 41&amp;86 Deferral Calc'!F30</f>
        <v>-159318.81</v>
      </c>
      <c r="CB36" s="22">
        <f>-'Sch 41&amp;86 Deferral Calc'!G30</f>
        <v>-39635.760000000002</v>
      </c>
      <c r="CC36" s="22">
        <f>-'Sch 41&amp;86 Deferral Calc'!H30</f>
        <v>-8941.3799999999992</v>
      </c>
      <c r="CD36" s="22">
        <f>-'Sch 41&amp;86 Deferral Calc'!I30</f>
        <v>11126.17</v>
      </c>
      <c r="CE36" s="22">
        <f>-'Sch 41&amp;86 Deferral Calc'!J30</f>
        <v>7425.68</v>
      </c>
      <c r="CF36" s="22">
        <f>-'Sch 41&amp;86 Deferral Calc'!K30</f>
        <v>7696.4</v>
      </c>
      <c r="CG36" s="22">
        <f>-'Sch 41&amp;86 Deferral Calc'!L30</f>
        <v>9443.07</v>
      </c>
      <c r="CH36" s="22">
        <f>-'Sch 41&amp;86 Deferral Calc'!M30</f>
        <v>10317.040000000001</v>
      </c>
      <c r="CI36" s="22">
        <f>-'Sch 41&amp;86 Deferral Calc'!N30</f>
        <v>11210.33</v>
      </c>
      <c r="CJ36" s="23">
        <v>11532.2</v>
      </c>
      <c r="CK36" s="23">
        <v>12608.2</v>
      </c>
      <c r="CL36" s="22">
        <f>-'Amort Estimate'!D33</f>
        <v>9514.5938299726604</v>
      </c>
      <c r="CM36" s="22">
        <f>-'Amort Estimate'!E33</f>
        <v>8196.5597700896014</v>
      </c>
    </row>
    <row r="37" spans="1:92" x14ac:dyDescent="0.2">
      <c r="B37" s="7" t="s">
        <v>198</v>
      </c>
      <c r="D37" s="24">
        <f t="shared" ref="D37:BY37" si="137">SUM(D34:D36)</f>
        <v>0</v>
      </c>
      <c r="E37" s="24">
        <f t="shared" si="137"/>
        <v>0</v>
      </c>
      <c r="F37" s="24">
        <f t="shared" si="137"/>
        <v>0</v>
      </c>
      <c r="G37" s="24">
        <f t="shared" si="137"/>
        <v>0</v>
      </c>
      <c r="H37" s="24">
        <f t="shared" si="137"/>
        <v>0</v>
      </c>
      <c r="I37" s="24">
        <f t="shared" si="137"/>
        <v>0</v>
      </c>
      <c r="J37" s="24">
        <f t="shared" si="137"/>
        <v>0</v>
      </c>
      <c r="K37" s="24">
        <f t="shared" si="137"/>
        <v>0</v>
      </c>
      <c r="L37" s="24">
        <f t="shared" si="137"/>
        <v>0</v>
      </c>
      <c r="M37" s="24">
        <f t="shared" si="137"/>
        <v>0</v>
      </c>
      <c r="N37" s="24">
        <f t="shared" si="137"/>
        <v>0</v>
      </c>
      <c r="O37" s="24">
        <f t="shared" si="137"/>
        <v>0</v>
      </c>
      <c r="P37" s="24">
        <f t="shared" si="137"/>
        <v>0</v>
      </c>
      <c r="Q37" s="24">
        <f t="shared" si="137"/>
        <v>0</v>
      </c>
      <c r="R37" s="24">
        <f t="shared" si="137"/>
        <v>0</v>
      </c>
      <c r="S37" s="24">
        <f t="shared" si="137"/>
        <v>0</v>
      </c>
      <c r="T37" s="24">
        <f t="shared" si="137"/>
        <v>0</v>
      </c>
      <c r="U37" s="24">
        <f t="shared" si="137"/>
        <v>0</v>
      </c>
      <c r="V37" s="24">
        <f t="shared" si="137"/>
        <v>0</v>
      </c>
      <c r="W37" s="24">
        <f t="shared" si="137"/>
        <v>0</v>
      </c>
      <c r="X37" s="24">
        <f t="shared" si="137"/>
        <v>0</v>
      </c>
      <c r="Y37" s="24">
        <f t="shared" si="137"/>
        <v>0</v>
      </c>
      <c r="Z37" s="24">
        <f t="shared" si="137"/>
        <v>0</v>
      </c>
      <c r="AA37" s="24">
        <f t="shared" si="137"/>
        <v>0</v>
      </c>
      <c r="AB37" s="24">
        <f t="shared" si="137"/>
        <v>0</v>
      </c>
      <c r="AC37" s="24">
        <f t="shared" si="137"/>
        <v>0</v>
      </c>
      <c r="AD37" s="24">
        <f t="shared" si="137"/>
        <v>0</v>
      </c>
      <c r="AE37" s="24">
        <f t="shared" si="137"/>
        <v>0</v>
      </c>
      <c r="AF37" s="24">
        <f t="shared" si="137"/>
        <v>0</v>
      </c>
      <c r="AG37" s="24">
        <f t="shared" si="137"/>
        <v>0</v>
      </c>
      <c r="AH37" s="24">
        <f t="shared" si="137"/>
        <v>0</v>
      </c>
      <c r="AI37" s="24">
        <f t="shared" si="137"/>
        <v>0</v>
      </c>
      <c r="AJ37" s="24">
        <f t="shared" si="137"/>
        <v>0</v>
      </c>
      <c r="AK37" s="24">
        <f t="shared" si="137"/>
        <v>0</v>
      </c>
      <c r="AL37" s="24">
        <f t="shared" si="137"/>
        <v>0</v>
      </c>
      <c r="AM37" s="24">
        <f t="shared" si="137"/>
        <v>0</v>
      </c>
      <c r="AN37" s="24">
        <f t="shared" si="137"/>
        <v>0</v>
      </c>
      <c r="AO37" s="24">
        <f t="shared" si="137"/>
        <v>0</v>
      </c>
      <c r="AP37" s="24">
        <f t="shared" si="137"/>
        <v>0</v>
      </c>
      <c r="AQ37" s="24">
        <f t="shared" si="137"/>
        <v>0</v>
      </c>
      <c r="AR37" s="24">
        <f t="shared" si="137"/>
        <v>0</v>
      </c>
      <c r="AS37" s="24">
        <f t="shared" si="137"/>
        <v>0</v>
      </c>
      <c r="AT37" s="24">
        <f t="shared" si="137"/>
        <v>0</v>
      </c>
      <c r="AU37" s="24">
        <f t="shared" si="137"/>
        <v>0</v>
      </c>
      <c r="AV37" s="24">
        <f t="shared" si="137"/>
        <v>0</v>
      </c>
      <c r="AW37" s="24">
        <f t="shared" si="137"/>
        <v>0</v>
      </c>
      <c r="AX37" s="24">
        <f t="shared" si="137"/>
        <v>0</v>
      </c>
      <c r="AY37" s="24">
        <f t="shared" si="137"/>
        <v>0</v>
      </c>
      <c r="AZ37" s="24">
        <f t="shared" si="137"/>
        <v>0</v>
      </c>
      <c r="BA37" s="24">
        <f t="shared" si="137"/>
        <v>0</v>
      </c>
      <c r="BB37" s="24">
        <f t="shared" si="137"/>
        <v>0</v>
      </c>
      <c r="BC37" s="24">
        <f t="shared" si="137"/>
        <v>0</v>
      </c>
      <c r="BD37" s="24">
        <f t="shared" si="137"/>
        <v>0</v>
      </c>
      <c r="BE37" s="24">
        <f t="shared" si="137"/>
        <v>0</v>
      </c>
      <c r="BF37" s="24">
        <f t="shared" si="137"/>
        <v>0</v>
      </c>
      <c r="BG37" s="24">
        <f t="shared" si="137"/>
        <v>0</v>
      </c>
      <c r="BH37" s="24">
        <f t="shared" si="137"/>
        <v>0</v>
      </c>
      <c r="BI37" s="24">
        <f t="shared" si="137"/>
        <v>0</v>
      </c>
      <c r="BJ37" s="24">
        <f t="shared" si="137"/>
        <v>0</v>
      </c>
      <c r="BK37" s="24">
        <f t="shared" si="137"/>
        <v>-85799.86</v>
      </c>
      <c r="BL37" s="24">
        <f t="shared" ref="BL37:BX37" si="138">SUM(BL34:BL36)</f>
        <v>2526810.3771100002</v>
      </c>
      <c r="BM37" s="24">
        <f t="shared" si="138"/>
        <v>-249618.32</v>
      </c>
      <c r="BN37" s="24">
        <f t="shared" si="138"/>
        <v>-180798.06</v>
      </c>
      <c r="BO37" s="24">
        <f t="shared" si="138"/>
        <v>-184851.68</v>
      </c>
      <c r="BP37" s="24">
        <f t="shared" si="138"/>
        <v>-27301.64376634892</v>
      </c>
      <c r="BQ37" s="24">
        <f t="shared" si="138"/>
        <v>-111725.25</v>
      </c>
      <c r="BR37" s="24">
        <f t="shared" si="138"/>
        <v>-63469.59</v>
      </c>
      <c r="BS37" s="24">
        <f t="shared" si="138"/>
        <v>-161744.21</v>
      </c>
      <c r="BT37" s="24">
        <f t="shared" si="138"/>
        <v>-104332.22</v>
      </c>
      <c r="BU37" s="24">
        <f t="shared" si="138"/>
        <v>-133399.24</v>
      </c>
      <c r="BV37" s="24">
        <f t="shared" si="138"/>
        <v>-156237.47</v>
      </c>
      <c r="BW37" s="24">
        <f t="shared" si="138"/>
        <v>-187594.71</v>
      </c>
      <c r="BX37" s="24">
        <f t="shared" si="138"/>
        <v>-179901.79</v>
      </c>
      <c r="BY37" s="24">
        <f t="shared" si="137"/>
        <v>-184776.37</v>
      </c>
      <c r="BZ37" s="24">
        <f t="shared" ref="BZ37:CH37" si="139">SUM(BZ34:BZ36)</f>
        <v>-181137.17</v>
      </c>
      <c r="CA37" s="24">
        <f t="shared" si="139"/>
        <v>-159318.81</v>
      </c>
      <c r="CB37" s="24">
        <f t="shared" si="139"/>
        <v>-300644.63</v>
      </c>
      <c r="CC37" s="24">
        <f t="shared" si="139"/>
        <v>-8941.3799999999992</v>
      </c>
      <c r="CD37" s="24">
        <f t="shared" si="139"/>
        <v>11126.17</v>
      </c>
      <c r="CE37" s="24">
        <f t="shared" si="139"/>
        <v>7425.68</v>
      </c>
      <c r="CF37" s="24">
        <f t="shared" si="139"/>
        <v>7696.4</v>
      </c>
      <c r="CG37" s="24">
        <f t="shared" si="139"/>
        <v>9443.07</v>
      </c>
      <c r="CH37" s="24">
        <f t="shared" si="139"/>
        <v>10317.040000000001</v>
      </c>
      <c r="CI37" s="24">
        <f t="shared" ref="CI37:CM37" si="140">SUM(CI34:CI36)</f>
        <v>11210.33</v>
      </c>
      <c r="CJ37" s="24">
        <f t="shared" si="140"/>
        <v>11532.2</v>
      </c>
      <c r="CK37" s="24">
        <f t="shared" si="140"/>
        <v>12608.2</v>
      </c>
      <c r="CL37" s="24">
        <f t="shared" si="140"/>
        <v>9514.5938299726604</v>
      </c>
      <c r="CM37" s="24">
        <f t="shared" si="140"/>
        <v>8196.5597700896014</v>
      </c>
    </row>
    <row r="38" spans="1:92" x14ac:dyDescent="0.2">
      <c r="B38" s="7" t="s">
        <v>199</v>
      </c>
      <c r="D38" s="17">
        <f>D33+D37</f>
        <v>0</v>
      </c>
      <c r="E38" s="17">
        <f t="shared" ref="E38:BY38" si="141">E33+E37</f>
        <v>0</v>
      </c>
      <c r="F38" s="17">
        <f t="shared" si="141"/>
        <v>0</v>
      </c>
      <c r="G38" s="17">
        <f t="shared" si="141"/>
        <v>0</v>
      </c>
      <c r="H38" s="17">
        <f t="shared" si="141"/>
        <v>0</v>
      </c>
      <c r="I38" s="17">
        <f t="shared" si="141"/>
        <v>0</v>
      </c>
      <c r="J38" s="17">
        <f t="shared" si="141"/>
        <v>0</v>
      </c>
      <c r="K38" s="17">
        <f t="shared" si="141"/>
        <v>0</v>
      </c>
      <c r="L38" s="17">
        <f t="shared" si="141"/>
        <v>0</v>
      </c>
      <c r="M38" s="17">
        <f t="shared" si="141"/>
        <v>0</v>
      </c>
      <c r="N38" s="17">
        <f t="shared" si="141"/>
        <v>0</v>
      </c>
      <c r="O38" s="17">
        <f t="shared" si="141"/>
        <v>0</v>
      </c>
      <c r="P38" s="17">
        <f t="shared" si="141"/>
        <v>0</v>
      </c>
      <c r="Q38" s="17">
        <f t="shared" si="141"/>
        <v>0</v>
      </c>
      <c r="R38" s="17">
        <f t="shared" si="141"/>
        <v>0</v>
      </c>
      <c r="S38" s="17">
        <f t="shared" si="141"/>
        <v>0</v>
      </c>
      <c r="T38" s="17">
        <f t="shared" si="141"/>
        <v>0</v>
      </c>
      <c r="U38" s="17">
        <f t="shared" si="141"/>
        <v>0</v>
      </c>
      <c r="V38" s="17">
        <f t="shared" si="141"/>
        <v>0</v>
      </c>
      <c r="W38" s="17">
        <f t="shared" si="141"/>
        <v>0</v>
      </c>
      <c r="X38" s="17">
        <f t="shared" si="141"/>
        <v>0</v>
      </c>
      <c r="Y38" s="17">
        <f t="shared" si="141"/>
        <v>0</v>
      </c>
      <c r="Z38" s="17">
        <f t="shared" si="141"/>
        <v>0</v>
      </c>
      <c r="AA38" s="17">
        <f t="shared" si="141"/>
        <v>0</v>
      </c>
      <c r="AB38" s="17">
        <f t="shared" si="141"/>
        <v>0</v>
      </c>
      <c r="AC38" s="17">
        <f t="shared" si="141"/>
        <v>0</v>
      </c>
      <c r="AD38" s="17">
        <f t="shared" si="141"/>
        <v>0</v>
      </c>
      <c r="AE38" s="17">
        <f t="shared" si="141"/>
        <v>0</v>
      </c>
      <c r="AF38" s="17">
        <f t="shared" si="141"/>
        <v>0</v>
      </c>
      <c r="AG38" s="17">
        <f t="shared" si="141"/>
        <v>0</v>
      </c>
      <c r="AH38" s="17">
        <f t="shared" si="141"/>
        <v>0</v>
      </c>
      <c r="AI38" s="17">
        <f t="shared" si="141"/>
        <v>0</v>
      </c>
      <c r="AJ38" s="17">
        <f t="shared" si="141"/>
        <v>0</v>
      </c>
      <c r="AK38" s="17">
        <f t="shared" si="141"/>
        <v>0</v>
      </c>
      <c r="AL38" s="17">
        <f t="shared" si="141"/>
        <v>0</v>
      </c>
      <c r="AM38" s="17">
        <f t="shared" si="141"/>
        <v>0</v>
      </c>
      <c r="AN38" s="17">
        <f t="shared" si="141"/>
        <v>0</v>
      </c>
      <c r="AO38" s="17">
        <f t="shared" si="141"/>
        <v>0</v>
      </c>
      <c r="AP38" s="17">
        <f t="shared" si="141"/>
        <v>0</v>
      </c>
      <c r="AQ38" s="17">
        <f t="shared" si="141"/>
        <v>0</v>
      </c>
      <c r="AR38" s="17">
        <f t="shared" si="141"/>
        <v>0</v>
      </c>
      <c r="AS38" s="17">
        <f t="shared" si="141"/>
        <v>0</v>
      </c>
      <c r="AT38" s="17">
        <f t="shared" si="141"/>
        <v>0</v>
      </c>
      <c r="AU38" s="17">
        <f t="shared" si="141"/>
        <v>0</v>
      </c>
      <c r="AV38" s="17">
        <f t="shared" si="141"/>
        <v>0</v>
      </c>
      <c r="AW38" s="17">
        <f t="shared" si="141"/>
        <v>0</v>
      </c>
      <c r="AX38" s="17">
        <f t="shared" si="141"/>
        <v>0</v>
      </c>
      <c r="AY38" s="17">
        <f t="shared" si="141"/>
        <v>0</v>
      </c>
      <c r="AZ38" s="17">
        <f t="shared" si="141"/>
        <v>0</v>
      </c>
      <c r="BA38" s="17">
        <f t="shared" si="141"/>
        <v>0</v>
      </c>
      <c r="BB38" s="17">
        <f t="shared" si="141"/>
        <v>0</v>
      </c>
      <c r="BC38" s="17">
        <f t="shared" si="141"/>
        <v>0</v>
      </c>
      <c r="BD38" s="17">
        <f t="shared" si="141"/>
        <v>0</v>
      </c>
      <c r="BE38" s="17">
        <f t="shared" si="141"/>
        <v>0</v>
      </c>
      <c r="BF38" s="17">
        <f t="shared" si="141"/>
        <v>0</v>
      </c>
      <c r="BG38" s="17">
        <f t="shared" si="141"/>
        <v>0</v>
      </c>
      <c r="BH38" s="17">
        <f t="shared" si="141"/>
        <v>0</v>
      </c>
      <c r="BI38" s="17">
        <f t="shared" si="141"/>
        <v>0</v>
      </c>
      <c r="BJ38" s="17">
        <f t="shared" si="141"/>
        <v>0</v>
      </c>
      <c r="BK38" s="17">
        <f t="shared" si="141"/>
        <v>-85799.86</v>
      </c>
      <c r="BL38" s="17">
        <f t="shared" ref="BL38:BX38" si="142">BL33+BL37</f>
        <v>2441010.5171100004</v>
      </c>
      <c r="BM38" s="17">
        <f t="shared" si="142"/>
        <v>2191392.1971100005</v>
      </c>
      <c r="BN38" s="17">
        <f t="shared" si="142"/>
        <v>2010594.1371100005</v>
      </c>
      <c r="BO38" s="17">
        <f t="shared" si="142"/>
        <v>1825742.4571100005</v>
      </c>
      <c r="BP38" s="17">
        <f t="shared" si="142"/>
        <v>1798440.8133436516</v>
      </c>
      <c r="BQ38" s="17">
        <f t="shared" si="142"/>
        <v>1686715.5633436516</v>
      </c>
      <c r="BR38" s="17">
        <f t="shared" si="142"/>
        <v>1623245.9733436515</v>
      </c>
      <c r="BS38" s="17">
        <f t="shared" si="142"/>
        <v>1461501.7633436515</v>
      </c>
      <c r="BT38" s="17">
        <f t="shared" si="142"/>
        <v>1357169.5433436516</v>
      </c>
      <c r="BU38" s="17">
        <f t="shared" si="142"/>
        <v>1223770.3033436516</v>
      </c>
      <c r="BV38" s="17">
        <f t="shared" si="142"/>
        <v>1067532.8333436516</v>
      </c>
      <c r="BW38" s="17">
        <f t="shared" si="142"/>
        <v>879938.12334365165</v>
      </c>
      <c r="BX38" s="17">
        <f t="shared" si="142"/>
        <v>700036.33334365161</v>
      </c>
      <c r="BY38" s="17">
        <f t="shared" si="141"/>
        <v>515259.96334365162</v>
      </c>
      <c r="BZ38" s="17">
        <f t="shared" ref="BZ38:CH38" si="143">BZ33+BZ37</f>
        <v>334122.79334365157</v>
      </c>
      <c r="CA38" s="17">
        <f t="shared" si="143"/>
        <v>174803.98334365158</v>
      </c>
      <c r="CB38" s="17">
        <f t="shared" si="143"/>
        <v>-125840.64665634843</v>
      </c>
      <c r="CC38" s="17">
        <f t="shared" si="143"/>
        <v>-134782.02665634843</v>
      </c>
      <c r="CD38" s="17">
        <f t="shared" si="143"/>
        <v>-123655.85665634843</v>
      </c>
      <c r="CE38" s="17">
        <f t="shared" si="143"/>
        <v>-116230.17665634843</v>
      </c>
      <c r="CF38" s="17">
        <f t="shared" si="143"/>
        <v>-108533.77665634843</v>
      </c>
      <c r="CG38" s="17">
        <f t="shared" si="143"/>
        <v>-99090.706656348426</v>
      </c>
      <c r="CH38" s="17">
        <f t="shared" si="143"/>
        <v>-88773.666656348418</v>
      </c>
      <c r="CI38" s="17">
        <f t="shared" ref="CI38:CM38" si="144">CI33+CI37</f>
        <v>-77563.336656348416</v>
      </c>
      <c r="CJ38" s="17">
        <f t="shared" si="144"/>
        <v>-66031.136656348419</v>
      </c>
      <c r="CK38" s="17">
        <f t="shared" si="144"/>
        <v>-53422.936656348422</v>
      </c>
      <c r="CL38" s="17">
        <f t="shared" si="144"/>
        <v>-43908.34282637576</v>
      </c>
      <c r="CM38" s="17">
        <f t="shared" si="144"/>
        <v>-35711.783056286156</v>
      </c>
    </row>
    <row r="39" spans="1:92" x14ac:dyDescent="0.2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</row>
    <row r="40" spans="1:92" x14ac:dyDescent="0.2">
      <c r="A40" s="4" t="s">
        <v>203</v>
      </c>
      <c r="C40" s="15">
        <v>18238142</v>
      </c>
      <c r="F40" s="8"/>
      <c r="CI40" s="8"/>
      <c r="CL40" s="8"/>
      <c r="CM40" s="8"/>
    </row>
    <row r="41" spans="1:92" x14ac:dyDescent="0.2">
      <c r="B41" s="7" t="s">
        <v>195</v>
      </c>
      <c r="C41" s="15">
        <v>25400342</v>
      </c>
      <c r="D41" s="17">
        <v>0</v>
      </c>
      <c r="E41" s="17">
        <f>D46</f>
        <v>0</v>
      </c>
      <c r="F41" s="17">
        <f t="shared" ref="F41:CC41" si="145">E46</f>
        <v>0</v>
      </c>
      <c r="G41" s="17">
        <f t="shared" si="145"/>
        <v>0</v>
      </c>
      <c r="H41" s="17">
        <f t="shared" si="145"/>
        <v>0</v>
      </c>
      <c r="I41" s="17">
        <f t="shared" si="145"/>
        <v>0</v>
      </c>
      <c r="J41" s="17">
        <f t="shared" si="145"/>
        <v>0</v>
      </c>
      <c r="K41" s="17">
        <f t="shared" si="145"/>
        <v>948189.55861061451</v>
      </c>
      <c r="L41" s="17">
        <f t="shared" si="145"/>
        <v>1309380.914206563</v>
      </c>
      <c r="M41" s="17">
        <f t="shared" si="145"/>
        <v>1585414.1343927504</v>
      </c>
      <c r="N41" s="17">
        <f t="shared" si="145"/>
        <v>-1292661.2666015443</v>
      </c>
      <c r="O41" s="17">
        <f t="shared" si="145"/>
        <v>-1019644.9975526362</v>
      </c>
      <c r="P41" s="17">
        <f t="shared" si="145"/>
        <v>-5451693.8924886947</v>
      </c>
      <c r="Q41" s="17">
        <f t="shared" si="145"/>
        <v>-5883642.9405475566</v>
      </c>
      <c r="R41" s="17">
        <f t="shared" si="145"/>
        <v>-6890920.3557745451</v>
      </c>
      <c r="S41" s="17">
        <f t="shared" si="145"/>
        <v>-5107113.3438407267</v>
      </c>
      <c r="T41" s="17">
        <f t="shared" si="145"/>
        <v>-2660706.099599483</v>
      </c>
      <c r="U41" s="17">
        <f t="shared" si="145"/>
        <v>5805839.1381995417</v>
      </c>
      <c r="V41" s="17">
        <f t="shared" si="145"/>
        <v>6919630.2114182347</v>
      </c>
      <c r="W41" s="17">
        <f t="shared" si="145"/>
        <v>8026633.245574818</v>
      </c>
      <c r="X41" s="17">
        <f t="shared" si="145"/>
        <v>9051922.6478806362</v>
      </c>
      <c r="Y41" s="17">
        <f t="shared" si="145"/>
        <v>11137400.832769608</v>
      </c>
      <c r="Z41" s="17">
        <f t="shared" si="145"/>
        <v>16861799.080129482</v>
      </c>
      <c r="AA41" s="17">
        <f t="shared" si="145"/>
        <v>18421242.087891102</v>
      </c>
      <c r="AB41" s="17">
        <f t="shared" si="145"/>
        <v>23504773.279758234</v>
      </c>
      <c r="AC41" s="17">
        <f t="shared" si="145"/>
        <v>30135800.84475198</v>
      </c>
      <c r="AD41" s="17">
        <f t="shared" si="145"/>
        <v>41226697.414950356</v>
      </c>
      <c r="AE41" s="17">
        <f t="shared" si="145"/>
        <v>44927909.796243265</v>
      </c>
      <c r="AF41" s="17">
        <f t="shared" si="145"/>
        <v>47759894.536120407</v>
      </c>
      <c r="AG41" s="17">
        <f t="shared" si="145"/>
        <v>37617584.338868715</v>
      </c>
      <c r="AH41" s="17">
        <f t="shared" si="145"/>
        <v>40029651.535180777</v>
      </c>
      <c r="AI41" s="17">
        <f t="shared" si="145"/>
        <v>41784370.954414472</v>
      </c>
      <c r="AJ41" s="17">
        <f t="shared" si="145"/>
        <v>42807769.764948323</v>
      </c>
      <c r="AK41" s="17">
        <f t="shared" si="145"/>
        <v>43713451.087717578</v>
      </c>
      <c r="AL41" s="17">
        <f t="shared" si="145"/>
        <v>48950342.592510745</v>
      </c>
      <c r="AM41" s="17">
        <f t="shared" si="145"/>
        <v>49386298.475011207</v>
      </c>
      <c r="AN41" s="17">
        <f t="shared" si="145"/>
        <v>51590267.038251668</v>
      </c>
      <c r="AO41" s="17">
        <f t="shared" si="145"/>
        <v>54108520.22397361</v>
      </c>
      <c r="AP41" s="17">
        <f t="shared" si="145"/>
        <v>62352740.65854118</v>
      </c>
      <c r="AQ41" s="17">
        <f t="shared" si="145"/>
        <v>66827164.623767182</v>
      </c>
      <c r="AR41" s="17">
        <f t="shared" si="145"/>
        <v>74444070.725021631</v>
      </c>
      <c r="AS41" s="17">
        <f t="shared" si="145"/>
        <v>53650765.155978046</v>
      </c>
      <c r="AT41" s="17">
        <f t="shared" si="145"/>
        <v>55203724.259705514</v>
      </c>
      <c r="AU41" s="17">
        <f t="shared" si="145"/>
        <v>56020083.043803379</v>
      </c>
      <c r="AV41" s="17">
        <f t="shared" si="145"/>
        <v>57138080.592591062</v>
      </c>
      <c r="AW41" s="17">
        <f t="shared" si="145"/>
        <v>58317423.099107809</v>
      </c>
      <c r="AX41" s="17">
        <f t="shared" si="145"/>
        <v>61123938.86965885</v>
      </c>
      <c r="AY41" s="17">
        <f t="shared" si="145"/>
        <v>69907437.121819332</v>
      </c>
      <c r="AZ41" s="17">
        <f t="shared" si="145"/>
        <v>67008877.481961094</v>
      </c>
      <c r="BA41" s="17">
        <f t="shared" si="145"/>
        <v>61103428.351961091</v>
      </c>
      <c r="BB41" s="17">
        <f t="shared" si="145"/>
        <v>61930898.431961089</v>
      </c>
      <c r="BC41" s="17">
        <f t="shared" si="145"/>
        <v>62272516.471961088</v>
      </c>
      <c r="BD41" s="17">
        <f t="shared" si="145"/>
        <v>63637637.741961092</v>
      </c>
      <c r="BE41" s="17">
        <f t="shared" si="145"/>
        <v>42385959.391961098</v>
      </c>
      <c r="BF41" s="17">
        <f t="shared" si="145"/>
        <v>43477855.731961101</v>
      </c>
      <c r="BG41" s="17">
        <f t="shared" si="145"/>
        <v>44602172.691961102</v>
      </c>
      <c r="BH41" s="17">
        <f t="shared" si="145"/>
        <v>45661534.331961103</v>
      </c>
      <c r="BI41" s="17">
        <f t="shared" si="145"/>
        <v>47343191.751961105</v>
      </c>
      <c r="BJ41" s="17">
        <f t="shared" si="145"/>
        <v>47298062.251961105</v>
      </c>
      <c r="BK41" s="17">
        <f t="shared" si="145"/>
        <v>48666277.821961105</v>
      </c>
      <c r="BL41" s="17">
        <f t="shared" ref="BL41" si="146">BK46</f>
        <v>48106219.391961105</v>
      </c>
      <c r="BM41" s="17">
        <f t="shared" ref="BM41" si="147">BL46</f>
        <v>52122114.241961107</v>
      </c>
      <c r="BN41" s="17">
        <f t="shared" ref="BN41" si="148">BM46</f>
        <v>49790310.971961103</v>
      </c>
      <c r="BO41" s="17">
        <f t="shared" ref="BO41" si="149">BN46</f>
        <v>47683988.981961101</v>
      </c>
      <c r="BP41" s="17">
        <f t="shared" ref="BP41" si="150">BO46</f>
        <v>46029538.861961104</v>
      </c>
      <c r="BQ41" s="17">
        <f t="shared" ref="BQ41" si="151">BP46</f>
        <v>569295.06196109951</v>
      </c>
      <c r="BR41" s="17">
        <f t="shared" ref="BR41" si="152">BQ46</f>
        <v>984864.00196109945</v>
      </c>
      <c r="BS41" s="17">
        <f t="shared" ref="BS41" si="153">BR46</f>
        <v>1643080.9219610994</v>
      </c>
      <c r="BT41" s="17">
        <f t="shared" ref="BT41" si="154">BS46</f>
        <v>2057694.5919610993</v>
      </c>
      <c r="BU41" s="17">
        <f t="shared" ref="BU41" si="155">BT46</f>
        <v>2790361.0619610995</v>
      </c>
      <c r="BV41" s="17">
        <f t="shared" ref="BV41" si="156">BU46</f>
        <v>3417884.2319610994</v>
      </c>
      <c r="BW41" s="17">
        <f t="shared" ref="BW41" si="157">BV46</f>
        <v>4241976.5419611</v>
      </c>
      <c r="BX41" s="17">
        <f t="shared" ref="BX41" si="158">BW46</f>
        <v>8679582.1019610986</v>
      </c>
      <c r="BY41" s="17">
        <f t="shared" si="145"/>
        <v>11756480.441961098</v>
      </c>
      <c r="BZ41" s="17">
        <f t="shared" si="145"/>
        <v>4199202.5819610981</v>
      </c>
      <c r="CA41" s="17">
        <f t="shared" si="145"/>
        <v>5491121.1319610979</v>
      </c>
      <c r="CB41" s="17">
        <f t="shared" si="145"/>
        <v>7535959.3819610979</v>
      </c>
      <c r="CC41" s="17">
        <f t="shared" si="145"/>
        <v>1198266.0299999993</v>
      </c>
      <c r="CD41" s="17">
        <f t="shared" ref="CD41:CM41" si="159">CC46</f>
        <v>1833873.2899999993</v>
      </c>
      <c r="CE41" s="17">
        <f t="shared" si="159"/>
        <v>1764389.2799999993</v>
      </c>
      <c r="CF41" s="17">
        <f t="shared" si="159"/>
        <v>1787116.5899999994</v>
      </c>
      <c r="CG41" s="17">
        <f t="shared" si="159"/>
        <v>3107848.3599999994</v>
      </c>
      <c r="CH41" s="17">
        <f t="shared" si="159"/>
        <v>1010727.9099999995</v>
      </c>
      <c r="CI41" s="17">
        <f t="shared" si="159"/>
        <v>3361222.459999999</v>
      </c>
      <c r="CJ41" s="17">
        <f t="shared" si="159"/>
        <v>4929971.0699999994</v>
      </c>
      <c r="CK41" s="17">
        <f t="shared" si="159"/>
        <v>4929971.0699999994</v>
      </c>
      <c r="CL41" s="17">
        <f t="shared" si="159"/>
        <v>4929971.0699999994</v>
      </c>
      <c r="CM41" s="17">
        <f t="shared" si="159"/>
        <v>4929971.0699999994</v>
      </c>
    </row>
    <row r="42" spans="1:92" s="25" customFormat="1" x14ac:dyDescent="0.2">
      <c r="B42" s="21" t="s">
        <v>196</v>
      </c>
      <c r="C42" s="11"/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5451693.8924886901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-13317115.033646883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0</v>
      </c>
      <c r="AQ42" s="23">
        <v>0</v>
      </c>
      <c r="AR42" s="23">
        <v>-24120599.683439501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0</v>
      </c>
      <c r="AY42" s="23">
        <v>0</v>
      </c>
      <c r="AZ42" s="23">
        <v>0</v>
      </c>
      <c r="BA42" s="23">
        <v>0</v>
      </c>
      <c r="BB42" s="23">
        <v>0</v>
      </c>
      <c r="BC42" s="23">
        <v>0</v>
      </c>
      <c r="BD42" s="23">
        <v>-21668662.969999999</v>
      </c>
      <c r="BE42" s="23">
        <v>0</v>
      </c>
      <c r="BF42" s="23">
        <v>0</v>
      </c>
      <c r="BG42" s="23">
        <v>0</v>
      </c>
      <c r="BH42" s="23">
        <v>0</v>
      </c>
      <c r="BI42" s="23">
        <v>0</v>
      </c>
      <c r="BJ42" s="23">
        <v>0</v>
      </c>
      <c r="BK42" s="23">
        <v>0</v>
      </c>
      <c r="BL42" s="23">
        <v>0</v>
      </c>
      <c r="BM42" s="23">
        <v>0</v>
      </c>
      <c r="BN42" s="23">
        <v>0</v>
      </c>
      <c r="BO42" s="23">
        <v>0</v>
      </c>
      <c r="BP42" s="23">
        <v>-48106199.670000002</v>
      </c>
      <c r="BQ42" s="23">
        <v>0</v>
      </c>
      <c r="BR42" s="23">
        <v>0</v>
      </c>
      <c r="BS42" s="23">
        <v>0</v>
      </c>
      <c r="BT42" s="23">
        <v>0</v>
      </c>
      <c r="BU42" s="23">
        <v>0</v>
      </c>
      <c r="BV42" s="23">
        <v>0</v>
      </c>
      <c r="BW42" s="23">
        <v>0</v>
      </c>
      <c r="BX42" s="23">
        <v>0</v>
      </c>
      <c r="BY42" s="232">
        <v>0</v>
      </c>
      <c r="BZ42" s="232">
        <v>0</v>
      </c>
      <c r="CA42" s="232">
        <v>0</v>
      </c>
      <c r="CB42" s="232">
        <v>-8679582.1019610986</v>
      </c>
      <c r="CC42" s="232">
        <v>0</v>
      </c>
      <c r="CD42" s="232">
        <v>0</v>
      </c>
      <c r="CE42" s="232">
        <v>0</v>
      </c>
      <c r="CF42" s="23">
        <v>0</v>
      </c>
      <c r="CG42" s="23">
        <v>0</v>
      </c>
      <c r="CH42" s="23">
        <v>0</v>
      </c>
      <c r="CI42" s="23">
        <v>0</v>
      </c>
      <c r="CJ42" s="23"/>
      <c r="CK42" s="23"/>
      <c r="CL42" s="23"/>
      <c r="CM42" s="23"/>
    </row>
    <row r="43" spans="1:92" s="21" customFormat="1" x14ac:dyDescent="0.2">
      <c r="A43" s="25"/>
      <c r="B43" s="21" t="s">
        <v>408</v>
      </c>
      <c r="C43" s="11"/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-4007313.2348715151</v>
      </c>
      <c r="AE43" s="23">
        <v>-398973.27444359008</v>
      </c>
      <c r="AF43" s="23">
        <v>13602.820653037168</v>
      </c>
      <c r="AG43" s="23">
        <v>-2678.5843998761848</v>
      </c>
      <c r="AH43" s="23">
        <v>-524.31119779497385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0</v>
      </c>
      <c r="BR43" s="23">
        <v>0</v>
      </c>
      <c r="BS43" s="23">
        <v>0</v>
      </c>
      <c r="BT43" s="23">
        <v>0</v>
      </c>
      <c r="BU43" s="23">
        <v>0</v>
      </c>
      <c r="BV43" s="23">
        <v>0</v>
      </c>
      <c r="BW43" s="23">
        <v>0</v>
      </c>
      <c r="BX43" s="23">
        <v>0</v>
      </c>
      <c r="BY43" s="232">
        <v>0</v>
      </c>
      <c r="BZ43" s="232">
        <v>0</v>
      </c>
      <c r="CA43" s="232">
        <v>0</v>
      </c>
      <c r="CB43" s="232">
        <v>0</v>
      </c>
      <c r="CC43" s="232">
        <v>0</v>
      </c>
      <c r="CD43" s="232">
        <v>0</v>
      </c>
      <c r="CE43" s="232">
        <v>0</v>
      </c>
      <c r="CF43" s="23">
        <v>0</v>
      </c>
      <c r="CG43" s="23">
        <v>0</v>
      </c>
      <c r="CH43" s="23">
        <v>0</v>
      </c>
      <c r="CI43" s="23">
        <v>0</v>
      </c>
      <c r="CJ43" s="23"/>
      <c r="CK43" s="23"/>
      <c r="CL43" s="23"/>
      <c r="CM43" s="23"/>
      <c r="CN43" s="25"/>
    </row>
    <row r="44" spans="1:92" x14ac:dyDescent="0.2">
      <c r="A44" s="21"/>
      <c r="B44" s="21" t="s">
        <v>204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948189.55861061451</v>
      </c>
      <c r="K44" s="23">
        <v>361191.35559594858</v>
      </c>
      <c r="L44" s="23">
        <v>276033.22018618736</v>
      </c>
      <c r="M44" s="23">
        <v>-2878075.4009942948</v>
      </c>
      <c r="N44" s="23">
        <v>273016.26904890814</v>
      </c>
      <c r="O44" s="23">
        <v>-4432048.8949360587</v>
      </c>
      <c r="P44" s="23">
        <v>-431949.04805886181</v>
      </c>
      <c r="Q44" s="23">
        <v>-1007277.4152269885</v>
      </c>
      <c r="R44" s="23">
        <v>1783807.0119338187</v>
      </c>
      <c r="S44" s="23">
        <v>2446407.2442412437</v>
      </c>
      <c r="T44" s="23">
        <v>3014851.3453103346</v>
      </c>
      <c r="U44" s="23">
        <v>1113791.0732186933</v>
      </c>
      <c r="V44" s="23">
        <v>1107003.0341565832</v>
      </c>
      <c r="W44" s="23">
        <v>1025289.4023058179</v>
      </c>
      <c r="X44" s="23">
        <v>2085478.1848889724</v>
      </c>
      <c r="Y44" s="23">
        <v>5724398.2473598737</v>
      </c>
      <c r="Z44" s="23">
        <v>1559443.0077616186</v>
      </c>
      <c r="AA44" s="23">
        <v>5083531.1918671317</v>
      </c>
      <c r="AB44" s="23">
        <v>6631027.5649937475</v>
      </c>
      <c r="AC44" s="23">
        <v>11090896.570198379</v>
      </c>
      <c r="AD44" s="23">
        <v>7708525.6161644282</v>
      </c>
      <c r="AE44" s="23">
        <v>3230958.0143207326</v>
      </c>
      <c r="AF44" s="23">
        <v>3161202.0157421548</v>
      </c>
      <c r="AG44" s="23">
        <v>2414745.7807119414</v>
      </c>
      <c r="AH44" s="23">
        <v>1755243.7304314866</v>
      </c>
      <c r="AI44" s="23">
        <v>1023398.8105338494</v>
      </c>
      <c r="AJ44" s="23">
        <v>905681.32276925654</v>
      </c>
      <c r="AK44" s="23">
        <v>5236891.5047931699</v>
      </c>
      <c r="AL44" s="23">
        <v>435955.8825004641</v>
      </c>
      <c r="AM44" s="23">
        <v>2203968.5632404643</v>
      </c>
      <c r="AN44" s="23">
        <v>2518253.1857219427</v>
      </c>
      <c r="AO44" s="23">
        <v>8244220.4345675725</v>
      </c>
      <c r="AP44" s="23">
        <v>4474423.965226003</v>
      </c>
      <c r="AQ44" s="23">
        <v>7616906.1012544511</v>
      </c>
      <c r="AR44" s="23">
        <v>3327294.1143959179</v>
      </c>
      <c r="AS44" s="23">
        <v>1552959.103727466</v>
      </c>
      <c r="AT44" s="23">
        <v>816358.78409786616</v>
      </c>
      <c r="AU44" s="23">
        <v>1117997.5487876867</v>
      </c>
      <c r="AV44" s="23">
        <v>1179342.5065167502</v>
      </c>
      <c r="AW44" s="23">
        <v>2806515.7705510389</v>
      </c>
      <c r="AX44" s="23">
        <v>8783498.2521604802</v>
      </c>
      <c r="AY44" s="23">
        <v>-2898559.6398582365</v>
      </c>
      <c r="AZ44" s="23">
        <v>-5905449.1299999999</v>
      </c>
      <c r="BA44" s="23">
        <v>827470.08</v>
      </c>
      <c r="BB44" s="23">
        <v>341618.04</v>
      </c>
      <c r="BC44" s="23">
        <v>1365121.27</v>
      </c>
      <c r="BD44" s="23">
        <v>416984.62</v>
      </c>
      <c r="BE44" s="23">
        <v>1091896.3400000001</v>
      </c>
      <c r="BF44" s="23">
        <v>1124316.96</v>
      </c>
      <c r="BG44" s="23">
        <v>1059361.6399999999</v>
      </c>
      <c r="BH44" s="23">
        <v>1681657.42</v>
      </c>
      <c r="BI44" s="23">
        <v>-45129.5</v>
      </c>
      <c r="BJ44" s="23">
        <v>1368215.57</v>
      </c>
      <c r="BK44" s="23">
        <v>-560058.42999999993</v>
      </c>
      <c r="BL44" s="23">
        <v>4015894.85</v>
      </c>
      <c r="BM44" s="23">
        <v>-2331803.27</v>
      </c>
      <c r="BN44" s="23">
        <v>-2106321.9900000002</v>
      </c>
      <c r="BO44" s="23">
        <v>-1654450.12</v>
      </c>
      <c r="BP44" s="23">
        <v>2645955.87</v>
      </c>
      <c r="BQ44" s="23">
        <v>415568.94</v>
      </c>
      <c r="BR44" s="23">
        <v>658216.92000000004</v>
      </c>
      <c r="BS44" s="23">
        <v>414613.67</v>
      </c>
      <c r="BT44" s="23">
        <v>732666.47</v>
      </c>
      <c r="BU44" s="23">
        <v>627523.17000000004</v>
      </c>
      <c r="BV44" s="23">
        <v>824092.31</v>
      </c>
      <c r="BW44" s="23">
        <v>4437605.5599999996</v>
      </c>
      <c r="BX44" s="22">
        <f>'Sch23&amp;53 Deferral Calc'!C40</f>
        <v>3076898.34</v>
      </c>
      <c r="BY44" s="22">
        <f>'Sch23&amp;53 Deferral Calc'!D40</f>
        <v>-7557277.8600000003</v>
      </c>
      <c r="BZ44" s="22">
        <f>'Sch23&amp;53 Deferral Calc'!E40</f>
        <v>1291918.55</v>
      </c>
      <c r="CA44" s="22">
        <f>'Sch23&amp;53 Deferral Calc'!F40</f>
        <v>2044838.25</v>
      </c>
      <c r="CB44" s="22">
        <f>'Sch23&amp;53 Deferral Calc'!G40</f>
        <v>2341888.75</v>
      </c>
      <c r="CC44" s="22">
        <f>'Sch23&amp;53 Deferral Calc'!H40</f>
        <v>635607.26</v>
      </c>
      <c r="CD44" s="22">
        <f>'Sch23&amp;53 Deferral Calc'!I40</f>
        <v>-69484.009999999995</v>
      </c>
      <c r="CE44" s="22">
        <f>'Sch23&amp;53 Deferral Calc'!J40</f>
        <v>22727.31</v>
      </c>
      <c r="CF44" s="22">
        <f>'Sch23&amp;53 Deferral Calc'!K40</f>
        <v>1320731.77</v>
      </c>
      <c r="CG44" s="22">
        <f>'Sch23&amp;53 Deferral Calc'!L40</f>
        <v>-2097120.45</v>
      </c>
      <c r="CH44" s="22">
        <f>'Sch23&amp;53 Deferral Calc'!M40</f>
        <v>2350494.5499999998</v>
      </c>
      <c r="CI44" s="22">
        <f>'Sch23&amp;53 Deferral Calc'!N40</f>
        <v>1568748.61</v>
      </c>
      <c r="CJ44" s="22"/>
      <c r="CK44" s="22"/>
      <c r="CL44" s="23"/>
      <c r="CM44" s="23"/>
      <c r="CN44" s="21"/>
    </row>
    <row r="45" spans="1:92" x14ac:dyDescent="0.2">
      <c r="B45" s="7" t="s">
        <v>198</v>
      </c>
      <c r="D45" s="24">
        <f t="shared" ref="D45:O45" si="160">SUM(D42:D44)</f>
        <v>0</v>
      </c>
      <c r="E45" s="24">
        <f t="shared" si="160"/>
        <v>0</v>
      </c>
      <c r="F45" s="24">
        <f t="shared" si="160"/>
        <v>0</v>
      </c>
      <c r="G45" s="24">
        <f t="shared" si="160"/>
        <v>0</v>
      </c>
      <c r="H45" s="24">
        <f t="shared" si="160"/>
        <v>0</v>
      </c>
      <c r="I45" s="24">
        <f t="shared" si="160"/>
        <v>0</v>
      </c>
      <c r="J45" s="24">
        <f>SUM(J42:J44)</f>
        <v>948189.55861061451</v>
      </c>
      <c r="K45" s="24">
        <f t="shared" si="160"/>
        <v>361191.35559594858</v>
      </c>
      <c r="L45" s="24">
        <f t="shared" si="160"/>
        <v>276033.22018618736</v>
      </c>
      <c r="M45" s="24">
        <f t="shared" si="160"/>
        <v>-2878075.4009942948</v>
      </c>
      <c r="N45" s="24">
        <f t="shared" si="160"/>
        <v>273016.26904890814</v>
      </c>
      <c r="O45" s="24">
        <f t="shared" si="160"/>
        <v>-4432048.8949360587</v>
      </c>
      <c r="P45" s="24">
        <f>SUM(P42:P44)</f>
        <v>-431949.04805886181</v>
      </c>
      <c r="Q45" s="24">
        <f>SUM(Q42:Q44)</f>
        <v>-1007277.4152269885</v>
      </c>
      <c r="R45" s="24">
        <f t="shared" ref="R45:BY45" si="161">SUM(R42:R44)</f>
        <v>1783807.0119338187</v>
      </c>
      <c r="S45" s="24">
        <f t="shared" si="161"/>
        <v>2446407.2442412437</v>
      </c>
      <c r="T45" s="24">
        <f t="shared" si="161"/>
        <v>8466545.2377990242</v>
      </c>
      <c r="U45" s="24">
        <f t="shared" si="161"/>
        <v>1113791.0732186933</v>
      </c>
      <c r="V45" s="24">
        <f t="shared" si="161"/>
        <v>1107003.0341565832</v>
      </c>
      <c r="W45" s="24">
        <f t="shared" si="161"/>
        <v>1025289.4023058179</v>
      </c>
      <c r="X45" s="24">
        <f t="shared" si="161"/>
        <v>2085478.1848889724</v>
      </c>
      <c r="Y45" s="24">
        <f t="shared" si="161"/>
        <v>5724398.2473598737</v>
      </c>
      <c r="Z45" s="24">
        <f t="shared" si="161"/>
        <v>1559443.0077616186</v>
      </c>
      <c r="AA45" s="24">
        <f t="shared" si="161"/>
        <v>5083531.1918671317</v>
      </c>
      <c r="AB45" s="24">
        <f t="shared" si="161"/>
        <v>6631027.5649937475</v>
      </c>
      <c r="AC45" s="24">
        <f t="shared" si="161"/>
        <v>11090896.570198379</v>
      </c>
      <c r="AD45" s="24">
        <f t="shared" si="161"/>
        <v>3701212.3812929131</v>
      </c>
      <c r="AE45" s="24">
        <f t="shared" si="161"/>
        <v>2831984.7398771425</v>
      </c>
      <c r="AF45" s="24">
        <f t="shared" si="161"/>
        <v>-10142310.197251691</v>
      </c>
      <c r="AG45" s="24">
        <f t="shared" si="161"/>
        <v>2412067.1963120652</v>
      </c>
      <c r="AH45" s="24">
        <f t="shared" si="161"/>
        <v>1754719.4192336916</v>
      </c>
      <c r="AI45" s="24">
        <f t="shared" si="161"/>
        <v>1023398.8105338494</v>
      </c>
      <c r="AJ45" s="24">
        <f t="shared" si="161"/>
        <v>905681.32276925654</v>
      </c>
      <c r="AK45" s="24">
        <f t="shared" si="161"/>
        <v>5236891.5047931699</v>
      </c>
      <c r="AL45" s="24">
        <f t="shared" si="161"/>
        <v>435955.8825004641</v>
      </c>
      <c r="AM45" s="24">
        <f t="shared" si="161"/>
        <v>2203968.5632404643</v>
      </c>
      <c r="AN45" s="24">
        <f t="shared" si="161"/>
        <v>2518253.1857219427</v>
      </c>
      <c r="AO45" s="24">
        <f t="shared" si="161"/>
        <v>8244220.4345675725</v>
      </c>
      <c r="AP45" s="24">
        <f t="shared" si="161"/>
        <v>4474423.965226003</v>
      </c>
      <c r="AQ45" s="24">
        <f t="shared" si="161"/>
        <v>7616906.1012544511</v>
      </c>
      <c r="AR45" s="24">
        <f t="shared" si="161"/>
        <v>-20793305.569043584</v>
      </c>
      <c r="AS45" s="24">
        <f t="shared" si="161"/>
        <v>1552959.103727466</v>
      </c>
      <c r="AT45" s="24">
        <f t="shared" si="161"/>
        <v>816358.78409786616</v>
      </c>
      <c r="AU45" s="24">
        <f t="shared" si="161"/>
        <v>1117997.5487876867</v>
      </c>
      <c r="AV45" s="24">
        <f t="shared" si="161"/>
        <v>1179342.5065167502</v>
      </c>
      <c r="AW45" s="24">
        <f t="shared" si="161"/>
        <v>2806515.7705510389</v>
      </c>
      <c r="AX45" s="24">
        <f t="shared" si="161"/>
        <v>8783498.2521604802</v>
      </c>
      <c r="AY45" s="24">
        <f t="shared" si="161"/>
        <v>-2898559.6398582365</v>
      </c>
      <c r="AZ45" s="24">
        <f t="shared" si="161"/>
        <v>-5905449.1299999999</v>
      </c>
      <c r="BA45" s="24">
        <f t="shared" si="161"/>
        <v>827470.08</v>
      </c>
      <c r="BB45" s="24">
        <f t="shared" si="161"/>
        <v>341618.04</v>
      </c>
      <c r="BC45" s="24">
        <f t="shared" si="161"/>
        <v>1365121.27</v>
      </c>
      <c r="BD45" s="24">
        <f t="shared" si="161"/>
        <v>-21251678.349999998</v>
      </c>
      <c r="BE45" s="24">
        <f t="shared" si="161"/>
        <v>1091896.3400000001</v>
      </c>
      <c r="BF45" s="24">
        <f t="shared" si="161"/>
        <v>1124316.96</v>
      </c>
      <c r="BG45" s="24">
        <f t="shared" si="161"/>
        <v>1059361.6399999999</v>
      </c>
      <c r="BH45" s="24">
        <f t="shared" si="161"/>
        <v>1681657.42</v>
      </c>
      <c r="BI45" s="24">
        <f t="shared" si="161"/>
        <v>-45129.5</v>
      </c>
      <c r="BJ45" s="24">
        <f t="shared" si="161"/>
        <v>1368215.57</v>
      </c>
      <c r="BK45" s="24">
        <f t="shared" si="161"/>
        <v>-560058.42999999993</v>
      </c>
      <c r="BL45" s="24">
        <f t="shared" ref="BL45:BX45" si="162">SUM(BL42:BL44)</f>
        <v>4015894.85</v>
      </c>
      <c r="BM45" s="24">
        <f t="shared" si="162"/>
        <v>-2331803.27</v>
      </c>
      <c r="BN45" s="24">
        <f t="shared" si="162"/>
        <v>-2106321.9900000002</v>
      </c>
      <c r="BO45" s="24">
        <f t="shared" si="162"/>
        <v>-1654450.12</v>
      </c>
      <c r="BP45" s="24">
        <f t="shared" si="162"/>
        <v>-45460243.800000004</v>
      </c>
      <c r="BQ45" s="24">
        <f t="shared" si="162"/>
        <v>415568.94</v>
      </c>
      <c r="BR45" s="24">
        <f t="shared" si="162"/>
        <v>658216.92000000004</v>
      </c>
      <c r="BS45" s="24">
        <f t="shared" si="162"/>
        <v>414613.67</v>
      </c>
      <c r="BT45" s="24">
        <f t="shared" si="162"/>
        <v>732666.47</v>
      </c>
      <c r="BU45" s="24">
        <f t="shared" si="162"/>
        <v>627523.17000000004</v>
      </c>
      <c r="BV45" s="24">
        <f t="shared" si="162"/>
        <v>824092.31</v>
      </c>
      <c r="BW45" s="24">
        <f t="shared" si="162"/>
        <v>4437605.5599999996</v>
      </c>
      <c r="BX45" s="24">
        <f t="shared" si="162"/>
        <v>3076898.34</v>
      </c>
      <c r="BY45" s="24">
        <f t="shared" si="161"/>
        <v>-7557277.8600000003</v>
      </c>
      <c r="BZ45" s="24">
        <f t="shared" ref="BZ45:CF45" si="163">SUM(BZ42:BZ44)</f>
        <v>1291918.55</v>
      </c>
      <c r="CA45" s="24">
        <f t="shared" si="163"/>
        <v>2044838.25</v>
      </c>
      <c r="CB45" s="24">
        <f t="shared" si="163"/>
        <v>-6337693.3519610986</v>
      </c>
      <c r="CC45" s="24">
        <f t="shared" si="163"/>
        <v>635607.26</v>
      </c>
      <c r="CD45" s="24">
        <f t="shared" si="163"/>
        <v>-69484.009999999995</v>
      </c>
      <c r="CE45" s="24">
        <f t="shared" si="163"/>
        <v>22727.31</v>
      </c>
      <c r="CF45" s="24">
        <f t="shared" si="163"/>
        <v>1320731.77</v>
      </c>
      <c r="CG45" s="24">
        <f t="shared" ref="CG45:CM45" si="164">SUM(CG42:CG44)</f>
        <v>-2097120.45</v>
      </c>
      <c r="CH45" s="24">
        <f t="shared" si="164"/>
        <v>2350494.5499999998</v>
      </c>
      <c r="CI45" s="24">
        <f t="shared" si="164"/>
        <v>1568748.61</v>
      </c>
      <c r="CJ45" s="24">
        <f t="shared" si="164"/>
        <v>0</v>
      </c>
      <c r="CK45" s="24">
        <f t="shared" si="164"/>
        <v>0</v>
      </c>
      <c r="CL45" s="24">
        <f t="shared" si="164"/>
        <v>0</v>
      </c>
      <c r="CM45" s="24">
        <f t="shared" si="164"/>
        <v>0</v>
      </c>
    </row>
    <row r="46" spans="1:92" x14ac:dyDescent="0.2">
      <c r="B46" s="7" t="s">
        <v>199</v>
      </c>
      <c r="D46" s="17">
        <f>D41+D45</f>
        <v>0</v>
      </c>
      <c r="E46" s="17">
        <f t="shared" ref="E46:CB46" si="165">E41+E45</f>
        <v>0</v>
      </c>
      <c r="F46" s="17">
        <f t="shared" si="165"/>
        <v>0</v>
      </c>
      <c r="G46" s="17">
        <f t="shared" si="165"/>
        <v>0</v>
      </c>
      <c r="H46" s="17">
        <f t="shared" si="165"/>
        <v>0</v>
      </c>
      <c r="I46" s="17">
        <f t="shared" si="165"/>
        <v>0</v>
      </c>
      <c r="J46" s="17">
        <f t="shared" si="165"/>
        <v>948189.55861061451</v>
      </c>
      <c r="K46" s="17">
        <f>K41+K45</f>
        <v>1309380.914206563</v>
      </c>
      <c r="L46" s="17">
        <f>L41+L45</f>
        <v>1585414.1343927504</v>
      </c>
      <c r="M46" s="17">
        <f t="shared" si="165"/>
        <v>-1292661.2666015443</v>
      </c>
      <c r="N46" s="17">
        <f t="shared" si="165"/>
        <v>-1019644.9975526362</v>
      </c>
      <c r="O46" s="17">
        <f>O41+O45</f>
        <v>-5451693.8924886947</v>
      </c>
      <c r="P46" s="17">
        <f t="shared" si="165"/>
        <v>-5883642.9405475566</v>
      </c>
      <c r="Q46" s="17">
        <f t="shared" si="165"/>
        <v>-6890920.3557745451</v>
      </c>
      <c r="R46" s="17">
        <f t="shared" si="165"/>
        <v>-5107113.3438407267</v>
      </c>
      <c r="S46" s="17">
        <f t="shared" si="165"/>
        <v>-2660706.099599483</v>
      </c>
      <c r="T46" s="17">
        <f t="shared" si="165"/>
        <v>5805839.1381995417</v>
      </c>
      <c r="U46" s="17">
        <f t="shared" si="165"/>
        <v>6919630.2114182347</v>
      </c>
      <c r="V46" s="17">
        <f t="shared" si="165"/>
        <v>8026633.245574818</v>
      </c>
      <c r="W46" s="17">
        <f t="shared" si="165"/>
        <v>9051922.6478806362</v>
      </c>
      <c r="X46" s="17">
        <f t="shared" si="165"/>
        <v>11137400.832769608</v>
      </c>
      <c r="Y46" s="17">
        <f t="shared" si="165"/>
        <v>16861799.080129482</v>
      </c>
      <c r="Z46" s="17">
        <f t="shared" si="165"/>
        <v>18421242.087891102</v>
      </c>
      <c r="AA46" s="17">
        <f t="shared" si="165"/>
        <v>23504773.279758234</v>
      </c>
      <c r="AB46" s="17">
        <f t="shared" si="165"/>
        <v>30135800.84475198</v>
      </c>
      <c r="AC46" s="17">
        <f t="shared" si="165"/>
        <v>41226697.414950356</v>
      </c>
      <c r="AD46" s="17">
        <f t="shared" si="165"/>
        <v>44927909.796243265</v>
      </c>
      <c r="AE46" s="17">
        <f t="shared" si="165"/>
        <v>47759894.536120407</v>
      </c>
      <c r="AF46" s="17">
        <f t="shared" si="165"/>
        <v>37617584.338868715</v>
      </c>
      <c r="AG46" s="17">
        <f t="shared" si="165"/>
        <v>40029651.535180777</v>
      </c>
      <c r="AH46" s="17">
        <f t="shared" si="165"/>
        <v>41784370.954414472</v>
      </c>
      <c r="AI46" s="17">
        <f t="shared" si="165"/>
        <v>42807769.764948323</v>
      </c>
      <c r="AJ46" s="17">
        <f t="shared" si="165"/>
        <v>43713451.087717578</v>
      </c>
      <c r="AK46" s="17">
        <f t="shared" si="165"/>
        <v>48950342.592510745</v>
      </c>
      <c r="AL46" s="17">
        <f t="shared" si="165"/>
        <v>49386298.475011207</v>
      </c>
      <c r="AM46" s="17">
        <f t="shared" si="165"/>
        <v>51590267.038251668</v>
      </c>
      <c r="AN46" s="17">
        <f t="shared" si="165"/>
        <v>54108520.22397361</v>
      </c>
      <c r="AO46" s="17">
        <f t="shared" si="165"/>
        <v>62352740.65854118</v>
      </c>
      <c r="AP46" s="17">
        <f t="shared" si="165"/>
        <v>66827164.623767182</v>
      </c>
      <c r="AQ46" s="17">
        <f t="shared" si="165"/>
        <v>74444070.725021631</v>
      </c>
      <c r="AR46" s="17">
        <f t="shared" si="165"/>
        <v>53650765.155978046</v>
      </c>
      <c r="AS46" s="17">
        <f t="shared" si="165"/>
        <v>55203724.259705514</v>
      </c>
      <c r="AT46" s="17">
        <f t="shared" si="165"/>
        <v>56020083.043803379</v>
      </c>
      <c r="AU46" s="17">
        <f t="shared" si="165"/>
        <v>57138080.592591062</v>
      </c>
      <c r="AV46" s="17">
        <f t="shared" si="165"/>
        <v>58317423.099107809</v>
      </c>
      <c r="AW46" s="17">
        <f t="shared" si="165"/>
        <v>61123938.86965885</v>
      </c>
      <c r="AX46" s="17">
        <f t="shared" si="165"/>
        <v>69907437.121819332</v>
      </c>
      <c r="AY46" s="17">
        <f t="shared" si="165"/>
        <v>67008877.481961094</v>
      </c>
      <c r="AZ46" s="17">
        <f t="shared" si="165"/>
        <v>61103428.351961091</v>
      </c>
      <c r="BA46" s="17">
        <f t="shared" si="165"/>
        <v>61930898.431961089</v>
      </c>
      <c r="BB46" s="17">
        <f t="shared" si="165"/>
        <v>62272516.471961088</v>
      </c>
      <c r="BC46" s="17">
        <f t="shared" si="165"/>
        <v>63637637.741961092</v>
      </c>
      <c r="BD46" s="17">
        <f t="shared" si="165"/>
        <v>42385959.391961098</v>
      </c>
      <c r="BE46" s="17">
        <f t="shared" si="165"/>
        <v>43477855.731961101</v>
      </c>
      <c r="BF46" s="17">
        <f t="shared" si="165"/>
        <v>44602172.691961102</v>
      </c>
      <c r="BG46" s="17">
        <f t="shared" si="165"/>
        <v>45661534.331961103</v>
      </c>
      <c r="BH46" s="17">
        <f t="shared" si="165"/>
        <v>47343191.751961105</v>
      </c>
      <c r="BI46" s="17">
        <f t="shared" si="165"/>
        <v>47298062.251961105</v>
      </c>
      <c r="BJ46" s="17">
        <f t="shared" si="165"/>
        <v>48666277.821961105</v>
      </c>
      <c r="BK46" s="17">
        <f t="shared" si="165"/>
        <v>48106219.391961105</v>
      </c>
      <c r="BL46" s="17">
        <f t="shared" ref="BL46:BX46" si="166">BL41+BL45</f>
        <v>52122114.241961107</v>
      </c>
      <c r="BM46" s="17">
        <f t="shared" si="166"/>
        <v>49790310.971961103</v>
      </c>
      <c r="BN46" s="17">
        <f t="shared" si="166"/>
        <v>47683988.981961101</v>
      </c>
      <c r="BO46" s="17">
        <f t="shared" si="166"/>
        <v>46029538.861961104</v>
      </c>
      <c r="BP46" s="17">
        <f t="shared" si="166"/>
        <v>569295.06196109951</v>
      </c>
      <c r="BQ46" s="17">
        <f t="shared" si="166"/>
        <v>984864.00196109945</v>
      </c>
      <c r="BR46" s="17">
        <f t="shared" si="166"/>
        <v>1643080.9219610994</v>
      </c>
      <c r="BS46" s="17">
        <f t="shared" si="166"/>
        <v>2057694.5919610993</v>
      </c>
      <c r="BT46" s="17">
        <f t="shared" si="166"/>
        <v>2790361.0619610995</v>
      </c>
      <c r="BU46" s="17">
        <f t="shared" si="166"/>
        <v>3417884.2319610994</v>
      </c>
      <c r="BV46" s="17">
        <f t="shared" si="166"/>
        <v>4241976.5419611</v>
      </c>
      <c r="BW46" s="17">
        <f t="shared" si="166"/>
        <v>8679582.1019610986</v>
      </c>
      <c r="BX46" s="17">
        <f t="shared" si="166"/>
        <v>11756480.441961098</v>
      </c>
      <c r="BY46" s="17">
        <f t="shared" si="165"/>
        <v>4199202.5819610981</v>
      </c>
      <c r="BZ46" s="17">
        <f t="shared" si="165"/>
        <v>5491121.1319610979</v>
      </c>
      <c r="CA46" s="17">
        <f t="shared" si="165"/>
        <v>7535959.3819610979</v>
      </c>
      <c r="CB46" s="17">
        <f t="shared" si="165"/>
        <v>1198266.0299999993</v>
      </c>
      <c r="CC46" s="17">
        <f t="shared" ref="CC46:CM46" si="167">CC41+CC45</f>
        <v>1833873.2899999993</v>
      </c>
      <c r="CD46" s="17">
        <f t="shared" si="167"/>
        <v>1764389.2799999993</v>
      </c>
      <c r="CE46" s="17">
        <f t="shared" si="167"/>
        <v>1787116.5899999994</v>
      </c>
      <c r="CF46" s="17">
        <f t="shared" si="167"/>
        <v>3107848.3599999994</v>
      </c>
      <c r="CG46" s="17">
        <f t="shared" si="167"/>
        <v>1010727.9099999995</v>
      </c>
      <c r="CH46" s="17">
        <f>CH41+CH45</f>
        <v>3361222.459999999</v>
      </c>
      <c r="CI46" s="17">
        <f t="shared" si="167"/>
        <v>4929971.0699999994</v>
      </c>
      <c r="CJ46" s="17">
        <f t="shared" si="167"/>
        <v>4929971.0699999994</v>
      </c>
      <c r="CK46" s="17">
        <f t="shared" si="167"/>
        <v>4929971.0699999994</v>
      </c>
      <c r="CL46" s="17">
        <f t="shared" si="167"/>
        <v>4929971.0699999994</v>
      </c>
      <c r="CM46" s="17">
        <f t="shared" si="167"/>
        <v>4929971.0699999994</v>
      </c>
    </row>
    <row r="47" spans="1:92" x14ac:dyDescent="0.2"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CI47" s="8"/>
      <c r="CL47" s="8"/>
      <c r="CM47" s="8"/>
      <c r="CN47" s="32"/>
    </row>
    <row r="48" spans="1:92" x14ac:dyDescent="0.2">
      <c r="A48" s="94" t="s">
        <v>401</v>
      </c>
      <c r="B48" s="8"/>
      <c r="C48" s="160">
        <v>18238152</v>
      </c>
      <c r="F48" s="8"/>
      <c r="CI48" s="8"/>
      <c r="CL48" s="8"/>
      <c r="CM48" s="8"/>
    </row>
    <row r="49" spans="1:92" x14ac:dyDescent="0.2">
      <c r="A49" s="8"/>
      <c r="B49" s="8" t="s">
        <v>195</v>
      </c>
      <c r="C49" s="160">
        <v>25400352</v>
      </c>
      <c r="D49" s="17">
        <v>0</v>
      </c>
      <c r="E49" s="17">
        <f>D57</f>
        <v>0</v>
      </c>
      <c r="F49" s="17">
        <f t="shared" ref="F49:BK49" si="168">E57</f>
        <v>0</v>
      </c>
      <c r="G49" s="17">
        <f t="shared" si="168"/>
        <v>0</v>
      </c>
      <c r="H49" s="17">
        <f t="shared" si="168"/>
        <v>0</v>
      </c>
      <c r="I49" s="17">
        <f t="shared" si="168"/>
        <v>0</v>
      </c>
      <c r="J49" s="17">
        <f t="shared" si="168"/>
        <v>0</v>
      </c>
      <c r="K49" s="17">
        <f t="shared" si="168"/>
        <v>-199465.60817156127</v>
      </c>
      <c r="L49" s="17">
        <f t="shared" si="168"/>
        <v>640444.03112079646</v>
      </c>
      <c r="M49" s="17">
        <f t="shared" si="168"/>
        <v>507915.77304489387</v>
      </c>
      <c r="N49" s="17">
        <f t="shared" si="168"/>
        <v>404431.40087758645</v>
      </c>
      <c r="O49" s="17">
        <f t="shared" si="168"/>
        <v>1105202.2605628944</v>
      </c>
      <c r="P49" s="17">
        <f t="shared" si="168"/>
        <v>286419.05858386646</v>
      </c>
      <c r="Q49" s="17">
        <f t="shared" si="168"/>
        <v>1341192.9534952273</v>
      </c>
      <c r="R49" s="17">
        <f t="shared" si="168"/>
        <v>523882.64398179576</v>
      </c>
      <c r="S49" s="17">
        <f t="shared" si="168"/>
        <v>1482052.6553668785</v>
      </c>
      <c r="T49" s="17">
        <f t="shared" si="168"/>
        <v>2266995.2812781716</v>
      </c>
      <c r="U49" s="17">
        <f t="shared" si="168"/>
        <v>2052782.7193476232</v>
      </c>
      <c r="V49" s="17">
        <f t="shared" si="168"/>
        <v>2725822.7582124844</v>
      </c>
      <c r="W49" s="17">
        <f t="shared" si="168"/>
        <v>2989154.0642003417</v>
      </c>
      <c r="X49" s="17">
        <f t="shared" si="168"/>
        <v>3027270.3802636154</v>
      </c>
      <c r="Y49" s="17">
        <f t="shared" si="168"/>
        <v>3376249.6029822449</v>
      </c>
      <c r="Z49" s="17">
        <f t="shared" si="168"/>
        <v>4662532.9972754084</v>
      </c>
      <c r="AA49" s="17">
        <f t="shared" si="168"/>
        <v>4241192.6902960446</v>
      </c>
      <c r="AB49" s="17">
        <f t="shared" si="168"/>
        <v>5611247.5599752879</v>
      </c>
      <c r="AC49" s="17">
        <f t="shared" si="168"/>
        <v>7101704.1663728394</v>
      </c>
      <c r="AD49" s="17">
        <f t="shared" si="168"/>
        <v>9923249.7587148584</v>
      </c>
      <c r="AE49" s="17">
        <f t="shared" si="168"/>
        <v>11775518.935626514</v>
      </c>
      <c r="AF49" s="17">
        <f t="shared" si="168"/>
        <v>12289432.012997026</v>
      </c>
      <c r="AG49" s="17">
        <f t="shared" si="168"/>
        <v>7246141.5101591153</v>
      </c>
      <c r="AH49" s="17">
        <f t="shared" si="168"/>
        <v>7974280.2420591097</v>
      </c>
      <c r="AI49" s="17">
        <f t="shared" si="168"/>
        <v>8621637.6560921781</v>
      </c>
      <c r="AJ49" s="17">
        <f t="shared" si="168"/>
        <v>8881023.9591175783</v>
      </c>
      <c r="AK49" s="17">
        <f t="shared" si="168"/>
        <v>9160349.8499225825</v>
      </c>
      <c r="AL49" s="17">
        <f t="shared" si="168"/>
        <v>10404749.434073124</v>
      </c>
      <c r="AM49" s="17">
        <f t="shared" si="168"/>
        <v>11122489.456258822</v>
      </c>
      <c r="AN49" s="17">
        <f t="shared" si="168"/>
        <v>10454405.387318356</v>
      </c>
      <c r="AO49" s="17">
        <f t="shared" si="168"/>
        <v>11942785.61356739</v>
      </c>
      <c r="AP49" s="17">
        <f t="shared" si="168"/>
        <v>14516156.931008631</v>
      </c>
      <c r="AQ49" s="17">
        <f t="shared" si="168"/>
        <v>15268377.011117622</v>
      </c>
      <c r="AR49" s="17">
        <f t="shared" si="168"/>
        <v>17218909.579018887</v>
      </c>
      <c r="AS49" s="17">
        <f t="shared" si="168"/>
        <v>8044826.1208727099</v>
      </c>
      <c r="AT49" s="17">
        <f t="shared" si="168"/>
        <v>8296047.587166464</v>
      </c>
      <c r="AU49" s="17">
        <f t="shared" si="168"/>
        <v>8475389.2918473985</v>
      </c>
      <c r="AV49" s="17">
        <f t="shared" si="168"/>
        <v>8925421.900420526</v>
      </c>
      <c r="AW49" s="17">
        <f t="shared" si="168"/>
        <v>8891223.5858451556</v>
      </c>
      <c r="AX49" s="17">
        <f t="shared" si="168"/>
        <v>9919947.4071879443</v>
      </c>
      <c r="AY49" s="17">
        <f t="shared" si="168"/>
        <v>12499399.044342099</v>
      </c>
      <c r="AZ49" s="17">
        <f t="shared" si="168"/>
        <v>12574592.261257906</v>
      </c>
      <c r="BA49" s="17">
        <f t="shared" si="168"/>
        <v>10927950.611257905</v>
      </c>
      <c r="BB49" s="17">
        <f t="shared" si="168"/>
        <v>11232170.191257905</v>
      </c>
      <c r="BC49" s="17">
        <f t="shared" si="168"/>
        <v>11065089.301257905</v>
      </c>
      <c r="BD49" s="17">
        <f t="shared" si="168"/>
        <v>11307205.361257905</v>
      </c>
      <c r="BE49" s="17">
        <f t="shared" si="168"/>
        <v>-1348957.798742095</v>
      </c>
      <c r="BF49" s="17">
        <f t="shared" si="168"/>
        <v>-1131284.2187420949</v>
      </c>
      <c r="BG49" s="17">
        <f t="shared" si="168"/>
        <v>-1050216.768742095</v>
      </c>
      <c r="BH49" s="17">
        <f t="shared" si="168"/>
        <v>-791591.64874209499</v>
      </c>
      <c r="BI49" s="17">
        <f t="shared" si="168"/>
        <v>-520854.81874209497</v>
      </c>
      <c r="BJ49" s="17">
        <f t="shared" si="168"/>
        <v>-341874.97874209494</v>
      </c>
      <c r="BK49" s="17">
        <f t="shared" si="168"/>
        <v>301967.00125790504</v>
      </c>
      <c r="BL49" s="17">
        <f t="shared" ref="BL49" si="169">BK57</f>
        <v>639328.12125790503</v>
      </c>
      <c r="BM49" s="17">
        <f t="shared" ref="BM49" si="170">BL57</f>
        <v>0.24125790502876043</v>
      </c>
      <c r="BN49" s="17">
        <f t="shared" ref="BN49" si="171">BM57</f>
        <v>0.24125790502876043</v>
      </c>
      <c r="BO49" s="17">
        <f t="shared" ref="BO49" si="172">BN57</f>
        <v>0.24125790502876043</v>
      </c>
      <c r="BP49" s="17">
        <f t="shared" ref="BP49" si="173">BO57</f>
        <v>0.24125790502876043</v>
      </c>
      <c r="BQ49" s="17">
        <f t="shared" ref="BQ49" si="174">BP57</f>
        <v>0.24125790502876043</v>
      </c>
      <c r="BR49" s="17">
        <f t="shared" ref="BR49" si="175">BQ57</f>
        <v>0.24125790502876043</v>
      </c>
      <c r="BS49" s="17">
        <f t="shared" ref="BS49" si="176">BR57</f>
        <v>0.24125790502876043</v>
      </c>
      <c r="BT49" s="17">
        <f t="shared" ref="BT49" si="177">BS57</f>
        <v>0.24125790502876043</v>
      </c>
      <c r="BU49" s="17">
        <f t="shared" ref="BU49" si="178">BT57</f>
        <v>0.24125790502876043</v>
      </c>
      <c r="BV49" s="17">
        <f t="shared" ref="BV49" si="179">BU57</f>
        <v>0.24125790502876043</v>
      </c>
      <c r="BW49" s="17">
        <f t="shared" ref="BW49" si="180">BV57</f>
        <v>0.24125790502876043</v>
      </c>
      <c r="BX49" s="17">
        <f t="shared" ref="BX49" si="181">BW57</f>
        <v>1.2579050287604421E-3</v>
      </c>
      <c r="BY49" s="17">
        <f>BX57</f>
        <v>1.2579050287604421E-3</v>
      </c>
      <c r="BZ49" s="17">
        <f t="shared" ref="BZ49:CM49" si="182">BY57</f>
        <v>1.2579050287604421E-3</v>
      </c>
      <c r="CA49" s="17">
        <f t="shared" si="182"/>
        <v>1.2579050287604421E-3</v>
      </c>
      <c r="CB49" s="17">
        <f t="shared" si="182"/>
        <v>1.2579050287604421E-3</v>
      </c>
      <c r="CC49" s="17">
        <f t="shared" si="182"/>
        <v>1.2579050287604421E-3</v>
      </c>
      <c r="CD49" s="17">
        <f t="shared" si="182"/>
        <v>1.2579050287604421E-3</v>
      </c>
      <c r="CE49" s="17">
        <f t="shared" si="182"/>
        <v>1.2579050287604421E-3</v>
      </c>
      <c r="CF49" s="17">
        <f t="shared" si="182"/>
        <v>1.2579050287604421E-3</v>
      </c>
      <c r="CG49" s="17">
        <f t="shared" si="182"/>
        <v>1.2579050287604421E-3</v>
      </c>
      <c r="CH49" s="17">
        <f t="shared" si="182"/>
        <v>1.2579050287604421E-3</v>
      </c>
      <c r="CI49" s="17">
        <f t="shared" si="182"/>
        <v>1.2579050287604421E-3</v>
      </c>
      <c r="CJ49" s="17">
        <f t="shared" si="182"/>
        <v>1.2579050287604421E-3</v>
      </c>
      <c r="CK49" s="17">
        <f t="shared" si="182"/>
        <v>1.2579050287604421E-3</v>
      </c>
      <c r="CL49" s="17">
        <f t="shared" si="182"/>
        <v>1.2579050287604421E-3</v>
      </c>
      <c r="CM49" s="17">
        <f t="shared" si="182"/>
        <v>1.2579050287604421E-3</v>
      </c>
    </row>
    <row r="50" spans="1:92" x14ac:dyDescent="0.2">
      <c r="A50" s="228"/>
      <c r="B50" s="227" t="s">
        <v>196</v>
      </c>
      <c r="C50" s="227"/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-244916.936995064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  <c r="AE50" s="23">
        <v>0</v>
      </c>
      <c r="AF50" s="23">
        <v>-5735253.9088435043</v>
      </c>
      <c r="AG50" s="23">
        <v>0</v>
      </c>
      <c r="AH50" s="23">
        <v>0</v>
      </c>
      <c r="AI50" s="23">
        <v>0</v>
      </c>
      <c r="AJ50" s="23">
        <v>0</v>
      </c>
      <c r="AK50" s="23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-10454405.387318401</v>
      </c>
      <c r="AS50" s="23">
        <v>0</v>
      </c>
      <c r="AT50" s="23">
        <v>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0</v>
      </c>
      <c r="BA50" s="23">
        <v>0</v>
      </c>
      <c r="BB50" s="23">
        <v>0</v>
      </c>
      <c r="BC50" s="23">
        <v>0</v>
      </c>
      <c r="BD50" s="233">
        <v>-12574592.26</v>
      </c>
      <c r="BE50" s="23">
        <v>0</v>
      </c>
      <c r="BF50" s="23">
        <v>0</v>
      </c>
      <c r="BG50" s="23">
        <v>0</v>
      </c>
      <c r="BH50" s="23">
        <v>0</v>
      </c>
      <c r="BI50" s="23">
        <v>0</v>
      </c>
      <c r="BJ50" s="23">
        <v>0</v>
      </c>
      <c r="BK50" s="23">
        <v>0</v>
      </c>
      <c r="BL50" s="23">
        <v>0</v>
      </c>
      <c r="BM50" s="23">
        <v>0</v>
      </c>
      <c r="BN50" s="23">
        <v>0</v>
      </c>
      <c r="BO50" s="23">
        <v>0</v>
      </c>
      <c r="BP50" s="23">
        <v>0</v>
      </c>
      <c r="BQ50" s="23">
        <v>0</v>
      </c>
      <c r="BR50" s="23">
        <v>0</v>
      </c>
      <c r="BS50" s="23">
        <v>0</v>
      </c>
      <c r="BT50" s="23">
        <v>0</v>
      </c>
      <c r="BU50" s="23">
        <v>0</v>
      </c>
      <c r="BV50" s="23">
        <v>0</v>
      </c>
      <c r="BW50" s="23">
        <v>0</v>
      </c>
      <c r="BX50" s="23">
        <v>0</v>
      </c>
      <c r="BY50" s="23">
        <v>0</v>
      </c>
      <c r="BZ50" s="23">
        <v>0</v>
      </c>
      <c r="CA50" s="23">
        <v>0</v>
      </c>
      <c r="CB50" s="23">
        <v>0</v>
      </c>
      <c r="CC50" s="23">
        <v>0</v>
      </c>
      <c r="CD50" s="23">
        <v>0</v>
      </c>
      <c r="CE50" s="23">
        <v>0</v>
      </c>
      <c r="CF50" s="23">
        <v>0</v>
      </c>
      <c r="CG50" s="23">
        <v>0</v>
      </c>
      <c r="CH50" s="23">
        <v>0</v>
      </c>
      <c r="CI50" s="23">
        <v>0</v>
      </c>
      <c r="CJ50" s="23"/>
      <c r="CK50" s="23"/>
      <c r="CL50" s="23"/>
      <c r="CM50" s="23"/>
    </row>
    <row r="51" spans="1:92" x14ac:dyDescent="0.2">
      <c r="A51" s="8"/>
      <c r="B51" s="227" t="s">
        <v>201</v>
      </c>
      <c r="C51" s="19"/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0</v>
      </c>
      <c r="BA51" s="23">
        <v>0</v>
      </c>
      <c r="BB51" s="23">
        <v>0</v>
      </c>
      <c r="BC51" s="23">
        <v>0</v>
      </c>
      <c r="BD51" s="233"/>
      <c r="BE51" s="23">
        <v>0</v>
      </c>
      <c r="BF51" s="23">
        <v>0</v>
      </c>
      <c r="BG51" s="23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-639327.88</v>
      </c>
      <c r="BM51" s="23">
        <v>0</v>
      </c>
      <c r="BN51" s="23">
        <v>0</v>
      </c>
      <c r="BO51" s="23">
        <v>0</v>
      </c>
      <c r="BP51" s="23">
        <v>0</v>
      </c>
      <c r="BQ51" s="23">
        <v>0</v>
      </c>
      <c r="BR51" s="23">
        <v>0</v>
      </c>
      <c r="BS51" s="23">
        <v>0</v>
      </c>
      <c r="BT51" s="23">
        <v>0</v>
      </c>
      <c r="BU51" s="23">
        <v>0</v>
      </c>
      <c r="BV51" s="23">
        <v>0</v>
      </c>
      <c r="BW51" s="23">
        <v>0</v>
      </c>
      <c r="BX51" s="23">
        <v>0</v>
      </c>
      <c r="BY51" s="23">
        <v>0</v>
      </c>
      <c r="BZ51" s="23">
        <v>0</v>
      </c>
      <c r="CA51" s="23">
        <v>0</v>
      </c>
      <c r="CB51" s="23">
        <v>0</v>
      </c>
      <c r="CC51" s="23">
        <v>0</v>
      </c>
      <c r="CD51" s="23">
        <v>0</v>
      </c>
      <c r="CE51" s="23">
        <v>0</v>
      </c>
      <c r="CF51" s="23">
        <v>0</v>
      </c>
      <c r="CG51" s="23">
        <v>0</v>
      </c>
      <c r="CH51" s="23">
        <v>0</v>
      </c>
      <c r="CI51" s="23">
        <v>0</v>
      </c>
      <c r="CJ51" s="23"/>
      <c r="CK51" s="23"/>
      <c r="CL51" s="23"/>
      <c r="CM51" s="23"/>
    </row>
    <row r="52" spans="1:92" x14ac:dyDescent="0.2">
      <c r="A52" s="228"/>
      <c r="B52" s="229" t="s">
        <v>402</v>
      </c>
      <c r="C52" s="227"/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197720.5331578434</v>
      </c>
      <c r="AE52" s="23">
        <v>19809.365142105962</v>
      </c>
      <c r="AF52" s="23">
        <v>1775.0925828351174</v>
      </c>
      <c r="AG52" s="23">
        <v>388.0742268152535</v>
      </c>
      <c r="AH52" s="23">
        <v>168.33523267018609</v>
      </c>
      <c r="AI52" s="23">
        <v>0</v>
      </c>
      <c r="AJ52" s="23">
        <v>0</v>
      </c>
      <c r="AK52" s="23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3">
        <v>0</v>
      </c>
      <c r="AX52" s="23">
        <v>0</v>
      </c>
      <c r="AY52" s="23">
        <v>0</v>
      </c>
      <c r="AZ52" s="23">
        <v>0</v>
      </c>
      <c r="BA52" s="23">
        <v>0</v>
      </c>
      <c r="BB52" s="23">
        <v>0</v>
      </c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  <c r="BI52" s="23">
        <v>0</v>
      </c>
      <c r="BJ52" s="23">
        <v>0</v>
      </c>
      <c r="BK52" s="23">
        <v>0</v>
      </c>
      <c r="BL52" s="23">
        <v>0</v>
      </c>
      <c r="BM52" s="23">
        <v>0</v>
      </c>
      <c r="BN52" s="23">
        <v>0</v>
      </c>
      <c r="BO52" s="23">
        <v>0</v>
      </c>
      <c r="BP52" s="23">
        <v>0</v>
      </c>
      <c r="BQ52" s="23">
        <v>0</v>
      </c>
      <c r="BR52" s="23">
        <v>0</v>
      </c>
      <c r="BS52" s="23">
        <v>0</v>
      </c>
      <c r="BT52" s="23">
        <v>0</v>
      </c>
      <c r="BU52" s="23">
        <v>0</v>
      </c>
      <c r="BV52" s="23">
        <v>0</v>
      </c>
      <c r="BW52" s="23">
        <v>0</v>
      </c>
      <c r="BX52" s="23">
        <v>0</v>
      </c>
      <c r="BY52" s="23">
        <v>0</v>
      </c>
      <c r="BZ52" s="23">
        <v>0</v>
      </c>
      <c r="CA52" s="23">
        <v>0</v>
      </c>
      <c r="CB52" s="23">
        <v>0</v>
      </c>
      <c r="CC52" s="23">
        <v>0</v>
      </c>
      <c r="CD52" s="23">
        <v>0</v>
      </c>
      <c r="CE52" s="23">
        <v>0</v>
      </c>
      <c r="CF52" s="23">
        <v>0</v>
      </c>
      <c r="CG52" s="23">
        <v>0</v>
      </c>
      <c r="CH52" s="23">
        <v>0</v>
      </c>
      <c r="CI52" s="23">
        <v>0</v>
      </c>
      <c r="CJ52" s="23"/>
      <c r="CK52" s="23"/>
      <c r="CL52" s="23"/>
      <c r="CM52" s="23"/>
    </row>
    <row r="53" spans="1:92" x14ac:dyDescent="0.2">
      <c r="A53" s="228"/>
      <c r="B53" s="227" t="s">
        <v>403</v>
      </c>
      <c r="C53" s="227"/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-41502.121588802249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0</v>
      </c>
      <c r="BU53" s="23">
        <v>0</v>
      </c>
      <c r="BV53" s="23">
        <v>0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  <c r="CB53" s="23">
        <v>0</v>
      </c>
      <c r="CC53" s="23">
        <v>0</v>
      </c>
      <c r="CD53" s="23">
        <v>0</v>
      </c>
      <c r="CE53" s="23">
        <v>0</v>
      </c>
      <c r="CF53" s="23">
        <v>0</v>
      </c>
      <c r="CG53" s="23">
        <v>0</v>
      </c>
      <c r="CH53" s="23">
        <v>0</v>
      </c>
      <c r="CI53" s="23">
        <v>0</v>
      </c>
      <c r="CJ53" s="23"/>
      <c r="CK53" s="23"/>
      <c r="CL53" s="23"/>
      <c r="CM53" s="23"/>
    </row>
    <row r="54" spans="1:92" x14ac:dyDescent="0.2">
      <c r="A54" s="228"/>
      <c r="B54" s="229" t="s">
        <v>410</v>
      </c>
      <c r="C54" s="227"/>
      <c r="D54" s="23"/>
      <c r="E54" s="23"/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23">
        <v>0</v>
      </c>
      <c r="BB54" s="23">
        <v>0</v>
      </c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  <c r="BI54" s="23">
        <v>0</v>
      </c>
      <c r="BJ54" s="23">
        <v>0</v>
      </c>
      <c r="BK54" s="23">
        <v>0</v>
      </c>
      <c r="BL54" s="23">
        <v>0</v>
      </c>
      <c r="BM54" s="23">
        <v>0</v>
      </c>
      <c r="BN54" s="23">
        <v>0</v>
      </c>
      <c r="BO54" s="23">
        <v>0</v>
      </c>
      <c r="BP54" s="23">
        <v>0</v>
      </c>
      <c r="BQ54" s="23">
        <v>0</v>
      </c>
      <c r="BR54" s="23">
        <v>0</v>
      </c>
      <c r="BS54" s="23">
        <v>0</v>
      </c>
      <c r="BT54" s="23">
        <v>0</v>
      </c>
      <c r="BU54" s="23">
        <v>0</v>
      </c>
      <c r="BV54" s="23">
        <v>0</v>
      </c>
      <c r="BW54" s="23">
        <v>-0.24</v>
      </c>
      <c r="BX54" s="23">
        <v>0</v>
      </c>
      <c r="BY54" s="23">
        <v>0</v>
      </c>
      <c r="BZ54" s="23">
        <v>0</v>
      </c>
      <c r="CA54" s="23">
        <v>0</v>
      </c>
      <c r="CB54" s="23">
        <v>0</v>
      </c>
      <c r="CC54" s="23">
        <v>0</v>
      </c>
      <c r="CD54" s="23">
        <v>0</v>
      </c>
      <c r="CE54" s="23">
        <v>0</v>
      </c>
      <c r="CF54" s="23">
        <v>0</v>
      </c>
      <c r="CG54" s="23">
        <v>0</v>
      </c>
      <c r="CH54" s="23">
        <v>0</v>
      </c>
      <c r="CI54" s="23">
        <v>0</v>
      </c>
      <c r="CJ54" s="23"/>
      <c r="CK54" s="23"/>
      <c r="CL54" s="23"/>
      <c r="CM54" s="23"/>
    </row>
    <row r="55" spans="1:92" x14ac:dyDescent="0.2">
      <c r="A55" s="227"/>
      <c r="B55" s="227" t="s">
        <v>204</v>
      </c>
      <c r="C55" s="227"/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-199465.60817156127</v>
      </c>
      <c r="K55" s="23">
        <v>839909.63929235772</v>
      </c>
      <c r="L55" s="23">
        <v>-132528.25807590262</v>
      </c>
      <c r="M55" s="23">
        <v>-103484.37216730745</v>
      </c>
      <c r="N55" s="23">
        <v>700770.85968530783</v>
      </c>
      <c r="O55" s="23">
        <v>-818783.20197902794</v>
      </c>
      <c r="P55" s="23">
        <v>1096276.0165001631</v>
      </c>
      <c r="Q55" s="23">
        <v>-817310.30951343151</v>
      </c>
      <c r="R55" s="23">
        <v>958170.01138508262</v>
      </c>
      <c r="S55" s="23">
        <v>784942.6259112932</v>
      </c>
      <c r="T55" s="23">
        <v>30704.375064515523</v>
      </c>
      <c r="U55" s="23">
        <v>673040.03886486136</v>
      </c>
      <c r="V55" s="23">
        <v>263331.30598785734</v>
      </c>
      <c r="W55" s="23">
        <v>38116.316063273625</v>
      </c>
      <c r="X55" s="23">
        <v>348979.22271862964</v>
      </c>
      <c r="Y55" s="23">
        <v>1286283.3942931639</v>
      </c>
      <c r="Z55" s="23">
        <v>-421340.3069793639</v>
      </c>
      <c r="AA55" s="23">
        <v>1370054.8696792435</v>
      </c>
      <c r="AB55" s="23">
        <v>1490456.606397552</v>
      </c>
      <c r="AC55" s="23">
        <v>2821545.5923420191</v>
      </c>
      <c r="AD55" s="23">
        <v>1654548.6437538122</v>
      </c>
      <c r="AE55" s="23">
        <v>494103.71222840523</v>
      </c>
      <c r="AF55" s="23">
        <v>690188.31342275883</v>
      </c>
      <c r="AG55" s="23">
        <v>727750.65767317871</v>
      </c>
      <c r="AH55" s="23">
        <v>647189.07880039897</v>
      </c>
      <c r="AI55" s="23">
        <v>259386.30302540021</v>
      </c>
      <c r="AJ55" s="23">
        <v>279325.8908050044</v>
      </c>
      <c r="AK55" s="23">
        <v>1244399.5841505413</v>
      </c>
      <c r="AL55" s="23">
        <v>717740.02218569873</v>
      </c>
      <c r="AM55" s="23">
        <v>-668084.06894046708</v>
      </c>
      <c r="AN55" s="23">
        <v>1488380.2262490329</v>
      </c>
      <c r="AO55" s="23">
        <v>2573371.3174412423</v>
      </c>
      <c r="AP55" s="23">
        <v>752220.08010899019</v>
      </c>
      <c r="AQ55" s="23">
        <v>1950532.5679012637</v>
      </c>
      <c r="AR55" s="23">
        <v>1280321.929172223</v>
      </c>
      <c r="AS55" s="23">
        <v>251221.46629375406</v>
      </c>
      <c r="AT55" s="23">
        <v>179341.70468093536</v>
      </c>
      <c r="AU55" s="23">
        <v>450032.60857312684</v>
      </c>
      <c r="AV55" s="23">
        <v>-34198.314575369746</v>
      </c>
      <c r="AW55" s="23">
        <v>1028723.8213427879</v>
      </c>
      <c r="AX55" s="23">
        <v>2579451.6371541549</v>
      </c>
      <c r="AY55" s="23">
        <v>75193.216915806799</v>
      </c>
      <c r="AZ55" s="23">
        <v>-1646641.65</v>
      </c>
      <c r="BA55" s="23">
        <v>304219.58</v>
      </c>
      <c r="BB55" s="23">
        <v>-167080.89000000001</v>
      </c>
      <c r="BC55" s="23">
        <v>242116.06</v>
      </c>
      <c r="BD55" s="23">
        <v>-81570.899999999994</v>
      </c>
      <c r="BE55" s="23">
        <v>217673.58</v>
      </c>
      <c r="BF55" s="23">
        <v>81067.45</v>
      </c>
      <c r="BG55" s="23">
        <v>258625.12</v>
      </c>
      <c r="BH55" s="23">
        <v>270736.83</v>
      </c>
      <c r="BI55" s="23">
        <v>178979.84</v>
      </c>
      <c r="BJ55" s="23">
        <v>643841.98</v>
      </c>
      <c r="BK55" s="23">
        <v>337361.12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3">
        <v>0</v>
      </c>
      <c r="BX55" s="23">
        <v>0</v>
      </c>
      <c r="BY55" s="23">
        <v>0</v>
      </c>
      <c r="BZ55" s="23">
        <v>0</v>
      </c>
      <c r="CA55" s="23">
        <v>0</v>
      </c>
      <c r="CB55" s="23">
        <v>0</v>
      </c>
      <c r="CC55" s="23">
        <v>0</v>
      </c>
      <c r="CD55" s="23">
        <v>0</v>
      </c>
      <c r="CE55" s="23">
        <v>0</v>
      </c>
      <c r="CF55" s="23">
        <v>0</v>
      </c>
      <c r="CG55" s="23">
        <v>0</v>
      </c>
      <c r="CH55" s="23">
        <v>0</v>
      </c>
      <c r="CI55" s="23">
        <v>0</v>
      </c>
      <c r="CJ55" s="23"/>
      <c r="CK55" s="23"/>
      <c r="CL55" s="23"/>
      <c r="CM55" s="23"/>
    </row>
    <row r="56" spans="1:92" x14ac:dyDescent="0.2">
      <c r="A56" s="8"/>
      <c r="B56" s="8" t="s">
        <v>198</v>
      </c>
      <c r="C56" s="8"/>
      <c r="D56" s="24">
        <f>SUM(D50:D55)</f>
        <v>0</v>
      </c>
      <c r="E56" s="24">
        <f>SUM(E50:E55)</f>
        <v>0</v>
      </c>
      <c r="F56" s="24">
        <f t="shared" ref="F56:AF56" si="183">SUM(F50:F55)</f>
        <v>0</v>
      </c>
      <c r="G56" s="24">
        <f t="shared" si="183"/>
        <v>0</v>
      </c>
      <c r="H56" s="24">
        <f t="shared" si="183"/>
        <v>0</v>
      </c>
      <c r="I56" s="24">
        <f t="shared" si="183"/>
        <v>0</v>
      </c>
      <c r="J56" s="24">
        <f t="shared" si="183"/>
        <v>-199465.60817156127</v>
      </c>
      <c r="K56" s="24">
        <f t="shared" si="183"/>
        <v>839909.63929235772</v>
      </c>
      <c r="L56" s="24">
        <f t="shared" si="183"/>
        <v>-132528.25807590262</v>
      </c>
      <c r="M56" s="24">
        <f t="shared" si="183"/>
        <v>-103484.37216730745</v>
      </c>
      <c r="N56" s="24">
        <f t="shared" si="183"/>
        <v>700770.85968530783</v>
      </c>
      <c r="O56" s="24">
        <f t="shared" si="183"/>
        <v>-818783.20197902794</v>
      </c>
      <c r="P56" s="24">
        <f t="shared" si="183"/>
        <v>1054773.8949113609</v>
      </c>
      <c r="Q56" s="24">
        <f t="shared" si="183"/>
        <v>-817310.30951343151</v>
      </c>
      <c r="R56" s="24">
        <f t="shared" si="183"/>
        <v>958170.01138508262</v>
      </c>
      <c r="S56" s="24">
        <f t="shared" si="183"/>
        <v>784942.6259112932</v>
      </c>
      <c r="T56" s="24">
        <f t="shared" si="183"/>
        <v>-214212.56193054846</v>
      </c>
      <c r="U56" s="24">
        <f t="shared" si="183"/>
        <v>673040.03886486136</v>
      </c>
      <c r="V56" s="24">
        <f t="shared" si="183"/>
        <v>263331.30598785734</v>
      </c>
      <c r="W56" s="24">
        <f t="shared" si="183"/>
        <v>38116.316063273625</v>
      </c>
      <c r="X56" s="24">
        <f t="shared" si="183"/>
        <v>348979.22271862964</v>
      </c>
      <c r="Y56" s="24">
        <f t="shared" si="183"/>
        <v>1286283.3942931639</v>
      </c>
      <c r="Z56" s="24">
        <f t="shared" si="183"/>
        <v>-421340.3069793639</v>
      </c>
      <c r="AA56" s="24">
        <f t="shared" si="183"/>
        <v>1370054.8696792435</v>
      </c>
      <c r="AB56" s="24">
        <f t="shared" si="183"/>
        <v>1490456.606397552</v>
      </c>
      <c r="AC56" s="24">
        <f t="shared" si="183"/>
        <v>2821545.5923420191</v>
      </c>
      <c r="AD56" s="24">
        <f t="shared" si="183"/>
        <v>1852269.1769116556</v>
      </c>
      <c r="AE56" s="24">
        <f t="shared" si="183"/>
        <v>513913.07737051119</v>
      </c>
      <c r="AF56" s="24">
        <f t="shared" si="183"/>
        <v>-5043290.5028379103</v>
      </c>
      <c r="AG56" s="24">
        <f>SUM(AG50:AG55)</f>
        <v>728138.73189999396</v>
      </c>
      <c r="AH56" s="24">
        <f t="shared" ref="AH56:BK56" si="184">SUM(AH50:AH55)</f>
        <v>647357.41403306916</v>
      </c>
      <c r="AI56" s="24">
        <f t="shared" si="184"/>
        <v>259386.30302540021</v>
      </c>
      <c r="AJ56" s="24">
        <f t="shared" si="184"/>
        <v>279325.8908050044</v>
      </c>
      <c r="AK56" s="24">
        <f t="shared" si="184"/>
        <v>1244399.5841505413</v>
      </c>
      <c r="AL56" s="24">
        <f t="shared" si="184"/>
        <v>717740.02218569873</v>
      </c>
      <c r="AM56" s="24">
        <f t="shared" si="184"/>
        <v>-668084.06894046708</v>
      </c>
      <c r="AN56" s="24">
        <f t="shared" si="184"/>
        <v>1488380.2262490329</v>
      </c>
      <c r="AO56" s="24">
        <f t="shared" si="184"/>
        <v>2573371.3174412423</v>
      </c>
      <c r="AP56" s="24">
        <f t="shared" si="184"/>
        <v>752220.08010899019</v>
      </c>
      <c r="AQ56" s="24">
        <f t="shared" si="184"/>
        <v>1950532.5679012637</v>
      </c>
      <c r="AR56" s="24">
        <f t="shared" si="184"/>
        <v>-9174083.4581461772</v>
      </c>
      <c r="AS56" s="24">
        <f t="shared" si="184"/>
        <v>251221.46629375406</v>
      </c>
      <c r="AT56" s="24">
        <f t="shared" si="184"/>
        <v>179341.70468093536</v>
      </c>
      <c r="AU56" s="24">
        <f t="shared" si="184"/>
        <v>450032.60857312684</v>
      </c>
      <c r="AV56" s="24">
        <f t="shared" si="184"/>
        <v>-34198.314575369746</v>
      </c>
      <c r="AW56" s="24">
        <f t="shared" si="184"/>
        <v>1028723.8213427879</v>
      </c>
      <c r="AX56" s="24">
        <f t="shared" si="184"/>
        <v>2579451.6371541549</v>
      </c>
      <c r="AY56" s="24">
        <f t="shared" si="184"/>
        <v>75193.216915806799</v>
      </c>
      <c r="AZ56" s="24">
        <f t="shared" si="184"/>
        <v>-1646641.65</v>
      </c>
      <c r="BA56" s="24">
        <f t="shared" si="184"/>
        <v>304219.58</v>
      </c>
      <c r="BB56" s="24">
        <f t="shared" si="184"/>
        <v>-167080.89000000001</v>
      </c>
      <c r="BC56" s="24">
        <f t="shared" si="184"/>
        <v>242116.06</v>
      </c>
      <c r="BD56" s="24">
        <f t="shared" si="184"/>
        <v>-12656163.16</v>
      </c>
      <c r="BE56" s="24">
        <f t="shared" si="184"/>
        <v>217673.58</v>
      </c>
      <c r="BF56" s="24">
        <f t="shared" si="184"/>
        <v>81067.45</v>
      </c>
      <c r="BG56" s="24">
        <f t="shared" si="184"/>
        <v>258625.12</v>
      </c>
      <c r="BH56" s="24">
        <f t="shared" si="184"/>
        <v>270736.83</v>
      </c>
      <c r="BI56" s="24">
        <f t="shared" si="184"/>
        <v>178979.84</v>
      </c>
      <c r="BJ56" s="24">
        <f t="shared" si="184"/>
        <v>643841.98</v>
      </c>
      <c r="BK56" s="24">
        <f t="shared" si="184"/>
        <v>337361.12</v>
      </c>
      <c r="BL56" s="24">
        <f t="shared" ref="BL56:BX56" si="185">SUM(BL50:BL55)</f>
        <v>-639327.88</v>
      </c>
      <c r="BM56" s="24">
        <f t="shared" si="185"/>
        <v>0</v>
      </c>
      <c r="BN56" s="24">
        <f t="shared" si="185"/>
        <v>0</v>
      </c>
      <c r="BO56" s="24">
        <f t="shared" si="185"/>
        <v>0</v>
      </c>
      <c r="BP56" s="24">
        <f t="shared" si="185"/>
        <v>0</v>
      </c>
      <c r="BQ56" s="24">
        <f t="shared" si="185"/>
        <v>0</v>
      </c>
      <c r="BR56" s="24">
        <f t="shared" si="185"/>
        <v>0</v>
      </c>
      <c r="BS56" s="24">
        <f t="shared" si="185"/>
        <v>0</v>
      </c>
      <c r="BT56" s="24">
        <f t="shared" si="185"/>
        <v>0</v>
      </c>
      <c r="BU56" s="24">
        <f t="shared" si="185"/>
        <v>0</v>
      </c>
      <c r="BV56" s="24">
        <f t="shared" si="185"/>
        <v>0</v>
      </c>
      <c r="BW56" s="24">
        <f t="shared" si="185"/>
        <v>-0.24</v>
      </c>
      <c r="BX56" s="24">
        <f t="shared" si="185"/>
        <v>0</v>
      </c>
      <c r="BY56" s="24">
        <f t="shared" ref="BY56:CM56" si="186">SUM(BY50:BY55)</f>
        <v>0</v>
      </c>
      <c r="BZ56" s="24">
        <f t="shared" si="186"/>
        <v>0</v>
      </c>
      <c r="CA56" s="24">
        <f t="shared" si="186"/>
        <v>0</v>
      </c>
      <c r="CB56" s="24">
        <f t="shared" si="186"/>
        <v>0</v>
      </c>
      <c r="CC56" s="24">
        <f t="shared" si="186"/>
        <v>0</v>
      </c>
      <c r="CD56" s="24">
        <f t="shared" si="186"/>
        <v>0</v>
      </c>
      <c r="CE56" s="24">
        <f t="shared" si="186"/>
        <v>0</v>
      </c>
      <c r="CF56" s="24">
        <f t="shared" si="186"/>
        <v>0</v>
      </c>
      <c r="CG56" s="24">
        <f t="shared" si="186"/>
        <v>0</v>
      </c>
      <c r="CH56" s="24">
        <f t="shared" si="186"/>
        <v>0</v>
      </c>
      <c r="CI56" s="24">
        <f t="shared" si="186"/>
        <v>0</v>
      </c>
      <c r="CJ56" s="24">
        <f t="shared" si="186"/>
        <v>0</v>
      </c>
      <c r="CK56" s="24">
        <f t="shared" si="186"/>
        <v>0</v>
      </c>
      <c r="CL56" s="24">
        <f t="shared" si="186"/>
        <v>0</v>
      </c>
      <c r="CM56" s="24">
        <f t="shared" si="186"/>
        <v>0</v>
      </c>
    </row>
    <row r="57" spans="1:92" x14ac:dyDescent="0.2">
      <c r="A57" s="8"/>
      <c r="B57" s="8" t="s">
        <v>199</v>
      </c>
      <c r="C57" s="8"/>
      <c r="D57" s="17">
        <f>D49+D56</f>
        <v>0</v>
      </c>
      <c r="E57" s="17">
        <f t="shared" ref="E57:BY57" si="187">E49+E56</f>
        <v>0</v>
      </c>
      <c r="F57" s="17">
        <f t="shared" si="187"/>
        <v>0</v>
      </c>
      <c r="G57" s="17">
        <f t="shared" si="187"/>
        <v>0</v>
      </c>
      <c r="H57" s="17">
        <f t="shared" si="187"/>
        <v>0</v>
      </c>
      <c r="I57" s="17">
        <f t="shared" si="187"/>
        <v>0</v>
      </c>
      <c r="J57" s="17">
        <f t="shared" si="187"/>
        <v>-199465.60817156127</v>
      </c>
      <c r="K57" s="17">
        <f t="shared" si="187"/>
        <v>640444.03112079646</v>
      </c>
      <c r="L57" s="17">
        <f t="shared" si="187"/>
        <v>507915.77304489387</v>
      </c>
      <c r="M57" s="17">
        <f t="shared" si="187"/>
        <v>404431.40087758645</v>
      </c>
      <c r="N57" s="17">
        <f t="shared" si="187"/>
        <v>1105202.2605628944</v>
      </c>
      <c r="O57" s="17">
        <f t="shared" si="187"/>
        <v>286419.05858386646</v>
      </c>
      <c r="P57" s="17">
        <f t="shared" si="187"/>
        <v>1341192.9534952273</v>
      </c>
      <c r="Q57" s="17">
        <f t="shared" si="187"/>
        <v>523882.64398179576</v>
      </c>
      <c r="R57" s="17">
        <f t="shared" si="187"/>
        <v>1482052.6553668785</v>
      </c>
      <c r="S57" s="17">
        <f t="shared" si="187"/>
        <v>2266995.2812781716</v>
      </c>
      <c r="T57" s="17">
        <f t="shared" si="187"/>
        <v>2052782.7193476232</v>
      </c>
      <c r="U57" s="17">
        <f t="shared" si="187"/>
        <v>2725822.7582124844</v>
      </c>
      <c r="V57" s="17">
        <f t="shared" si="187"/>
        <v>2989154.0642003417</v>
      </c>
      <c r="W57" s="17">
        <f t="shared" si="187"/>
        <v>3027270.3802636154</v>
      </c>
      <c r="X57" s="17">
        <f t="shared" si="187"/>
        <v>3376249.6029822449</v>
      </c>
      <c r="Y57" s="17">
        <f t="shared" si="187"/>
        <v>4662532.9972754084</v>
      </c>
      <c r="Z57" s="17">
        <f t="shared" si="187"/>
        <v>4241192.6902960446</v>
      </c>
      <c r="AA57" s="17">
        <f t="shared" si="187"/>
        <v>5611247.5599752879</v>
      </c>
      <c r="AB57" s="17">
        <f t="shared" si="187"/>
        <v>7101704.1663728394</v>
      </c>
      <c r="AC57" s="17">
        <f t="shared" si="187"/>
        <v>9923249.7587148584</v>
      </c>
      <c r="AD57" s="17">
        <f t="shared" si="187"/>
        <v>11775518.935626514</v>
      </c>
      <c r="AE57" s="17">
        <f t="shared" si="187"/>
        <v>12289432.012997026</v>
      </c>
      <c r="AF57" s="17">
        <f t="shared" si="187"/>
        <v>7246141.5101591153</v>
      </c>
      <c r="AG57" s="17">
        <f t="shared" si="187"/>
        <v>7974280.2420591097</v>
      </c>
      <c r="AH57" s="17">
        <f t="shared" si="187"/>
        <v>8621637.6560921781</v>
      </c>
      <c r="AI57" s="17">
        <f t="shared" si="187"/>
        <v>8881023.9591175783</v>
      </c>
      <c r="AJ57" s="17">
        <f t="shared" si="187"/>
        <v>9160349.8499225825</v>
      </c>
      <c r="AK57" s="17">
        <f t="shared" si="187"/>
        <v>10404749.434073124</v>
      </c>
      <c r="AL57" s="17">
        <f t="shared" si="187"/>
        <v>11122489.456258822</v>
      </c>
      <c r="AM57" s="17">
        <f t="shared" si="187"/>
        <v>10454405.387318356</v>
      </c>
      <c r="AN57" s="17">
        <f t="shared" si="187"/>
        <v>11942785.61356739</v>
      </c>
      <c r="AO57" s="17">
        <f t="shared" si="187"/>
        <v>14516156.931008631</v>
      </c>
      <c r="AP57" s="17">
        <f t="shared" si="187"/>
        <v>15268377.011117622</v>
      </c>
      <c r="AQ57" s="17">
        <f t="shared" si="187"/>
        <v>17218909.579018887</v>
      </c>
      <c r="AR57" s="17">
        <f t="shared" si="187"/>
        <v>8044826.1208727099</v>
      </c>
      <c r="AS57" s="17">
        <f t="shared" si="187"/>
        <v>8296047.587166464</v>
      </c>
      <c r="AT57" s="17">
        <f t="shared" si="187"/>
        <v>8475389.2918473985</v>
      </c>
      <c r="AU57" s="17">
        <f t="shared" si="187"/>
        <v>8925421.900420526</v>
      </c>
      <c r="AV57" s="17">
        <f t="shared" si="187"/>
        <v>8891223.5858451556</v>
      </c>
      <c r="AW57" s="17">
        <f t="shared" si="187"/>
        <v>9919947.4071879443</v>
      </c>
      <c r="AX57" s="17">
        <f t="shared" si="187"/>
        <v>12499399.044342099</v>
      </c>
      <c r="AY57" s="17">
        <f t="shared" si="187"/>
        <v>12574592.261257906</v>
      </c>
      <c r="AZ57" s="17">
        <f t="shared" si="187"/>
        <v>10927950.611257905</v>
      </c>
      <c r="BA57" s="17">
        <f t="shared" si="187"/>
        <v>11232170.191257905</v>
      </c>
      <c r="BB57" s="17">
        <f t="shared" si="187"/>
        <v>11065089.301257905</v>
      </c>
      <c r="BC57" s="17">
        <f t="shared" si="187"/>
        <v>11307205.361257905</v>
      </c>
      <c r="BD57" s="17">
        <f t="shared" si="187"/>
        <v>-1348957.798742095</v>
      </c>
      <c r="BE57" s="17">
        <f t="shared" si="187"/>
        <v>-1131284.2187420949</v>
      </c>
      <c r="BF57" s="17">
        <f t="shared" si="187"/>
        <v>-1050216.768742095</v>
      </c>
      <c r="BG57" s="17">
        <f t="shared" si="187"/>
        <v>-791591.64874209499</v>
      </c>
      <c r="BH57" s="17">
        <f t="shared" si="187"/>
        <v>-520854.81874209497</v>
      </c>
      <c r="BI57" s="17">
        <f t="shared" si="187"/>
        <v>-341874.97874209494</v>
      </c>
      <c r="BJ57" s="17">
        <f t="shared" si="187"/>
        <v>301967.00125790504</v>
      </c>
      <c r="BK57" s="17">
        <f t="shared" si="187"/>
        <v>639328.12125790503</v>
      </c>
      <c r="BL57" s="17">
        <f t="shared" ref="BL57:BX57" si="188">BL49+BL56</f>
        <v>0.24125790502876043</v>
      </c>
      <c r="BM57" s="17">
        <f t="shared" si="188"/>
        <v>0.24125790502876043</v>
      </c>
      <c r="BN57" s="17">
        <f t="shared" si="188"/>
        <v>0.24125790502876043</v>
      </c>
      <c r="BO57" s="17">
        <f t="shared" si="188"/>
        <v>0.24125790502876043</v>
      </c>
      <c r="BP57" s="17">
        <f t="shared" si="188"/>
        <v>0.24125790502876043</v>
      </c>
      <c r="BQ57" s="17">
        <f t="shared" si="188"/>
        <v>0.24125790502876043</v>
      </c>
      <c r="BR57" s="17">
        <f t="shared" si="188"/>
        <v>0.24125790502876043</v>
      </c>
      <c r="BS57" s="17">
        <f t="shared" si="188"/>
        <v>0.24125790502876043</v>
      </c>
      <c r="BT57" s="17">
        <f t="shared" si="188"/>
        <v>0.24125790502876043</v>
      </c>
      <c r="BU57" s="17">
        <f t="shared" si="188"/>
        <v>0.24125790502876043</v>
      </c>
      <c r="BV57" s="17">
        <f t="shared" si="188"/>
        <v>0.24125790502876043</v>
      </c>
      <c r="BW57" s="17">
        <f t="shared" si="188"/>
        <v>1.2579050287604421E-3</v>
      </c>
      <c r="BX57" s="17">
        <f t="shared" si="188"/>
        <v>1.2579050287604421E-3</v>
      </c>
      <c r="BY57" s="17">
        <f t="shared" si="187"/>
        <v>1.2579050287604421E-3</v>
      </c>
      <c r="BZ57" s="17">
        <f t="shared" ref="BZ57" si="189">BZ49+BZ56</f>
        <v>1.2579050287604421E-3</v>
      </c>
      <c r="CA57" s="17">
        <f t="shared" ref="CA57" si="190">CA49+CA56</f>
        <v>1.2579050287604421E-3</v>
      </c>
      <c r="CB57" s="17">
        <f t="shared" ref="CB57" si="191">CB49+CB56</f>
        <v>1.2579050287604421E-3</v>
      </c>
      <c r="CC57" s="17">
        <f t="shared" ref="CC57" si="192">CC49+CC56</f>
        <v>1.2579050287604421E-3</v>
      </c>
      <c r="CD57" s="17">
        <f t="shared" ref="CD57" si="193">CD49+CD56</f>
        <v>1.2579050287604421E-3</v>
      </c>
      <c r="CE57" s="17">
        <f t="shared" ref="CE57" si="194">CE49+CE56</f>
        <v>1.2579050287604421E-3</v>
      </c>
      <c r="CF57" s="17">
        <f t="shared" ref="CF57" si="195">CF49+CF56</f>
        <v>1.2579050287604421E-3</v>
      </c>
      <c r="CG57" s="17">
        <f t="shared" ref="CG57" si="196">CG49+CG56</f>
        <v>1.2579050287604421E-3</v>
      </c>
      <c r="CH57" s="17">
        <f t="shared" ref="CH57" si="197">CH49+CH56</f>
        <v>1.2579050287604421E-3</v>
      </c>
      <c r="CI57" s="17">
        <f t="shared" ref="CI57" si="198">CI49+CI56</f>
        <v>1.2579050287604421E-3</v>
      </c>
      <c r="CJ57" s="17">
        <f t="shared" ref="CJ57" si="199">CJ49+CJ56</f>
        <v>1.2579050287604421E-3</v>
      </c>
      <c r="CK57" s="17">
        <f t="shared" ref="CK57" si="200">CK49+CK56</f>
        <v>1.2579050287604421E-3</v>
      </c>
      <c r="CL57" s="17">
        <f t="shared" ref="CL57" si="201">CL49+CL56</f>
        <v>1.2579050287604421E-3</v>
      </c>
      <c r="CM57" s="17">
        <f t="shared" ref="CM57" si="202">CM49+CM56</f>
        <v>1.2579050287604421E-3</v>
      </c>
    </row>
    <row r="58" spans="1:92" x14ac:dyDescent="0.2">
      <c r="A58" s="8"/>
      <c r="B58" s="8"/>
      <c r="C58" s="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8"/>
      <c r="CL58" s="8"/>
      <c r="CM58" s="8"/>
    </row>
    <row r="59" spans="1:92" x14ac:dyDescent="0.2">
      <c r="A59" s="4" t="s">
        <v>205</v>
      </c>
      <c r="C59" s="15">
        <v>18237292</v>
      </c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  <c r="AW59" s="232"/>
      <c r="AX59" s="232"/>
      <c r="AY59" s="232"/>
      <c r="AZ59" s="232"/>
      <c r="BA59" s="232"/>
      <c r="BB59" s="232"/>
      <c r="BC59" s="232"/>
      <c r="BD59" s="233"/>
      <c r="BE59" s="232"/>
      <c r="BF59" s="232"/>
      <c r="BG59" s="232"/>
      <c r="BH59" s="232"/>
      <c r="BI59" s="232"/>
      <c r="BJ59" s="232"/>
      <c r="BK59" s="232"/>
      <c r="BL59" s="232"/>
      <c r="BM59" s="232"/>
      <c r="BN59" s="232"/>
      <c r="BO59" s="232"/>
      <c r="BP59" s="232"/>
      <c r="BQ59" s="232"/>
      <c r="BR59" s="232"/>
      <c r="BS59" s="232"/>
      <c r="BT59" s="232"/>
      <c r="BU59" s="232"/>
      <c r="BV59" s="232"/>
      <c r="BW59" s="232"/>
      <c r="BX59" s="232"/>
      <c r="BY59" s="232"/>
      <c r="BZ59" s="232"/>
      <c r="CA59" s="232"/>
      <c r="CB59" s="232"/>
      <c r="CC59" s="232"/>
      <c r="CD59" s="232"/>
      <c r="CE59" s="232"/>
      <c r="CF59" s="232"/>
      <c r="CG59" s="232"/>
      <c r="CH59" s="232"/>
      <c r="CI59" s="8"/>
      <c r="CL59" s="8"/>
      <c r="CM59" s="8"/>
    </row>
    <row r="60" spans="1:92" s="25" customFormat="1" x14ac:dyDescent="0.2">
      <c r="A60" s="7"/>
      <c r="B60" s="7" t="s">
        <v>195</v>
      </c>
      <c r="C60" s="15">
        <v>25400692</v>
      </c>
      <c r="D60" s="17">
        <v>0</v>
      </c>
      <c r="E60" s="17">
        <f>D65</f>
        <v>0</v>
      </c>
      <c r="F60" s="17">
        <f t="shared" ref="F60:CA60" si="203">E65</f>
        <v>0</v>
      </c>
      <c r="G60" s="17">
        <f t="shared" si="203"/>
        <v>0</v>
      </c>
      <c r="H60" s="17">
        <f t="shared" si="203"/>
        <v>0</v>
      </c>
      <c r="I60" s="17">
        <f t="shared" si="203"/>
        <v>0</v>
      </c>
      <c r="J60" s="17">
        <f t="shared" si="203"/>
        <v>0</v>
      </c>
      <c r="K60" s="17">
        <f t="shared" si="203"/>
        <v>0</v>
      </c>
      <c r="L60" s="17">
        <f t="shared" si="203"/>
        <v>0</v>
      </c>
      <c r="M60" s="17">
        <f t="shared" si="203"/>
        <v>0</v>
      </c>
      <c r="N60" s="17">
        <f t="shared" si="203"/>
        <v>0</v>
      </c>
      <c r="O60" s="17">
        <f t="shared" si="203"/>
        <v>0</v>
      </c>
      <c r="P60" s="17">
        <f t="shared" si="203"/>
        <v>0</v>
      </c>
      <c r="Q60" s="17">
        <f t="shared" si="203"/>
        <v>0</v>
      </c>
      <c r="R60" s="17">
        <f t="shared" si="203"/>
        <v>0</v>
      </c>
      <c r="S60" s="17">
        <f t="shared" si="203"/>
        <v>0</v>
      </c>
      <c r="T60" s="17">
        <f t="shared" si="203"/>
        <v>0</v>
      </c>
      <c r="U60" s="17">
        <f t="shared" si="203"/>
        <v>0</v>
      </c>
      <c r="V60" s="17">
        <f t="shared" si="203"/>
        <v>0</v>
      </c>
      <c r="W60" s="17">
        <f t="shared" si="203"/>
        <v>0</v>
      </c>
      <c r="X60" s="17">
        <f t="shared" si="203"/>
        <v>0</v>
      </c>
      <c r="Y60" s="17">
        <f t="shared" si="203"/>
        <v>0</v>
      </c>
      <c r="Z60" s="17">
        <f t="shared" si="203"/>
        <v>0</v>
      </c>
      <c r="AA60" s="17">
        <f t="shared" si="203"/>
        <v>0</v>
      </c>
      <c r="AB60" s="17">
        <f t="shared" si="203"/>
        <v>0</v>
      </c>
      <c r="AC60" s="17">
        <f t="shared" si="203"/>
        <v>0</v>
      </c>
      <c r="AD60" s="17">
        <f t="shared" si="203"/>
        <v>0</v>
      </c>
      <c r="AE60" s="17">
        <f t="shared" si="203"/>
        <v>0</v>
      </c>
      <c r="AF60" s="17">
        <f t="shared" si="203"/>
        <v>0</v>
      </c>
      <c r="AG60" s="17">
        <f t="shared" si="203"/>
        <v>0</v>
      </c>
      <c r="AH60" s="17">
        <f t="shared" si="203"/>
        <v>0</v>
      </c>
      <c r="AI60" s="17">
        <f t="shared" si="203"/>
        <v>0</v>
      </c>
      <c r="AJ60" s="17">
        <f t="shared" si="203"/>
        <v>0</v>
      </c>
      <c r="AK60" s="17">
        <f t="shared" si="203"/>
        <v>0</v>
      </c>
      <c r="AL60" s="17">
        <f t="shared" si="203"/>
        <v>0</v>
      </c>
      <c r="AM60" s="17">
        <f t="shared" si="203"/>
        <v>0</v>
      </c>
      <c r="AN60" s="17">
        <f t="shared" si="203"/>
        <v>0</v>
      </c>
      <c r="AO60" s="17">
        <f t="shared" si="203"/>
        <v>0</v>
      </c>
      <c r="AP60" s="17">
        <f t="shared" si="203"/>
        <v>0</v>
      </c>
      <c r="AQ60" s="17">
        <f t="shared" si="203"/>
        <v>0</v>
      </c>
      <c r="AR60" s="17">
        <f t="shared" si="203"/>
        <v>0</v>
      </c>
      <c r="AS60" s="17">
        <f t="shared" si="203"/>
        <v>0</v>
      </c>
      <c r="AT60" s="17">
        <f t="shared" si="203"/>
        <v>0</v>
      </c>
      <c r="AU60" s="17">
        <f t="shared" si="203"/>
        <v>0</v>
      </c>
      <c r="AV60" s="17">
        <f t="shared" si="203"/>
        <v>0</v>
      </c>
      <c r="AW60" s="17">
        <f t="shared" si="203"/>
        <v>0</v>
      </c>
      <c r="AX60" s="17">
        <f t="shared" si="203"/>
        <v>0</v>
      </c>
      <c r="AY60" s="17">
        <f t="shared" si="203"/>
        <v>0</v>
      </c>
      <c r="AZ60" s="17">
        <f t="shared" si="203"/>
        <v>0</v>
      </c>
      <c r="BA60" s="17">
        <f t="shared" si="203"/>
        <v>0</v>
      </c>
      <c r="BB60" s="17">
        <f t="shared" si="203"/>
        <v>0</v>
      </c>
      <c r="BC60" s="17">
        <f t="shared" si="203"/>
        <v>0</v>
      </c>
      <c r="BD60" s="17">
        <f t="shared" si="203"/>
        <v>0</v>
      </c>
      <c r="BE60" s="17">
        <f t="shared" si="203"/>
        <v>0</v>
      </c>
      <c r="BF60" s="17">
        <f t="shared" si="203"/>
        <v>0</v>
      </c>
      <c r="BG60" s="17">
        <f t="shared" si="203"/>
        <v>0</v>
      </c>
      <c r="BH60" s="17">
        <f t="shared" si="203"/>
        <v>0</v>
      </c>
      <c r="BI60" s="17">
        <f t="shared" si="203"/>
        <v>0</v>
      </c>
      <c r="BJ60" s="17">
        <f t="shared" si="203"/>
        <v>0</v>
      </c>
      <c r="BK60" s="17">
        <f t="shared" si="203"/>
        <v>0</v>
      </c>
      <c r="BL60" s="17">
        <f t="shared" ref="BL60" si="204">BK65</f>
        <v>-21797.52</v>
      </c>
      <c r="BM60" s="17">
        <f t="shared" ref="BM60" si="205">BL65</f>
        <v>1128506.1096399999</v>
      </c>
      <c r="BN60" s="17">
        <f t="shared" ref="BN60" si="206">BM65</f>
        <v>57536.909639999969</v>
      </c>
      <c r="BO60" s="17">
        <f t="shared" ref="BO60" si="207">BN65</f>
        <v>-1167721.3803600001</v>
      </c>
      <c r="BP60" s="17">
        <f t="shared" ref="BP60" si="208">BO65</f>
        <v>-1631195.52036</v>
      </c>
      <c r="BQ60" s="17">
        <f t="shared" ref="BQ60" si="209">BP65</f>
        <v>-1908960.26</v>
      </c>
      <c r="BR60" s="17">
        <f t="shared" ref="BR60" si="210">BQ65</f>
        <v>-2200728.2400000002</v>
      </c>
      <c r="BS60" s="17">
        <f t="shared" ref="BS60" si="211">BR65</f>
        <v>-2017706.8300000003</v>
      </c>
      <c r="BT60" s="17">
        <f t="shared" ref="BT60" si="212">BS65</f>
        <v>-2087406.6200000003</v>
      </c>
      <c r="BU60" s="17">
        <f t="shared" ref="BU60" si="213">BT65</f>
        <v>-2050589.4300000004</v>
      </c>
      <c r="BV60" s="17">
        <f t="shared" ref="BV60" si="214">BU65</f>
        <v>-2183856.5000000005</v>
      </c>
      <c r="BW60" s="17">
        <f t="shared" ref="BW60" si="215">BV65</f>
        <v>-2302303.0500000003</v>
      </c>
      <c r="BX60" s="17">
        <f t="shared" ref="BX60" si="216">BW65</f>
        <v>-2236606.3800000004</v>
      </c>
      <c r="BY60" s="17">
        <f t="shared" si="203"/>
        <v>-1146242.2800000003</v>
      </c>
      <c r="BZ60" s="17">
        <f t="shared" si="203"/>
        <v>-3648146.3600000003</v>
      </c>
      <c r="CA60" s="17">
        <f t="shared" si="203"/>
        <v>-3664790.95</v>
      </c>
      <c r="CB60" s="17">
        <f t="shared" ref="CB60" si="217">CA65</f>
        <v>-3306291.52</v>
      </c>
      <c r="CC60" s="17">
        <f t="shared" ref="CC60" si="218">CB65</f>
        <v>-1045661.9099999997</v>
      </c>
      <c r="CD60" s="17">
        <f t="shared" ref="CD60" si="219">CC65</f>
        <v>-1092831.6199999996</v>
      </c>
      <c r="CE60" s="17">
        <f t="shared" ref="CE60" si="220">CD65</f>
        <v>-1274468.8299999996</v>
      </c>
      <c r="CF60" s="17">
        <f t="shared" ref="CF60" si="221">CE65</f>
        <v>-1516494.0099999995</v>
      </c>
      <c r="CG60" s="17">
        <f t="shared" ref="CG60" si="222">CF65</f>
        <v>-2038771.5699999996</v>
      </c>
      <c r="CH60" s="17">
        <f>CG65</f>
        <v>-2556481.0399999996</v>
      </c>
      <c r="CI60" s="17">
        <f t="shared" ref="CI60:CM60" si="223">CH65</f>
        <v>-1196934.3699999996</v>
      </c>
      <c r="CJ60" s="17">
        <f t="shared" si="223"/>
        <v>-1448346.7099999997</v>
      </c>
      <c r="CK60" s="17">
        <f t="shared" si="223"/>
        <v>-1448346.7099999997</v>
      </c>
      <c r="CL60" s="17">
        <f t="shared" si="223"/>
        <v>-1448346.7099999997</v>
      </c>
      <c r="CM60" s="17">
        <f t="shared" si="223"/>
        <v>-1448346.7099999997</v>
      </c>
      <c r="CN60" s="7"/>
    </row>
    <row r="61" spans="1:92" s="25" customFormat="1" x14ac:dyDescent="0.2">
      <c r="B61" s="21" t="s">
        <v>196</v>
      </c>
      <c r="C61" s="26"/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23">
        <v>0</v>
      </c>
      <c r="AJ61" s="23">
        <v>0</v>
      </c>
      <c r="AK61" s="23">
        <v>0</v>
      </c>
      <c r="AL61" s="23">
        <v>0</v>
      </c>
      <c r="AM61" s="23">
        <v>0</v>
      </c>
      <c r="AN61" s="23">
        <v>0</v>
      </c>
      <c r="AO61" s="23">
        <v>0</v>
      </c>
      <c r="AP61" s="23">
        <v>0</v>
      </c>
      <c r="AQ61" s="23">
        <v>0</v>
      </c>
      <c r="AR61" s="23">
        <v>0</v>
      </c>
      <c r="AS61" s="23">
        <v>0</v>
      </c>
      <c r="AT61" s="23">
        <v>0</v>
      </c>
      <c r="AU61" s="23">
        <v>0</v>
      </c>
      <c r="AV61" s="23">
        <v>0</v>
      </c>
      <c r="AW61" s="23">
        <v>0</v>
      </c>
      <c r="AX61" s="23">
        <v>0</v>
      </c>
      <c r="AY61" s="23">
        <v>0</v>
      </c>
      <c r="AZ61" s="23">
        <v>0</v>
      </c>
      <c r="BA61" s="23">
        <v>0</v>
      </c>
      <c r="BB61" s="23">
        <v>0</v>
      </c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  <c r="BI61" s="23">
        <v>0</v>
      </c>
      <c r="BJ61" s="23">
        <v>0</v>
      </c>
      <c r="BK61" s="23">
        <v>0</v>
      </c>
      <c r="BL61" s="23">
        <v>0</v>
      </c>
      <c r="BM61" s="23">
        <v>0</v>
      </c>
      <c r="BN61" s="23">
        <v>0</v>
      </c>
      <c r="BO61" s="23">
        <v>0</v>
      </c>
      <c r="BP61" s="23">
        <v>-427649.97963999998</v>
      </c>
      <c r="BQ61" s="23">
        <v>0</v>
      </c>
      <c r="BR61" s="23">
        <v>0</v>
      </c>
      <c r="BS61" s="23">
        <v>0</v>
      </c>
      <c r="BT61" s="23">
        <v>0</v>
      </c>
      <c r="BU61" s="23">
        <v>0</v>
      </c>
      <c r="BV61" s="23">
        <v>0</v>
      </c>
      <c r="BW61" s="23">
        <v>0</v>
      </c>
      <c r="BX61" s="23">
        <v>0</v>
      </c>
      <c r="BY61" s="23">
        <v>0</v>
      </c>
      <c r="BZ61" s="23">
        <v>0</v>
      </c>
      <c r="CA61" s="23">
        <v>0</v>
      </c>
      <c r="CB61" s="23">
        <v>2236606.3800000004</v>
      </c>
      <c r="CC61" s="23">
        <v>0</v>
      </c>
      <c r="CD61" s="23">
        <v>0</v>
      </c>
      <c r="CE61" s="23">
        <v>0</v>
      </c>
      <c r="CF61" s="23">
        <v>0</v>
      </c>
      <c r="CG61" s="23">
        <v>0</v>
      </c>
      <c r="CH61" s="23">
        <v>0</v>
      </c>
      <c r="CI61" s="23">
        <v>0</v>
      </c>
      <c r="CJ61" s="23"/>
      <c r="CK61" s="23"/>
      <c r="CL61" s="23"/>
      <c r="CM61" s="23"/>
    </row>
    <row r="62" spans="1:92" s="21" customFormat="1" x14ac:dyDescent="0.2">
      <c r="A62" s="25"/>
      <c r="B62" s="21" t="s">
        <v>206</v>
      </c>
      <c r="C62" s="26"/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>
        <v>0</v>
      </c>
      <c r="AL62" s="23">
        <v>0</v>
      </c>
      <c r="AM62" s="23">
        <v>0</v>
      </c>
      <c r="AN62" s="23">
        <v>0</v>
      </c>
      <c r="AO62" s="23">
        <v>0</v>
      </c>
      <c r="AP62" s="23">
        <v>0</v>
      </c>
      <c r="AQ62" s="23">
        <v>0</v>
      </c>
      <c r="AR62" s="23">
        <v>0</v>
      </c>
      <c r="AS62" s="23">
        <v>0</v>
      </c>
      <c r="AT62" s="23">
        <v>0</v>
      </c>
      <c r="AU62" s="23">
        <v>0</v>
      </c>
      <c r="AV62" s="23">
        <v>0</v>
      </c>
      <c r="AW62" s="23">
        <v>0</v>
      </c>
      <c r="AX62" s="23">
        <v>0</v>
      </c>
      <c r="AY62" s="23">
        <v>0</v>
      </c>
      <c r="AZ62" s="23">
        <v>0</v>
      </c>
      <c r="BA62" s="23">
        <v>0</v>
      </c>
      <c r="BB62" s="23">
        <v>0</v>
      </c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  <c r="BI62" s="23">
        <v>0</v>
      </c>
      <c r="BJ62" s="23">
        <v>0</v>
      </c>
      <c r="BK62" s="23">
        <v>0</v>
      </c>
      <c r="BL62" s="23">
        <v>449447.49963999999</v>
      </c>
      <c r="BM62" s="23">
        <v>0</v>
      </c>
      <c r="BN62" s="23">
        <v>0</v>
      </c>
      <c r="BO62" s="23">
        <v>0</v>
      </c>
      <c r="BP62" s="23">
        <v>0</v>
      </c>
      <c r="BQ62" s="23">
        <v>0</v>
      </c>
      <c r="BR62" s="23">
        <v>0</v>
      </c>
      <c r="BS62" s="23">
        <v>0</v>
      </c>
      <c r="BT62" s="23">
        <v>0</v>
      </c>
      <c r="BU62" s="23">
        <v>0</v>
      </c>
      <c r="BV62" s="23">
        <v>0</v>
      </c>
      <c r="BW62" s="23">
        <v>0</v>
      </c>
      <c r="BX62" s="23">
        <v>0</v>
      </c>
      <c r="BY62" s="23"/>
      <c r="BZ62" s="23"/>
      <c r="CA62" s="23"/>
      <c r="CB62" s="23">
        <v>0</v>
      </c>
      <c r="CC62" s="23">
        <v>0</v>
      </c>
      <c r="CD62" s="23">
        <v>0</v>
      </c>
      <c r="CE62" s="23">
        <v>0</v>
      </c>
      <c r="CF62" s="23">
        <v>0</v>
      </c>
      <c r="CG62" s="23">
        <v>0</v>
      </c>
      <c r="CH62" s="23">
        <v>0</v>
      </c>
      <c r="CI62" s="23">
        <v>0</v>
      </c>
      <c r="CJ62" s="23"/>
      <c r="CK62" s="23"/>
      <c r="CL62" s="23"/>
      <c r="CM62" s="23"/>
      <c r="CN62" s="25"/>
    </row>
    <row r="63" spans="1:92" x14ac:dyDescent="0.2">
      <c r="A63" s="21"/>
      <c r="B63" s="21" t="s">
        <v>204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23">
        <v>0</v>
      </c>
      <c r="AJ63" s="23">
        <v>0</v>
      </c>
      <c r="AK63" s="23">
        <v>0</v>
      </c>
      <c r="AL63" s="23">
        <v>0</v>
      </c>
      <c r="AM63" s="23">
        <v>0</v>
      </c>
      <c r="AN63" s="23">
        <v>0</v>
      </c>
      <c r="AO63" s="23">
        <v>0</v>
      </c>
      <c r="AP63" s="23">
        <v>0</v>
      </c>
      <c r="AQ63" s="23">
        <v>0</v>
      </c>
      <c r="AR63" s="23">
        <v>0</v>
      </c>
      <c r="AS63" s="23">
        <v>0</v>
      </c>
      <c r="AT63" s="23">
        <v>0</v>
      </c>
      <c r="AU63" s="23">
        <v>0</v>
      </c>
      <c r="AV63" s="23">
        <v>0</v>
      </c>
      <c r="AW63" s="23">
        <v>0</v>
      </c>
      <c r="AX63" s="23">
        <v>0</v>
      </c>
      <c r="AY63" s="23">
        <v>0</v>
      </c>
      <c r="AZ63" s="23">
        <v>0</v>
      </c>
      <c r="BA63" s="23">
        <v>0</v>
      </c>
      <c r="BB63" s="23">
        <v>0</v>
      </c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  <c r="BI63" s="23">
        <v>0</v>
      </c>
      <c r="BJ63" s="23">
        <v>0</v>
      </c>
      <c r="BK63" s="23">
        <v>-21797.52</v>
      </c>
      <c r="BL63" s="23">
        <v>700856.13</v>
      </c>
      <c r="BM63" s="23">
        <v>-1070969.2</v>
      </c>
      <c r="BN63" s="23">
        <v>-1225258.29</v>
      </c>
      <c r="BO63" s="23">
        <v>-463474.14</v>
      </c>
      <c r="BP63" s="23">
        <v>149885.24</v>
      </c>
      <c r="BQ63" s="23">
        <v>-291767.98</v>
      </c>
      <c r="BR63" s="23">
        <v>183021.41</v>
      </c>
      <c r="BS63" s="23">
        <v>-69699.789999999994</v>
      </c>
      <c r="BT63" s="23">
        <v>36817.19</v>
      </c>
      <c r="BU63" s="23">
        <v>-133267.07</v>
      </c>
      <c r="BV63" s="23">
        <v>-118446.55</v>
      </c>
      <c r="BW63" s="23">
        <v>65696.67</v>
      </c>
      <c r="BX63" s="22">
        <f>'Sch31&amp;31T Deferral Calc'!C28</f>
        <v>1090364.1000000001</v>
      </c>
      <c r="BY63" s="22">
        <f>'Sch31&amp;31T Deferral Calc'!D28</f>
        <v>-2501904.08</v>
      </c>
      <c r="BZ63" s="22">
        <f>'Sch31&amp;31T Deferral Calc'!E28</f>
        <v>-16644.59</v>
      </c>
      <c r="CA63" s="22">
        <f>'Sch31&amp;31T Deferral Calc'!F28</f>
        <v>358499.43</v>
      </c>
      <c r="CB63" s="22">
        <f>'Sch31&amp;31T Deferral Calc'!G28</f>
        <v>24023.23</v>
      </c>
      <c r="CC63" s="22">
        <f>'Sch31&amp;31T Deferral Calc'!H28</f>
        <v>-47169.71</v>
      </c>
      <c r="CD63" s="22">
        <f>'Sch31&amp;31T Deferral Calc'!I28</f>
        <v>-181637.21</v>
      </c>
      <c r="CE63" s="22">
        <f>'Sch31&amp;31T Deferral Calc'!J28</f>
        <v>-242025.18</v>
      </c>
      <c r="CF63" s="22">
        <f>'Sch31&amp;31T Deferral Calc'!K28</f>
        <v>-522277.56</v>
      </c>
      <c r="CG63" s="22">
        <f>'Sch31&amp;31T Deferral Calc'!L28</f>
        <v>-517709.47</v>
      </c>
      <c r="CH63" s="22">
        <f>'Sch31&amp;31T Deferral Calc'!M28</f>
        <v>1359546.67</v>
      </c>
      <c r="CI63" s="22">
        <f>'Sch31&amp;31T Deferral Calc'!N28</f>
        <v>-251412.34</v>
      </c>
      <c r="CJ63" s="22"/>
      <c r="CK63" s="22"/>
      <c r="CL63" s="22"/>
      <c r="CM63" s="22"/>
      <c r="CN63" s="21"/>
    </row>
    <row r="64" spans="1:92" x14ac:dyDescent="0.2">
      <c r="B64" s="7" t="s">
        <v>198</v>
      </c>
      <c r="D64" s="24">
        <f t="shared" ref="D64:CA64" si="224">SUM(D61:D63)</f>
        <v>0</v>
      </c>
      <c r="E64" s="24">
        <f t="shared" si="224"/>
        <v>0</v>
      </c>
      <c r="F64" s="24">
        <f t="shared" si="224"/>
        <v>0</v>
      </c>
      <c r="G64" s="24">
        <f t="shared" si="224"/>
        <v>0</v>
      </c>
      <c r="H64" s="24">
        <f t="shared" si="224"/>
        <v>0</v>
      </c>
      <c r="I64" s="24">
        <f t="shared" si="224"/>
        <v>0</v>
      </c>
      <c r="J64" s="24">
        <f t="shared" si="224"/>
        <v>0</v>
      </c>
      <c r="K64" s="24">
        <f t="shared" si="224"/>
        <v>0</v>
      </c>
      <c r="L64" s="24">
        <f t="shared" si="224"/>
        <v>0</v>
      </c>
      <c r="M64" s="24">
        <f t="shared" si="224"/>
        <v>0</v>
      </c>
      <c r="N64" s="24">
        <f t="shared" si="224"/>
        <v>0</v>
      </c>
      <c r="O64" s="24">
        <f t="shared" si="224"/>
        <v>0</v>
      </c>
      <c r="P64" s="24">
        <f t="shared" si="224"/>
        <v>0</v>
      </c>
      <c r="Q64" s="24">
        <f t="shared" si="224"/>
        <v>0</v>
      </c>
      <c r="R64" s="24">
        <f t="shared" si="224"/>
        <v>0</v>
      </c>
      <c r="S64" s="24">
        <f t="shared" si="224"/>
        <v>0</v>
      </c>
      <c r="T64" s="24">
        <f t="shared" si="224"/>
        <v>0</v>
      </c>
      <c r="U64" s="24">
        <f t="shared" si="224"/>
        <v>0</v>
      </c>
      <c r="V64" s="24">
        <f t="shared" si="224"/>
        <v>0</v>
      </c>
      <c r="W64" s="24">
        <f t="shared" si="224"/>
        <v>0</v>
      </c>
      <c r="X64" s="24">
        <f t="shared" si="224"/>
        <v>0</v>
      </c>
      <c r="Y64" s="24">
        <f t="shared" si="224"/>
        <v>0</v>
      </c>
      <c r="Z64" s="24">
        <f t="shared" si="224"/>
        <v>0</v>
      </c>
      <c r="AA64" s="24">
        <f t="shared" si="224"/>
        <v>0</v>
      </c>
      <c r="AB64" s="24">
        <f t="shared" si="224"/>
        <v>0</v>
      </c>
      <c r="AC64" s="24">
        <f t="shared" si="224"/>
        <v>0</v>
      </c>
      <c r="AD64" s="24">
        <f t="shared" si="224"/>
        <v>0</v>
      </c>
      <c r="AE64" s="24">
        <f t="shared" si="224"/>
        <v>0</v>
      </c>
      <c r="AF64" s="24">
        <f t="shared" si="224"/>
        <v>0</v>
      </c>
      <c r="AG64" s="24">
        <f t="shared" si="224"/>
        <v>0</v>
      </c>
      <c r="AH64" s="24">
        <f t="shared" si="224"/>
        <v>0</v>
      </c>
      <c r="AI64" s="24">
        <f t="shared" si="224"/>
        <v>0</v>
      </c>
      <c r="AJ64" s="24">
        <f t="shared" si="224"/>
        <v>0</v>
      </c>
      <c r="AK64" s="24">
        <f t="shared" si="224"/>
        <v>0</v>
      </c>
      <c r="AL64" s="24">
        <f t="shared" si="224"/>
        <v>0</v>
      </c>
      <c r="AM64" s="24">
        <f t="shared" si="224"/>
        <v>0</v>
      </c>
      <c r="AN64" s="24">
        <f t="shared" si="224"/>
        <v>0</v>
      </c>
      <c r="AO64" s="24">
        <f t="shared" si="224"/>
        <v>0</v>
      </c>
      <c r="AP64" s="24">
        <f t="shared" si="224"/>
        <v>0</v>
      </c>
      <c r="AQ64" s="24">
        <f t="shared" si="224"/>
        <v>0</v>
      </c>
      <c r="AR64" s="24">
        <f t="shared" si="224"/>
        <v>0</v>
      </c>
      <c r="AS64" s="24">
        <f t="shared" si="224"/>
        <v>0</v>
      </c>
      <c r="AT64" s="24">
        <f t="shared" si="224"/>
        <v>0</v>
      </c>
      <c r="AU64" s="24">
        <f t="shared" si="224"/>
        <v>0</v>
      </c>
      <c r="AV64" s="24">
        <f t="shared" si="224"/>
        <v>0</v>
      </c>
      <c r="AW64" s="24">
        <f t="shared" si="224"/>
        <v>0</v>
      </c>
      <c r="AX64" s="24">
        <f t="shared" si="224"/>
        <v>0</v>
      </c>
      <c r="AY64" s="24">
        <f t="shared" si="224"/>
        <v>0</v>
      </c>
      <c r="AZ64" s="24">
        <f t="shared" si="224"/>
        <v>0</v>
      </c>
      <c r="BA64" s="24">
        <f t="shared" si="224"/>
        <v>0</v>
      </c>
      <c r="BB64" s="24">
        <f t="shared" si="224"/>
        <v>0</v>
      </c>
      <c r="BC64" s="24">
        <f t="shared" si="224"/>
        <v>0</v>
      </c>
      <c r="BD64" s="24">
        <f t="shared" si="224"/>
        <v>0</v>
      </c>
      <c r="BE64" s="24">
        <f t="shared" si="224"/>
        <v>0</v>
      </c>
      <c r="BF64" s="24">
        <f t="shared" si="224"/>
        <v>0</v>
      </c>
      <c r="BG64" s="24">
        <f t="shared" si="224"/>
        <v>0</v>
      </c>
      <c r="BH64" s="24">
        <f t="shared" si="224"/>
        <v>0</v>
      </c>
      <c r="BI64" s="24">
        <f t="shared" si="224"/>
        <v>0</v>
      </c>
      <c r="BJ64" s="24">
        <f t="shared" si="224"/>
        <v>0</v>
      </c>
      <c r="BK64" s="24">
        <f t="shared" si="224"/>
        <v>-21797.52</v>
      </c>
      <c r="BL64" s="24">
        <f t="shared" ref="BL64:BX64" si="225">SUM(BL61:BL63)</f>
        <v>1150303.6296399999</v>
      </c>
      <c r="BM64" s="24">
        <f t="shared" si="225"/>
        <v>-1070969.2</v>
      </c>
      <c r="BN64" s="24">
        <f t="shared" si="225"/>
        <v>-1225258.29</v>
      </c>
      <c r="BO64" s="24">
        <f t="shared" si="225"/>
        <v>-463474.14</v>
      </c>
      <c r="BP64" s="24">
        <f t="shared" si="225"/>
        <v>-277764.73963999999</v>
      </c>
      <c r="BQ64" s="24">
        <f t="shared" si="225"/>
        <v>-291767.98</v>
      </c>
      <c r="BR64" s="24">
        <f t="shared" si="225"/>
        <v>183021.41</v>
      </c>
      <c r="BS64" s="24">
        <f t="shared" si="225"/>
        <v>-69699.789999999994</v>
      </c>
      <c r="BT64" s="24">
        <f t="shared" si="225"/>
        <v>36817.19</v>
      </c>
      <c r="BU64" s="24">
        <f t="shared" si="225"/>
        <v>-133267.07</v>
      </c>
      <c r="BV64" s="24">
        <f t="shared" si="225"/>
        <v>-118446.55</v>
      </c>
      <c r="BW64" s="24">
        <f t="shared" si="225"/>
        <v>65696.67</v>
      </c>
      <c r="BX64" s="24">
        <f t="shared" si="225"/>
        <v>1090364.1000000001</v>
      </c>
      <c r="BY64" s="24">
        <f t="shared" si="224"/>
        <v>-2501904.08</v>
      </c>
      <c r="BZ64" s="24">
        <f t="shared" si="224"/>
        <v>-16644.59</v>
      </c>
      <c r="CA64" s="24">
        <f t="shared" si="224"/>
        <v>358499.43</v>
      </c>
      <c r="CB64" s="24">
        <f t="shared" ref="CB64:CG64" si="226">SUM(CB61:CB63)</f>
        <v>2260629.6100000003</v>
      </c>
      <c r="CC64" s="24">
        <f t="shared" si="226"/>
        <v>-47169.71</v>
      </c>
      <c r="CD64" s="24">
        <f t="shared" si="226"/>
        <v>-181637.21</v>
      </c>
      <c r="CE64" s="24">
        <f t="shared" si="226"/>
        <v>-242025.18</v>
      </c>
      <c r="CF64" s="24">
        <f t="shared" si="226"/>
        <v>-522277.56</v>
      </c>
      <c r="CG64" s="24">
        <f t="shared" si="226"/>
        <v>-517709.47</v>
      </c>
      <c r="CH64" s="24">
        <f>SUM(CH61:CH63)</f>
        <v>1359546.67</v>
      </c>
      <c r="CI64" s="24">
        <f t="shared" ref="CI64:CM64" si="227">SUM(CI61:CI63)</f>
        <v>-251412.34</v>
      </c>
      <c r="CJ64" s="24">
        <f t="shared" si="227"/>
        <v>0</v>
      </c>
      <c r="CK64" s="24">
        <f t="shared" si="227"/>
        <v>0</v>
      </c>
      <c r="CL64" s="24">
        <f t="shared" si="227"/>
        <v>0</v>
      </c>
      <c r="CM64" s="24">
        <f t="shared" si="227"/>
        <v>0</v>
      </c>
    </row>
    <row r="65" spans="1:92" x14ac:dyDescent="0.2">
      <c r="B65" s="7" t="s">
        <v>199</v>
      </c>
      <c r="D65" s="17">
        <f>D60+D64</f>
        <v>0</v>
      </c>
      <c r="E65" s="17">
        <f t="shared" ref="E65:CA65" si="228">E60+E64</f>
        <v>0</v>
      </c>
      <c r="F65" s="17">
        <f t="shared" si="228"/>
        <v>0</v>
      </c>
      <c r="G65" s="17">
        <f t="shared" si="228"/>
        <v>0</v>
      </c>
      <c r="H65" s="17">
        <f t="shared" si="228"/>
        <v>0</v>
      </c>
      <c r="I65" s="17">
        <f t="shared" si="228"/>
        <v>0</v>
      </c>
      <c r="J65" s="17">
        <f t="shared" si="228"/>
        <v>0</v>
      </c>
      <c r="K65" s="17">
        <f t="shared" si="228"/>
        <v>0</v>
      </c>
      <c r="L65" s="17">
        <f t="shared" si="228"/>
        <v>0</v>
      </c>
      <c r="M65" s="17">
        <f t="shared" si="228"/>
        <v>0</v>
      </c>
      <c r="N65" s="17">
        <f t="shared" si="228"/>
        <v>0</v>
      </c>
      <c r="O65" s="17">
        <f t="shared" si="228"/>
        <v>0</v>
      </c>
      <c r="P65" s="17">
        <f t="shared" si="228"/>
        <v>0</v>
      </c>
      <c r="Q65" s="17">
        <f t="shared" si="228"/>
        <v>0</v>
      </c>
      <c r="R65" s="17">
        <f t="shared" si="228"/>
        <v>0</v>
      </c>
      <c r="S65" s="17">
        <f t="shared" si="228"/>
        <v>0</v>
      </c>
      <c r="T65" s="17">
        <f t="shared" si="228"/>
        <v>0</v>
      </c>
      <c r="U65" s="17">
        <f t="shared" si="228"/>
        <v>0</v>
      </c>
      <c r="V65" s="17">
        <f t="shared" si="228"/>
        <v>0</v>
      </c>
      <c r="W65" s="17">
        <f t="shared" si="228"/>
        <v>0</v>
      </c>
      <c r="X65" s="17">
        <f t="shared" si="228"/>
        <v>0</v>
      </c>
      <c r="Y65" s="17">
        <f t="shared" si="228"/>
        <v>0</v>
      </c>
      <c r="Z65" s="17">
        <f t="shared" si="228"/>
        <v>0</v>
      </c>
      <c r="AA65" s="17">
        <f t="shared" si="228"/>
        <v>0</v>
      </c>
      <c r="AB65" s="17">
        <f t="shared" si="228"/>
        <v>0</v>
      </c>
      <c r="AC65" s="17">
        <f t="shared" si="228"/>
        <v>0</v>
      </c>
      <c r="AD65" s="17">
        <f t="shared" si="228"/>
        <v>0</v>
      </c>
      <c r="AE65" s="17">
        <f t="shared" si="228"/>
        <v>0</v>
      </c>
      <c r="AF65" s="17">
        <f t="shared" si="228"/>
        <v>0</v>
      </c>
      <c r="AG65" s="17">
        <f t="shared" si="228"/>
        <v>0</v>
      </c>
      <c r="AH65" s="17">
        <f t="shared" si="228"/>
        <v>0</v>
      </c>
      <c r="AI65" s="17">
        <f t="shared" si="228"/>
        <v>0</v>
      </c>
      <c r="AJ65" s="17">
        <f t="shared" si="228"/>
        <v>0</v>
      </c>
      <c r="AK65" s="17">
        <f t="shared" si="228"/>
        <v>0</v>
      </c>
      <c r="AL65" s="17">
        <f t="shared" si="228"/>
        <v>0</v>
      </c>
      <c r="AM65" s="17">
        <f t="shared" si="228"/>
        <v>0</v>
      </c>
      <c r="AN65" s="17">
        <f t="shared" si="228"/>
        <v>0</v>
      </c>
      <c r="AO65" s="17">
        <f t="shared" si="228"/>
        <v>0</v>
      </c>
      <c r="AP65" s="17">
        <f t="shared" si="228"/>
        <v>0</v>
      </c>
      <c r="AQ65" s="17">
        <f t="shared" si="228"/>
        <v>0</v>
      </c>
      <c r="AR65" s="17">
        <f t="shared" si="228"/>
        <v>0</v>
      </c>
      <c r="AS65" s="17">
        <f t="shared" si="228"/>
        <v>0</v>
      </c>
      <c r="AT65" s="17">
        <f t="shared" si="228"/>
        <v>0</v>
      </c>
      <c r="AU65" s="17">
        <f t="shared" si="228"/>
        <v>0</v>
      </c>
      <c r="AV65" s="17">
        <f t="shared" si="228"/>
        <v>0</v>
      </c>
      <c r="AW65" s="17">
        <f t="shared" si="228"/>
        <v>0</v>
      </c>
      <c r="AX65" s="17">
        <f t="shared" si="228"/>
        <v>0</v>
      </c>
      <c r="AY65" s="17">
        <f t="shared" si="228"/>
        <v>0</v>
      </c>
      <c r="AZ65" s="17">
        <f t="shared" si="228"/>
        <v>0</v>
      </c>
      <c r="BA65" s="17">
        <f t="shared" si="228"/>
        <v>0</v>
      </c>
      <c r="BB65" s="17">
        <f t="shared" si="228"/>
        <v>0</v>
      </c>
      <c r="BC65" s="17">
        <f t="shared" si="228"/>
        <v>0</v>
      </c>
      <c r="BD65" s="17">
        <f t="shared" si="228"/>
        <v>0</v>
      </c>
      <c r="BE65" s="17">
        <f t="shared" si="228"/>
        <v>0</v>
      </c>
      <c r="BF65" s="17">
        <f t="shared" si="228"/>
        <v>0</v>
      </c>
      <c r="BG65" s="17">
        <f t="shared" si="228"/>
        <v>0</v>
      </c>
      <c r="BH65" s="17">
        <f t="shared" si="228"/>
        <v>0</v>
      </c>
      <c r="BI65" s="17">
        <f t="shared" si="228"/>
        <v>0</v>
      </c>
      <c r="BJ65" s="17">
        <f t="shared" si="228"/>
        <v>0</v>
      </c>
      <c r="BK65" s="17">
        <f t="shared" si="228"/>
        <v>-21797.52</v>
      </c>
      <c r="BL65" s="17">
        <f t="shared" ref="BL65:BX65" si="229">BL60+BL64</f>
        <v>1128506.1096399999</v>
      </c>
      <c r="BM65" s="17">
        <f t="shared" si="229"/>
        <v>57536.909639999969</v>
      </c>
      <c r="BN65" s="17">
        <f t="shared" si="229"/>
        <v>-1167721.3803600001</v>
      </c>
      <c r="BO65" s="17">
        <f t="shared" si="229"/>
        <v>-1631195.52036</v>
      </c>
      <c r="BP65" s="17">
        <f t="shared" si="229"/>
        <v>-1908960.26</v>
      </c>
      <c r="BQ65" s="17">
        <f t="shared" si="229"/>
        <v>-2200728.2400000002</v>
      </c>
      <c r="BR65" s="17">
        <f t="shared" si="229"/>
        <v>-2017706.8300000003</v>
      </c>
      <c r="BS65" s="17">
        <f t="shared" si="229"/>
        <v>-2087406.6200000003</v>
      </c>
      <c r="BT65" s="17">
        <f t="shared" si="229"/>
        <v>-2050589.4300000004</v>
      </c>
      <c r="BU65" s="17">
        <f t="shared" si="229"/>
        <v>-2183856.5000000005</v>
      </c>
      <c r="BV65" s="17">
        <f t="shared" si="229"/>
        <v>-2302303.0500000003</v>
      </c>
      <c r="BW65" s="17">
        <f t="shared" si="229"/>
        <v>-2236606.3800000004</v>
      </c>
      <c r="BX65" s="17">
        <f t="shared" si="229"/>
        <v>-1146242.2800000003</v>
      </c>
      <c r="BY65" s="17">
        <f t="shared" si="228"/>
        <v>-3648146.3600000003</v>
      </c>
      <c r="BZ65" s="17">
        <f t="shared" si="228"/>
        <v>-3664790.95</v>
      </c>
      <c r="CA65" s="17">
        <f t="shared" si="228"/>
        <v>-3306291.52</v>
      </c>
      <c r="CB65" s="17">
        <f t="shared" ref="CB65:CG65" si="230">CB60+CB64</f>
        <v>-1045661.9099999997</v>
      </c>
      <c r="CC65" s="17">
        <f t="shared" si="230"/>
        <v>-1092831.6199999996</v>
      </c>
      <c r="CD65" s="17">
        <f t="shared" si="230"/>
        <v>-1274468.8299999996</v>
      </c>
      <c r="CE65" s="17">
        <f t="shared" si="230"/>
        <v>-1516494.0099999995</v>
      </c>
      <c r="CF65" s="17">
        <f t="shared" si="230"/>
        <v>-2038771.5699999996</v>
      </c>
      <c r="CG65" s="17">
        <f t="shared" si="230"/>
        <v>-2556481.0399999996</v>
      </c>
      <c r="CH65" s="17">
        <f>CH60+CH64</f>
        <v>-1196934.3699999996</v>
      </c>
      <c r="CI65" s="17">
        <f t="shared" ref="CI65:CM65" si="231">CI60+CI64</f>
        <v>-1448346.7099999997</v>
      </c>
      <c r="CJ65" s="17">
        <f t="shared" si="231"/>
        <v>-1448346.7099999997</v>
      </c>
      <c r="CK65" s="17">
        <f t="shared" si="231"/>
        <v>-1448346.7099999997</v>
      </c>
      <c r="CL65" s="17">
        <f t="shared" si="231"/>
        <v>-1448346.7099999997</v>
      </c>
      <c r="CM65" s="17">
        <f t="shared" si="231"/>
        <v>-1448346.7099999997</v>
      </c>
    </row>
    <row r="66" spans="1:92" x14ac:dyDescent="0.2"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</row>
    <row r="67" spans="1:92" x14ac:dyDescent="0.2">
      <c r="A67" s="4" t="s">
        <v>207</v>
      </c>
      <c r="C67" s="15">
        <v>18237302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8"/>
      <c r="CL67" s="8"/>
      <c r="CM67" s="8"/>
    </row>
    <row r="68" spans="1:92" x14ac:dyDescent="0.2">
      <c r="B68" s="7" t="s">
        <v>195</v>
      </c>
      <c r="C68" s="15">
        <v>25400702</v>
      </c>
      <c r="D68" s="17">
        <v>0</v>
      </c>
      <c r="E68" s="17">
        <f>D73</f>
        <v>0</v>
      </c>
      <c r="F68" s="17">
        <f t="shared" ref="F68:BY68" si="232">E73</f>
        <v>0</v>
      </c>
      <c r="G68" s="17">
        <f t="shared" si="232"/>
        <v>0</v>
      </c>
      <c r="H68" s="17">
        <f t="shared" si="232"/>
        <v>0</v>
      </c>
      <c r="I68" s="17">
        <f t="shared" si="232"/>
        <v>0</v>
      </c>
      <c r="J68" s="17">
        <f t="shared" si="232"/>
        <v>0</v>
      </c>
      <c r="K68" s="17">
        <f t="shared" si="232"/>
        <v>0</v>
      </c>
      <c r="L68" s="17">
        <f t="shared" si="232"/>
        <v>0</v>
      </c>
      <c r="M68" s="17">
        <f t="shared" si="232"/>
        <v>0</v>
      </c>
      <c r="N68" s="17">
        <f t="shared" si="232"/>
        <v>0</v>
      </c>
      <c r="O68" s="17">
        <f t="shared" si="232"/>
        <v>0</v>
      </c>
      <c r="P68" s="17">
        <f t="shared" si="232"/>
        <v>0</v>
      </c>
      <c r="Q68" s="17">
        <f t="shared" si="232"/>
        <v>0</v>
      </c>
      <c r="R68" s="17">
        <f t="shared" si="232"/>
        <v>0</v>
      </c>
      <c r="S68" s="17">
        <f t="shared" si="232"/>
        <v>0</v>
      </c>
      <c r="T68" s="17">
        <f t="shared" si="232"/>
        <v>0</v>
      </c>
      <c r="U68" s="17">
        <f t="shared" si="232"/>
        <v>0</v>
      </c>
      <c r="V68" s="17">
        <f t="shared" si="232"/>
        <v>0</v>
      </c>
      <c r="W68" s="17">
        <f t="shared" si="232"/>
        <v>0</v>
      </c>
      <c r="X68" s="17">
        <f t="shared" si="232"/>
        <v>0</v>
      </c>
      <c r="Y68" s="17">
        <f t="shared" si="232"/>
        <v>0</v>
      </c>
      <c r="Z68" s="17">
        <f t="shared" si="232"/>
        <v>0</v>
      </c>
      <c r="AA68" s="17">
        <f t="shared" si="232"/>
        <v>0</v>
      </c>
      <c r="AB68" s="17">
        <f t="shared" si="232"/>
        <v>0</v>
      </c>
      <c r="AC68" s="17">
        <f t="shared" si="232"/>
        <v>0</v>
      </c>
      <c r="AD68" s="17">
        <f t="shared" si="232"/>
        <v>0</v>
      </c>
      <c r="AE68" s="17">
        <f t="shared" si="232"/>
        <v>0</v>
      </c>
      <c r="AF68" s="17">
        <f t="shared" si="232"/>
        <v>0</v>
      </c>
      <c r="AG68" s="17">
        <f t="shared" si="232"/>
        <v>0</v>
      </c>
      <c r="AH68" s="17">
        <f t="shared" si="232"/>
        <v>0</v>
      </c>
      <c r="AI68" s="17">
        <f t="shared" si="232"/>
        <v>0</v>
      </c>
      <c r="AJ68" s="17">
        <f t="shared" si="232"/>
        <v>0</v>
      </c>
      <c r="AK68" s="17">
        <f t="shared" si="232"/>
        <v>0</v>
      </c>
      <c r="AL68" s="17">
        <f t="shared" si="232"/>
        <v>0</v>
      </c>
      <c r="AM68" s="17">
        <f t="shared" si="232"/>
        <v>0</v>
      </c>
      <c r="AN68" s="17">
        <f t="shared" si="232"/>
        <v>0</v>
      </c>
      <c r="AO68" s="17">
        <f t="shared" si="232"/>
        <v>0</v>
      </c>
      <c r="AP68" s="17">
        <f t="shared" si="232"/>
        <v>0</v>
      </c>
      <c r="AQ68" s="17">
        <f t="shared" si="232"/>
        <v>0</v>
      </c>
      <c r="AR68" s="17">
        <f t="shared" si="232"/>
        <v>0</v>
      </c>
      <c r="AS68" s="17">
        <f t="shared" si="232"/>
        <v>0</v>
      </c>
      <c r="AT68" s="17">
        <f t="shared" si="232"/>
        <v>0</v>
      </c>
      <c r="AU68" s="17">
        <f t="shared" si="232"/>
        <v>0</v>
      </c>
      <c r="AV68" s="17">
        <f t="shared" si="232"/>
        <v>0</v>
      </c>
      <c r="AW68" s="17">
        <f t="shared" si="232"/>
        <v>0</v>
      </c>
      <c r="AX68" s="17">
        <f t="shared" si="232"/>
        <v>0</v>
      </c>
      <c r="AY68" s="17">
        <f t="shared" si="232"/>
        <v>0</v>
      </c>
      <c r="AZ68" s="17">
        <f t="shared" si="232"/>
        <v>0</v>
      </c>
      <c r="BA68" s="17">
        <f t="shared" si="232"/>
        <v>0</v>
      </c>
      <c r="BB68" s="17">
        <f t="shared" si="232"/>
        <v>0</v>
      </c>
      <c r="BC68" s="17">
        <f t="shared" si="232"/>
        <v>0</v>
      </c>
      <c r="BD68" s="17">
        <f t="shared" si="232"/>
        <v>0</v>
      </c>
      <c r="BE68" s="17">
        <f t="shared" si="232"/>
        <v>0</v>
      </c>
      <c r="BF68" s="17">
        <f t="shared" si="232"/>
        <v>0</v>
      </c>
      <c r="BG68" s="17">
        <f t="shared" si="232"/>
        <v>0</v>
      </c>
      <c r="BH68" s="17">
        <f t="shared" si="232"/>
        <v>0</v>
      </c>
      <c r="BI68" s="17">
        <f t="shared" si="232"/>
        <v>0</v>
      </c>
      <c r="BJ68" s="17">
        <f t="shared" si="232"/>
        <v>0</v>
      </c>
      <c r="BK68" s="17">
        <f t="shared" si="232"/>
        <v>0</v>
      </c>
      <c r="BL68" s="17">
        <f t="shared" ref="BL68" si="233">BK73</f>
        <v>138018.64000000001</v>
      </c>
      <c r="BM68" s="17">
        <f t="shared" ref="BM68" si="234">BL73</f>
        <v>511441.53035999998</v>
      </c>
      <c r="BN68" s="17">
        <f t="shared" ref="BN68" si="235">BM73</f>
        <v>335956.86035999993</v>
      </c>
      <c r="BO68" s="17">
        <f t="shared" ref="BO68" si="236">BN73</f>
        <v>593266.2003599999</v>
      </c>
      <c r="BP68" s="17">
        <f t="shared" ref="BP68" si="237">BO73</f>
        <v>506993.28035999992</v>
      </c>
      <c r="BQ68" s="17">
        <f t="shared" ref="BQ68" si="238">BP73</f>
        <v>164204.47999999992</v>
      </c>
      <c r="BR68" s="17">
        <f t="shared" ref="BR68" si="239">BQ73</f>
        <v>70107.519999999917</v>
      </c>
      <c r="BS68" s="17">
        <f t="shared" ref="BS68" si="240">BR73</f>
        <v>241552.40999999992</v>
      </c>
      <c r="BT68" s="17">
        <f t="shared" ref="BT68" si="241">BS73</f>
        <v>-419305.29000000004</v>
      </c>
      <c r="BU68" s="17">
        <f t="shared" ref="BU68" si="242">BT73</f>
        <v>-501776.21</v>
      </c>
      <c r="BV68" s="17">
        <f t="shared" ref="BV68" si="243">BU73</f>
        <v>-505185.45</v>
      </c>
      <c r="BW68" s="17">
        <f t="shared" ref="BW68" si="244">BV73</f>
        <v>-458950.8</v>
      </c>
      <c r="BX68" s="17">
        <f t="shared" ref="BX68" si="245">BW73</f>
        <v>-327616.18</v>
      </c>
      <c r="BY68" s="17">
        <f t="shared" si="232"/>
        <v>-118946.88999999998</v>
      </c>
      <c r="BZ68" s="17">
        <f t="shared" ref="BZ68" si="246">BY73</f>
        <v>-144977.87999999998</v>
      </c>
      <c r="CA68" s="17">
        <f t="shared" ref="CA68" si="247">BZ73</f>
        <v>-29695.659999999974</v>
      </c>
      <c r="CB68" s="17">
        <f t="shared" ref="CB68" si="248">CA73</f>
        <v>-68096.959999999977</v>
      </c>
      <c r="CC68" s="17">
        <f t="shared" ref="CC68" si="249">CB73</f>
        <v>134607.38</v>
      </c>
      <c r="CD68" s="17">
        <f t="shared" ref="CD68" si="250">CC73</f>
        <v>-361166.5</v>
      </c>
      <c r="CE68" s="17">
        <f t="shared" ref="CE68" si="251">CD73</f>
        <v>-474122.18</v>
      </c>
      <c r="CF68" s="17">
        <f t="shared" ref="CF68" si="252">CE73</f>
        <v>-749814.91999999993</v>
      </c>
      <c r="CG68" s="17">
        <f t="shared" ref="CG68" si="253">CF73</f>
        <v>-973231.90999999992</v>
      </c>
      <c r="CH68" s="17">
        <f t="shared" ref="CH68" si="254">CG73</f>
        <v>-1119388.74</v>
      </c>
      <c r="CI68" s="17">
        <f t="shared" ref="CI68" si="255">CH73</f>
        <v>-1163330.3699999999</v>
      </c>
      <c r="CJ68" s="17">
        <f t="shared" ref="CJ68" si="256">CI73</f>
        <v>-1141461.0599999998</v>
      </c>
      <c r="CK68" s="17">
        <f t="shared" ref="CK68" si="257">CJ73</f>
        <v>-1141461.0599999998</v>
      </c>
      <c r="CL68" s="17">
        <f t="shared" ref="CL68" si="258">CK73</f>
        <v>-1141461.0599999998</v>
      </c>
      <c r="CM68" s="17">
        <f t="shared" ref="CM68" si="259">CL73</f>
        <v>-1141461.0599999998</v>
      </c>
    </row>
    <row r="69" spans="1:92" x14ac:dyDescent="0.2">
      <c r="A69" s="25"/>
      <c r="B69" s="21" t="s">
        <v>196</v>
      </c>
      <c r="C69" s="26"/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3">
        <v>0</v>
      </c>
      <c r="AL69" s="23">
        <v>0</v>
      </c>
      <c r="AM69" s="23">
        <v>0</v>
      </c>
      <c r="AN69" s="23">
        <v>0</v>
      </c>
      <c r="AO69" s="23">
        <v>0</v>
      </c>
      <c r="AP69" s="23">
        <v>0</v>
      </c>
      <c r="AQ69" s="23">
        <v>0</v>
      </c>
      <c r="AR69" s="23">
        <v>0</v>
      </c>
      <c r="AS69" s="23">
        <v>0</v>
      </c>
      <c r="AT69" s="23">
        <v>0</v>
      </c>
      <c r="AU69" s="23">
        <v>0</v>
      </c>
      <c r="AV69" s="23">
        <v>0</v>
      </c>
      <c r="AW69" s="23">
        <v>0</v>
      </c>
      <c r="AX69" s="23">
        <v>0</v>
      </c>
      <c r="AY69" s="23">
        <v>0</v>
      </c>
      <c r="AZ69" s="23">
        <v>0</v>
      </c>
      <c r="BA69" s="23">
        <v>0</v>
      </c>
      <c r="BB69" s="23">
        <v>0</v>
      </c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  <c r="BI69" s="23">
        <v>0</v>
      </c>
      <c r="BJ69" s="23">
        <v>0</v>
      </c>
      <c r="BK69" s="23">
        <v>0</v>
      </c>
      <c r="BL69" s="23">
        <v>0</v>
      </c>
      <c r="BM69" s="23">
        <v>0</v>
      </c>
      <c r="BN69" s="23">
        <v>0</v>
      </c>
      <c r="BO69" s="23">
        <v>0</v>
      </c>
      <c r="BP69" s="23">
        <v>-327899.02035999997</v>
      </c>
      <c r="BQ69" s="23">
        <v>0</v>
      </c>
      <c r="BR69" s="23">
        <v>0</v>
      </c>
      <c r="BS69" s="23">
        <v>0</v>
      </c>
      <c r="BT69" s="23">
        <v>0</v>
      </c>
      <c r="BU69" s="23">
        <v>0</v>
      </c>
      <c r="BV69" s="23">
        <v>0</v>
      </c>
      <c r="BW69" s="23">
        <v>0</v>
      </c>
      <c r="BX69" s="23">
        <v>0</v>
      </c>
      <c r="BY69" s="23">
        <v>0</v>
      </c>
      <c r="BZ69" s="23">
        <v>0</v>
      </c>
      <c r="CA69" s="23">
        <v>0</v>
      </c>
      <c r="CB69" s="23">
        <v>327616.18</v>
      </c>
      <c r="CC69" s="23">
        <v>0</v>
      </c>
      <c r="CD69" s="23">
        <v>0</v>
      </c>
      <c r="CE69" s="23">
        <v>0</v>
      </c>
      <c r="CF69" s="23">
        <v>0</v>
      </c>
      <c r="CG69" s="23">
        <v>0</v>
      </c>
      <c r="CH69" s="23">
        <v>0</v>
      </c>
      <c r="CI69" s="23">
        <v>0</v>
      </c>
      <c r="CJ69" s="23"/>
      <c r="CK69" s="23"/>
      <c r="CL69" s="23"/>
      <c r="CM69" s="23"/>
    </row>
    <row r="70" spans="1:92" x14ac:dyDescent="0.2">
      <c r="A70" s="25"/>
      <c r="B70" s="21" t="s">
        <v>206</v>
      </c>
      <c r="C70" s="26"/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>
        <v>0</v>
      </c>
      <c r="AL70" s="23">
        <v>0</v>
      </c>
      <c r="AM70" s="23">
        <v>0</v>
      </c>
      <c r="AN70" s="23">
        <v>0</v>
      </c>
      <c r="AO70" s="23">
        <v>0</v>
      </c>
      <c r="AP70" s="23">
        <v>0</v>
      </c>
      <c r="AQ70" s="23">
        <v>0</v>
      </c>
      <c r="AR70" s="23">
        <v>0</v>
      </c>
      <c r="AS70" s="23">
        <v>0</v>
      </c>
      <c r="AT70" s="23">
        <v>0</v>
      </c>
      <c r="AU70" s="23">
        <v>0</v>
      </c>
      <c r="AV70" s="23">
        <v>0</v>
      </c>
      <c r="AW70" s="23">
        <v>0</v>
      </c>
      <c r="AX70" s="23">
        <v>0</v>
      </c>
      <c r="AY70" s="23">
        <v>0</v>
      </c>
      <c r="AZ70" s="23">
        <v>0</v>
      </c>
      <c r="BA70" s="23">
        <v>0</v>
      </c>
      <c r="BB70" s="23">
        <v>0</v>
      </c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  <c r="BI70" s="23">
        <v>0</v>
      </c>
      <c r="BJ70" s="23">
        <v>0</v>
      </c>
      <c r="BK70" s="23">
        <v>0</v>
      </c>
      <c r="BL70" s="23">
        <v>189880.38035999998</v>
      </c>
      <c r="BM70" s="23">
        <v>0</v>
      </c>
      <c r="BN70" s="23">
        <v>0</v>
      </c>
      <c r="BO70" s="23">
        <v>0</v>
      </c>
      <c r="BP70" s="23">
        <v>0</v>
      </c>
      <c r="BQ70" s="23">
        <v>0</v>
      </c>
      <c r="BR70" s="23">
        <v>0</v>
      </c>
      <c r="BS70" s="23">
        <v>0</v>
      </c>
      <c r="BT70" s="23">
        <v>0</v>
      </c>
      <c r="BU70" s="23">
        <v>0</v>
      </c>
      <c r="BV70" s="23">
        <v>0</v>
      </c>
      <c r="BW70" s="23">
        <v>0</v>
      </c>
      <c r="BX70" s="23">
        <v>0</v>
      </c>
      <c r="BY70" s="23">
        <v>0</v>
      </c>
      <c r="BZ70" s="23">
        <v>0</v>
      </c>
      <c r="CA70" s="23">
        <v>0</v>
      </c>
      <c r="CB70" s="23">
        <v>0</v>
      </c>
      <c r="CC70" s="23">
        <v>0</v>
      </c>
      <c r="CD70" s="23">
        <v>0</v>
      </c>
      <c r="CE70" s="23">
        <v>0</v>
      </c>
      <c r="CF70" s="23">
        <v>0</v>
      </c>
      <c r="CG70" s="23">
        <v>0</v>
      </c>
      <c r="CH70" s="23">
        <v>0</v>
      </c>
      <c r="CI70" s="23">
        <v>0</v>
      </c>
      <c r="CJ70" s="23"/>
      <c r="CK70" s="23"/>
      <c r="CL70" s="23"/>
      <c r="CM70" s="23"/>
    </row>
    <row r="71" spans="1:92" x14ac:dyDescent="0.2">
      <c r="A71" s="21"/>
      <c r="B71" s="21" t="s">
        <v>204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23">
        <v>0</v>
      </c>
      <c r="AR71" s="23">
        <v>0</v>
      </c>
      <c r="AS71" s="23">
        <v>0</v>
      </c>
      <c r="AT71" s="23">
        <v>0</v>
      </c>
      <c r="AU71" s="23">
        <v>0</v>
      </c>
      <c r="AV71" s="23">
        <v>0</v>
      </c>
      <c r="AW71" s="23">
        <v>0</v>
      </c>
      <c r="AX71" s="23">
        <v>0</v>
      </c>
      <c r="AY71" s="23">
        <v>0</v>
      </c>
      <c r="AZ71" s="23">
        <v>0</v>
      </c>
      <c r="BA71" s="23">
        <v>0</v>
      </c>
      <c r="BB71" s="23">
        <v>0</v>
      </c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  <c r="BI71" s="23">
        <v>0</v>
      </c>
      <c r="BJ71" s="23">
        <v>0</v>
      </c>
      <c r="BK71" s="23">
        <v>138018.64000000001</v>
      </c>
      <c r="BL71" s="23">
        <v>183542.51</v>
      </c>
      <c r="BM71" s="23">
        <v>-175484.67</v>
      </c>
      <c r="BN71" s="23">
        <v>257309.34</v>
      </c>
      <c r="BO71" s="23">
        <v>-86272.92</v>
      </c>
      <c r="BP71" s="23">
        <v>-14889.78</v>
      </c>
      <c r="BQ71" s="23">
        <v>-94096.960000000006</v>
      </c>
      <c r="BR71" s="23">
        <v>171444.89</v>
      </c>
      <c r="BS71" s="23">
        <v>-660857.69999999995</v>
      </c>
      <c r="BT71" s="23">
        <v>-82470.92</v>
      </c>
      <c r="BU71" s="23">
        <v>-3409.24</v>
      </c>
      <c r="BV71" s="23">
        <v>46234.65</v>
      </c>
      <c r="BW71" s="23">
        <v>131334.62</v>
      </c>
      <c r="BX71" s="22">
        <f>'Sch 41&amp;86 Deferral Calc'!C28</f>
        <v>208669.29</v>
      </c>
      <c r="BY71" s="22">
        <f>'Sch 41&amp;86 Deferral Calc'!D28</f>
        <v>-26030.99</v>
      </c>
      <c r="BZ71" s="22">
        <f>'Sch 41&amp;86 Deferral Calc'!E28</f>
        <v>115282.22</v>
      </c>
      <c r="CA71" s="22">
        <f>'Sch 41&amp;86 Deferral Calc'!F28</f>
        <v>-38401.300000000003</v>
      </c>
      <c r="CB71" s="22">
        <f>'Sch 41&amp;86 Deferral Calc'!G28</f>
        <v>-124911.84</v>
      </c>
      <c r="CC71" s="22">
        <f>'Sch 41&amp;86 Deferral Calc'!H28</f>
        <v>-495773.88</v>
      </c>
      <c r="CD71" s="22">
        <f>'Sch 41&amp;86 Deferral Calc'!I28</f>
        <v>-112955.68</v>
      </c>
      <c r="CE71" s="22">
        <f>'Sch 41&amp;86 Deferral Calc'!J28</f>
        <v>-275692.74</v>
      </c>
      <c r="CF71" s="22">
        <f>'Sch 41&amp;86 Deferral Calc'!K28</f>
        <v>-223416.99</v>
      </c>
      <c r="CG71" s="22">
        <f>'Sch 41&amp;86 Deferral Calc'!L28</f>
        <v>-146156.82999999999</v>
      </c>
      <c r="CH71" s="22">
        <f>'Sch 41&amp;86 Deferral Calc'!M28</f>
        <v>-43941.63</v>
      </c>
      <c r="CI71" s="22">
        <f>'Sch 41&amp;86 Deferral Calc'!N28</f>
        <v>21869.31</v>
      </c>
      <c r="CJ71" s="22"/>
      <c r="CK71" s="22"/>
      <c r="CL71" s="22"/>
      <c r="CM71" s="22"/>
    </row>
    <row r="72" spans="1:92" x14ac:dyDescent="0.2">
      <c r="B72" s="7" t="s">
        <v>198</v>
      </c>
      <c r="D72" s="24">
        <f t="shared" ref="D72:BY72" si="260">SUM(D69:D71)</f>
        <v>0</v>
      </c>
      <c r="E72" s="24">
        <f t="shared" si="260"/>
        <v>0</v>
      </c>
      <c r="F72" s="24">
        <f t="shared" si="260"/>
        <v>0</v>
      </c>
      <c r="G72" s="24">
        <f t="shared" si="260"/>
        <v>0</v>
      </c>
      <c r="H72" s="24">
        <f t="shared" si="260"/>
        <v>0</v>
      </c>
      <c r="I72" s="24">
        <f t="shared" si="260"/>
        <v>0</v>
      </c>
      <c r="J72" s="24">
        <f t="shared" si="260"/>
        <v>0</v>
      </c>
      <c r="K72" s="24">
        <f t="shared" si="260"/>
        <v>0</v>
      </c>
      <c r="L72" s="24">
        <f t="shared" si="260"/>
        <v>0</v>
      </c>
      <c r="M72" s="24">
        <f t="shared" si="260"/>
        <v>0</v>
      </c>
      <c r="N72" s="24">
        <f t="shared" si="260"/>
        <v>0</v>
      </c>
      <c r="O72" s="24">
        <f t="shared" si="260"/>
        <v>0</v>
      </c>
      <c r="P72" s="24">
        <f t="shared" si="260"/>
        <v>0</v>
      </c>
      <c r="Q72" s="24">
        <f t="shared" si="260"/>
        <v>0</v>
      </c>
      <c r="R72" s="24">
        <f t="shared" si="260"/>
        <v>0</v>
      </c>
      <c r="S72" s="24">
        <f t="shared" si="260"/>
        <v>0</v>
      </c>
      <c r="T72" s="24">
        <f t="shared" si="260"/>
        <v>0</v>
      </c>
      <c r="U72" s="24">
        <f t="shared" si="260"/>
        <v>0</v>
      </c>
      <c r="V72" s="24">
        <f t="shared" si="260"/>
        <v>0</v>
      </c>
      <c r="W72" s="24">
        <f t="shared" si="260"/>
        <v>0</v>
      </c>
      <c r="X72" s="24">
        <f t="shared" si="260"/>
        <v>0</v>
      </c>
      <c r="Y72" s="24">
        <f t="shared" si="260"/>
        <v>0</v>
      </c>
      <c r="Z72" s="24">
        <f t="shared" si="260"/>
        <v>0</v>
      </c>
      <c r="AA72" s="24">
        <f t="shared" si="260"/>
        <v>0</v>
      </c>
      <c r="AB72" s="24">
        <f t="shared" si="260"/>
        <v>0</v>
      </c>
      <c r="AC72" s="24">
        <f t="shared" si="260"/>
        <v>0</v>
      </c>
      <c r="AD72" s="24">
        <f t="shared" si="260"/>
        <v>0</v>
      </c>
      <c r="AE72" s="24">
        <f t="shared" si="260"/>
        <v>0</v>
      </c>
      <c r="AF72" s="24">
        <f t="shared" si="260"/>
        <v>0</v>
      </c>
      <c r="AG72" s="24">
        <f t="shared" si="260"/>
        <v>0</v>
      </c>
      <c r="AH72" s="24">
        <f t="shared" si="260"/>
        <v>0</v>
      </c>
      <c r="AI72" s="24">
        <f t="shared" si="260"/>
        <v>0</v>
      </c>
      <c r="AJ72" s="24">
        <f t="shared" si="260"/>
        <v>0</v>
      </c>
      <c r="AK72" s="24">
        <f t="shared" si="260"/>
        <v>0</v>
      </c>
      <c r="AL72" s="24">
        <f t="shared" si="260"/>
        <v>0</v>
      </c>
      <c r="AM72" s="24">
        <f t="shared" si="260"/>
        <v>0</v>
      </c>
      <c r="AN72" s="24">
        <f t="shared" si="260"/>
        <v>0</v>
      </c>
      <c r="AO72" s="24">
        <f t="shared" si="260"/>
        <v>0</v>
      </c>
      <c r="AP72" s="24">
        <f t="shared" si="260"/>
        <v>0</v>
      </c>
      <c r="AQ72" s="24">
        <f t="shared" si="260"/>
        <v>0</v>
      </c>
      <c r="AR72" s="24">
        <f t="shared" si="260"/>
        <v>0</v>
      </c>
      <c r="AS72" s="24">
        <f t="shared" si="260"/>
        <v>0</v>
      </c>
      <c r="AT72" s="24">
        <f t="shared" si="260"/>
        <v>0</v>
      </c>
      <c r="AU72" s="24">
        <f t="shared" si="260"/>
        <v>0</v>
      </c>
      <c r="AV72" s="24">
        <f t="shared" si="260"/>
        <v>0</v>
      </c>
      <c r="AW72" s="24">
        <f t="shared" si="260"/>
        <v>0</v>
      </c>
      <c r="AX72" s="24">
        <f t="shared" si="260"/>
        <v>0</v>
      </c>
      <c r="AY72" s="24">
        <f t="shared" si="260"/>
        <v>0</v>
      </c>
      <c r="AZ72" s="24">
        <f t="shared" si="260"/>
        <v>0</v>
      </c>
      <c r="BA72" s="24">
        <f t="shared" si="260"/>
        <v>0</v>
      </c>
      <c r="BB72" s="24">
        <f t="shared" si="260"/>
        <v>0</v>
      </c>
      <c r="BC72" s="24">
        <f t="shared" si="260"/>
        <v>0</v>
      </c>
      <c r="BD72" s="24">
        <f t="shared" si="260"/>
        <v>0</v>
      </c>
      <c r="BE72" s="24">
        <f t="shared" si="260"/>
        <v>0</v>
      </c>
      <c r="BF72" s="24">
        <f t="shared" si="260"/>
        <v>0</v>
      </c>
      <c r="BG72" s="24">
        <f t="shared" si="260"/>
        <v>0</v>
      </c>
      <c r="BH72" s="24">
        <f t="shared" si="260"/>
        <v>0</v>
      </c>
      <c r="BI72" s="24">
        <f t="shared" si="260"/>
        <v>0</v>
      </c>
      <c r="BJ72" s="24">
        <f t="shared" si="260"/>
        <v>0</v>
      </c>
      <c r="BK72" s="24">
        <f t="shared" si="260"/>
        <v>138018.64000000001</v>
      </c>
      <c r="BL72" s="24">
        <f t="shared" ref="BL72:BX72" si="261">SUM(BL69:BL71)</f>
        <v>373422.89035999996</v>
      </c>
      <c r="BM72" s="24">
        <f t="shared" si="261"/>
        <v>-175484.67</v>
      </c>
      <c r="BN72" s="24">
        <f t="shared" si="261"/>
        <v>257309.34</v>
      </c>
      <c r="BO72" s="24">
        <f t="shared" si="261"/>
        <v>-86272.92</v>
      </c>
      <c r="BP72" s="24">
        <f t="shared" si="261"/>
        <v>-342788.80035999999</v>
      </c>
      <c r="BQ72" s="24">
        <f t="shared" si="261"/>
        <v>-94096.960000000006</v>
      </c>
      <c r="BR72" s="24">
        <f t="shared" si="261"/>
        <v>171444.89</v>
      </c>
      <c r="BS72" s="24">
        <f t="shared" si="261"/>
        <v>-660857.69999999995</v>
      </c>
      <c r="BT72" s="24">
        <f t="shared" si="261"/>
        <v>-82470.92</v>
      </c>
      <c r="BU72" s="24">
        <f t="shared" si="261"/>
        <v>-3409.24</v>
      </c>
      <c r="BV72" s="24">
        <f t="shared" si="261"/>
        <v>46234.65</v>
      </c>
      <c r="BW72" s="24">
        <f t="shared" si="261"/>
        <v>131334.62</v>
      </c>
      <c r="BX72" s="24">
        <f t="shared" si="261"/>
        <v>208669.29</v>
      </c>
      <c r="BY72" s="24">
        <f t="shared" si="260"/>
        <v>-26030.99</v>
      </c>
      <c r="BZ72" s="24">
        <f t="shared" ref="BZ72:CH72" si="262">SUM(BZ69:BZ71)</f>
        <v>115282.22</v>
      </c>
      <c r="CA72" s="24">
        <f t="shared" si="262"/>
        <v>-38401.300000000003</v>
      </c>
      <c r="CB72" s="24">
        <f t="shared" si="262"/>
        <v>202704.34</v>
      </c>
      <c r="CC72" s="24">
        <f t="shared" si="262"/>
        <v>-495773.88</v>
      </c>
      <c r="CD72" s="24">
        <f t="shared" si="262"/>
        <v>-112955.68</v>
      </c>
      <c r="CE72" s="24">
        <f t="shared" si="262"/>
        <v>-275692.74</v>
      </c>
      <c r="CF72" s="24">
        <f t="shared" si="262"/>
        <v>-223416.99</v>
      </c>
      <c r="CG72" s="24">
        <f t="shared" si="262"/>
        <v>-146156.82999999999</v>
      </c>
      <c r="CH72" s="24">
        <f t="shared" si="262"/>
        <v>-43941.63</v>
      </c>
      <c r="CI72" s="24">
        <f t="shared" ref="CI72:CM72" si="263">SUM(CI69:CI71)</f>
        <v>21869.31</v>
      </c>
      <c r="CJ72" s="24">
        <f t="shared" si="263"/>
        <v>0</v>
      </c>
      <c r="CK72" s="24">
        <f t="shared" si="263"/>
        <v>0</v>
      </c>
      <c r="CL72" s="24">
        <f t="shared" si="263"/>
        <v>0</v>
      </c>
      <c r="CM72" s="24">
        <f t="shared" si="263"/>
        <v>0</v>
      </c>
    </row>
    <row r="73" spans="1:92" x14ac:dyDescent="0.2">
      <c r="B73" s="7" t="s">
        <v>199</v>
      </c>
      <c r="D73" s="17">
        <f>D68+D72</f>
        <v>0</v>
      </c>
      <c r="E73" s="17">
        <f t="shared" ref="E73:BY73" si="264">E68+E72</f>
        <v>0</v>
      </c>
      <c r="F73" s="17">
        <f t="shared" si="264"/>
        <v>0</v>
      </c>
      <c r="G73" s="17">
        <f t="shared" si="264"/>
        <v>0</v>
      </c>
      <c r="H73" s="17">
        <f t="shared" si="264"/>
        <v>0</v>
      </c>
      <c r="I73" s="17">
        <f t="shared" si="264"/>
        <v>0</v>
      </c>
      <c r="J73" s="17">
        <f t="shared" si="264"/>
        <v>0</v>
      </c>
      <c r="K73" s="17">
        <f t="shared" si="264"/>
        <v>0</v>
      </c>
      <c r="L73" s="17">
        <f t="shared" si="264"/>
        <v>0</v>
      </c>
      <c r="M73" s="17">
        <f t="shared" si="264"/>
        <v>0</v>
      </c>
      <c r="N73" s="17">
        <f t="shared" si="264"/>
        <v>0</v>
      </c>
      <c r="O73" s="17">
        <f t="shared" si="264"/>
        <v>0</v>
      </c>
      <c r="P73" s="17">
        <f t="shared" si="264"/>
        <v>0</v>
      </c>
      <c r="Q73" s="17">
        <f t="shared" si="264"/>
        <v>0</v>
      </c>
      <c r="R73" s="17">
        <f t="shared" si="264"/>
        <v>0</v>
      </c>
      <c r="S73" s="17">
        <f t="shared" si="264"/>
        <v>0</v>
      </c>
      <c r="T73" s="17">
        <f t="shared" si="264"/>
        <v>0</v>
      </c>
      <c r="U73" s="17">
        <f t="shared" si="264"/>
        <v>0</v>
      </c>
      <c r="V73" s="17">
        <f t="shared" si="264"/>
        <v>0</v>
      </c>
      <c r="W73" s="17">
        <f t="shared" si="264"/>
        <v>0</v>
      </c>
      <c r="X73" s="17">
        <f t="shared" si="264"/>
        <v>0</v>
      </c>
      <c r="Y73" s="17">
        <f t="shared" si="264"/>
        <v>0</v>
      </c>
      <c r="Z73" s="17">
        <f t="shared" si="264"/>
        <v>0</v>
      </c>
      <c r="AA73" s="17">
        <f t="shared" si="264"/>
        <v>0</v>
      </c>
      <c r="AB73" s="17">
        <f t="shared" si="264"/>
        <v>0</v>
      </c>
      <c r="AC73" s="17">
        <f t="shared" si="264"/>
        <v>0</v>
      </c>
      <c r="AD73" s="17">
        <f t="shared" si="264"/>
        <v>0</v>
      </c>
      <c r="AE73" s="17">
        <f t="shared" si="264"/>
        <v>0</v>
      </c>
      <c r="AF73" s="17">
        <f t="shared" si="264"/>
        <v>0</v>
      </c>
      <c r="AG73" s="17">
        <f t="shared" si="264"/>
        <v>0</v>
      </c>
      <c r="AH73" s="17">
        <f t="shared" si="264"/>
        <v>0</v>
      </c>
      <c r="AI73" s="17">
        <f t="shared" si="264"/>
        <v>0</v>
      </c>
      <c r="AJ73" s="17">
        <f t="shared" si="264"/>
        <v>0</v>
      </c>
      <c r="AK73" s="17">
        <f t="shared" si="264"/>
        <v>0</v>
      </c>
      <c r="AL73" s="17">
        <f t="shared" si="264"/>
        <v>0</v>
      </c>
      <c r="AM73" s="17">
        <f t="shared" si="264"/>
        <v>0</v>
      </c>
      <c r="AN73" s="17">
        <f t="shared" si="264"/>
        <v>0</v>
      </c>
      <c r="AO73" s="17">
        <f t="shared" si="264"/>
        <v>0</v>
      </c>
      <c r="AP73" s="17">
        <f t="shared" si="264"/>
        <v>0</v>
      </c>
      <c r="AQ73" s="17">
        <f t="shared" si="264"/>
        <v>0</v>
      </c>
      <c r="AR73" s="17">
        <f t="shared" si="264"/>
        <v>0</v>
      </c>
      <c r="AS73" s="17">
        <f t="shared" si="264"/>
        <v>0</v>
      </c>
      <c r="AT73" s="17">
        <f t="shared" si="264"/>
        <v>0</v>
      </c>
      <c r="AU73" s="17">
        <f t="shared" si="264"/>
        <v>0</v>
      </c>
      <c r="AV73" s="17">
        <f t="shared" si="264"/>
        <v>0</v>
      </c>
      <c r="AW73" s="17">
        <f t="shared" si="264"/>
        <v>0</v>
      </c>
      <c r="AX73" s="17">
        <f t="shared" si="264"/>
        <v>0</v>
      </c>
      <c r="AY73" s="17">
        <f t="shared" si="264"/>
        <v>0</v>
      </c>
      <c r="AZ73" s="17">
        <f t="shared" si="264"/>
        <v>0</v>
      </c>
      <c r="BA73" s="17">
        <f t="shared" si="264"/>
        <v>0</v>
      </c>
      <c r="BB73" s="17">
        <f t="shared" si="264"/>
        <v>0</v>
      </c>
      <c r="BC73" s="17">
        <f t="shared" si="264"/>
        <v>0</v>
      </c>
      <c r="BD73" s="17">
        <f t="shared" si="264"/>
        <v>0</v>
      </c>
      <c r="BE73" s="17">
        <f t="shared" si="264"/>
        <v>0</v>
      </c>
      <c r="BF73" s="17">
        <f t="shared" si="264"/>
        <v>0</v>
      </c>
      <c r="BG73" s="17">
        <f t="shared" si="264"/>
        <v>0</v>
      </c>
      <c r="BH73" s="17">
        <f t="shared" si="264"/>
        <v>0</v>
      </c>
      <c r="BI73" s="17">
        <f t="shared" si="264"/>
        <v>0</v>
      </c>
      <c r="BJ73" s="17">
        <f t="shared" si="264"/>
        <v>0</v>
      </c>
      <c r="BK73" s="17">
        <f t="shared" si="264"/>
        <v>138018.64000000001</v>
      </c>
      <c r="BL73" s="17">
        <f t="shared" ref="BL73:BX73" si="265">BL68+BL72</f>
        <v>511441.53035999998</v>
      </c>
      <c r="BM73" s="17">
        <f t="shared" si="265"/>
        <v>335956.86035999993</v>
      </c>
      <c r="BN73" s="17">
        <f t="shared" si="265"/>
        <v>593266.2003599999</v>
      </c>
      <c r="BO73" s="17">
        <f t="shared" si="265"/>
        <v>506993.28035999992</v>
      </c>
      <c r="BP73" s="17">
        <f t="shared" si="265"/>
        <v>164204.47999999992</v>
      </c>
      <c r="BQ73" s="17">
        <f t="shared" si="265"/>
        <v>70107.519999999917</v>
      </c>
      <c r="BR73" s="17">
        <f t="shared" si="265"/>
        <v>241552.40999999992</v>
      </c>
      <c r="BS73" s="17">
        <f t="shared" si="265"/>
        <v>-419305.29000000004</v>
      </c>
      <c r="BT73" s="17">
        <f t="shared" si="265"/>
        <v>-501776.21</v>
      </c>
      <c r="BU73" s="17">
        <f t="shared" si="265"/>
        <v>-505185.45</v>
      </c>
      <c r="BV73" s="17">
        <f t="shared" si="265"/>
        <v>-458950.8</v>
      </c>
      <c r="BW73" s="17">
        <f t="shared" si="265"/>
        <v>-327616.18</v>
      </c>
      <c r="BX73" s="17">
        <f t="shared" si="265"/>
        <v>-118946.88999999998</v>
      </c>
      <c r="BY73" s="17">
        <f t="shared" si="264"/>
        <v>-144977.87999999998</v>
      </c>
      <c r="BZ73" s="17">
        <f t="shared" ref="BZ73:CH73" si="266">BZ68+BZ72</f>
        <v>-29695.659999999974</v>
      </c>
      <c r="CA73" s="17">
        <f t="shared" si="266"/>
        <v>-68096.959999999977</v>
      </c>
      <c r="CB73" s="17">
        <f t="shared" si="266"/>
        <v>134607.38</v>
      </c>
      <c r="CC73" s="17">
        <f t="shared" si="266"/>
        <v>-361166.5</v>
      </c>
      <c r="CD73" s="17">
        <f t="shared" si="266"/>
        <v>-474122.18</v>
      </c>
      <c r="CE73" s="17">
        <f t="shared" si="266"/>
        <v>-749814.91999999993</v>
      </c>
      <c r="CF73" s="17">
        <f t="shared" si="266"/>
        <v>-973231.90999999992</v>
      </c>
      <c r="CG73" s="17">
        <f t="shared" si="266"/>
        <v>-1119388.74</v>
      </c>
      <c r="CH73" s="17">
        <f t="shared" si="266"/>
        <v>-1163330.3699999999</v>
      </c>
      <c r="CI73" s="17">
        <f t="shared" ref="CI73:CM73" si="267">CI68+CI72</f>
        <v>-1141461.0599999998</v>
      </c>
      <c r="CJ73" s="17">
        <f t="shared" si="267"/>
        <v>-1141461.0599999998</v>
      </c>
      <c r="CK73" s="17">
        <f t="shared" si="267"/>
        <v>-1141461.0599999998</v>
      </c>
      <c r="CL73" s="17">
        <f t="shared" si="267"/>
        <v>-1141461.0599999998</v>
      </c>
      <c r="CM73" s="17">
        <f t="shared" si="267"/>
        <v>-1141461.0599999998</v>
      </c>
    </row>
    <row r="74" spans="1:92" x14ac:dyDescent="0.2"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</row>
    <row r="75" spans="1:92" x14ac:dyDescent="0.2">
      <c r="A75" s="4" t="s">
        <v>208</v>
      </c>
      <c r="C75" s="15">
        <v>18238162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8"/>
      <c r="CL75" s="8"/>
      <c r="CM75" s="8"/>
    </row>
    <row r="76" spans="1:92" s="25" customFormat="1" x14ac:dyDescent="0.2">
      <c r="A76" s="7"/>
      <c r="B76" s="7" t="s">
        <v>195</v>
      </c>
      <c r="C76" s="15">
        <v>25400362</v>
      </c>
      <c r="D76" s="17">
        <v>0</v>
      </c>
      <c r="E76" s="17">
        <f>D82</f>
        <v>0</v>
      </c>
      <c r="F76" s="17">
        <f t="shared" ref="F76:BK76" si="268">E82</f>
        <v>0</v>
      </c>
      <c r="G76" s="17">
        <f t="shared" si="268"/>
        <v>0</v>
      </c>
      <c r="H76" s="17">
        <f t="shared" si="268"/>
        <v>0</v>
      </c>
      <c r="I76" s="17">
        <f t="shared" si="268"/>
        <v>0</v>
      </c>
      <c r="J76" s="17">
        <f t="shared" si="268"/>
        <v>0</v>
      </c>
      <c r="K76" s="17">
        <f t="shared" si="268"/>
        <v>1284.0066939518738</v>
      </c>
      <c r="L76" s="17">
        <f t="shared" si="268"/>
        <v>4341.1333758918017</v>
      </c>
      <c r="M76" s="17">
        <f t="shared" si="268"/>
        <v>8261.1683375367065</v>
      </c>
      <c r="N76" s="17">
        <f t="shared" si="268"/>
        <v>8657.6045126706322</v>
      </c>
      <c r="O76" s="17">
        <f t="shared" si="268"/>
        <v>5526.3564466285134</v>
      </c>
      <c r="P76" s="17">
        <f t="shared" si="268"/>
        <v>-3236.9149669691233</v>
      </c>
      <c r="Q76" s="17">
        <f t="shared" si="268"/>
        <v>-18586.850261705717</v>
      </c>
      <c r="R76" s="17">
        <f t="shared" si="268"/>
        <v>-35885.738058808565</v>
      </c>
      <c r="S76" s="17">
        <f t="shared" si="268"/>
        <v>-52133.075360370916</v>
      </c>
      <c r="T76" s="17">
        <f t="shared" si="268"/>
        <v>-62651.997523362865</v>
      </c>
      <c r="U76" s="17">
        <f t="shared" si="268"/>
        <v>-62224.023238263217</v>
      </c>
      <c r="V76" s="17">
        <f t="shared" si="268"/>
        <v>-58914.294616057654</v>
      </c>
      <c r="W76" s="17">
        <f t="shared" si="268"/>
        <v>-52223.144096762742</v>
      </c>
      <c r="X76" s="17">
        <f t="shared" si="268"/>
        <v>-42335.152024059025</v>
      </c>
      <c r="Y76" s="17">
        <f t="shared" si="268"/>
        <v>-27903.482956902182</v>
      </c>
      <c r="Z76" s="17">
        <f t="shared" si="268"/>
        <v>-2377.6760530606007</v>
      </c>
      <c r="AA76" s="17">
        <f t="shared" si="268"/>
        <v>34198.304514755</v>
      </c>
      <c r="AB76" s="17">
        <f t="shared" si="268"/>
        <v>81585.61324446628</v>
      </c>
      <c r="AC76" s="17">
        <f t="shared" si="268"/>
        <v>146725.01336098689</v>
      </c>
      <c r="AD76" s="17">
        <f t="shared" si="268"/>
        <v>237472.40517599275</v>
      </c>
      <c r="AE76" s="17">
        <f t="shared" si="268"/>
        <v>311563.46166926884</v>
      </c>
      <c r="AF76" s="17">
        <f t="shared" si="268"/>
        <v>433699.8479631099</v>
      </c>
      <c r="AG76" s="17">
        <f t="shared" si="268"/>
        <v>498146.16867636028</v>
      </c>
      <c r="AH76" s="17">
        <f t="shared" si="268"/>
        <v>632459.38582012407</v>
      </c>
      <c r="AI76" s="17">
        <f t="shared" si="268"/>
        <v>771782.07454367937</v>
      </c>
      <c r="AJ76" s="17">
        <f t="shared" si="268"/>
        <v>914267.58261074638</v>
      </c>
      <c r="AK76" s="17">
        <f t="shared" si="268"/>
        <v>1058589.2578078804</v>
      </c>
      <c r="AL76" s="17">
        <f t="shared" si="268"/>
        <v>1210017.9538901218</v>
      </c>
      <c r="AM76" s="17">
        <f t="shared" si="268"/>
        <v>1366541.619374169</v>
      </c>
      <c r="AN76" s="17">
        <f t="shared" si="268"/>
        <v>1522589.184489547</v>
      </c>
      <c r="AO76" s="17">
        <f t="shared" si="268"/>
        <v>1680607.596171218</v>
      </c>
      <c r="AP76" s="17">
        <f t="shared" si="268"/>
        <v>1849338.5759564887</v>
      </c>
      <c r="AQ76" s="17">
        <f t="shared" si="268"/>
        <v>2032069.5614211734</v>
      </c>
      <c r="AR76" s="17">
        <f t="shared" si="268"/>
        <v>2241487.5120309228</v>
      </c>
      <c r="AS76" s="17">
        <f t="shared" si="268"/>
        <v>942032.71150066843</v>
      </c>
      <c r="AT76" s="17">
        <f t="shared" si="268"/>
        <v>1170183.3780053703</v>
      </c>
      <c r="AU76" s="17">
        <f t="shared" si="268"/>
        <v>1402861.7263960836</v>
      </c>
      <c r="AV76" s="17">
        <f t="shared" si="268"/>
        <v>1637016.7213667661</v>
      </c>
      <c r="AW76" s="17">
        <f t="shared" si="268"/>
        <v>1872990.754152409</v>
      </c>
      <c r="AX76" s="17">
        <f t="shared" si="268"/>
        <v>2112001.329746977</v>
      </c>
      <c r="AY76" s="17">
        <f t="shared" si="268"/>
        <v>2363440.9152487456</v>
      </c>
      <c r="AZ76" s="17">
        <f t="shared" si="268"/>
        <v>2615702.7740226057</v>
      </c>
      <c r="BA76" s="17">
        <f t="shared" si="268"/>
        <v>2833044.3040226055</v>
      </c>
      <c r="BB76" s="17">
        <f t="shared" si="268"/>
        <v>3033015.6640226054</v>
      </c>
      <c r="BC76" s="17">
        <f t="shared" si="268"/>
        <v>3226575.2740226053</v>
      </c>
      <c r="BD76" s="17">
        <f t="shared" si="268"/>
        <v>3427717.2540226053</v>
      </c>
      <c r="BE76" s="17">
        <f t="shared" si="268"/>
        <v>924393.34816353209</v>
      </c>
      <c r="BF76" s="17">
        <f t="shared" si="268"/>
        <v>1118804.1694429526</v>
      </c>
      <c r="BG76" s="17">
        <f t="shared" si="268"/>
        <v>1328146.1738930915</v>
      </c>
      <c r="BH76" s="17">
        <f t="shared" si="268"/>
        <v>1539583.8255726609</v>
      </c>
      <c r="BI76" s="17">
        <f t="shared" si="268"/>
        <v>1753849.6602656438</v>
      </c>
      <c r="BJ76" s="17">
        <f t="shared" si="268"/>
        <v>1980759.5848288084</v>
      </c>
      <c r="BK76" s="17">
        <f t="shared" si="268"/>
        <v>2202901.2528730333</v>
      </c>
      <c r="BL76" s="17">
        <f t="shared" ref="BL76" si="269">BK82</f>
        <v>2416073.6788976798</v>
      </c>
      <c r="BM76" s="17">
        <f t="shared" ref="BM76" si="270">BL82</f>
        <v>2626071.4988976796</v>
      </c>
      <c r="BN76" s="17">
        <f t="shared" ref="BN76" si="271">BM82</f>
        <v>2828341.8388976795</v>
      </c>
      <c r="BO76" s="17">
        <f t="shared" ref="BO76" si="272">BN82</f>
        <v>3012661.0388976797</v>
      </c>
      <c r="BP76" s="17">
        <f t="shared" ref="BP76" si="273">BO82</f>
        <v>3191205.3388976795</v>
      </c>
      <c r="BQ76" s="17">
        <f t="shared" ref="BQ76" si="274">BP82</f>
        <v>942515.85287303291</v>
      </c>
      <c r="BR76" s="17">
        <f t="shared" ref="BR76" si="275">BQ82</f>
        <v>1103480.0128730328</v>
      </c>
      <c r="BS76" s="17">
        <f t="shared" ref="BS76" si="276">BR82</f>
        <v>1269896.1328730327</v>
      </c>
      <c r="BT76" s="17">
        <f t="shared" ref="BT76" si="277">BS82</f>
        <v>1434697.9528730328</v>
      </c>
      <c r="BU76" s="17">
        <f t="shared" ref="BU76" si="278">BT82</f>
        <v>1597338.1728730327</v>
      </c>
      <c r="BV76" s="17">
        <f t="shared" ref="BV76" si="279">BU82</f>
        <v>1762916.6728730327</v>
      </c>
      <c r="BW76" s="17">
        <f t="shared" ref="BW76" si="280">BV82</f>
        <v>1915466.1828730328</v>
      </c>
      <c r="BX76" s="17">
        <f t="shared" ref="BX76" si="281">BW82</f>
        <v>2056030.6628730327</v>
      </c>
      <c r="BY76" s="17">
        <f t="shared" ref="BY76" si="282">BX82</f>
        <v>2191341.1928730328</v>
      </c>
      <c r="BZ76" s="17">
        <f t="shared" ref="BZ76" si="283">BY82</f>
        <v>2286616.5528730326</v>
      </c>
      <c r="CA76" s="17">
        <f t="shared" ref="CA76" si="284">BZ82</f>
        <v>2340043.0528730326</v>
      </c>
      <c r="CB76" s="17">
        <f t="shared" ref="CB76" si="285">CA82</f>
        <v>2383881.0328730326</v>
      </c>
      <c r="CC76" s="17">
        <f t="shared" ref="CC76" si="286">CB82</f>
        <v>373449.52999999956</v>
      </c>
      <c r="CD76" s="17">
        <f t="shared" ref="CD76" si="287">CC82</f>
        <v>424571.57999999955</v>
      </c>
      <c r="CE76" s="17">
        <f t="shared" ref="CE76" si="288">CD82</f>
        <v>476313.86999999953</v>
      </c>
      <c r="CF76" s="17">
        <f t="shared" ref="CF76" si="289">CE82</f>
        <v>526994.56999999948</v>
      </c>
      <c r="CG76" s="17">
        <f t="shared" ref="CG76" si="290">CF82</f>
        <v>579648.79999999946</v>
      </c>
      <c r="CH76" s="17">
        <f t="shared" ref="CH76" si="291">CG82</f>
        <v>627285.96999999951</v>
      </c>
      <c r="CI76" s="17">
        <f t="shared" ref="CI76" si="292">CH82</f>
        <v>671233.37999999954</v>
      </c>
      <c r="CJ76" s="17">
        <f t="shared" ref="CJ76" si="293">CI82</f>
        <v>718615.3399999995</v>
      </c>
      <c r="CK76" s="17">
        <f t="shared" ref="CK76:CM76" si="294">CJ82</f>
        <v>718615.3399999995</v>
      </c>
      <c r="CL76" s="17">
        <f t="shared" si="294"/>
        <v>718615.3399999995</v>
      </c>
      <c r="CM76" s="17">
        <f t="shared" si="294"/>
        <v>718615.3399999995</v>
      </c>
      <c r="CN76" s="7"/>
    </row>
    <row r="77" spans="1:92" s="21" customFormat="1" x14ac:dyDescent="0.2">
      <c r="A77" s="25"/>
      <c r="B77" s="21" t="s">
        <v>196</v>
      </c>
      <c r="C77" s="26"/>
      <c r="D77" s="232">
        <v>0</v>
      </c>
      <c r="E77" s="232">
        <v>0</v>
      </c>
      <c r="F77" s="232">
        <v>0</v>
      </c>
      <c r="G77" s="232">
        <v>0</v>
      </c>
      <c r="H77" s="232">
        <v>0</v>
      </c>
      <c r="I77" s="232">
        <v>0</v>
      </c>
      <c r="J77" s="232">
        <v>0</v>
      </c>
      <c r="K77" s="232">
        <v>0</v>
      </c>
      <c r="L77" s="232">
        <v>0</v>
      </c>
      <c r="M77" s="232">
        <v>0</v>
      </c>
      <c r="N77" s="232">
        <v>0</v>
      </c>
      <c r="O77" s="232">
        <v>0</v>
      </c>
      <c r="P77" s="232">
        <v>0</v>
      </c>
      <c r="Q77" s="232">
        <v>0</v>
      </c>
      <c r="R77" s="232">
        <v>0</v>
      </c>
      <c r="S77" s="232">
        <v>0</v>
      </c>
      <c r="T77" s="232">
        <v>3236.9149669691201</v>
      </c>
      <c r="U77" s="232">
        <v>0</v>
      </c>
      <c r="V77" s="232">
        <v>0</v>
      </c>
      <c r="W77" s="232">
        <v>0</v>
      </c>
      <c r="X77" s="232">
        <v>0</v>
      </c>
      <c r="Y77" s="232">
        <v>0</v>
      </c>
      <c r="Z77" s="232">
        <v>0</v>
      </c>
      <c r="AA77" s="232">
        <v>0</v>
      </c>
      <c r="AB77" s="232">
        <v>0</v>
      </c>
      <c r="AC77" s="232">
        <v>0</v>
      </c>
      <c r="AD77" s="232">
        <v>0</v>
      </c>
      <c r="AE77" s="232">
        <v>0</v>
      </c>
      <c r="AF77" s="232">
        <v>-64504.856084693231</v>
      </c>
      <c r="AG77" s="232">
        <v>0</v>
      </c>
      <c r="AH77" s="232">
        <v>0</v>
      </c>
      <c r="AI77" s="232">
        <v>0</v>
      </c>
      <c r="AJ77" s="232">
        <v>0</v>
      </c>
      <c r="AK77" s="232">
        <v>0</v>
      </c>
      <c r="AL77" s="232">
        <v>0</v>
      </c>
      <c r="AM77" s="232">
        <v>0</v>
      </c>
      <c r="AN77" s="232">
        <v>0</v>
      </c>
      <c r="AO77" s="232">
        <v>0</v>
      </c>
      <c r="AP77" s="232">
        <v>0</v>
      </c>
      <c r="AQ77" s="232">
        <v>0</v>
      </c>
      <c r="AR77" s="232">
        <v>-1522589.1844895501</v>
      </c>
      <c r="AS77" s="23">
        <v>0</v>
      </c>
      <c r="AT77" s="23">
        <v>0</v>
      </c>
      <c r="AU77" s="23">
        <v>0</v>
      </c>
      <c r="AV77" s="23">
        <v>0</v>
      </c>
      <c r="AW77" s="23">
        <v>0</v>
      </c>
      <c r="AX77" s="23">
        <v>0</v>
      </c>
      <c r="AY77" s="23">
        <v>0</v>
      </c>
      <c r="AZ77" s="23">
        <v>0</v>
      </c>
      <c r="BA77" s="23">
        <v>0</v>
      </c>
      <c r="BB77" s="23">
        <v>0</v>
      </c>
      <c r="BC77" s="23">
        <v>0</v>
      </c>
      <c r="BD77" s="23">
        <v>-2615702.77</v>
      </c>
      <c r="BE77" s="23">
        <v>0</v>
      </c>
      <c r="BF77" s="23">
        <v>0</v>
      </c>
      <c r="BG77" s="23">
        <v>0</v>
      </c>
      <c r="BH77" s="23">
        <v>0</v>
      </c>
      <c r="BI77" s="23">
        <v>0</v>
      </c>
      <c r="BJ77" s="23">
        <v>0</v>
      </c>
      <c r="BK77" s="23">
        <v>0</v>
      </c>
      <c r="BL77" s="23">
        <v>0</v>
      </c>
      <c r="BM77" s="23">
        <v>0</v>
      </c>
      <c r="BN77" s="23">
        <v>0</v>
      </c>
      <c r="BO77" s="23">
        <v>0</v>
      </c>
      <c r="BP77" s="23">
        <v>-2416073.6060246467</v>
      </c>
      <c r="BQ77" s="23">
        <v>0</v>
      </c>
      <c r="BR77" s="23">
        <v>0</v>
      </c>
      <c r="BS77" s="23">
        <v>0</v>
      </c>
      <c r="BT77" s="23">
        <v>0</v>
      </c>
      <c r="BU77" s="23">
        <v>0</v>
      </c>
      <c r="BV77" s="23">
        <v>0</v>
      </c>
      <c r="BW77" s="23">
        <v>0</v>
      </c>
      <c r="BX77" s="23">
        <v>0</v>
      </c>
      <c r="BY77" s="23">
        <v>0</v>
      </c>
      <c r="BZ77" s="23">
        <v>0</v>
      </c>
      <c r="CA77" s="23">
        <v>0</v>
      </c>
      <c r="CB77" s="23">
        <v>-2056030.662873033</v>
      </c>
      <c r="CC77" s="23">
        <v>0</v>
      </c>
      <c r="CD77" s="23">
        <v>0</v>
      </c>
      <c r="CE77" s="23">
        <v>0</v>
      </c>
      <c r="CF77" s="23">
        <v>0</v>
      </c>
      <c r="CG77" s="23">
        <v>0</v>
      </c>
      <c r="CH77" s="23">
        <v>0</v>
      </c>
      <c r="CI77" s="23">
        <v>0</v>
      </c>
      <c r="CJ77" s="23"/>
      <c r="CK77" s="23"/>
      <c r="CL77" s="23"/>
      <c r="CM77" s="23"/>
      <c r="CN77" s="25"/>
    </row>
    <row r="78" spans="1:92" s="21" customFormat="1" x14ac:dyDescent="0.2">
      <c r="A78" s="25"/>
      <c r="B78" s="21" t="s">
        <v>402</v>
      </c>
      <c r="C78" s="26"/>
      <c r="D78" s="232">
        <v>0</v>
      </c>
      <c r="E78" s="232">
        <v>0</v>
      </c>
      <c r="F78" s="232">
        <v>0</v>
      </c>
      <c r="G78" s="232">
        <v>0</v>
      </c>
      <c r="H78" s="232">
        <v>0</v>
      </c>
      <c r="I78" s="232">
        <v>0</v>
      </c>
      <c r="J78" s="232">
        <v>0</v>
      </c>
      <c r="K78" s="232">
        <v>0</v>
      </c>
      <c r="L78" s="232">
        <v>0</v>
      </c>
      <c r="M78" s="232">
        <v>0</v>
      </c>
      <c r="N78" s="232">
        <v>0</v>
      </c>
      <c r="O78" s="232">
        <v>0</v>
      </c>
      <c r="P78" s="232">
        <v>0</v>
      </c>
      <c r="Q78" s="232">
        <v>0</v>
      </c>
      <c r="R78" s="232">
        <v>0</v>
      </c>
      <c r="S78" s="232">
        <v>0</v>
      </c>
      <c r="T78" s="232">
        <v>0</v>
      </c>
      <c r="U78" s="232">
        <v>0</v>
      </c>
      <c r="V78" s="232">
        <v>0</v>
      </c>
      <c r="W78" s="232">
        <v>0</v>
      </c>
      <c r="X78" s="232">
        <v>0</v>
      </c>
      <c r="Y78" s="232">
        <v>0</v>
      </c>
      <c r="Z78" s="232">
        <v>0</v>
      </c>
      <c r="AA78" s="232">
        <v>0</v>
      </c>
      <c r="AB78" s="232">
        <v>0</v>
      </c>
      <c r="AC78" s="232">
        <v>0</v>
      </c>
      <c r="AD78" s="232">
        <v>-43442.168179630316</v>
      </c>
      <c r="AE78" s="232">
        <v>-540.27630914234032</v>
      </c>
      <c r="AF78" s="232">
        <v>18.420486301023629</v>
      </c>
      <c r="AG78" s="232">
        <v>-3.6272497081372421</v>
      </c>
      <c r="AH78" s="232">
        <v>-0.7100047470012214</v>
      </c>
      <c r="AI78" s="232">
        <v>0</v>
      </c>
      <c r="AJ78" s="232">
        <v>0</v>
      </c>
      <c r="AK78" s="232">
        <v>0</v>
      </c>
      <c r="AL78" s="232">
        <v>0</v>
      </c>
      <c r="AM78" s="232">
        <v>0</v>
      </c>
      <c r="AN78" s="232">
        <v>0</v>
      </c>
      <c r="AO78" s="232">
        <v>0</v>
      </c>
      <c r="AP78" s="232">
        <v>0</v>
      </c>
      <c r="AQ78" s="232">
        <v>0</v>
      </c>
      <c r="AR78" s="232">
        <v>0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0</v>
      </c>
      <c r="BA78" s="23">
        <v>0</v>
      </c>
      <c r="BB78" s="23">
        <v>0</v>
      </c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  <c r="BI78" s="23">
        <v>0</v>
      </c>
      <c r="BJ78" s="23">
        <v>0</v>
      </c>
      <c r="BK78" s="23">
        <v>0</v>
      </c>
      <c r="BL78" s="23">
        <v>0</v>
      </c>
      <c r="BM78" s="23">
        <v>0</v>
      </c>
      <c r="BN78" s="23">
        <v>0</v>
      </c>
      <c r="BO78" s="23">
        <v>0</v>
      </c>
      <c r="BP78" s="23">
        <v>0</v>
      </c>
      <c r="BQ78" s="23">
        <v>0</v>
      </c>
      <c r="BR78" s="23">
        <v>0</v>
      </c>
      <c r="BS78" s="23">
        <v>0</v>
      </c>
      <c r="BT78" s="23">
        <v>0</v>
      </c>
      <c r="BU78" s="23">
        <v>0</v>
      </c>
      <c r="BV78" s="23">
        <v>0</v>
      </c>
      <c r="BW78" s="23">
        <v>0</v>
      </c>
      <c r="BX78" s="23">
        <v>0</v>
      </c>
      <c r="BY78" s="23">
        <v>0</v>
      </c>
      <c r="BZ78" s="23">
        <v>0</v>
      </c>
      <c r="CA78" s="23">
        <v>0</v>
      </c>
      <c r="CB78" s="23">
        <v>0</v>
      </c>
      <c r="CC78" s="23">
        <v>0</v>
      </c>
      <c r="CD78" s="23">
        <v>0</v>
      </c>
      <c r="CE78" s="23">
        <v>0</v>
      </c>
      <c r="CF78" s="23">
        <v>0</v>
      </c>
      <c r="CG78" s="23">
        <v>0</v>
      </c>
      <c r="CH78" s="23">
        <v>0</v>
      </c>
      <c r="CI78" s="23">
        <v>0</v>
      </c>
      <c r="CJ78" s="23"/>
      <c r="CK78" s="23"/>
      <c r="CL78" s="23"/>
      <c r="CM78" s="23"/>
      <c r="CN78" s="25"/>
    </row>
    <row r="79" spans="1:92" s="21" customFormat="1" x14ac:dyDescent="0.2">
      <c r="A79" s="25"/>
      <c r="B79" s="21" t="s">
        <v>405</v>
      </c>
      <c r="C79" s="26"/>
      <c r="D79" s="232">
        <v>0</v>
      </c>
      <c r="E79" s="232">
        <v>0</v>
      </c>
      <c r="F79" s="232">
        <v>0</v>
      </c>
      <c r="G79" s="232">
        <v>0</v>
      </c>
      <c r="H79" s="232">
        <v>0</v>
      </c>
      <c r="I79" s="232">
        <v>0</v>
      </c>
      <c r="J79" s="232">
        <v>0</v>
      </c>
      <c r="K79" s="232">
        <v>0</v>
      </c>
      <c r="L79" s="232">
        <v>0</v>
      </c>
      <c r="M79" s="232">
        <v>0</v>
      </c>
      <c r="N79" s="232">
        <v>0</v>
      </c>
      <c r="O79" s="232">
        <v>0</v>
      </c>
      <c r="P79" s="232">
        <v>0</v>
      </c>
      <c r="Q79" s="232">
        <v>0</v>
      </c>
      <c r="R79" s="232">
        <v>0</v>
      </c>
      <c r="S79" s="232">
        <v>0</v>
      </c>
      <c r="T79" s="232">
        <v>0</v>
      </c>
      <c r="U79" s="232">
        <v>0</v>
      </c>
      <c r="V79" s="232">
        <v>0</v>
      </c>
      <c r="W79" s="232">
        <v>0</v>
      </c>
      <c r="X79" s="232">
        <v>0</v>
      </c>
      <c r="Y79" s="232">
        <v>0</v>
      </c>
      <c r="Z79" s="232">
        <v>0</v>
      </c>
      <c r="AA79" s="232">
        <v>0</v>
      </c>
      <c r="AB79" s="232">
        <v>0</v>
      </c>
      <c r="AC79" s="232">
        <v>0</v>
      </c>
      <c r="AD79" s="232">
        <v>0</v>
      </c>
      <c r="AE79" s="232">
        <v>0</v>
      </c>
      <c r="AF79" s="232">
        <v>0</v>
      </c>
      <c r="AG79" s="232">
        <v>0</v>
      </c>
      <c r="AH79" s="232">
        <v>0</v>
      </c>
      <c r="AI79" s="232">
        <v>0</v>
      </c>
      <c r="AJ79" s="232">
        <v>0</v>
      </c>
      <c r="AK79" s="232">
        <v>0</v>
      </c>
      <c r="AL79" s="232">
        <v>0</v>
      </c>
      <c r="AM79" s="232">
        <v>0</v>
      </c>
      <c r="AN79" s="232">
        <v>0</v>
      </c>
      <c r="AO79" s="232">
        <v>0</v>
      </c>
      <c r="AP79" s="232">
        <v>0</v>
      </c>
      <c r="AQ79" s="232">
        <v>0</v>
      </c>
      <c r="AR79" s="232">
        <v>0</v>
      </c>
      <c r="AS79" s="23">
        <v>0</v>
      </c>
      <c r="AT79" s="23">
        <v>0</v>
      </c>
      <c r="AU79" s="23">
        <v>0</v>
      </c>
      <c r="AV79" s="23">
        <v>0</v>
      </c>
      <c r="AW79" s="23">
        <v>0</v>
      </c>
      <c r="AX79" s="23">
        <v>0</v>
      </c>
      <c r="AY79" s="23">
        <v>0</v>
      </c>
      <c r="AZ79" s="23">
        <v>0</v>
      </c>
      <c r="BA79" s="23">
        <v>0</v>
      </c>
      <c r="BB79" s="23">
        <v>0</v>
      </c>
      <c r="BC79" s="23">
        <v>0</v>
      </c>
      <c r="BD79" s="23">
        <v>-84751.59</v>
      </c>
      <c r="BE79" s="23">
        <v>0</v>
      </c>
      <c r="BF79" s="23">
        <v>0</v>
      </c>
      <c r="BG79" s="23">
        <v>0</v>
      </c>
      <c r="BH79" s="23">
        <v>0</v>
      </c>
      <c r="BI79" s="23">
        <v>0</v>
      </c>
      <c r="BJ79" s="23">
        <v>0</v>
      </c>
      <c r="BK79" s="23">
        <v>0</v>
      </c>
      <c r="BL79" s="23">
        <v>0</v>
      </c>
      <c r="BM79" s="23">
        <v>0</v>
      </c>
      <c r="BN79" s="23">
        <v>0</v>
      </c>
      <c r="BO79" s="23">
        <v>0</v>
      </c>
      <c r="BP79" s="23">
        <v>0</v>
      </c>
      <c r="BQ79" s="23">
        <v>0</v>
      </c>
      <c r="BR79" s="23">
        <v>0</v>
      </c>
      <c r="BS79" s="23">
        <v>0</v>
      </c>
      <c r="BT79" s="23">
        <v>0</v>
      </c>
      <c r="BU79" s="23">
        <v>0</v>
      </c>
      <c r="BV79" s="23">
        <v>0</v>
      </c>
      <c r="BW79" s="23">
        <v>0</v>
      </c>
      <c r="BX79" s="23">
        <v>0</v>
      </c>
      <c r="BY79" s="23">
        <v>0</v>
      </c>
      <c r="BZ79" s="23">
        <v>0</v>
      </c>
      <c r="CA79" s="23">
        <v>0</v>
      </c>
      <c r="CB79" s="23">
        <v>0</v>
      </c>
      <c r="CC79" s="23">
        <v>0</v>
      </c>
      <c r="CD79" s="23">
        <v>0</v>
      </c>
      <c r="CE79" s="23">
        <v>0</v>
      </c>
      <c r="CF79" s="23">
        <v>0</v>
      </c>
      <c r="CG79" s="23">
        <v>0</v>
      </c>
      <c r="CH79" s="23">
        <v>0</v>
      </c>
      <c r="CI79" s="23">
        <v>0</v>
      </c>
      <c r="CJ79" s="23"/>
      <c r="CK79" s="23"/>
      <c r="CL79" s="23"/>
      <c r="CM79" s="23"/>
      <c r="CN79" s="25"/>
    </row>
    <row r="80" spans="1:92" x14ac:dyDescent="0.2">
      <c r="A80" s="21"/>
      <c r="B80" s="21" t="s">
        <v>409</v>
      </c>
      <c r="C80" s="232"/>
      <c r="D80" s="232">
        <v>0</v>
      </c>
      <c r="E80" s="232">
        <v>0</v>
      </c>
      <c r="F80" s="232">
        <v>0</v>
      </c>
      <c r="G80" s="232">
        <v>0</v>
      </c>
      <c r="H80" s="232">
        <v>0</v>
      </c>
      <c r="I80" s="232">
        <v>0</v>
      </c>
      <c r="J80" s="23">
        <v>1284.0066939518738</v>
      </c>
      <c r="K80" s="23">
        <v>3057.1266819399279</v>
      </c>
      <c r="L80" s="23">
        <v>3920.0349616449039</v>
      </c>
      <c r="M80" s="23">
        <v>396.43617513392496</v>
      </c>
      <c r="N80" s="23">
        <v>-3131.2480660421193</v>
      </c>
      <c r="O80" s="23">
        <v>-8763.2714135976366</v>
      </c>
      <c r="P80" s="23">
        <v>-15349.935294736591</v>
      </c>
      <c r="Q80" s="23">
        <v>-17298.887797102845</v>
      </c>
      <c r="R80" s="23">
        <v>-16247.337301562349</v>
      </c>
      <c r="S80" s="23">
        <v>-10518.922162991952</v>
      </c>
      <c r="T80" s="23">
        <v>-2808.9406818694733</v>
      </c>
      <c r="U80" s="23">
        <v>3309.7286222055645</v>
      </c>
      <c r="V80" s="23">
        <v>6691.1505192949126</v>
      </c>
      <c r="W80" s="23">
        <v>9887.992072703717</v>
      </c>
      <c r="X80" s="23">
        <v>14431.669067156841</v>
      </c>
      <c r="Y80" s="23">
        <v>25525.806903841582</v>
      </c>
      <c r="Z80" s="23">
        <v>36575.980567815604</v>
      </c>
      <c r="AA80" s="23">
        <v>47387.30872971128</v>
      </c>
      <c r="AB80" s="23">
        <v>65139.400116520614</v>
      </c>
      <c r="AC80" s="23">
        <v>90747.391815005874</v>
      </c>
      <c r="AD80" s="23">
        <v>117533.22467290639</v>
      </c>
      <c r="AE80" s="23">
        <v>122676.6626029834</v>
      </c>
      <c r="AF80" s="23">
        <v>128932.75631164259</v>
      </c>
      <c r="AG80" s="23">
        <v>134316.84439347195</v>
      </c>
      <c r="AH80" s="23">
        <v>139323.39872830227</v>
      </c>
      <c r="AI80" s="23">
        <v>142485.50806706704</v>
      </c>
      <c r="AJ80" s="23">
        <v>144321.67519713409</v>
      </c>
      <c r="AK80" s="23">
        <v>151428.69608224137</v>
      </c>
      <c r="AL80" s="23">
        <v>156523.66548404726</v>
      </c>
      <c r="AM80" s="23">
        <v>156047.56511537798</v>
      </c>
      <c r="AN80" s="23">
        <v>158018.41168167084</v>
      </c>
      <c r="AO80" s="23">
        <v>168730.97978527084</v>
      </c>
      <c r="AP80" s="23">
        <v>182730.98546468458</v>
      </c>
      <c r="AQ80" s="23">
        <v>209417.95060974944</v>
      </c>
      <c r="AR80" s="23">
        <v>223134.38395929572</v>
      </c>
      <c r="AS80" s="23">
        <v>228150.6665047018</v>
      </c>
      <c r="AT80" s="23">
        <v>232678.34839071342</v>
      </c>
      <c r="AU80" s="23">
        <v>234154.99497068254</v>
      </c>
      <c r="AV80" s="23">
        <v>235974.03278564289</v>
      </c>
      <c r="AW80" s="23">
        <v>239010.57559456804</v>
      </c>
      <c r="AX80" s="23">
        <v>251439.58550176866</v>
      </c>
      <c r="AY80" s="23">
        <v>252261.85877386018</v>
      </c>
      <c r="AZ80" s="23">
        <v>217341.53</v>
      </c>
      <c r="BA80" s="23">
        <v>199971.36</v>
      </c>
      <c r="BB80" s="23">
        <v>193559.61</v>
      </c>
      <c r="BC80" s="23">
        <v>201141.98</v>
      </c>
      <c r="BD80" s="23">
        <v>197130.45414092674</v>
      </c>
      <c r="BE80" s="23">
        <v>194410.8212794204</v>
      </c>
      <c r="BF80" s="23">
        <v>209342.00445013889</v>
      </c>
      <c r="BG80" s="23">
        <v>211437.65167956942</v>
      </c>
      <c r="BH80" s="23">
        <v>214265.83469298299</v>
      </c>
      <c r="BI80" s="23">
        <v>226909.92456316459</v>
      </c>
      <c r="BJ80" s="23">
        <v>222141.66804422461</v>
      </c>
      <c r="BK80" s="23">
        <v>213172.42602464635</v>
      </c>
      <c r="BL80" s="23">
        <v>209997.82</v>
      </c>
      <c r="BM80" s="23">
        <v>202270.34</v>
      </c>
      <c r="BN80" s="23">
        <v>184319.2</v>
      </c>
      <c r="BO80" s="23">
        <v>178544.3</v>
      </c>
      <c r="BP80" s="23">
        <v>167384.12</v>
      </c>
      <c r="BQ80" s="23">
        <v>160964.16</v>
      </c>
      <c r="BR80" s="23">
        <v>166416.12</v>
      </c>
      <c r="BS80" s="23">
        <v>164801.82</v>
      </c>
      <c r="BT80" s="23">
        <v>162640.22</v>
      </c>
      <c r="BU80" s="23">
        <v>165578.5</v>
      </c>
      <c r="BV80" s="23">
        <v>152549.51</v>
      </c>
      <c r="BW80" s="23">
        <v>140564.48000000001</v>
      </c>
      <c r="BX80" s="22">
        <f>'Sch23&amp;53 Deferral Calc'!C24</f>
        <v>135310.53</v>
      </c>
      <c r="BY80" s="22">
        <f>'Sch23&amp;53 Deferral Calc'!D24</f>
        <v>95275.36</v>
      </c>
      <c r="BZ80" s="22">
        <f>'Sch23&amp;53 Deferral Calc'!E24</f>
        <v>53426.5</v>
      </c>
      <c r="CA80" s="22">
        <f>'Sch23&amp;53 Deferral Calc'!F24</f>
        <v>43837.98</v>
      </c>
      <c r="CB80" s="22">
        <f>'Sch23&amp;53 Deferral Calc'!G24</f>
        <v>45599.16</v>
      </c>
      <c r="CC80" s="22">
        <f>'Sch23&amp;53 Deferral Calc'!H24</f>
        <v>51122.05</v>
      </c>
      <c r="CD80" s="22">
        <f>'Sch23&amp;53 Deferral Calc'!I24</f>
        <v>51742.29</v>
      </c>
      <c r="CE80" s="22">
        <f>'Sch23&amp;53 Deferral Calc'!J24</f>
        <v>50680.7</v>
      </c>
      <c r="CF80" s="22">
        <f>'Sch23&amp;53 Deferral Calc'!K24</f>
        <v>52654.23</v>
      </c>
      <c r="CG80" s="22">
        <f>'Sch23&amp;53 Deferral Calc'!L24</f>
        <v>47637.17</v>
      </c>
      <c r="CH80" s="22">
        <f>'Sch23&amp;53 Deferral Calc'!M24</f>
        <v>43947.41</v>
      </c>
      <c r="CI80" s="22">
        <f>'Sch23&amp;53 Deferral Calc'!N24</f>
        <v>47381.96</v>
      </c>
      <c r="CJ80" s="22"/>
      <c r="CK80" s="22"/>
      <c r="CL80" s="23"/>
      <c r="CM80" s="23"/>
      <c r="CN80" s="21"/>
    </row>
    <row r="81" spans="1:91" x14ac:dyDescent="0.2">
      <c r="B81" s="7" t="s">
        <v>198</v>
      </c>
      <c r="D81" s="24">
        <f t="shared" ref="D81:AI81" si="295">SUM(D77:D80)</f>
        <v>0</v>
      </c>
      <c r="E81" s="24">
        <f t="shared" si="295"/>
        <v>0</v>
      </c>
      <c r="F81" s="24">
        <f t="shared" si="295"/>
        <v>0</v>
      </c>
      <c r="G81" s="24">
        <f t="shared" si="295"/>
        <v>0</v>
      </c>
      <c r="H81" s="24">
        <f t="shared" si="295"/>
        <v>0</v>
      </c>
      <c r="I81" s="24">
        <f t="shared" si="295"/>
        <v>0</v>
      </c>
      <c r="J81" s="24">
        <f t="shared" si="295"/>
        <v>1284.0066939518738</v>
      </c>
      <c r="K81" s="24">
        <f t="shared" si="295"/>
        <v>3057.1266819399279</v>
      </c>
      <c r="L81" s="24">
        <f t="shared" si="295"/>
        <v>3920.0349616449039</v>
      </c>
      <c r="M81" s="24">
        <f t="shared" si="295"/>
        <v>396.43617513392496</v>
      </c>
      <c r="N81" s="24">
        <f t="shared" si="295"/>
        <v>-3131.2480660421193</v>
      </c>
      <c r="O81" s="24">
        <f t="shared" si="295"/>
        <v>-8763.2714135976366</v>
      </c>
      <c r="P81" s="24">
        <f t="shared" si="295"/>
        <v>-15349.935294736591</v>
      </c>
      <c r="Q81" s="24">
        <f t="shared" si="295"/>
        <v>-17298.887797102845</v>
      </c>
      <c r="R81" s="24">
        <f t="shared" si="295"/>
        <v>-16247.337301562349</v>
      </c>
      <c r="S81" s="24">
        <f t="shared" si="295"/>
        <v>-10518.922162991952</v>
      </c>
      <c r="T81" s="24">
        <f t="shared" si="295"/>
        <v>427.97428509964675</v>
      </c>
      <c r="U81" s="24">
        <f t="shared" si="295"/>
        <v>3309.7286222055645</v>
      </c>
      <c r="V81" s="24">
        <f t="shared" si="295"/>
        <v>6691.1505192949126</v>
      </c>
      <c r="W81" s="24">
        <f t="shared" si="295"/>
        <v>9887.992072703717</v>
      </c>
      <c r="X81" s="24">
        <f t="shared" si="295"/>
        <v>14431.669067156841</v>
      </c>
      <c r="Y81" s="24">
        <f t="shared" si="295"/>
        <v>25525.806903841582</v>
      </c>
      <c r="Z81" s="24">
        <f t="shared" si="295"/>
        <v>36575.980567815604</v>
      </c>
      <c r="AA81" s="24">
        <f t="shared" si="295"/>
        <v>47387.30872971128</v>
      </c>
      <c r="AB81" s="24">
        <f t="shared" si="295"/>
        <v>65139.400116520614</v>
      </c>
      <c r="AC81" s="24">
        <f t="shared" si="295"/>
        <v>90747.391815005874</v>
      </c>
      <c r="AD81" s="24">
        <f t="shared" si="295"/>
        <v>74091.056493276075</v>
      </c>
      <c r="AE81" s="24">
        <f t="shared" si="295"/>
        <v>122136.38629384106</v>
      </c>
      <c r="AF81" s="24">
        <f t="shared" si="295"/>
        <v>64446.320713250381</v>
      </c>
      <c r="AG81" s="24">
        <f t="shared" si="295"/>
        <v>134313.21714376382</v>
      </c>
      <c r="AH81" s="24">
        <f t="shared" si="295"/>
        <v>139322.68872355527</v>
      </c>
      <c r="AI81" s="24">
        <f t="shared" si="295"/>
        <v>142485.50806706704</v>
      </c>
      <c r="AJ81" s="24">
        <f t="shared" ref="AJ81:CA81" si="296">SUM(AJ77:AJ80)</f>
        <v>144321.67519713409</v>
      </c>
      <c r="AK81" s="24">
        <f t="shared" si="296"/>
        <v>151428.69608224137</v>
      </c>
      <c r="AL81" s="24">
        <f t="shared" si="296"/>
        <v>156523.66548404726</v>
      </c>
      <c r="AM81" s="24">
        <f t="shared" si="296"/>
        <v>156047.56511537798</v>
      </c>
      <c r="AN81" s="24">
        <f t="shared" si="296"/>
        <v>158018.41168167084</v>
      </c>
      <c r="AO81" s="24">
        <f t="shared" si="296"/>
        <v>168730.97978527084</v>
      </c>
      <c r="AP81" s="24">
        <f t="shared" si="296"/>
        <v>182730.98546468458</v>
      </c>
      <c r="AQ81" s="24">
        <f t="shared" si="296"/>
        <v>209417.95060974944</v>
      </c>
      <c r="AR81" s="24">
        <f t="shared" si="296"/>
        <v>-1299454.8005302544</v>
      </c>
      <c r="AS81" s="24">
        <f t="shared" si="296"/>
        <v>228150.6665047018</v>
      </c>
      <c r="AT81" s="24">
        <f t="shared" si="296"/>
        <v>232678.34839071342</v>
      </c>
      <c r="AU81" s="24">
        <f t="shared" si="296"/>
        <v>234154.99497068254</v>
      </c>
      <c r="AV81" s="24">
        <f t="shared" si="296"/>
        <v>235974.03278564289</v>
      </c>
      <c r="AW81" s="24">
        <f t="shared" si="296"/>
        <v>239010.57559456804</v>
      </c>
      <c r="AX81" s="24">
        <f t="shared" si="296"/>
        <v>251439.58550176866</v>
      </c>
      <c r="AY81" s="24">
        <f t="shared" si="296"/>
        <v>252261.85877386018</v>
      </c>
      <c r="AZ81" s="24">
        <f t="shared" si="296"/>
        <v>217341.53</v>
      </c>
      <c r="BA81" s="24">
        <f t="shared" si="296"/>
        <v>199971.36</v>
      </c>
      <c r="BB81" s="24">
        <f t="shared" si="296"/>
        <v>193559.61</v>
      </c>
      <c r="BC81" s="24">
        <f t="shared" si="296"/>
        <v>201141.98</v>
      </c>
      <c r="BD81" s="24">
        <f t="shared" si="296"/>
        <v>-2503323.9058590732</v>
      </c>
      <c r="BE81" s="24">
        <f t="shared" si="296"/>
        <v>194410.8212794204</v>
      </c>
      <c r="BF81" s="24">
        <f t="shared" si="296"/>
        <v>209342.00445013889</v>
      </c>
      <c r="BG81" s="24">
        <f t="shared" si="296"/>
        <v>211437.65167956942</v>
      </c>
      <c r="BH81" s="24">
        <f t="shared" si="296"/>
        <v>214265.83469298299</v>
      </c>
      <c r="BI81" s="24">
        <f t="shared" si="296"/>
        <v>226909.92456316459</v>
      </c>
      <c r="BJ81" s="24">
        <f t="shared" si="296"/>
        <v>222141.66804422461</v>
      </c>
      <c r="BK81" s="24">
        <f t="shared" si="296"/>
        <v>213172.42602464635</v>
      </c>
      <c r="BL81" s="24">
        <f t="shared" ref="BL81:BX81" si="297">SUM(BL77:BL80)</f>
        <v>209997.82</v>
      </c>
      <c r="BM81" s="24">
        <f t="shared" si="297"/>
        <v>202270.34</v>
      </c>
      <c r="BN81" s="24">
        <f t="shared" si="297"/>
        <v>184319.2</v>
      </c>
      <c r="BO81" s="24">
        <f t="shared" si="297"/>
        <v>178544.3</v>
      </c>
      <c r="BP81" s="24">
        <f t="shared" si="297"/>
        <v>-2248689.4860246466</v>
      </c>
      <c r="BQ81" s="24">
        <f t="shared" si="297"/>
        <v>160964.16</v>
      </c>
      <c r="BR81" s="24">
        <f t="shared" si="297"/>
        <v>166416.12</v>
      </c>
      <c r="BS81" s="24">
        <f t="shared" si="297"/>
        <v>164801.82</v>
      </c>
      <c r="BT81" s="24">
        <f t="shared" si="297"/>
        <v>162640.22</v>
      </c>
      <c r="BU81" s="24">
        <f t="shared" si="297"/>
        <v>165578.5</v>
      </c>
      <c r="BV81" s="24">
        <f t="shared" si="297"/>
        <v>152549.51</v>
      </c>
      <c r="BW81" s="24">
        <f t="shared" si="297"/>
        <v>140564.48000000001</v>
      </c>
      <c r="BX81" s="24">
        <f t="shared" si="297"/>
        <v>135310.53</v>
      </c>
      <c r="BY81" s="24">
        <f t="shared" si="296"/>
        <v>95275.36</v>
      </c>
      <c r="BZ81" s="24">
        <f t="shared" si="296"/>
        <v>53426.5</v>
      </c>
      <c r="CA81" s="24">
        <f t="shared" si="296"/>
        <v>43837.98</v>
      </c>
      <c r="CB81" s="24">
        <f t="shared" ref="CB81:CM81" si="298">SUM(CB77:CB80)</f>
        <v>-2010431.5028730331</v>
      </c>
      <c r="CC81" s="24">
        <f t="shared" si="298"/>
        <v>51122.05</v>
      </c>
      <c r="CD81" s="24">
        <f t="shared" si="298"/>
        <v>51742.29</v>
      </c>
      <c r="CE81" s="24">
        <f t="shared" si="298"/>
        <v>50680.7</v>
      </c>
      <c r="CF81" s="24">
        <f t="shared" si="298"/>
        <v>52654.23</v>
      </c>
      <c r="CG81" s="24">
        <f t="shared" si="298"/>
        <v>47637.17</v>
      </c>
      <c r="CH81" s="24">
        <f t="shared" si="298"/>
        <v>43947.41</v>
      </c>
      <c r="CI81" s="24">
        <f t="shared" si="298"/>
        <v>47381.96</v>
      </c>
      <c r="CJ81" s="24">
        <f t="shared" si="298"/>
        <v>0</v>
      </c>
      <c r="CK81" s="24">
        <f t="shared" si="298"/>
        <v>0</v>
      </c>
      <c r="CL81" s="24">
        <f t="shared" si="298"/>
        <v>0</v>
      </c>
      <c r="CM81" s="24">
        <f t="shared" si="298"/>
        <v>0</v>
      </c>
    </row>
    <row r="82" spans="1:91" x14ac:dyDescent="0.2">
      <c r="B82" s="7" t="s">
        <v>199</v>
      </c>
      <c r="D82" s="17">
        <f t="shared" ref="D82:AI82" si="299">D76+D81</f>
        <v>0</v>
      </c>
      <c r="E82" s="17">
        <f t="shared" si="299"/>
        <v>0</v>
      </c>
      <c r="F82" s="17">
        <f t="shared" si="299"/>
        <v>0</v>
      </c>
      <c r="G82" s="17">
        <f t="shared" si="299"/>
        <v>0</v>
      </c>
      <c r="H82" s="17">
        <f t="shared" si="299"/>
        <v>0</v>
      </c>
      <c r="I82" s="17">
        <f t="shared" si="299"/>
        <v>0</v>
      </c>
      <c r="J82" s="17">
        <f t="shared" si="299"/>
        <v>1284.0066939518738</v>
      </c>
      <c r="K82" s="17">
        <f t="shared" si="299"/>
        <v>4341.1333758918017</v>
      </c>
      <c r="L82" s="17">
        <f t="shared" si="299"/>
        <v>8261.1683375367065</v>
      </c>
      <c r="M82" s="17">
        <f t="shared" si="299"/>
        <v>8657.6045126706322</v>
      </c>
      <c r="N82" s="17">
        <f t="shared" si="299"/>
        <v>5526.3564466285134</v>
      </c>
      <c r="O82" s="17">
        <f t="shared" si="299"/>
        <v>-3236.9149669691233</v>
      </c>
      <c r="P82" s="17">
        <f t="shared" si="299"/>
        <v>-18586.850261705717</v>
      </c>
      <c r="Q82" s="17">
        <f t="shared" si="299"/>
        <v>-35885.738058808565</v>
      </c>
      <c r="R82" s="17">
        <f t="shared" si="299"/>
        <v>-52133.075360370916</v>
      </c>
      <c r="S82" s="17">
        <f t="shared" si="299"/>
        <v>-62651.997523362865</v>
      </c>
      <c r="T82" s="17">
        <f t="shared" si="299"/>
        <v>-62224.023238263217</v>
      </c>
      <c r="U82" s="17">
        <f t="shared" si="299"/>
        <v>-58914.294616057654</v>
      </c>
      <c r="V82" s="17">
        <f t="shared" si="299"/>
        <v>-52223.144096762742</v>
      </c>
      <c r="W82" s="17">
        <f t="shared" si="299"/>
        <v>-42335.152024059025</v>
      </c>
      <c r="X82" s="17">
        <f t="shared" si="299"/>
        <v>-27903.482956902182</v>
      </c>
      <c r="Y82" s="17">
        <f t="shared" si="299"/>
        <v>-2377.6760530606007</v>
      </c>
      <c r="Z82" s="17">
        <f t="shared" si="299"/>
        <v>34198.304514755</v>
      </c>
      <c r="AA82" s="17">
        <f t="shared" si="299"/>
        <v>81585.61324446628</v>
      </c>
      <c r="AB82" s="17">
        <f t="shared" si="299"/>
        <v>146725.01336098689</v>
      </c>
      <c r="AC82" s="17">
        <f t="shared" si="299"/>
        <v>237472.40517599275</v>
      </c>
      <c r="AD82" s="17">
        <f t="shared" si="299"/>
        <v>311563.46166926884</v>
      </c>
      <c r="AE82" s="17">
        <f t="shared" si="299"/>
        <v>433699.8479631099</v>
      </c>
      <c r="AF82" s="17">
        <f t="shared" si="299"/>
        <v>498146.16867636028</v>
      </c>
      <c r="AG82" s="17">
        <f t="shared" si="299"/>
        <v>632459.38582012407</v>
      </c>
      <c r="AH82" s="17">
        <f t="shared" si="299"/>
        <v>771782.07454367937</v>
      </c>
      <c r="AI82" s="17">
        <f t="shared" si="299"/>
        <v>914267.58261074638</v>
      </c>
      <c r="AJ82" s="17">
        <f t="shared" ref="AJ82:CA82" si="300">AJ76+AJ81</f>
        <v>1058589.2578078804</v>
      </c>
      <c r="AK82" s="17">
        <f t="shared" si="300"/>
        <v>1210017.9538901218</v>
      </c>
      <c r="AL82" s="17">
        <f t="shared" si="300"/>
        <v>1366541.619374169</v>
      </c>
      <c r="AM82" s="17">
        <f t="shared" si="300"/>
        <v>1522589.184489547</v>
      </c>
      <c r="AN82" s="17">
        <f t="shared" si="300"/>
        <v>1680607.596171218</v>
      </c>
      <c r="AO82" s="17">
        <f t="shared" si="300"/>
        <v>1849338.5759564887</v>
      </c>
      <c r="AP82" s="17">
        <f t="shared" si="300"/>
        <v>2032069.5614211734</v>
      </c>
      <c r="AQ82" s="17">
        <f t="shared" si="300"/>
        <v>2241487.5120309228</v>
      </c>
      <c r="AR82" s="17">
        <f t="shared" si="300"/>
        <v>942032.71150066843</v>
      </c>
      <c r="AS82" s="17">
        <f t="shared" si="300"/>
        <v>1170183.3780053703</v>
      </c>
      <c r="AT82" s="17">
        <f t="shared" si="300"/>
        <v>1402861.7263960836</v>
      </c>
      <c r="AU82" s="17">
        <f t="shared" si="300"/>
        <v>1637016.7213667661</v>
      </c>
      <c r="AV82" s="17">
        <f t="shared" si="300"/>
        <v>1872990.754152409</v>
      </c>
      <c r="AW82" s="17">
        <f t="shared" si="300"/>
        <v>2112001.329746977</v>
      </c>
      <c r="AX82" s="17">
        <f t="shared" si="300"/>
        <v>2363440.9152487456</v>
      </c>
      <c r="AY82" s="17">
        <f t="shared" si="300"/>
        <v>2615702.7740226057</v>
      </c>
      <c r="AZ82" s="17">
        <f t="shared" si="300"/>
        <v>2833044.3040226055</v>
      </c>
      <c r="BA82" s="17">
        <f t="shared" si="300"/>
        <v>3033015.6640226054</v>
      </c>
      <c r="BB82" s="17">
        <f t="shared" si="300"/>
        <v>3226575.2740226053</v>
      </c>
      <c r="BC82" s="17">
        <f t="shared" si="300"/>
        <v>3427717.2540226053</v>
      </c>
      <c r="BD82" s="17">
        <f t="shared" si="300"/>
        <v>924393.34816353209</v>
      </c>
      <c r="BE82" s="17">
        <f t="shared" si="300"/>
        <v>1118804.1694429526</v>
      </c>
      <c r="BF82" s="17">
        <f t="shared" si="300"/>
        <v>1328146.1738930915</v>
      </c>
      <c r="BG82" s="17">
        <f t="shared" si="300"/>
        <v>1539583.8255726609</v>
      </c>
      <c r="BH82" s="17">
        <f t="shared" si="300"/>
        <v>1753849.6602656438</v>
      </c>
      <c r="BI82" s="17">
        <f t="shared" si="300"/>
        <v>1980759.5848288084</v>
      </c>
      <c r="BJ82" s="17">
        <f t="shared" si="300"/>
        <v>2202901.2528730333</v>
      </c>
      <c r="BK82" s="17">
        <f t="shared" si="300"/>
        <v>2416073.6788976798</v>
      </c>
      <c r="BL82" s="17">
        <f t="shared" ref="BL82:BX82" si="301">BL76+BL81</f>
        <v>2626071.4988976796</v>
      </c>
      <c r="BM82" s="17">
        <f t="shared" si="301"/>
        <v>2828341.8388976795</v>
      </c>
      <c r="BN82" s="17">
        <f t="shared" si="301"/>
        <v>3012661.0388976797</v>
      </c>
      <c r="BO82" s="17">
        <f t="shared" si="301"/>
        <v>3191205.3388976795</v>
      </c>
      <c r="BP82" s="17">
        <f t="shared" si="301"/>
        <v>942515.85287303291</v>
      </c>
      <c r="BQ82" s="17">
        <f t="shared" si="301"/>
        <v>1103480.0128730328</v>
      </c>
      <c r="BR82" s="17">
        <f t="shared" si="301"/>
        <v>1269896.1328730327</v>
      </c>
      <c r="BS82" s="17">
        <f t="shared" si="301"/>
        <v>1434697.9528730328</v>
      </c>
      <c r="BT82" s="17">
        <f t="shared" si="301"/>
        <v>1597338.1728730327</v>
      </c>
      <c r="BU82" s="17">
        <f t="shared" si="301"/>
        <v>1762916.6728730327</v>
      </c>
      <c r="BV82" s="17">
        <f t="shared" si="301"/>
        <v>1915466.1828730328</v>
      </c>
      <c r="BW82" s="17">
        <f t="shared" si="301"/>
        <v>2056030.6628730327</v>
      </c>
      <c r="BX82" s="17">
        <f t="shared" si="301"/>
        <v>2191341.1928730328</v>
      </c>
      <c r="BY82" s="17">
        <f t="shared" si="300"/>
        <v>2286616.5528730326</v>
      </c>
      <c r="BZ82" s="17">
        <f t="shared" si="300"/>
        <v>2340043.0528730326</v>
      </c>
      <c r="CA82" s="17">
        <f t="shared" si="300"/>
        <v>2383881.0328730326</v>
      </c>
      <c r="CB82" s="17">
        <f t="shared" ref="CB82:CM82" si="302">CB76+CB81</f>
        <v>373449.52999999956</v>
      </c>
      <c r="CC82" s="17">
        <f t="shared" si="302"/>
        <v>424571.57999999955</v>
      </c>
      <c r="CD82" s="17">
        <f t="shared" si="302"/>
        <v>476313.86999999953</v>
      </c>
      <c r="CE82" s="17">
        <f t="shared" si="302"/>
        <v>526994.56999999948</v>
      </c>
      <c r="CF82" s="17">
        <f t="shared" si="302"/>
        <v>579648.79999999946</v>
      </c>
      <c r="CG82" s="17">
        <f t="shared" si="302"/>
        <v>627285.96999999951</v>
      </c>
      <c r="CH82" s="17">
        <f t="shared" si="302"/>
        <v>671233.37999999954</v>
      </c>
      <c r="CI82" s="17">
        <f t="shared" si="302"/>
        <v>718615.3399999995</v>
      </c>
      <c r="CJ82" s="17">
        <f t="shared" si="302"/>
        <v>718615.3399999995</v>
      </c>
      <c r="CK82" s="17">
        <f t="shared" si="302"/>
        <v>718615.3399999995</v>
      </c>
      <c r="CL82" s="17">
        <f t="shared" si="302"/>
        <v>718615.3399999995</v>
      </c>
      <c r="CM82" s="17">
        <f t="shared" si="302"/>
        <v>718615.3399999995</v>
      </c>
    </row>
    <row r="83" spans="1:91" x14ac:dyDescent="0.2"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8"/>
      <c r="CL83" s="8"/>
      <c r="CM83" s="8"/>
    </row>
    <row r="84" spans="1:91" x14ac:dyDescent="0.2">
      <c r="A84" s="94" t="s">
        <v>404</v>
      </c>
      <c r="B84" s="8"/>
      <c r="C84" s="160">
        <v>18238172</v>
      </c>
      <c r="F84" s="8"/>
      <c r="CI84" s="8"/>
      <c r="CL84" s="8"/>
      <c r="CM84" s="8"/>
    </row>
    <row r="85" spans="1:91" x14ac:dyDescent="0.2">
      <c r="A85" s="8"/>
      <c r="B85" s="8" t="s">
        <v>195</v>
      </c>
      <c r="C85" s="160">
        <v>25400372</v>
      </c>
      <c r="D85" s="17">
        <v>0</v>
      </c>
      <c r="E85" s="17">
        <f>D94</f>
        <v>0</v>
      </c>
      <c r="F85" s="17">
        <f t="shared" ref="F85:BK85" si="303">E94</f>
        <v>0</v>
      </c>
      <c r="G85" s="17">
        <f t="shared" si="303"/>
        <v>0</v>
      </c>
      <c r="H85" s="17">
        <f t="shared" si="303"/>
        <v>0</v>
      </c>
      <c r="I85" s="17">
        <f t="shared" si="303"/>
        <v>0</v>
      </c>
      <c r="J85" s="17">
        <f t="shared" si="303"/>
        <v>0</v>
      </c>
      <c r="K85" s="17">
        <f t="shared" si="303"/>
        <v>-270.10967773232255</v>
      </c>
      <c r="L85" s="17">
        <f t="shared" si="303"/>
        <v>327.04860334476678</v>
      </c>
      <c r="M85" s="17">
        <f t="shared" si="303"/>
        <v>1882.1191714858055</v>
      </c>
      <c r="N85" s="17">
        <f t="shared" si="303"/>
        <v>3117.5893028391642</v>
      </c>
      <c r="O85" s="17">
        <f t="shared" si="303"/>
        <v>5161.8848860398157</v>
      </c>
      <c r="P85" s="17">
        <f t="shared" si="303"/>
        <v>7046.372089051054</v>
      </c>
      <c r="Q85" s="17">
        <f t="shared" si="303"/>
        <v>8229.4100220748278</v>
      </c>
      <c r="R85" s="17">
        <f t="shared" si="303"/>
        <v>10755.033226991631</v>
      </c>
      <c r="S85" s="17">
        <f t="shared" si="303"/>
        <v>13471.403944859627</v>
      </c>
      <c r="T85" s="17">
        <f t="shared" si="303"/>
        <v>18548.239692399799</v>
      </c>
      <c r="U85" s="17">
        <f t="shared" si="303"/>
        <v>18687.210372275898</v>
      </c>
      <c r="V85" s="17">
        <f t="shared" si="303"/>
        <v>25777.617903588631</v>
      </c>
      <c r="W85" s="17">
        <f t="shared" si="303"/>
        <v>34115.596299970151</v>
      </c>
      <c r="X85" s="17">
        <f t="shared" si="303"/>
        <v>42840.683435715597</v>
      </c>
      <c r="Y85" s="17">
        <f t="shared" si="303"/>
        <v>52068.589631070005</v>
      </c>
      <c r="Z85" s="17">
        <f t="shared" si="303"/>
        <v>63485.089718499439</v>
      </c>
      <c r="AA85" s="17">
        <f t="shared" si="303"/>
        <v>76025.325114054998</v>
      </c>
      <c r="AB85" s="17">
        <f t="shared" si="303"/>
        <v>89782.592969624471</v>
      </c>
      <c r="AC85" s="17">
        <f t="shared" si="303"/>
        <v>107343.63350678906</v>
      </c>
      <c r="AD85" s="17">
        <f t="shared" si="303"/>
        <v>130682.25561587827</v>
      </c>
      <c r="AE85" s="17">
        <f t="shared" si="303"/>
        <v>162427.08807870338</v>
      </c>
      <c r="AF85" s="17">
        <f t="shared" si="303"/>
        <v>195196.97953834551</v>
      </c>
      <c r="AG85" s="17">
        <f t="shared" si="303"/>
        <v>137941.38841329963</v>
      </c>
      <c r="AH85" s="17">
        <f t="shared" si="303"/>
        <v>172434.09192539824</v>
      </c>
      <c r="AI85" s="17">
        <f t="shared" si="303"/>
        <v>208300.74362740517</v>
      </c>
      <c r="AJ85" s="17">
        <f t="shared" si="303"/>
        <v>244914.02408470132</v>
      </c>
      <c r="AK85" s="17">
        <f t="shared" si="303"/>
        <v>281732.09052625787</v>
      </c>
      <c r="AL85" s="17">
        <f t="shared" si="303"/>
        <v>319966.10435787117</v>
      </c>
      <c r="AM85" s="17">
        <f t="shared" si="303"/>
        <v>359822.84293201257</v>
      </c>
      <c r="AN85" s="17">
        <f t="shared" si="303"/>
        <v>398148.00167372357</v>
      </c>
      <c r="AO85" s="17">
        <f t="shared" si="303"/>
        <v>435872.59589041525</v>
      </c>
      <c r="AP85" s="17">
        <f t="shared" si="303"/>
        <v>477679.81868736161</v>
      </c>
      <c r="AQ85" s="17">
        <f t="shared" si="303"/>
        <v>522678.10112495796</v>
      </c>
      <c r="AR85" s="17">
        <f t="shared" si="303"/>
        <v>573322.18187466625</v>
      </c>
      <c r="AS85" s="17">
        <f t="shared" si="303"/>
        <v>229487.91145484365</v>
      </c>
      <c r="AT85" s="17">
        <f t="shared" si="303"/>
        <v>284920.26712288079</v>
      </c>
      <c r="AU85" s="17">
        <f t="shared" si="303"/>
        <v>340552.94823184458</v>
      </c>
      <c r="AV85" s="17">
        <f t="shared" si="303"/>
        <v>396145.58127010381</v>
      </c>
      <c r="AW85" s="17">
        <f t="shared" si="303"/>
        <v>451352.72665602679</v>
      </c>
      <c r="AX85" s="17">
        <f t="shared" si="303"/>
        <v>506729.46228479699</v>
      </c>
      <c r="AY85" s="17">
        <f t="shared" si="303"/>
        <v>565684.96128817205</v>
      </c>
      <c r="AZ85" s="17">
        <f t="shared" si="303"/>
        <v>625875.652694811</v>
      </c>
      <c r="BA85" s="17">
        <f t="shared" si="303"/>
        <v>676129.26269481098</v>
      </c>
      <c r="BB85" s="17">
        <f t="shared" si="303"/>
        <v>720930.66269481101</v>
      </c>
      <c r="BC85" s="17">
        <f t="shared" si="303"/>
        <v>762954.12269481097</v>
      </c>
      <c r="BD85" s="17">
        <f t="shared" si="303"/>
        <v>805015.36269481096</v>
      </c>
      <c r="BE85" s="17">
        <f t="shared" si="303"/>
        <v>188394.47120506864</v>
      </c>
      <c r="BF85" s="17">
        <f t="shared" si="303"/>
        <v>225323.46047692004</v>
      </c>
      <c r="BG85" s="17">
        <f t="shared" si="303"/>
        <v>263631.42993801989</v>
      </c>
      <c r="BH85" s="17">
        <f t="shared" si="303"/>
        <v>301027.82941367652</v>
      </c>
      <c r="BI85" s="17">
        <f t="shared" si="303"/>
        <v>337822.64890651277</v>
      </c>
      <c r="BJ85" s="17">
        <f t="shared" si="303"/>
        <v>375558.09489070415</v>
      </c>
      <c r="BK85" s="17">
        <f t="shared" si="303"/>
        <v>411401.77932846494</v>
      </c>
      <c r="BL85" s="17">
        <f t="shared" ref="BL85" si="304">BK94</f>
        <v>445446.65701039624</v>
      </c>
      <c r="BM85" s="17">
        <f t="shared" ref="BM85" si="305">BL94</f>
        <v>0.80701039626728743</v>
      </c>
      <c r="BN85" s="17">
        <f t="shared" ref="BN85" si="306">BM94</f>
        <v>0.80701039626728743</v>
      </c>
      <c r="BO85" s="17">
        <f t="shared" ref="BO85" si="307">BN94</f>
        <v>0.80701039626728743</v>
      </c>
      <c r="BP85" s="17">
        <f t="shared" ref="BP85" si="308">BO94</f>
        <v>0.80701039626728743</v>
      </c>
      <c r="BQ85" s="17">
        <f t="shared" ref="BQ85" si="309">BP94</f>
        <v>0.80701039626728743</v>
      </c>
      <c r="BR85" s="17">
        <f t="shared" ref="BR85" si="310">BQ94</f>
        <v>0.80701039626728743</v>
      </c>
      <c r="BS85" s="17">
        <f t="shared" ref="BS85" si="311">BR94</f>
        <v>0.80701039626728743</v>
      </c>
      <c r="BT85" s="17">
        <f t="shared" ref="BT85" si="312">BS94</f>
        <v>0.80701039626728743</v>
      </c>
      <c r="BU85" s="17">
        <f t="shared" ref="BU85" si="313">BT94</f>
        <v>0.80701039626728743</v>
      </c>
      <c r="BV85" s="17">
        <f t="shared" ref="BV85" si="314">BU94</f>
        <v>0.80701039626728743</v>
      </c>
      <c r="BW85" s="17">
        <f t="shared" ref="BW85" si="315">BV94</f>
        <v>0.80701039626728743</v>
      </c>
      <c r="BX85" s="17">
        <f t="shared" ref="BX85" si="316">BW94</f>
        <v>-2.9896037327126201E-3</v>
      </c>
      <c r="BY85" s="17">
        <f t="shared" ref="BY85" si="317">BX94</f>
        <v>-2.9896037327126201E-3</v>
      </c>
      <c r="BZ85" s="17">
        <f t="shared" ref="BZ85" si="318">BY94</f>
        <v>-2.9896037327126201E-3</v>
      </c>
      <c r="CA85" s="17">
        <f t="shared" ref="CA85" si="319">BZ94</f>
        <v>-2.9896037327126201E-3</v>
      </c>
      <c r="CB85" s="17">
        <f t="shared" ref="CB85" si="320">CA94</f>
        <v>-2.9896037327126201E-3</v>
      </c>
      <c r="CC85" s="17">
        <f t="shared" ref="CC85" si="321">CB94</f>
        <v>-2.9896037327126201E-3</v>
      </c>
      <c r="CD85" s="17">
        <f t="shared" ref="CD85" si="322">CC94</f>
        <v>-2.9896037327126201E-3</v>
      </c>
      <c r="CE85" s="17">
        <f t="shared" ref="CE85" si="323">CD94</f>
        <v>-2.9896037327126201E-3</v>
      </c>
      <c r="CF85" s="17">
        <f t="shared" ref="CF85" si="324">CE94</f>
        <v>-2.9896037327126201E-3</v>
      </c>
      <c r="CG85" s="17">
        <f t="shared" ref="CG85" si="325">CF94</f>
        <v>-2.9896037327126201E-3</v>
      </c>
      <c r="CH85" s="17">
        <f t="shared" ref="CH85" si="326">CG94</f>
        <v>-2.9896037327126201E-3</v>
      </c>
      <c r="CI85" s="17">
        <f t="shared" ref="CI85" si="327">CH94</f>
        <v>-2.9896037327126201E-3</v>
      </c>
      <c r="CJ85" s="17">
        <f t="shared" ref="CJ85" si="328">CI94</f>
        <v>-2.9896037327126201E-3</v>
      </c>
      <c r="CK85" s="17">
        <f t="shared" ref="CK85" si="329">CJ94</f>
        <v>-2.9896037327126201E-3</v>
      </c>
      <c r="CL85" s="17">
        <f t="shared" ref="CL85" si="330">CK94</f>
        <v>-2.9896037327126201E-3</v>
      </c>
      <c r="CM85" s="17">
        <f t="shared" ref="CM85" si="331">CL94</f>
        <v>-2.9896037327126201E-3</v>
      </c>
    </row>
    <row r="86" spans="1:91" x14ac:dyDescent="0.2">
      <c r="A86" s="228"/>
      <c r="B86" s="227" t="s">
        <v>196</v>
      </c>
      <c r="C86" s="227"/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-6025.3527733475603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  <c r="AC86" s="23">
        <v>0</v>
      </c>
      <c r="AD86" s="23">
        <v>0</v>
      </c>
      <c r="AE86" s="23">
        <v>0</v>
      </c>
      <c r="AF86" s="23">
        <v>-90857.603640329005</v>
      </c>
      <c r="AG86" s="23">
        <v>0</v>
      </c>
      <c r="AH86" s="23">
        <v>0</v>
      </c>
      <c r="AI86" s="23">
        <v>0</v>
      </c>
      <c r="AJ86" s="23">
        <v>0</v>
      </c>
      <c r="AK86" s="23">
        <v>0</v>
      </c>
      <c r="AL86" s="23">
        <v>0</v>
      </c>
      <c r="AM86" s="23">
        <v>0</v>
      </c>
      <c r="AN86" s="23">
        <v>0</v>
      </c>
      <c r="AO86" s="23">
        <v>0</v>
      </c>
      <c r="AP86" s="23">
        <v>0</v>
      </c>
      <c r="AQ86" s="23">
        <v>0</v>
      </c>
      <c r="AR86" s="23">
        <v>-398148.00235801999</v>
      </c>
      <c r="AS86" s="23">
        <v>0</v>
      </c>
      <c r="AT86" s="23">
        <v>0</v>
      </c>
      <c r="AU86" s="23">
        <v>0</v>
      </c>
      <c r="AV86" s="23">
        <v>0</v>
      </c>
      <c r="AW86" s="23">
        <v>0</v>
      </c>
      <c r="AX86" s="23">
        <v>0</v>
      </c>
      <c r="AY86" s="23">
        <v>0</v>
      </c>
      <c r="AZ86" s="23">
        <v>0</v>
      </c>
      <c r="BA86" s="23">
        <v>0</v>
      </c>
      <c r="BB86" s="23">
        <v>0</v>
      </c>
      <c r="BC86" s="23">
        <v>0</v>
      </c>
      <c r="BD86" s="23">
        <v>-625875.65</v>
      </c>
      <c r="BE86" s="23">
        <v>0</v>
      </c>
      <c r="BF86" s="23">
        <v>0</v>
      </c>
      <c r="BG86" s="23">
        <v>0</v>
      </c>
      <c r="BH86" s="23">
        <v>0</v>
      </c>
      <c r="BI86" s="23">
        <v>0</v>
      </c>
      <c r="BJ86" s="23">
        <v>0</v>
      </c>
      <c r="BK86" s="23">
        <v>0</v>
      </c>
      <c r="BL86" s="23">
        <v>0</v>
      </c>
      <c r="BM86" s="23">
        <v>0</v>
      </c>
      <c r="BN86" s="23">
        <v>0</v>
      </c>
      <c r="BO86" s="23">
        <v>0</v>
      </c>
      <c r="BP86" s="23">
        <v>0</v>
      </c>
      <c r="BQ86" s="23">
        <v>0</v>
      </c>
      <c r="BR86" s="23">
        <v>0</v>
      </c>
      <c r="BS86" s="23">
        <v>0</v>
      </c>
      <c r="BT86" s="23">
        <v>0</v>
      </c>
      <c r="BU86" s="23">
        <v>0</v>
      </c>
      <c r="BV86" s="23">
        <v>0</v>
      </c>
      <c r="BW86" s="23">
        <v>0</v>
      </c>
      <c r="BX86" s="23">
        <v>0</v>
      </c>
      <c r="BY86" s="23">
        <v>0</v>
      </c>
      <c r="BZ86" s="23">
        <v>0</v>
      </c>
      <c r="CA86" s="23">
        <v>0</v>
      </c>
      <c r="CB86" s="23">
        <v>0</v>
      </c>
      <c r="CC86" s="23">
        <v>0</v>
      </c>
      <c r="CD86" s="23">
        <v>0</v>
      </c>
      <c r="CE86" s="23">
        <v>0</v>
      </c>
      <c r="CF86" s="23">
        <v>0</v>
      </c>
      <c r="CG86" s="23">
        <v>0</v>
      </c>
      <c r="CH86" s="23">
        <v>0</v>
      </c>
      <c r="CI86" s="23">
        <v>0</v>
      </c>
      <c r="CJ86" s="23"/>
      <c r="CK86" s="23"/>
      <c r="CL86" s="23"/>
      <c r="CM86" s="23"/>
    </row>
    <row r="87" spans="1:91" x14ac:dyDescent="0.2">
      <c r="A87" s="228"/>
      <c r="B87" s="229" t="s">
        <v>402</v>
      </c>
      <c r="C87" s="227"/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2398.0286251418875</v>
      </c>
      <c r="AE87" s="23">
        <v>26.825181963260547</v>
      </c>
      <c r="AF87" s="23">
        <v>2.4037712059216574</v>
      </c>
      <c r="AG87" s="23">
        <v>0.52551718213362619</v>
      </c>
      <c r="AH87" s="23">
        <v>0.22795396090077702</v>
      </c>
      <c r="AI87" s="23">
        <v>0</v>
      </c>
      <c r="AJ87" s="23">
        <v>0</v>
      </c>
      <c r="AK87" s="23">
        <v>0</v>
      </c>
      <c r="AL87" s="23">
        <v>0</v>
      </c>
      <c r="AM87" s="23">
        <v>0</v>
      </c>
      <c r="AN87" s="23">
        <v>0</v>
      </c>
      <c r="AO87" s="23">
        <v>0</v>
      </c>
      <c r="AP87" s="23">
        <v>0</v>
      </c>
      <c r="AQ87" s="23">
        <v>0</v>
      </c>
      <c r="AR87" s="23">
        <v>0</v>
      </c>
      <c r="AS87" s="23">
        <v>0</v>
      </c>
      <c r="AT87" s="23">
        <v>0</v>
      </c>
      <c r="AU87" s="23">
        <v>0</v>
      </c>
      <c r="AV87" s="23">
        <v>0</v>
      </c>
      <c r="AW87" s="23">
        <v>0</v>
      </c>
      <c r="AX87" s="23">
        <v>0</v>
      </c>
      <c r="AY87" s="23">
        <v>0</v>
      </c>
      <c r="AZ87" s="23">
        <v>0</v>
      </c>
      <c r="BA87" s="23">
        <v>0</v>
      </c>
      <c r="BB87" s="23">
        <v>0</v>
      </c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  <c r="BI87" s="23">
        <v>0</v>
      </c>
      <c r="BJ87" s="23">
        <v>0</v>
      </c>
      <c r="BK87" s="23">
        <v>0</v>
      </c>
      <c r="BL87" s="23">
        <v>0</v>
      </c>
      <c r="BM87" s="23">
        <v>0</v>
      </c>
      <c r="BN87" s="23">
        <v>0</v>
      </c>
      <c r="BO87" s="23">
        <v>0</v>
      </c>
      <c r="BP87" s="23">
        <v>0</v>
      </c>
      <c r="BQ87" s="23">
        <v>0</v>
      </c>
      <c r="BR87" s="23">
        <v>0</v>
      </c>
      <c r="BS87" s="23">
        <v>0</v>
      </c>
      <c r="BT87" s="23">
        <v>0</v>
      </c>
      <c r="BU87" s="23">
        <v>0</v>
      </c>
      <c r="BV87" s="23">
        <v>0</v>
      </c>
      <c r="BW87" s="23">
        <v>0</v>
      </c>
      <c r="BX87" s="23">
        <v>0</v>
      </c>
      <c r="BY87" s="23">
        <v>0</v>
      </c>
      <c r="BZ87" s="23">
        <v>0</v>
      </c>
      <c r="CA87" s="23">
        <v>0</v>
      </c>
      <c r="CB87" s="23">
        <v>0</v>
      </c>
      <c r="CC87" s="23">
        <v>0</v>
      </c>
      <c r="CD87" s="23">
        <v>0</v>
      </c>
      <c r="CE87" s="23">
        <v>0</v>
      </c>
      <c r="CF87" s="23">
        <v>0</v>
      </c>
      <c r="CG87" s="23">
        <v>0</v>
      </c>
      <c r="CH87" s="23">
        <v>0</v>
      </c>
      <c r="CI87" s="23">
        <v>0</v>
      </c>
      <c r="CJ87" s="23"/>
      <c r="CK87" s="23"/>
      <c r="CL87" s="23"/>
      <c r="CM87" s="23"/>
    </row>
    <row r="88" spans="1:91" x14ac:dyDescent="0.2">
      <c r="A88" s="228"/>
      <c r="B88" s="227" t="s">
        <v>211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  <c r="AD88" s="23">
        <v>0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23">
        <v>0</v>
      </c>
      <c r="AL88" s="23">
        <v>0</v>
      </c>
      <c r="AM88" s="23">
        <v>0</v>
      </c>
      <c r="AN88" s="23">
        <v>0</v>
      </c>
      <c r="AO88" s="23">
        <v>0</v>
      </c>
      <c r="AP88" s="23">
        <v>0</v>
      </c>
      <c r="AQ88" s="23">
        <v>0</v>
      </c>
      <c r="AR88" s="23">
        <v>0</v>
      </c>
      <c r="AS88" s="23">
        <v>0</v>
      </c>
      <c r="AT88" s="23">
        <v>0</v>
      </c>
      <c r="AU88" s="23">
        <v>0</v>
      </c>
      <c r="AV88" s="23">
        <v>0</v>
      </c>
      <c r="AW88" s="23">
        <v>0</v>
      </c>
      <c r="AX88" s="23">
        <v>0</v>
      </c>
      <c r="AY88" s="23">
        <v>0</v>
      </c>
      <c r="AZ88" s="23">
        <v>0</v>
      </c>
      <c r="BA88" s="23">
        <v>0</v>
      </c>
      <c r="BB88" s="23">
        <v>0</v>
      </c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  <c r="BI88" s="23">
        <v>0</v>
      </c>
      <c r="BJ88" s="23">
        <v>0</v>
      </c>
      <c r="BK88" s="23">
        <v>0</v>
      </c>
      <c r="BL88" s="23">
        <v>-445445.85</v>
      </c>
      <c r="BM88" s="23">
        <v>0</v>
      </c>
      <c r="BN88" s="23">
        <v>0</v>
      </c>
      <c r="BO88" s="23">
        <v>0</v>
      </c>
      <c r="BP88" s="23">
        <v>0</v>
      </c>
      <c r="BQ88" s="23">
        <v>0</v>
      </c>
      <c r="BR88" s="23">
        <v>0</v>
      </c>
      <c r="BS88" s="23">
        <v>0</v>
      </c>
      <c r="BT88" s="23">
        <v>0</v>
      </c>
      <c r="BU88" s="23">
        <v>0</v>
      </c>
      <c r="BV88" s="23">
        <v>0</v>
      </c>
      <c r="BW88" s="23">
        <v>0</v>
      </c>
      <c r="BX88" s="23">
        <v>0</v>
      </c>
      <c r="BY88" s="23">
        <v>0</v>
      </c>
      <c r="BZ88" s="23">
        <v>0</v>
      </c>
      <c r="CA88" s="23">
        <v>0</v>
      </c>
      <c r="CB88" s="23">
        <v>0</v>
      </c>
      <c r="CC88" s="23">
        <v>0</v>
      </c>
      <c r="CD88" s="23">
        <v>0</v>
      </c>
      <c r="CE88" s="23">
        <v>0</v>
      </c>
      <c r="CF88" s="23">
        <v>0</v>
      </c>
      <c r="CG88" s="23">
        <v>0</v>
      </c>
      <c r="CH88" s="23">
        <v>0</v>
      </c>
      <c r="CI88" s="23">
        <v>0</v>
      </c>
      <c r="CJ88" s="23"/>
      <c r="CK88" s="23"/>
      <c r="CL88" s="23"/>
      <c r="CM88" s="23"/>
    </row>
    <row r="89" spans="1:91" x14ac:dyDescent="0.2">
      <c r="A89" s="228"/>
      <c r="B89" s="229" t="s">
        <v>405</v>
      </c>
      <c r="C89" s="227"/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3">
        <v>0</v>
      </c>
      <c r="AR89" s="23">
        <v>0</v>
      </c>
      <c r="AS89" s="23">
        <v>0</v>
      </c>
      <c r="AT89" s="23">
        <v>0</v>
      </c>
      <c r="AU89" s="23">
        <v>0</v>
      </c>
      <c r="AV89" s="23">
        <v>0</v>
      </c>
      <c r="AW89" s="23">
        <v>0</v>
      </c>
      <c r="AX89" s="23">
        <v>0</v>
      </c>
      <c r="AY89" s="23">
        <v>0</v>
      </c>
      <c r="AZ89" s="23">
        <v>0</v>
      </c>
      <c r="BA89" s="23">
        <v>0</v>
      </c>
      <c r="BB89" s="23">
        <v>0</v>
      </c>
      <c r="BC89" s="23">
        <v>0</v>
      </c>
      <c r="BD89" s="23">
        <v>-30103.53</v>
      </c>
      <c r="BE89" s="23">
        <v>0</v>
      </c>
      <c r="BF89" s="23">
        <v>0</v>
      </c>
      <c r="BG89" s="23">
        <v>0</v>
      </c>
      <c r="BH89" s="23">
        <v>0</v>
      </c>
      <c r="BI89" s="23">
        <v>0</v>
      </c>
      <c r="BJ89" s="23">
        <v>0</v>
      </c>
      <c r="BK89" s="23">
        <v>0</v>
      </c>
      <c r="BL89" s="23">
        <v>0</v>
      </c>
      <c r="BM89" s="23">
        <v>0</v>
      </c>
      <c r="BN89" s="23">
        <v>0</v>
      </c>
      <c r="BO89" s="23">
        <v>0</v>
      </c>
      <c r="BP89" s="23">
        <v>0</v>
      </c>
      <c r="BQ89" s="23">
        <v>0</v>
      </c>
      <c r="BR89" s="23">
        <v>0</v>
      </c>
      <c r="BS89" s="23">
        <v>0</v>
      </c>
      <c r="BT89" s="23">
        <v>0</v>
      </c>
      <c r="BU89" s="23">
        <v>0</v>
      </c>
      <c r="BV89" s="23">
        <v>0</v>
      </c>
      <c r="BW89" s="23">
        <v>0</v>
      </c>
      <c r="BX89" s="23">
        <v>0</v>
      </c>
      <c r="BY89" s="23">
        <v>0</v>
      </c>
      <c r="BZ89" s="23">
        <v>0</v>
      </c>
      <c r="CA89" s="23">
        <v>0</v>
      </c>
      <c r="CB89" s="23">
        <v>0</v>
      </c>
      <c r="CC89" s="23">
        <v>0</v>
      </c>
      <c r="CD89" s="23">
        <v>0</v>
      </c>
      <c r="CE89" s="23">
        <v>0</v>
      </c>
      <c r="CF89" s="23">
        <v>0</v>
      </c>
      <c r="CG89" s="23">
        <v>0</v>
      </c>
      <c r="CH89" s="23">
        <v>0</v>
      </c>
      <c r="CI89" s="23">
        <v>0</v>
      </c>
      <c r="CJ89" s="23"/>
      <c r="CK89" s="23"/>
      <c r="CL89" s="23"/>
      <c r="CM89" s="23"/>
    </row>
    <row r="90" spans="1:91" x14ac:dyDescent="0.2">
      <c r="A90" s="228"/>
      <c r="B90" s="229" t="s">
        <v>410</v>
      </c>
      <c r="C90" s="227"/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0</v>
      </c>
      <c r="AD90" s="23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3">
        <v>0</v>
      </c>
      <c r="AK90" s="23">
        <v>0</v>
      </c>
      <c r="AL90" s="23">
        <v>0</v>
      </c>
      <c r="AM90" s="23">
        <v>0</v>
      </c>
      <c r="AN90" s="23">
        <v>0</v>
      </c>
      <c r="AO90" s="23">
        <v>0</v>
      </c>
      <c r="AP90" s="23">
        <v>0</v>
      </c>
      <c r="AQ90" s="23">
        <v>0</v>
      </c>
      <c r="AR90" s="23">
        <v>0</v>
      </c>
      <c r="AS90" s="23">
        <v>0</v>
      </c>
      <c r="AT90" s="23">
        <v>0</v>
      </c>
      <c r="AU90" s="23">
        <v>0</v>
      </c>
      <c r="AV90" s="23">
        <v>0</v>
      </c>
      <c r="AW90" s="23">
        <v>0</v>
      </c>
      <c r="AX90" s="23">
        <v>0</v>
      </c>
      <c r="AY90" s="23">
        <v>0</v>
      </c>
      <c r="AZ90" s="23">
        <v>0</v>
      </c>
      <c r="BA90" s="23">
        <v>0</v>
      </c>
      <c r="BB90" s="23">
        <v>0</v>
      </c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  <c r="BI90" s="23">
        <v>0</v>
      </c>
      <c r="BJ90" s="23">
        <v>0</v>
      </c>
      <c r="BK90" s="23">
        <v>0</v>
      </c>
      <c r="BL90" s="23">
        <v>0</v>
      </c>
      <c r="BM90" s="23">
        <v>0</v>
      </c>
      <c r="BN90" s="23">
        <v>0</v>
      </c>
      <c r="BO90" s="23">
        <v>0</v>
      </c>
      <c r="BP90" s="23">
        <v>0</v>
      </c>
      <c r="BQ90" s="23">
        <v>0</v>
      </c>
      <c r="BR90" s="23">
        <v>0</v>
      </c>
      <c r="BS90" s="23">
        <v>0</v>
      </c>
      <c r="BT90" s="23">
        <v>0</v>
      </c>
      <c r="BU90" s="23">
        <v>0</v>
      </c>
      <c r="BV90" s="23">
        <v>0</v>
      </c>
      <c r="BW90" s="23">
        <v>-0.81</v>
      </c>
      <c r="BX90" s="23">
        <v>0</v>
      </c>
      <c r="BY90" s="23">
        <v>0</v>
      </c>
      <c r="BZ90" s="23">
        <v>0</v>
      </c>
      <c r="CA90" s="23">
        <v>0</v>
      </c>
      <c r="CB90" s="23">
        <v>0</v>
      </c>
      <c r="CC90" s="23">
        <v>0</v>
      </c>
      <c r="CD90" s="23">
        <v>0</v>
      </c>
      <c r="CE90" s="23">
        <v>0</v>
      </c>
      <c r="CF90" s="23">
        <v>0</v>
      </c>
      <c r="CG90" s="23">
        <v>0</v>
      </c>
      <c r="CH90" s="23">
        <v>0</v>
      </c>
      <c r="CI90" s="23">
        <v>0</v>
      </c>
      <c r="CJ90" s="23"/>
      <c r="CK90" s="23"/>
      <c r="CL90" s="23"/>
      <c r="CM90" s="23"/>
    </row>
    <row r="91" spans="1:91" x14ac:dyDescent="0.2">
      <c r="A91" s="228"/>
      <c r="B91" s="227" t="s">
        <v>406</v>
      </c>
      <c r="C91" s="227"/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-1021.02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  <c r="AD91" s="23">
        <v>0</v>
      </c>
      <c r="AE91" s="23">
        <v>0</v>
      </c>
      <c r="AF91" s="23">
        <v>0</v>
      </c>
      <c r="AG91" s="23">
        <v>0</v>
      </c>
      <c r="AH91" s="23">
        <v>0</v>
      </c>
      <c r="AI91" s="23">
        <v>0</v>
      </c>
      <c r="AJ91" s="23">
        <v>0</v>
      </c>
      <c r="AK91" s="23">
        <v>0</v>
      </c>
      <c r="AL91" s="23">
        <v>0</v>
      </c>
      <c r="AM91" s="23">
        <v>0</v>
      </c>
      <c r="AN91" s="23">
        <v>0</v>
      </c>
      <c r="AO91" s="23">
        <v>0</v>
      </c>
      <c r="AP91" s="23">
        <v>0</v>
      </c>
      <c r="AQ91" s="23">
        <v>0</v>
      </c>
      <c r="AR91" s="23">
        <v>0</v>
      </c>
      <c r="AS91" s="23">
        <v>0</v>
      </c>
      <c r="AT91" s="23">
        <v>0</v>
      </c>
      <c r="AU91" s="23">
        <v>0</v>
      </c>
      <c r="AV91" s="23">
        <v>0</v>
      </c>
      <c r="AW91" s="23">
        <v>0</v>
      </c>
      <c r="AX91" s="23">
        <v>0</v>
      </c>
      <c r="AY91" s="23">
        <v>0</v>
      </c>
      <c r="AZ91" s="23">
        <v>0</v>
      </c>
      <c r="BA91" s="23">
        <v>0</v>
      </c>
      <c r="BB91" s="23">
        <v>0</v>
      </c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  <c r="BI91" s="23">
        <v>0</v>
      </c>
      <c r="BJ91" s="23">
        <v>0</v>
      </c>
      <c r="BK91" s="23">
        <v>0</v>
      </c>
      <c r="BL91" s="23">
        <v>0</v>
      </c>
      <c r="BM91" s="23">
        <v>0</v>
      </c>
      <c r="BN91" s="23">
        <v>0</v>
      </c>
      <c r="BO91" s="23">
        <v>0</v>
      </c>
      <c r="BP91" s="23">
        <v>0</v>
      </c>
      <c r="BQ91" s="23">
        <v>0</v>
      </c>
      <c r="BR91" s="23">
        <v>0</v>
      </c>
      <c r="BS91" s="23">
        <v>0</v>
      </c>
      <c r="BT91" s="23">
        <v>0</v>
      </c>
      <c r="BU91" s="23">
        <v>0</v>
      </c>
      <c r="BV91" s="23">
        <v>0</v>
      </c>
      <c r="BW91" s="23">
        <v>0</v>
      </c>
      <c r="BX91" s="23">
        <v>0</v>
      </c>
      <c r="BY91" s="23">
        <v>0</v>
      </c>
      <c r="BZ91" s="23">
        <v>0</v>
      </c>
      <c r="CA91" s="23">
        <v>0</v>
      </c>
      <c r="CB91" s="23">
        <v>0</v>
      </c>
      <c r="CC91" s="23">
        <v>0</v>
      </c>
      <c r="CD91" s="23">
        <v>0</v>
      </c>
      <c r="CE91" s="23">
        <v>0</v>
      </c>
      <c r="CF91" s="23">
        <v>0</v>
      </c>
      <c r="CG91" s="23">
        <v>0</v>
      </c>
      <c r="CH91" s="23">
        <v>0</v>
      </c>
      <c r="CI91" s="23">
        <v>0</v>
      </c>
      <c r="CJ91" s="23"/>
      <c r="CK91" s="23"/>
      <c r="CL91" s="23"/>
      <c r="CM91" s="23"/>
    </row>
    <row r="92" spans="1:91" x14ac:dyDescent="0.2">
      <c r="A92" s="227"/>
      <c r="B92" s="227" t="s">
        <v>407</v>
      </c>
      <c r="C92" s="227"/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-270.10967773232255</v>
      </c>
      <c r="K92" s="23">
        <v>597.15828107708933</v>
      </c>
      <c r="L92" s="23">
        <v>1555.0705681410388</v>
      </c>
      <c r="M92" s="23">
        <v>1235.4701313533587</v>
      </c>
      <c r="N92" s="23">
        <v>2044.2955832006512</v>
      </c>
      <c r="O92" s="23">
        <v>1884.4872030112385</v>
      </c>
      <c r="P92" s="23">
        <v>2204.0579330237733</v>
      </c>
      <c r="Q92" s="23">
        <v>2525.6232049168025</v>
      </c>
      <c r="R92" s="23">
        <v>2716.3707178679965</v>
      </c>
      <c r="S92" s="23">
        <v>5076.8357475401726</v>
      </c>
      <c r="T92" s="23">
        <v>6164.3234532236611</v>
      </c>
      <c r="U92" s="23">
        <v>7090.4075313127314</v>
      </c>
      <c r="V92" s="23">
        <v>8337.9783963815207</v>
      </c>
      <c r="W92" s="23">
        <v>8725.0871357454453</v>
      </c>
      <c r="X92" s="23">
        <v>9227.9061953544078</v>
      </c>
      <c r="Y92" s="23">
        <v>11416.500087429433</v>
      </c>
      <c r="Z92" s="23">
        <v>12540.235395555559</v>
      </c>
      <c r="AA92" s="23">
        <v>13757.267855569475</v>
      </c>
      <c r="AB92" s="23">
        <v>17561.040537164594</v>
      </c>
      <c r="AC92" s="23">
        <v>23338.622109089203</v>
      </c>
      <c r="AD92" s="23">
        <v>29346.803837683223</v>
      </c>
      <c r="AE92" s="23">
        <v>32743.066277678863</v>
      </c>
      <c r="AF92" s="23">
        <v>33599.60874407721</v>
      </c>
      <c r="AG92" s="23">
        <v>34492.17799491647</v>
      </c>
      <c r="AH92" s="23">
        <v>35866.423748046029</v>
      </c>
      <c r="AI92" s="23">
        <v>36613.280457296132</v>
      </c>
      <c r="AJ92" s="23">
        <v>36818.066441556526</v>
      </c>
      <c r="AK92" s="23">
        <v>38234.013831613272</v>
      </c>
      <c r="AL92" s="23">
        <v>39856.738574141382</v>
      </c>
      <c r="AM92" s="23">
        <v>38325.15874171102</v>
      </c>
      <c r="AN92" s="23">
        <v>37724.594216691701</v>
      </c>
      <c r="AO92" s="23">
        <v>41807.222796946335</v>
      </c>
      <c r="AP92" s="23">
        <v>44998.282437596354</v>
      </c>
      <c r="AQ92" s="23">
        <v>50644.080749708293</v>
      </c>
      <c r="AR92" s="23">
        <v>54313.731938197372</v>
      </c>
      <c r="AS92" s="23">
        <v>55432.355668037118</v>
      </c>
      <c r="AT92" s="23">
        <v>55632.681108963814</v>
      </c>
      <c r="AU92" s="23">
        <v>55592.63303825922</v>
      </c>
      <c r="AV92" s="23">
        <v>55207.145385923002</v>
      </c>
      <c r="AW92" s="23">
        <v>55376.735628770228</v>
      </c>
      <c r="AX92" s="23">
        <v>58955.499003375058</v>
      </c>
      <c r="AY92" s="23">
        <v>60190.691406638973</v>
      </c>
      <c r="AZ92" s="23">
        <v>50253.61</v>
      </c>
      <c r="BA92" s="23">
        <v>44801.4</v>
      </c>
      <c r="BB92" s="23">
        <v>42023.46</v>
      </c>
      <c r="BC92" s="23">
        <v>42061.24</v>
      </c>
      <c r="BD92" s="23">
        <v>39358.288510257757</v>
      </c>
      <c r="BE92" s="23">
        <v>36928.989271851395</v>
      </c>
      <c r="BF92" s="23">
        <v>38307.969461099863</v>
      </c>
      <c r="BG92" s="23">
        <v>37396.39947565661</v>
      </c>
      <c r="BH92" s="23">
        <v>36794.819492836243</v>
      </c>
      <c r="BI92" s="23">
        <v>37735.445984191392</v>
      </c>
      <c r="BJ92" s="23">
        <v>35843.684437760792</v>
      </c>
      <c r="BK92" s="23">
        <v>34044.877681931299</v>
      </c>
      <c r="BL92" s="23">
        <v>0</v>
      </c>
      <c r="BM92" s="23">
        <v>0</v>
      </c>
      <c r="BN92" s="23">
        <v>0</v>
      </c>
      <c r="BO92" s="23">
        <v>0</v>
      </c>
      <c r="BP92" s="23">
        <v>0</v>
      </c>
      <c r="BQ92" s="23">
        <v>0</v>
      </c>
      <c r="BR92" s="23">
        <v>0</v>
      </c>
      <c r="BS92" s="23">
        <v>0</v>
      </c>
      <c r="BT92" s="23">
        <v>0</v>
      </c>
      <c r="BU92" s="23">
        <v>0</v>
      </c>
      <c r="BV92" s="23">
        <v>0</v>
      </c>
      <c r="BW92" s="23">
        <v>0</v>
      </c>
      <c r="BX92" s="23">
        <v>0</v>
      </c>
      <c r="BY92" s="23">
        <v>0</v>
      </c>
      <c r="BZ92" s="23">
        <v>0</v>
      </c>
      <c r="CA92" s="23">
        <v>0</v>
      </c>
      <c r="CB92" s="23">
        <v>0</v>
      </c>
      <c r="CC92" s="23">
        <v>0</v>
      </c>
      <c r="CD92" s="23">
        <v>0</v>
      </c>
      <c r="CE92" s="23">
        <v>0</v>
      </c>
      <c r="CF92" s="23">
        <v>0</v>
      </c>
      <c r="CG92" s="23">
        <v>0</v>
      </c>
      <c r="CH92" s="23">
        <v>0</v>
      </c>
      <c r="CI92" s="23">
        <v>0</v>
      </c>
      <c r="CJ92" s="23"/>
      <c r="CK92" s="23"/>
      <c r="CL92" s="23"/>
      <c r="CM92" s="23"/>
    </row>
    <row r="93" spans="1:91" x14ac:dyDescent="0.2">
      <c r="A93" s="8"/>
      <c r="B93" s="8" t="s">
        <v>198</v>
      </c>
      <c r="C93" s="8"/>
      <c r="D93" s="24">
        <f>SUM(D86:D92)</f>
        <v>0</v>
      </c>
      <c r="E93" s="24">
        <f>SUM(E86:E92)</f>
        <v>0</v>
      </c>
      <c r="F93" s="24">
        <f t="shared" ref="F93:CA93" si="332">SUM(F86:F92)</f>
        <v>0</v>
      </c>
      <c r="G93" s="24">
        <f t="shared" si="332"/>
        <v>0</v>
      </c>
      <c r="H93" s="24">
        <f t="shared" si="332"/>
        <v>0</v>
      </c>
      <c r="I93" s="24">
        <f t="shared" si="332"/>
        <v>0</v>
      </c>
      <c r="J93" s="24">
        <f t="shared" si="332"/>
        <v>-270.10967773232255</v>
      </c>
      <c r="K93" s="24">
        <f t="shared" si="332"/>
        <v>597.15828107708933</v>
      </c>
      <c r="L93" s="24">
        <f t="shared" si="332"/>
        <v>1555.0705681410388</v>
      </c>
      <c r="M93" s="24">
        <f t="shared" si="332"/>
        <v>1235.4701313533587</v>
      </c>
      <c r="N93" s="24">
        <f t="shared" si="332"/>
        <v>2044.2955832006512</v>
      </c>
      <c r="O93" s="24">
        <f t="shared" si="332"/>
        <v>1884.4872030112385</v>
      </c>
      <c r="P93" s="24">
        <f t="shared" si="332"/>
        <v>1183.0379330237733</v>
      </c>
      <c r="Q93" s="24">
        <f t="shared" si="332"/>
        <v>2525.6232049168025</v>
      </c>
      <c r="R93" s="24">
        <f t="shared" si="332"/>
        <v>2716.3707178679965</v>
      </c>
      <c r="S93" s="24">
        <f t="shared" si="332"/>
        <v>5076.8357475401726</v>
      </c>
      <c r="T93" s="24">
        <f t="shared" si="332"/>
        <v>138.9706798761008</v>
      </c>
      <c r="U93" s="24">
        <f t="shared" si="332"/>
        <v>7090.4075313127314</v>
      </c>
      <c r="V93" s="24">
        <f t="shared" si="332"/>
        <v>8337.9783963815207</v>
      </c>
      <c r="W93" s="24">
        <f t="shared" si="332"/>
        <v>8725.0871357454453</v>
      </c>
      <c r="X93" s="24">
        <f t="shared" si="332"/>
        <v>9227.9061953544078</v>
      </c>
      <c r="Y93" s="24">
        <f t="shared" si="332"/>
        <v>11416.500087429433</v>
      </c>
      <c r="Z93" s="24">
        <f t="shared" si="332"/>
        <v>12540.235395555559</v>
      </c>
      <c r="AA93" s="24">
        <f t="shared" si="332"/>
        <v>13757.267855569475</v>
      </c>
      <c r="AB93" s="24">
        <f t="shared" si="332"/>
        <v>17561.040537164594</v>
      </c>
      <c r="AC93" s="24">
        <f t="shared" si="332"/>
        <v>23338.622109089203</v>
      </c>
      <c r="AD93" s="24">
        <f t="shared" si="332"/>
        <v>31744.83246282511</v>
      </c>
      <c r="AE93" s="24">
        <f t="shared" si="332"/>
        <v>32769.891459642124</v>
      </c>
      <c r="AF93" s="24">
        <f t="shared" si="332"/>
        <v>-57255.591125045874</v>
      </c>
      <c r="AG93" s="24">
        <f t="shared" si="332"/>
        <v>34492.703512098604</v>
      </c>
      <c r="AH93" s="24">
        <f t="shared" si="332"/>
        <v>35866.65170200693</v>
      </c>
      <c r="AI93" s="24">
        <f t="shared" si="332"/>
        <v>36613.280457296132</v>
      </c>
      <c r="AJ93" s="24">
        <f t="shared" si="332"/>
        <v>36818.066441556526</v>
      </c>
      <c r="AK93" s="24">
        <f t="shared" si="332"/>
        <v>38234.013831613272</v>
      </c>
      <c r="AL93" s="24">
        <f t="shared" si="332"/>
        <v>39856.738574141382</v>
      </c>
      <c r="AM93" s="24">
        <f t="shared" si="332"/>
        <v>38325.15874171102</v>
      </c>
      <c r="AN93" s="24">
        <f t="shared" si="332"/>
        <v>37724.594216691701</v>
      </c>
      <c r="AO93" s="24">
        <f t="shared" si="332"/>
        <v>41807.222796946335</v>
      </c>
      <c r="AP93" s="24">
        <f t="shared" si="332"/>
        <v>44998.282437596354</v>
      </c>
      <c r="AQ93" s="24">
        <f t="shared" si="332"/>
        <v>50644.080749708293</v>
      </c>
      <c r="AR93" s="24">
        <f t="shared" si="332"/>
        <v>-343834.2704198226</v>
      </c>
      <c r="AS93" s="24">
        <f t="shared" si="332"/>
        <v>55432.355668037118</v>
      </c>
      <c r="AT93" s="24">
        <f t="shared" si="332"/>
        <v>55632.681108963814</v>
      </c>
      <c r="AU93" s="24">
        <f t="shared" si="332"/>
        <v>55592.63303825922</v>
      </c>
      <c r="AV93" s="24">
        <f t="shared" si="332"/>
        <v>55207.145385923002</v>
      </c>
      <c r="AW93" s="24">
        <f t="shared" si="332"/>
        <v>55376.735628770228</v>
      </c>
      <c r="AX93" s="24">
        <f t="shared" si="332"/>
        <v>58955.499003375058</v>
      </c>
      <c r="AY93" s="24">
        <f t="shared" si="332"/>
        <v>60190.691406638973</v>
      </c>
      <c r="AZ93" s="24">
        <f t="shared" si="332"/>
        <v>50253.61</v>
      </c>
      <c r="BA93" s="24">
        <f t="shared" si="332"/>
        <v>44801.4</v>
      </c>
      <c r="BB93" s="24">
        <f t="shared" si="332"/>
        <v>42023.46</v>
      </c>
      <c r="BC93" s="24">
        <f t="shared" si="332"/>
        <v>42061.24</v>
      </c>
      <c r="BD93" s="24">
        <f t="shared" si="332"/>
        <v>-616620.89148974232</v>
      </c>
      <c r="BE93" s="24">
        <f t="shared" si="332"/>
        <v>36928.989271851395</v>
      </c>
      <c r="BF93" s="24">
        <f t="shared" si="332"/>
        <v>38307.969461099863</v>
      </c>
      <c r="BG93" s="24">
        <f t="shared" si="332"/>
        <v>37396.39947565661</v>
      </c>
      <c r="BH93" s="24">
        <f t="shared" si="332"/>
        <v>36794.819492836243</v>
      </c>
      <c r="BI93" s="24">
        <f t="shared" si="332"/>
        <v>37735.445984191392</v>
      </c>
      <c r="BJ93" s="24">
        <f t="shared" si="332"/>
        <v>35843.684437760792</v>
      </c>
      <c r="BK93" s="24">
        <f t="shared" si="332"/>
        <v>34044.877681931299</v>
      </c>
      <c r="BL93" s="24">
        <f t="shared" ref="BL93:BX93" si="333">SUM(BL86:BL92)</f>
        <v>-445445.85</v>
      </c>
      <c r="BM93" s="24">
        <f t="shared" si="333"/>
        <v>0</v>
      </c>
      <c r="BN93" s="24">
        <f t="shared" si="333"/>
        <v>0</v>
      </c>
      <c r="BO93" s="24">
        <f t="shared" si="333"/>
        <v>0</v>
      </c>
      <c r="BP93" s="24">
        <f t="shared" si="333"/>
        <v>0</v>
      </c>
      <c r="BQ93" s="24">
        <f t="shared" si="333"/>
        <v>0</v>
      </c>
      <c r="BR93" s="24">
        <f t="shared" si="333"/>
        <v>0</v>
      </c>
      <c r="BS93" s="24">
        <f t="shared" si="333"/>
        <v>0</v>
      </c>
      <c r="BT93" s="24">
        <f t="shared" si="333"/>
        <v>0</v>
      </c>
      <c r="BU93" s="24">
        <f t="shared" si="333"/>
        <v>0</v>
      </c>
      <c r="BV93" s="24">
        <f t="shared" si="333"/>
        <v>0</v>
      </c>
      <c r="BW93" s="24">
        <f t="shared" si="333"/>
        <v>-0.81</v>
      </c>
      <c r="BX93" s="24">
        <f t="shared" si="333"/>
        <v>0</v>
      </c>
      <c r="BY93" s="24">
        <f t="shared" si="332"/>
        <v>0</v>
      </c>
      <c r="BZ93" s="24">
        <f t="shared" si="332"/>
        <v>0</v>
      </c>
      <c r="CA93" s="24">
        <f t="shared" si="332"/>
        <v>0</v>
      </c>
      <c r="CB93" s="24">
        <f t="shared" ref="CB93:CM93" si="334">SUM(CB86:CB92)</f>
        <v>0</v>
      </c>
      <c r="CC93" s="24">
        <f t="shared" si="334"/>
        <v>0</v>
      </c>
      <c r="CD93" s="24">
        <f t="shared" si="334"/>
        <v>0</v>
      </c>
      <c r="CE93" s="24">
        <f t="shared" si="334"/>
        <v>0</v>
      </c>
      <c r="CF93" s="24">
        <f t="shared" si="334"/>
        <v>0</v>
      </c>
      <c r="CG93" s="24">
        <f t="shared" si="334"/>
        <v>0</v>
      </c>
      <c r="CH93" s="24">
        <f t="shared" si="334"/>
        <v>0</v>
      </c>
      <c r="CI93" s="24">
        <f t="shared" si="334"/>
        <v>0</v>
      </c>
      <c r="CJ93" s="24">
        <f t="shared" si="334"/>
        <v>0</v>
      </c>
      <c r="CK93" s="24">
        <f t="shared" si="334"/>
        <v>0</v>
      </c>
      <c r="CL93" s="24">
        <f t="shared" si="334"/>
        <v>0</v>
      </c>
      <c r="CM93" s="24">
        <f t="shared" si="334"/>
        <v>0</v>
      </c>
    </row>
    <row r="94" spans="1:91" x14ac:dyDescent="0.2">
      <c r="A94" s="8"/>
      <c r="B94" s="8" t="s">
        <v>199</v>
      </c>
      <c r="C94" s="8"/>
      <c r="D94" s="17">
        <f>D85+D93</f>
        <v>0</v>
      </c>
      <c r="E94" s="17">
        <f>E85+E93</f>
        <v>0</v>
      </c>
      <c r="F94" s="17">
        <f t="shared" ref="F94:CA94" si="335">F85+F93</f>
        <v>0</v>
      </c>
      <c r="G94" s="17">
        <f t="shared" si="335"/>
        <v>0</v>
      </c>
      <c r="H94" s="17">
        <f t="shared" si="335"/>
        <v>0</v>
      </c>
      <c r="I94" s="17">
        <f t="shared" si="335"/>
        <v>0</v>
      </c>
      <c r="J94" s="17">
        <f t="shared" si="335"/>
        <v>-270.10967773232255</v>
      </c>
      <c r="K94" s="17">
        <f t="shared" si="335"/>
        <v>327.04860334476678</v>
      </c>
      <c r="L94" s="17">
        <f t="shared" si="335"/>
        <v>1882.1191714858055</v>
      </c>
      <c r="M94" s="17">
        <f t="shared" si="335"/>
        <v>3117.5893028391642</v>
      </c>
      <c r="N94" s="17">
        <f t="shared" si="335"/>
        <v>5161.8848860398157</v>
      </c>
      <c r="O94" s="17">
        <f t="shared" si="335"/>
        <v>7046.372089051054</v>
      </c>
      <c r="P94" s="17">
        <f t="shared" si="335"/>
        <v>8229.4100220748278</v>
      </c>
      <c r="Q94" s="17">
        <f t="shared" si="335"/>
        <v>10755.033226991631</v>
      </c>
      <c r="R94" s="17">
        <f t="shared" si="335"/>
        <v>13471.403944859627</v>
      </c>
      <c r="S94" s="17">
        <f t="shared" si="335"/>
        <v>18548.239692399799</v>
      </c>
      <c r="T94" s="17">
        <f t="shared" si="335"/>
        <v>18687.210372275898</v>
      </c>
      <c r="U94" s="17">
        <f t="shared" si="335"/>
        <v>25777.617903588631</v>
      </c>
      <c r="V94" s="17">
        <f t="shared" si="335"/>
        <v>34115.596299970151</v>
      </c>
      <c r="W94" s="17">
        <f t="shared" si="335"/>
        <v>42840.683435715597</v>
      </c>
      <c r="X94" s="17">
        <f t="shared" si="335"/>
        <v>52068.589631070005</v>
      </c>
      <c r="Y94" s="17">
        <f t="shared" si="335"/>
        <v>63485.089718499439</v>
      </c>
      <c r="Z94" s="17">
        <f t="shared" si="335"/>
        <v>76025.325114054998</v>
      </c>
      <c r="AA94" s="17">
        <f t="shared" si="335"/>
        <v>89782.592969624471</v>
      </c>
      <c r="AB94" s="17">
        <f t="shared" si="335"/>
        <v>107343.63350678906</v>
      </c>
      <c r="AC94" s="17">
        <f t="shared" si="335"/>
        <v>130682.25561587827</v>
      </c>
      <c r="AD94" s="17">
        <f t="shared" si="335"/>
        <v>162427.08807870338</v>
      </c>
      <c r="AE94" s="17">
        <f t="shared" si="335"/>
        <v>195196.97953834551</v>
      </c>
      <c r="AF94" s="17">
        <f t="shared" si="335"/>
        <v>137941.38841329963</v>
      </c>
      <c r="AG94" s="17">
        <f t="shared" si="335"/>
        <v>172434.09192539824</v>
      </c>
      <c r="AH94" s="17">
        <f t="shared" si="335"/>
        <v>208300.74362740517</v>
      </c>
      <c r="AI94" s="17">
        <f t="shared" si="335"/>
        <v>244914.02408470132</v>
      </c>
      <c r="AJ94" s="17">
        <f t="shared" si="335"/>
        <v>281732.09052625787</v>
      </c>
      <c r="AK94" s="17">
        <f t="shared" si="335"/>
        <v>319966.10435787117</v>
      </c>
      <c r="AL94" s="17">
        <f t="shared" si="335"/>
        <v>359822.84293201257</v>
      </c>
      <c r="AM94" s="17">
        <f t="shared" si="335"/>
        <v>398148.00167372357</v>
      </c>
      <c r="AN94" s="17">
        <f t="shared" si="335"/>
        <v>435872.59589041525</v>
      </c>
      <c r="AO94" s="17">
        <f t="shared" si="335"/>
        <v>477679.81868736161</v>
      </c>
      <c r="AP94" s="17">
        <f t="shared" si="335"/>
        <v>522678.10112495796</v>
      </c>
      <c r="AQ94" s="17">
        <f t="shared" si="335"/>
        <v>573322.18187466625</v>
      </c>
      <c r="AR94" s="17">
        <f t="shared" si="335"/>
        <v>229487.91145484365</v>
      </c>
      <c r="AS94" s="17">
        <f t="shared" si="335"/>
        <v>284920.26712288079</v>
      </c>
      <c r="AT94" s="17">
        <f t="shared" si="335"/>
        <v>340552.94823184458</v>
      </c>
      <c r="AU94" s="17">
        <f t="shared" si="335"/>
        <v>396145.58127010381</v>
      </c>
      <c r="AV94" s="17">
        <f t="shared" si="335"/>
        <v>451352.72665602679</v>
      </c>
      <c r="AW94" s="17">
        <f t="shared" si="335"/>
        <v>506729.46228479699</v>
      </c>
      <c r="AX94" s="17">
        <f t="shared" si="335"/>
        <v>565684.96128817205</v>
      </c>
      <c r="AY94" s="17">
        <f t="shared" si="335"/>
        <v>625875.652694811</v>
      </c>
      <c r="AZ94" s="17">
        <f t="shared" si="335"/>
        <v>676129.26269481098</v>
      </c>
      <c r="BA94" s="17">
        <f t="shared" si="335"/>
        <v>720930.66269481101</v>
      </c>
      <c r="BB94" s="17">
        <f t="shared" si="335"/>
        <v>762954.12269481097</v>
      </c>
      <c r="BC94" s="17">
        <f t="shared" si="335"/>
        <v>805015.36269481096</v>
      </c>
      <c r="BD94" s="17">
        <f t="shared" si="335"/>
        <v>188394.47120506864</v>
      </c>
      <c r="BE94" s="17">
        <f t="shared" si="335"/>
        <v>225323.46047692004</v>
      </c>
      <c r="BF94" s="17">
        <f t="shared" si="335"/>
        <v>263631.42993801989</v>
      </c>
      <c r="BG94" s="17">
        <f t="shared" si="335"/>
        <v>301027.82941367652</v>
      </c>
      <c r="BH94" s="17">
        <f t="shared" si="335"/>
        <v>337822.64890651277</v>
      </c>
      <c r="BI94" s="17">
        <f t="shared" si="335"/>
        <v>375558.09489070415</v>
      </c>
      <c r="BJ94" s="17">
        <f t="shared" si="335"/>
        <v>411401.77932846494</v>
      </c>
      <c r="BK94" s="17">
        <f t="shared" si="335"/>
        <v>445446.65701039624</v>
      </c>
      <c r="BL94" s="17">
        <f t="shared" ref="BL94:BX94" si="336">BL85+BL93</f>
        <v>0.80701039626728743</v>
      </c>
      <c r="BM94" s="17">
        <f t="shared" si="336"/>
        <v>0.80701039626728743</v>
      </c>
      <c r="BN94" s="17">
        <f t="shared" si="336"/>
        <v>0.80701039626728743</v>
      </c>
      <c r="BO94" s="17">
        <f t="shared" si="336"/>
        <v>0.80701039626728743</v>
      </c>
      <c r="BP94" s="17">
        <f t="shared" si="336"/>
        <v>0.80701039626728743</v>
      </c>
      <c r="BQ94" s="17">
        <f t="shared" si="336"/>
        <v>0.80701039626728743</v>
      </c>
      <c r="BR94" s="17">
        <f t="shared" si="336"/>
        <v>0.80701039626728743</v>
      </c>
      <c r="BS94" s="17">
        <f t="shared" si="336"/>
        <v>0.80701039626728743</v>
      </c>
      <c r="BT94" s="17">
        <f t="shared" si="336"/>
        <v>0.80701039626728743</v>
      </c>
      <c r="BU94" s="17">
        <f t="shared" si="336"/>
        <v>0.80701039626728743</v>
      </c>
      <c r="BV94" s="17">
        <f t="shared" si="336"/>
        <v>0.80701039626728743</v>
      </c>
      <c r="BW94" s="17">
        <f t="shared" si="336"/>
        <v>-2.9896037327126201E-3</v>
      </c>
      <c r="BX94" s="17">
        <f t="shared" si="336"/>
        <v>-2.9896037327126201E-3</v>
      </c>
      <c r="BY94" s="17">
        <f t="shared" si="335"/>
        <v>-2.9896037327126201E-3</v>
      </c>
      <c r="BZ94" s="17">
        <f t="shared" si="335"/>
        <v>-2.9896037327126201E-3</v>
      </c>
      <c r="CA94" s="17">
        <f t="shared" si="335"/>
        <v>-2.9896037327126201E-3</v>
      </c>
      <c r="CB94" s="17">
        <f t="shared" ref="CB94:CM94" si="337">CB85+CB93</f>
        <v>-2.9896037327126201E-3</v>
      </c>
      <c r="CC94" s="17">
        <f t="shared" si="337"/>
        <v>-2.9896037327126201E-3</v>
      </c>
      <c r="CD94" s="17">
        <f t="shared" si="337"/>
        <v>-2.9896037327126201E-3</v>
      </c>
      <c r="CE94" s="17">
        <f t="shared" si="337"/>
        <v>-2.9896037327126201E-3</v>
      </c>
      <c r="CF94" s="17">
        <f t="shared" si="337"/>
        <v>-2.9896037327126201E-3</v>
      </c>
      <c r="CG94" s="17">
        <f t="shared" si="337"/>
        <v>-2.9896037327126201E-3</v>
      </c>
      <c r="CH94" s="17">
        <f t="shared" si="337"/>
        <v>-2.9896037327126201E-3</v>
      </c>
      <c r="CI94" s="17">
        <f t="shared" si="337"/>
        <v>-2.9896037327126201E-3</v>
      </c>
      <c r="CJ94" s="17">
        <f t="shared" si="337"/>
        <v>-2.9896037327126201E-3</v>
      </c>
      <c r="CK94" s="17">
        <f t="shared" si="337"/>
        <v>-2.9896037327126201E-3</v>
      </c>
      <c r="CL94" s="17">
        <f t="shared" si="337"/>
        <v>-2.9896037327126201E-3</v>
      </c>
      <c r="CM94" s="17">
        <f t="shared" si="337"/>
        <v>-2.9896037327126201E-3</v>
      </c>
    </row>
    <row r="95" spans="1:91" x14ac:dyDescent="0.2">
      <c r="F95" s="8"/>
      <c r="CI95" s="8"/>
      <c r="CL95" s="8"/>
      <c r="CM95" s="8"/>
    </row>
    <row r="96" spans="1:91" x14ac:dyDescent="0.2">
      <c r="A96" s="4" t="s">
        <v>210</v>
      </c>
      <c r="C96" s="15">
        <v>18237402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8"/>
      <c r="CL96" s="8"/>
      <c r="CM96" s="8"/>
    </row>
    <row r="97" spans="1:92" s="25" customFormat="1" x14ac:dyDescent="0.2">
      <c r="A97" s="7"/>
      <c r="B97" s="7" t="s">
        <v>195</v>
      </c>
      <c r="C97" s="15">
        <v>25400802</v>
      </c>
      <c r="D97" s="17">
        <v>0</v>
      </c>
      <c r="E97" s="17">
        <f>D102</f>
        <v>0</v>
      </c>
      <c r="F97" s="17">
        <f t="shared" ref="F97:CA97" si="338">E102</f>
        <v>0</v>
      </c>
      <c r="G97" s="17">
        <f t="shared" si="338"/>
        <v>0</v>
      </c>
      <c r="H97" s="17">
        <f t="shared" si="338"/>
        <v>0</v>
      </c>
      <c r="I97" s="17">
        <f t="shared" si="338"/>
        <v>0</v>
      </c>
      <c r="J97" s="17">
        <f t="shared" si="338"/>
        <v>0</v>
      </c>
      <c r="K97" s="17">
        <f t="shared" si="338"/>
        <v>0</v>
      </c>
      <c r="L97" s="17">
        <f t="shared" si="338"/>
        <v>0</v>
      </c>
      <c r="M97" s="17">
        <f t="shared" si="338"/>
        <v>0</v>
      </c>
      <c r="N97" s="17">
        <f t="shared" si="338"/>
        <v>0</v>
      </c>
      <c r="O97" s="17">
        <f t="shared" si="338"/>
        <v>0</v>
      </c>
      <c r="P97" s="17">
        <f t="shared" si="338"/>
        <v>0</v>
      </c>
      <c r="Q97" s="17">
        <f t="shared" si="338"/>
        <v>0</v>
      </c>
      <c r="R97" s="17">
        <f t="shared" si="338"/>
        <v>0</v>
      </c>
      <c r="S97" s="17">
        <f t="shared" si="338"/>
        <v>0</v>
      </c>
      <c r="T97" s="17">
        <f t="shared" si="338"/>
        <v>0</v>
      </c>
      <c r="U97" s="17">
        <f t="shared" si="338"/>
        <v>0</v>
      </c>
      <c r="V97" s="17">
        <f t="shared" si="338"/>
        <v>0</v>
      </c>
      <c r="W97" s="17">
        <f t="shared" si="338"/>
        <v>0</v>
      </c>
      <c r="X97" s="17">
        <f t="shared" si="338"/>
        <v>0</v>
      </c>
      <c r="Y97" s="17">
        <f t="shared" si="338"/>
        <v>0</v>
      </c>
      <c r="Z97" s="17">
        <f t="shared" si="338"/>
        <v>0</v>
      </c>
      <c r="AA97" s="17">
        <f t="shared" si="338"/>
        <v>0</v>
      </c>
      <c r="AB97" s="17">
        <f t="shared" si="338"/>
        <v>0</v>
      </c>
      <c r="AC97" s="17">
        <f t="shared" si="338"/>
        <v>0</v>
      </c>
      <c r="AD97" s="17">
        <f t="shared" si="338"/>
        <v>0</v>
      </c>
      <c r="AE97" s="17">
        <f t="shared" si="338"/>
        <v>0</v>
      </c>
      <c r="AF97" s="17">
        <f t="shared" si="338"/>
        <v>0</v>
      </c>
      <c r="AG97" s="17">
        <f t="shared" si="338"/>
        <v>0</v>
      </c>
      <c r="AH97" s="17">
        <f t="shared" si="338"/>
        <v>0</v>
      </c>
      <c r="AI97" s="17">
        <f t="shared" si="338"/>
        <v>0</v>
      </c>
      <c r="AJ97" s="17">
        <f t="shared" si="338"/>
        <v>0</v>
      </c>
      <c r="AK97" s="17">
        <f t="shared" si="338"/>
        <v>0</v>
      </c>
      <c r="AL97" s="17">
        <f t="shared" si="338"/>
        <v>0</v>
      </c>
      <c r="AM97" s="17">
        <f t="shared" si="338"/>
        <v>0</v>
      </c>
      <c r="AN97" s="17">
        <f t="shared" si="338"/>
        <v>0</v>
      </c>
      <c r="AO97" s="17">
        <f t="shared" si="338"/>
        <v>0</v>
      </c>
      <c r="AP97" s="17">
        <f t="shared" si="338"/>
        <v>0</v>
      </c>
      <c r="AQ97" s="17">
        <f t="shared" si="338"/>
        <v>0</v>
      </c>
      <c r="AR97" s="17">
        <f t="shared" si="338"/>
        <v>0</v>
      </c>
      <c r="AS97" s="17">
        <f t="shared" si="338"/>
        <v>0</v>
      </c>
      <c r="AT97" s="17">
        <f t="shared" si="338"/>
        <v>0</v>
      </c>
      <c r="AU97" s="17">
        <f t="shared" si="338"/>
        <v>0</v>
      </c>
      <c r="AV97" s="17">
        <f t="shared" si="338"/>
        <v>0</v>
      </c>
      <c r="AW97" s="17">
        <f t="shared" si="338"/>
        <v>0</v>
      </c>
      <c r="AX97" s="17">
        <f t="shared" si="338"/>
        <v>0</v>
      </c>
      <c r="AY97" s="17">
        <f t="shared" si="338"/>
        <v>0</v>
      </c>
      <c r="AZ97" s="17">
        <f t="shared" si="338"/>
        <v>0</v>
      </c>
      <c r="BA97" s="17">
        <f t="shared" si="338"/>
        <v>0</v>
      </c>
      <c r="BB97" s="17">
        <f t="shared" si="338"/>
        <v>0</v>
      </c>
      <c r="BC97" s="17">
        <f t="shared" si="338"/>
        <v>0</v>
      </c>
      <c r="BD97" s="17">
        <f t="shared" si="338"/>
        <v>0</v>
      </c>
      <c r="BE97" s="17">
        <f t="shared" si="338"/>
        <v>0</v>
      </c>
      <c r="BF97" s="17">
        <f t="shared" si="338"/>
        <v>0</v>
      </c>
      <c r="BG97" s="17">
        <f t="shared" si="338"/>
        <v>0</v>
      </c>
      <c r="BH97" s="17">
        <f t="shared" si="338"/>
        <v>0</v>
      </c>
      <c r="BI97" s="17">
        <f t="shared" si="338"/>
        <v>0</v>
      </c>
      <c r="BJ97" s="17">
        <f t="shared" si="338"/>
        <v>0</v>
      </c>
      <c r="BK97" s="17">
        <f t="shared" si="338"/>
        <v>0</v>
      </c>
      <c r="BL97" s="17">
        <f t="shared" ref="BL97" si="339">BK102</f>
        <v>-991.62777672766117</v>
      </c>
      <c r="BM97" s="17">
        <f t="shared" ref="BM97" si="340">BL102</f>
        <v>321178.2947732723</v>
      </c>
      <c r="BN97" s="17">
        <f t="shared" ref="BN97" si="341">BM102</f>
        <v>337213.05477327231</v>
      </c>
      <c r="BO97" s="17">
        <f t="shared" ref="BO97" si="342">BN102</f>
        <v>345163.39477327233</v>
      </c>
      <c r="BP97" s="17">
        <f t="shared" ref="BP97" si="343">BO102</f>
        <v>347032.02477327234</v>
      </c>
      <c r="BQ97" s="17">
        <f t="shared" ref="BQ97" si="344">BP102</f>
        <v>33063.740000000049</v>
      </c>
      <c r="BR97" s="17">
        <f t="shared" ref="BR97" si="345">BQ102</f>
        <v>29120.230000000047</v>
      </c>
      <c r="BS97" s="17">
        <f t="shared" ref="BS97" si="346">BR102</f>
        <v>24564.450000000048</v>
      </c>
      <c r="BT97" s="17">
        <f t="shared" ref="BT97" si="347">BS102</f>
        <v>20057.290000000048</v>
      </c>
      <c r="BU97" s="17">
        <f t="shared" ref="BU97" si="348">BT102</f>
        <v>15295.870000000048</v>
      </c>
      <c r="BV97" s="17">
        <f t="shared" ref="BV97" si="349">BU102</f>
        <v>9769.7900000000482</v>
      </c>
      <c r="BW97" s="17">
        <f t="shared" ref="BW97" si="350">BV102</f>
        <v>3282.7600000000484</v>
      </c>
      <c r="BX97" s="17">
        <f t="shared" ref="BX97" si="351">BW102</f>
        <v>-3949.1799999999512</v>
      </c>
      <c r="BY97" s="17">
        <f t="shared" si="338"/>
        <v>-9748.0199999999513</v>
      </c>
      <c r="BZ97" s="17">
        <f t="shared" si="338"/>
        <v>-19369.279999999952</v>
      </c>
      <c r="CA97" s="17">
        <f t="shared" si="338"/>
        <v>-35191.709999999948</v>
      </c>
      <c r="CB97" s="17">
        <f t="shared" ref="CB97" si="352">CA102</f>
        <v>-51644.699999999953</v>
      </c>
      <c r="CC97" s="17">
        <f t="shared" ref="CC97" si="353">CB102</f>
        <v>-63184.240000000005</v>
      </c>
      <c r="CD97" s="17">
        <f t="shared" ref="CD97" si="354">CC102</f>
        <v>-78214.040000000008</v>
      </c>
      <c r="CE97" s="17">
        <f t="shared" ref="CE97" si="355">CD102</f>
        <v>-93538.530000000013</v>
      </c>
      <c r="CF97" s="17">
        <f t="shared" ref="CF97" si="356">CE102</f>
        <v>-109454.51000000001</v>
      </c>
      <c r="CG97" s="17">
        <f t="shared" ref="CG97" si="357">CF102</f>
        <v>-126665.46</v>
      </c>
      <c r="CH97" s="17">
        <f t="shared" ref="CH97" si="358">CG102</f>
        <v>-145299.21000000002</v>
      </c>
      <c r="CI97" s="17">
        <f t="shared" ref="CI97" si="359">CH102</f>
        <v>-161131.14000000001</v>
      </c>
      <c r="CJ97" s="17">
        <f t="shared" ref="CJ97" si="360">CI102</f>
        <v>-173249.65000000002</v>
      </c>
      <c r="CK97" s="17">
        <f t="shared" ref="CK97" si="361">CJ102</f>
        <v>-173249.65000000002</v>
      </c>
      <c r="CL97" s="17">
        <f t="shared" ref="CL97" si="362">CK102</f>
        <v>-173249.65000000002</v>
      </c>
      <c r="CM97" s="17">
        <f t="shared" ref="CM97" si="363">CL102</f>
        <v>-173249.65000000002</v>
      </c>
      <c r="CN97" s="7"/>
    </row>
    <row r="98" spans="1:92" s="25" customFormat="1" x14ac:dyDescent="0.2">
      <c r="B98" s="21" t="s">
        <v>196</v>
      </c>
      <c r="C98" s="26"/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0</v>
      </c>
      <c r="AB98" s="23">
        <v>0</v>
      </c>
      <c r="AC98" s="23">
        <v>0</v>
      </c>
      <c r="AD98" s="23">
        <v>0</v>
      </c>
      <c r="AE98" s="23">
        <v>0</v>
      </c>
      <c r="AF98" s="23">
        <v>0</v>
      </c>
      <c r="AG98" s="23">
        <v>0</v>
      </c>
      <c r="AH98" s="23">
        <v>0</v>
      </c>
      <c r="AI98" s="23">
        <v>0</v>
      </c>
      <c r="AJ98" s="23">
        <v>0</v>
      </c>
      <c r="AK98" s="23">
        <v>0</v>
      </c>
      <c r="AL98" s="23">
        <v>0</v>
      </c>
      <c r="AM98" s="23">
        <v>0</v>
      </c>
      <c r="AN98" s="23">
        <v>0</v>
      </c>
      <c r="AO98" s="23">
        <v>0</v>
      </c>
      <c r="AP98" s="23">
        <v>0</v>
      </c>
      <c r="AQ98" s="23">
        <v>0</v>
      </c>
      <c r="AR98" s="23">
        <v>0</v>
      </c>
      <c r="AS98" s="23">
        <v>0</v>
      </c>
      <c r="AT98" s="23">
        <v>0</v>
      </c>
      <c r="AU98" s="23">
        <v>0</v>
      </c>
      <c r="AV98" s="23">
        <v>0</v>
      </c>
      <c r="AW98" s="23">
        <v>0</v>
      </c>
      <c r="AX98" s="23">
        <v>0</v>
      </c>
      <c r="AY98" s="23">
        <v>0</v>
      </c>
      <c r="AZ98" s="23">
        <v>0</v>
      </c>
      <c r="BA98" s="23">
        <v>0</v>
      </c>
      <c r="BB98" s="23">
        <v>0</v>
      </c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  <c r="BI98" s="23">
        <v>0</v>
      </c>
      <c r="BJ98" s="23">
        <v>0</v>
      </c>
      <c r="BK98" s="23">
        <v>0</v>
      </c>
      <c r="BL98" s="23">
        <v>0</v>
      </c>
      <c r="BM98" s="23">
        <v>0</v>
      </c>
      <c r="BN98" s="23">
        <v>0</v>
      </c>
      <c r="BO98" s="23">
        <v>0</v>
      </c>
      <c r="BP98" s="23">
        <v>-312156.80477327231</v>
      </c>
      <c r="BQ98" s="23">
        <v>0</v>
      </c>
      <c r="BR98" s="23">
        <v>0</v>
      </c>
      <c r="BS98" s="23">
        <v>0</v>
      </c>
      <c r="BT98" s="23">
        <v>0</v>
      </c>
      <c r="BU98" s="23">
        <v>0</v>
      </c>
      <c r="BV98" s="23">
        <v>0</v>
      </c>
      <c r="BW98" s="23">
        <v>0</v>
      </c>
      <c r="BX98" s="23">
        <v>0</v>
      </c>
      <c r="BY98" s="23">
        <v>0</v>
      </c>
      <c r="BZ98" s="23">
        <v>0</v>
      </c>
      <c r="CA98" s="23">
        <v>0</v>
      </c>
      <c r="CB98" s="23">
        <v>3949.1799999999512</v>
      </c>
      <c r="CC98" s="23">
        <v>0</v>
      </c>
      <c r="CD98" s="23">
        <v>0</v>
      </c>
      <c r="CE98" s="23">
        <v>0</v>
      </c>
      <c r="CF98" s="23">
        <v>0</v>
      </c>
      <c r="CG98" s="23">
        <v>0</v>
      </c>
      <c r="CH98" s="23">
        <v>0</v>
      </c>
      <c r="CI98" s="23">
        <v>0</v>
      </c>
      <c r="CJ98" s="23"/>
      <c r="CK98" s="23"/>
      <c r="CL98" s="23"/>
      <c r="CM98" s="23"/>
    </row>
    <row r="99" spans="1:92" s="21" customFormat="1" x14ac:dyDescent="0.2">
      <c r="A99" s="25"/>
      <c r="B99" s="21" t="s">
        <v>211</v>
      </c>
      <c r="C99" s="26"/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0</v>
      </c>
      <c r="AB99" s="23">
        <v>0</v>
      </c>
      <c r="AC99" s="23">
        <v>0</v>
      </c>
      <c r="AD99" s="23">
        <v>0</v>
      </c>
      <c r="AE99" s="23">
        <v>0</v>
      </c>
      <c r="AF99" s="23">
        <v>0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3">
        <v>0</v>
      </c>
      <c r="AM99" s="23">
        <v>0</v>
      </c>
      <c r="AN99" s="23">
        <v>0</v>
      </c>
      <c r="AO99" s="23">
        <v>0</v>
      </c>
      <c r="AP99" s="23">
        <v>0</v>
      </c>
      <c r="AQ99" s="23">
        <v>0</v>
      </c>
      <c r="AR99" s="23">
        <v>0</v>
      </c>
      <c r="AS99" s="23">
        <v>0</v>
      </c>
      <c r="AT99" s="23">
        <v>0</v>
      </c>
      <c r="AU99" s="23">
        <v>0</v>
      </c>
      <c r="AV99" s="23">
        <v>0</v>
      </c>
      <c r="AW99" s="23">
        <v>0</v>
      </c>
      <c r="AX99" s="23">
        <v>0</v>
      </c>
      <c r="AY99" s="23">
        <v>0</v>
      </c>
      <c r="AZ99" s="23">
        <v>0</v>
      </c>
      <c r="BA99" s="23">
        <v>0</v>
      </c>
      <c r="BB99" s="23">
        <v>0</v>
      </c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  <c r="BI99" s="23">
        <v>0</v>
      </c>
      <c r="BJ99" s="23">
        <v>0</v>
      </c>
      <c r="BK99" s="23">
        <v>0</v>
      </c>
      <c r="BL99" s="23">
        <v>313148.43254999997</v>
      </c>
      <c r="BM99" s="23">
        <v>0</v>
      </c>
      <c r="BN99" s="23">
        <v>0</v>
      </c>
      <c r="BO99" s="23">
        <v>0</v>
      </c>
      <c r="BP99" s="23">
        <v>0</v>
      </c>
      <c r="BQ99" s="23">
        <v>0</v>
      </c>
      <c r="BR99" s="23">
        <v>0</v>
      </c>
      <c r="BS99" s="23">
        <v>0</v>
      </c>
      <c r="BT99" s="23">
        <v>0</v>
      </c>
      <c r="BU99" s="23">
        <v>0</v>
      </c>
      <c r="BV99" s="23">
        <v>0</v>
      </c>
      <c r="BW99" s="23">
        <v>0</v>
      </c>
      <c r="BX99" s="23">
        <v>0</v>
      </c>
      <c r="BY99" s="23">
        <v>0</v>
      </c>
      <c r="BZ99" s="23">
        <v>0</v>
      </c>
      <c r="CA99" s="23">
        <v>0</v>
      </c>
      <c r="CB99" s="23">
        <v>0</v>
      </c>
      <c r="CC99" s="23">
        <v>0</v>
      </c>
      <c r="CD99" s="23">
        <v>0</v>
      </c>
      <c r="CE99" s="23">
        <v>0</v>
      </c>
      <c r="CF99" s="23">
        <v>0</v>
      </c>
      <c r="CG99" s="23">
        <v>0</v>
      </c>
      <c r="CH99" s="23">
        <v>0</v>
      </c>
      <c r="CI99" s="23">
        <v>0</v>
      </c>
      <c r="CJ99" s="23"/>
      <c r="CK99" s="23"/>
      <c r="CL99" s="23"/>
      <c r="CM99" s="23"/>
      <c r="CN99" s="25"/>
    </row>
    <row r="100" spans="1:92" x14ac:dyDescent="0.2">
      <c r="A100" s="21"/>
      <c r="B100" s="21" t="s">
        <v>209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23">
        <v>0</v>
      </c>
      <c r="AL100" s="23">
        <v>0</v>
      </c>
      <c r="AM100" s="23">
        <v>0</v>
      </c>
      <c r="AN100" s="23">
        <v>0</v>
      </c>
      <c r="AO100" s="23">
        <v>0</v>
      </c>
      <c r="AP100" s="23">
        <v>0</v>
      </c>
      <c r="AQ100" s="23">
        <v>0</v>
      </c>
      <c r="AR100" s="23">
        <v>0</v>
      </c>
      <c r="AS100" s="23">
        <v>0</v>
      </c>
      <c r="AT100" s="23">
        <v>0</v>
      </c>
      <c r="AU100" s="23">
        <v>0</v>
      </c>
      <c r="AV100" s="23">
        <v>0</v>
      </c>
      <c r="AW100" s="23">
        <v>0</v>
      </c>
      <c r="AX100" s="23">
        <v>0</v>
      </c>
      <c r="AY100" s="23">
        <v>0</v>
      </c>
      <c r="AZ100" s="23">
        <v>0</v>
      </c>
      <c r="BA100" s="23">
        <v>0</v>
      </c>
      <c r="BB100" s="23">
        <v>0</v>
      </c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  <c r="BI100" s="23">
        <v>0</v>
      </c>
      <c r="BJ100" s="23">
        <v>0</v>
      </c>
      <c r="BK100" s="23">
        <v>-991.62777672766117</v>
      </c>
      <c r="BL100" s="23">
        <v>9021.49</v>
      </c>
      <c r="BM100" s="23">
        <v>16034.76</v>
      </c>
      <c r="BN100" s="23">
        <v>7950.34</v>
      </c>
      <c r="BO100" s="23">
        <v>1868.63</v>
      </c>
      <c r="BP100" s="23">
        <v>-1811.48</v>
      </c>
      <c r="BQ100" s="23">
        <v>-3943.51</v>
      </c>
      <c r="BR100" s="23">
        <v>-4555.78</v>
      </c>
      <c r="BS100" s="23">
        <v>-4507.16</v>
      </c>
      <c r="BT100" s="23">
        <v>-4761.42</v>
      </c>
      <c r="BU100" s="23">
        <v>-5526.08</v>
      </c>
      <c r="BV100" s="23">
        <v>-6487.03</v>
      </c>
      <c r="BW100" s="23">
        <v>-7231.94</v>
      </c>
      <c r="BX100" s="22">
        <f>'Sch31&amp;31T Deferral Calc'!C16</f>
        <v>-5798.84</v>
      </c>
      <c r="BY100" s="22">
        <f>'Sch31&amp;31T Deferral Calc'!D16</f>
        <v>-9621.26</v>
      </c>
      <c r="BZ100" s="22">
        <f>'Sch31&amp;31T Deferral Calc'!E16</f>
        <v>-15822.43</v>
      </c>
      <c r="CA100" s="22">
        <f>'Sch31&amp;31T Deferral Calc'!F16</f>
        <v>-16452.990000000002</v>
      </c>
      <c r="CB100" s="22">
        <f>'Sch31&amp;31T Deferral Calc'!G16</f>
        <v>-15488.72</v>
      </c>
      <c r="CC100" s="22">
        <f>'Sch31&amp;31T Deferral Calc'!H16</f>
        <v>-15029.8</v>
      </c>
      <c r="CD100" s="22">
        <f>'Sch31&amp;31T Deferral Calc'!I16</f>
        <v>-15324.49</v>
      </c>
      <c r="CE100" s="22">
        <f>'Sch31&amp;31T Deferral Calc'!J16</f>
        <v>-15915.98</v>
      </c>
      <c r="CF100" s="22">
        <f>'Sch31&amp;31T Deferral Calc'!K16</f>
        <v>-17210.95</v>
      </c>
      <c r="CG100" s="22">
        <f>'Sch31&amp;31T Deferral Calc'!L16</f>
        <v>-18633.75</v>
      </c>
      <c r="CH100" s="22">
        <f>'Sch31&amp;31T Deferral Calc'!M16</f>
        <v>-15831.93</v>
      </c>
      <c r="CI100" s="22">
        <f>'Sch31&amp;31T Deferral Calc'!N16</f>
        <v>-12118.51</v>
      </c>
      <c r="CJ100" s="22"/>
      <c r="CK100" s="22"/>
      <c r="CL100" s="22"/>
      <c r="CM100" s="22"/>
      <c r="CN100" s="21"/>
    </row>
    <row r="101" spans="1:92" x14ac:dyDescent="0.2">
      <c r="B101" s="7" t="s">
        <v>198</v>
      </c>
      <c r="D101" s="24">
        <f t="shared" ref="D101:CA101" si="364">SUM(D98:D100)</f>
        <v>0</v>
      </c>
      <c r="E101" s="24">
        <f t="shared" si="364"/>
        <v>0</v>
      </c>
      <c r="F101" s="24">
        <f t="shared" si="364"/>
        <v>0</v>
      </c>
      <c r="G101" s="24">
        <f t="shared" si="364"/>
        <v>0</v>
      </c>
      <c r="H101" s="24">
        <f t="shared" si="364"/>
        <v>0</v>
      </c>
      <c r="I101" s="24">
        <f t="shared" si="364"/>
        <v>0</v>
      </c>
      <c r="J101" s="24">
        <f t="shared" si="364"/>
        <v>0</v>
      </c>
      <c r="K101" s="24">
        <f t="shared" si="364"/>
        <v>0</v>
      </c>
      <c r="L101" s="24">
        <f t="shared" si="364"/>
        <v>0</v>
      </c>
      <c r="M101" s="24">
        <f t="shared" si="364"/>
        <v>0</v>
      </c>
      <c r="N101" s="24">
        <f t="shared" si="364"/>
        <v>0</v>
      </c>
      <c r="O101" s="24">
        <f t="shared" si="364"/>
        <v>0</v>
      </c>
      <c r="P101" s="24">
        <f t="shared" si="364"/>
        <v>0</v>
      </c>
      <c r="Q101" s="24">
        <f t="shared" si="364"/>
        <v>0</v>
      </c>
      <c r="R101" s="24">
        <f t="shared" si="364"/>
        <v>0</v>
      </c>
      <c r="S101" s="24">
        <f t="shared" si="364"/>
        <v>0</v>
      </c>
      <c r="T101" s="24">
        <f t="shared" si="364"/>
        <v>0</v>
      </c>
      <c r="U101" s="24">
        <f t="shared" si="364"/>
        <v>0</v>
      </c>
      <c r="V101" s="24">
        <f t="shared" si="364"/>
        <v>0</v>
      </c>
      <c r="W101" s="24">
        <f t="shared" si="364"/>
        <v>0</v>
      </c>
      <c r="X101" s="24">
        <f t="shared" si="364"/>
        <v>0</v>
      </c>
      <c r="Y101" s="24">
        <f t="shared" si="364"/>
        <v>0</v>
      </c>
      <c r="Z101" s="24">
        <f t="shared" si="364"/>
        <v>0</v>
      </c>
      <c r="AA101" s="24">
        <f t="shared" si="364"/>
        <v>0</v>
      </c>
      <c r="AB101" s="24">
        <f t="shared" si="364"/>
        <v>0</v>
      </c>
      <c r="AC101" s="24">
        <f t="shared" si="364"/>
        <v>0</v>
      </c>
      <c r="AD101" s="24">
        <f t="shared" si="364"/>
        <v>0</v>
      </c>
      <c r="AE101" s="24">
        <f t="shared" si="364"/>
        <v>0</v>
      </c>
      <c r="AF101" s="24">
        <f t="shared" si="364"/>
        <v>0</v>
      </c>
      <c r="AG101" s="24">
        <f t="shared" si="364"/>
        <v>0</v>
      </c>
      <c r="AH101" s="24">
        <f t="shared" si="364"/>
        <v>0</v>
      </c>
      <c r="AI101" s="24">
        <f t="shared" si="364"/>
        <v>0</v>
      </c>
      <c r="AJ101" s="24">
        <f t="shared" si="364"/>
        <v>0</v>
      </c>
      <c r="AK101" s="24">
        <f t="shared" si="364"/>
        <v>0</v>
      </c>
      <c r="AL101" s="24">
        <f t="shared" si="364"/>
        <v>0</v>
      </c>
      <c r="AM101" s="24">
        <f t="shared" si="364"/>
        <v>0</v>
      </c>
      <c r="AN101" s="24">
        <f t="shared" si="364"/>
        <v>0</v>
      </c>
      <c r="AO101" s="24">
        <f t="shared" si="364"/>
        <v>0</v>
      </c>
      <c r="AP101" s="24">
        <f t="shared" si="364"/>
        <v>0</v>
      </c>
      <c r="AQ101" s="24">
        <f t="shared" si="364"/>
        <v>0</v>
      </c>
      <c r="AR101" s="24">
        <f t="shared" si="364"/>
        <v>0</v>
      </c>
      <c r="AS101" s="24">
        <f t="shared" si="364"/>
        <v>0</v>
      </c>
      <c r="AT101" s="24">
        <f t="shared" si="364"/>
        <v>0</v>
      </c>
      <c r="AU101" s="24">
        <f t="shared" si="364"/>
        <v>0</v>
      </c>
      <c r="AV101" s="24">
        <f t="shared" si="364"/>
        <v>0</v>
      </c>
      <c r="AW101" s="24">
        <f t="shared" si="364"/>
        <v>0</v>
      </c>
      <c r="AX101" s="24">
        <f t="shared" si="364"/>
        <v>0</v>
      </c>
      <c r="AY101" s="24">
        <f t="shared" si="364"/>
        <v>0</v>
      </c>
      <c r="AZ101" s="24">
        <f t="shared" si="364"/>
        <v>0</v>
      </c>
      <c r="BA101" s="24">
        <f t="shared" si="364"/>
        <v>0</v>
      </c>
      <c r="BB101" s="24">
        <f t="shared" si="364"/>
        <v>0</v>
      </c>
      <c r="BC101" s="24">
        <f t="shared" si="364"/>
        <v>0</v>
      </c>
      <c r="BD101" s="24">
        <f t="shared" si="364"/>
        <v>0</v>
      </c>
      <c r="BE101" s="24">
        <f t="shared" si="364"/>
        <v>0</v>
      </c>
      <c r="BF101" s="24">
        <f t="shared" si="364"/>
        <v>0</v>
      </c>
      <c r="BG101" s="24">
        <f t="shared" si="364"/>
        <v>0</v>
      </c>
      <c r="BH101" s="24">
        <f t="shared" si="364"/>
        <v>0</v>
      </c>
      <c r="BI101" s="24">
        <f t="shared" si="364"/>
        <v>0</v>
      </c>
      <c r="BJ101" s="24">
        <f t="shared" si="364"/>
        <v>0</v>
      </c>
      <c r="BK101" s="24">
        <f t="shared" si="364"/>
        <v>-991.62777672766117</v>
      </c>
      <c r="BL101" s="24">
        <f t="shared" ref="BL101:BX101" si="365">SUM(BL98:BL100)</f>
        <v>322169.92254999996</v>
      </c>
      <c r="BM101" s="24">
        <f t="shared" si="365"/>
        <v>16034.76</v>
      </c>
      <c r="BN101" s="24">
        <f t="shared" si="365"/>
        <v>7950.34</v>
      </c>
      <c r="BO101" s="24">
        <f t="shared" si="365"/>
        <v>1868.63</v>
      </c>
      <c r="BP101" s="24">
        <f t="shared" si="365"/>
        <v>-313968.28477327229</v>
      </c>
      <c r="BQ101" s="24">
        <f t="shared" si="365"/>
        <v>-3943.51</v>
      </c>
      <c r="BR101" s="24">
        <f t="shared" si="365"/>
        <v>-4555.78</v>
      </c>
      <c r="BS101" s="24">
        <f t="shared" si="365"/>
        <v>-4507.16</v>
      </c>
      <c r="BT101" s="24">
        <f t="shared" si="365"/>
        <v>-4761.42</v>
      </c>
      <c r="BU101" s="24">
        <f t="shared" si="365"/>
        <v>-5526.08</v>
      </c>
      <c r="BV101" s="24">
        <f t="shared" si="365"/>
        <v>-6487.03</v>
      </c>
      <c r="BW101" s="24">
        <f t="shared" si="365"/>
        <v>-7231.94</v>
      </c>
      <c r="BX101" s="24">
        <f t="shared" si="365"/>
        <v>-5798.84</v>
      </c>
      <c r="BY101" s="24">
        <f t="shared" si="364"/>
        <v>-9621.26</v>
      </c>
      <c r="BZ101" s="24">
        <f t="shared" si="364"/>
        <v>-15822.43</v>
      </c>
      <c r="CA101" s="24">
        <f t="shared" si="364"/>
        <v>-16452.990000000002</v>
      </c>
      <c r="CB101" s="24">
        <f t="shared" ref="CB101:CH101" si="366">SUM(CB98:CB100)</f>
        <v>-11539.540000000048</v>
      </c>
      <c r="CC101" s="24">
        <f t="shared" si="366"/>
        <v>-15029.8</v>
      </c>
      <c r="CD101" s="24">
        <f t="shared" si="366"/>
        <v>-15324.49</v>
      </c>
      <c r="CE101" s="24">
        <f t="shared" si="366"/>
        <v>-15915.98</v>
      </c>
      <c r="CF101" s="24">
        <f t="shared" si="366"/>
        <v>-17210.95</v>
      </c>
      <c r="CG101" s="24">
        <f t="shared" si="366"/>
        <v>-18633.75</v>
      </c>
      <c r="CH101" s="24">
        <f t="shared" si="366"/>
        <v>-15831.93</v>
      </c>
      <c r="CI101" s="24">
        <f t="shared" ref="CI101:CM101" si="367">SUM(CI98:CI100)</f>
        <v>-12118.51</v>
      </c>
      <c r="CJ101" s="24">
        <f t="shared" si="367"/>
        <v>0</v>
      </c>
      <c r="CK101" s="24">
        <f t="shared" si="367"/>
        <v>0</v>
      </c>
      <c r="CL101" s="24">
        <f t="shared" si="367"/>
        <v>0</v>
      </c>
      <c r="CM101" s="24">
        <f t="shared" si="367"/>
        <v>0</v>
      </c>
    </row>
    <row r="102" spans="1:92" x14ac:dyDescent="0.2">
      <c r="B102" s="7" t="s">
        <v>199</v>
      </c>
      <c r="D102" s="17">
        <f>D97+D101</f>
        <v>0</v>
      </c>
      <c r="E102" s="17">
        <f t="shared" ref="E102:CA102" si="368">E97+E101</f>
        <v>0</v>
      </c>
      <c r="F102" s="17">
        <f t="shared" si="368"/>
        <v>0</v>
      </c>
      <c r="G102" s="17">
        <f t="shared" si="368"/>
        <v>0</v>
      </c>
      <c r="H102" s="17">
        <f t="shared" si="368"/>
        <v>0</v>
      </c>
      <c r="I102" s="17">
        <f t="shared" si="368"/>
        <v>0</v>
      </c>
      <c r="J102" s="17">
        <f t="shared" si="368"/>
        <v>0</v>
      </c>
      <c r="K102" s="17">
        <f t="shared" si="368"/>
        <v>0</v>
      </c>
      <c r="L102" s="17">
        <f t="shared" si="368"/>
        <v>0</v>
      </c>
      <c r="M102" s="17">
        <f t="shared" si="368"/>
        <v>0</v>
      </c>
      <c r="N102" s="17">
        <f t="shared" si="368"/>
        <v>0</v>
      </c>
      <c r="O102" s="17">
        <f t="shared" si="368"/>
        <v>0</v>
      </c>
      <c r="P102" s="17">
        <f t="shared" si="368"/>
        <v>0</v>
      </c>
      <c r="Q102" s="17">
        <f t="shared" si="368"/>
        <v>0</v>
      </c>
      <c r="R102" s="17">
        <f t="shared" si="368"/>
        <v>0</v>
      </c>
      <c r="S102" s="17">
        <f t="shared" si="368"/>
        <v>0</v>
      </c>
      <c r="T102" s="17">
        <f t="shared" si="368"/>
        <v>0</v>
      </c>
      <c r="U102" s="17">
        <f t="shared" si="368"/>
        <v>0</v>
      </c>
      <c r="V102" s="17">
        <f t="shared" si="368"/>
        <v>0</v>
      </c>
      <c r="W102" s="17">
        <f t="shared" si="368"/>
        <v>0</v>
      </c>
      <c r="X102" s="17">
        <f t="shared" si="368"/>
        <v>0</v>
      </c>
      <c r="Y102" s="17">
        <f t="shared" si="368"/>
        <v>0</v>
      </c>
      <c r="Z102" s="17">
        <f t="shared" si="368"/>
        <v>0</v>
      </c>
      <c r="AA102" s="17">
        <f t="shared" si="368"/>
        <v>0</v>
      </c>
      <c r="AB102" s="17">
        <f t="shared" si="368"/>
        <v>0</v>
      </c>
      <c r="AC102" s="17">
        <f t="shared" si="368"/>
        <v>0</v>
      </c>
      <c r="AD102" s="17">
        <f t="shared" si="368"/>
        <v>0</v>
      </c>
      <c r="AE102" s="17">
        <f t="shared" si="368"/>
        <v>0</v>
      </c>
      <c r="AF102" s="17">
        <f t="shared" si="368"/>
        <v>0</v>
      </c>
      <c r="AG102" s="17">
        <f t="shared" si="368"/>
        <v>0</v>
      </c>
      <c r="AH102" s="17">
        <f t="shared" si="368"/>
        <v>0</v>
      </c>
      <c r="AI102" s="17">
        <f t="shared" si="368"/>
        <v>0</v>
      </c>
      <c r="AJ102" s="17">
        <f t="shared" si="368"/>
        <v>0</v>
      </c>
      <c r="AK102" s="17">
        <f t="shared" si="368"/>
        <v>0</v>
      </c>
      <c r="AL102" s="17">
        <f t="shared" si="368"/>
        <v>0</v>
      </c>
      <c r="AM102" s="17">
        <f t="shared" si="368"/>
        <v>0</v>
      </c>
      <c r="AN102" s="17">
        <f t="shared" si="368"/>
        <v>0</v>
      </c>
      <c r="AO102" s="17">
        <f t="shared" si="368"/>
        <v>0</v>
      </c>
      <c r="AP102" s="17">
        <f t="shared" si="368"/>
        <v>0</v>
      </c>
      <c r="AQ102" s="17">
        <f t="shared" si="368"/>
        <v>0</v>
      </c>
      <c r="AR102" s="17">
        <f t="shared" si="368"/>
        <v>0</v>
      </c>
      <c r="AS102" s="17">
        <f t="shared" si="368"/>
        <v>0</v>
      </c>
      <c r="AT102" s="17">
        <f t="shared" si="368"/>
        <v>0</v>
      </c>
      <c r="AU102" s="17">
        <f t="shared" si="368"/>
        <v>0</v>
      </c>
      <c r="AV102" s="17">
        <f t="shared" si="368"/>
        <v>0</v>
      </c>
      <c r="AW102" s="17">
        <f t="shared" si="368"/>
        <v>0</v>
      </c>
      <c r="AX102" s="17">
        <f t="shared" si="368"/>
        <v>0</v>
      </c>
      <c r="AY102" s="17">
        <f t="shared" si="368"/>
        <v>0</v>
      </c>
      <c r="AZ102" s="17">
        <f t="shared" si="368"/>
        <v>0</v>
      </c>
      <c r="BA102" s="17">
        <f t="shared" si="368"/>
        <v>0</v>
      </c>
      <c r="BB102" s="17">
        <f t="shared" si="368"/>
        <v>0</v>
      </c>
      <c r="BC102" s="17">
        <f t="shared" si="368"/>
        <v>0</v>
      </c>
      <c r="BD102" s="17">
        <f t="shared" si="368"/>
        <v>0</v>
      </c>
      <c r="BE102" s="17">
        <f t="shared" si="368"/>
        <v>0</v>
      </c>
      <c r="BF102" s="17">
        <f t="shared" si="368"/>
        <v>0</v>
      </c>
      <c r="BG102" s="17">
        <f t="shared" si="368"/>
        <v>0</v>
      </c>
      <c r="BH102" s="17">
        <f t="shared" si="368"/>
        <v>0</v>
      </c>
      <c r="BI102" s="17">
        <f t="shared" si="368"/>
        <v>0</v>
      </c>
      <c r="BJ102" s="17">
        <f t="shared" si="368"/>
        <v>0</v>
      </c>
      <c r="BK102" s="17">
        <f t="shared" si="368"/>
        <v>-991.62777672766117</v>
      </c>
      <c r="BL102" s="17">
        <f t="shared" ref="BL102:BX102" si="369">BL97+BL101</f>
        <v>321178.2947732723</v>
      </c>
      <c r="BM102" s="17">
        <f t="shared" si="369"/>
        <v>337213.05477327231</v>
      </c>
      <c r="BN102" s="17">
        <f t="shared" si="369"/>
        <v>345163.39477327233</v>
      </c>
      <c r="BO102" s="17">
        <f t="shared" si="369"/>
        <v>347032.02477327234</v>
      </c>
      <c r="BP102" s="17">
        <f t="shared" si="369"/>
        <v>33063.740000000049</v>
      </c>
      <c r="BQ102" s="17">
        <f t="shared" si="369"/>
        <v>29120.230000000047</v>
      </c>
      <c r="BR102" s="17">
        <f t="shared" si="369"/>
        <v>24564.450000000048</v>
      </c>
      <c r="BS102" s="17">
        <f t="shared" si="369"/>
        <v>20057.290000000048</v>
      </c>
      <c r="BT102" s="17">
        <f t="shared" si="369"/>
        <v>15295.870000000048</v>
      </c>
      <c r="BU102" s="17">
        <f t="shared" si="369"/>
        <v>9769.7900000000482</v>
      </c>
      <c r="BV102" s="17">
        <f t="shared" si="369"/>
        <v>3282.7600000000484</v>
      </c>
      <c r="BW102" s="17">
        <f t="shared" si="369"/>
        <v>-3949.1799999999512</v>
      </c>
      <c r="BX102" s="17">
        <f t="shared" si="369"/>
        <v>-9748.0199999999513</v>
      </c>
      <c r="BY102" s="17">
        <f t="shared" si="368"/>
        <v>-19369.279999999952</v>
      </c>
      <c r="BZ102" s="17">
        <f t="shared" si="368"/>
        <v>-35191.709999999948</v>
      </c>
      <c r="CA102" s="17">
        <f t="shared" si="368"/>
        <v>-51644.699999999953</v>
      </c>
      <c r="CB102" s="17">
        <f t="shared" ref="CB102:CH102" si="370">CB97+CB101</f>
        <v>-63184.240000000005</v>
      </c>
      <c r="CC102" s="17">
        <f t="shared" si="370"/>
        <v>-78214.040000000008</v>
      </c>
      <c r="CD102" s="17">
        <f t="shared" si="370"/>
        <v>-93538.530000000013</v>
      </c>
      <c r="CE102" s="17">
        <f t="shared" si="370"/>
        <v>-109454.51000000001</v>
      </c>
      <c r="CF102" s="17">
        <f t="shared" si="370"/>
        <v>-126665.46</v>
      </c>
      <c r="CG102" s="17">
        <f t="shared" si="370"/>
        <v>-145299.21000000002</v>
      </c>
      <c r="CH102" s="17">
        <f t="shared" si="370"/>
        <v>-161131.14000000001</v>
      </c>
      <c r="CI102" s="17">
        <f t="shared" ref="CI102:CM102" si="371">CI97+CI101</f>
        <v>-173249.65000000002</v>
      </c>
      <c r="CJ102" s="17">
        <f t="shared" si="371"/>
        <v>-173249.65000000002</v>
      </c>
      <c r="CK102" s="17">
        <f t="shared" si="371"/>
        <v>-173249.65000000002</v>
      </c>
      <c r="CL102" s="17">
        <f t="shared" si="371"/>
        <v>-173249.65000000002</v>
      </c>
      <c r="CM102" s="17">
        <f t="shared" si="371"/>
        <v>-173249.65000000002</v>
      </c>
    </row>
    <row r="103" spans="1:92" x14ac:dyDescent="0.2"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59"/>
      <c r="AS103" s="159"/>
      <c r="AT103" s="159"/>
      <c r="AU103" s="159"/>
      <c r="AV103" s="159"/>
      <c r="AW103" s="159"/>
      <c r="AX103" s="159"/>
      <c r="AY103" s="159"/>
      <c r="AZ103" s="159"/>
      <c r="BA103" s="159"/>
      <c r="BB103" s="159"/>
      <c r="BC103" s="159"/>
      <c r="BD103" s="159"/>
      <c r="BE103" s="159"/>
      <c r="BF103" s="159"/>
      <c r="BG103" s="159"/>
      <c r="BH103" s="159"/>
      <c r="BI103" s="159"/>
      <c r="BJ103" s="159"/>
      <c r="BK103" s="159"/>
      <c r="BL103" s="159"/>
      <c r="BM103" s="159"/>
      <c r="BN103" s="159"/>
      <c r="BO103" s="159"/>
      <c r="BP103" s="159"/>
      <c r="BQ103" s="159"/>
      <c r="BR103" s="159"/>
      <c r="BS103" s="159"/>
      <c r="BT103" s="159"/>
      <c r="BU103" s="159"/>
      <c r="BV103" s="159"/>
      <c r="BW103" s="159"/>
      <c r="BX103" s="159"/>
      <c r="BY103" s="159"/>
      <c r="BZ103" s="159"/>
      <c r="CA103" s="159"/>
      <c r="CB103" s="159"/>
      <c r="CC103" s="159"/>
      <c r="CD103" s="159"/>
      <c r="CE103" s="159"/>
      <c r="CF103" s="159"/>
      <c r="CG103" s="159"/>
      <c r="CH103" s="159"/>
      <c r="CI103" s="17"/>
      <c r="CJ103" s="17"/>
      <c r="CK103" s="17"/>
      <c r="CL103" s="17"/>
      <c r="CM103" s="17"/>
    </row>
    <row r="104" spans="1:92" x14ac:dyDescent="0.2">
      <c r="A104" s="4" t="s">
        <v>212</v>
      </c>
      <c r="C104" s="15">
        <v>18237412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8"/>
      <c r="CL104" s="8"/>
      <c r="CM104" s="8"/>
    </row>
    <row r="105" spans="1:92" x14ac:dyDescent="0.2">
      <c r="B105" s="7" t="s">
        <v>195</v>
      </c>
      <c r="C105" s="15">
        <v>25400812</v>
      </c>
      <c r="D105" s="17">
        <v>0</v>
      </c>
      <c r="E105" s="17">
        <f>D110</f>
        <v>0</v>
      </c>
      <c r="F105" s="17">
        <f t="shared" ref="F105:CA105" si="372">E110</f>
        <v>0</v>
      </c>
      <c r="G105" s="17">
        <f t="shared" si="372"/>
        <v>0</v>
      </c>
      <c r="H105" s="17">
        <f t="shared" si="372"/>
        <v>0</v>
      </c>
      <c r="I105" s="17">
        <f t="shared" si="372"/>
        <v>0</v>
      </c>
      <c r="J105" s="17">
        <f t="shared" si="372"/>
        <v>0</v>
      </c>
      <c r="K105" s="17">
        <f t="shared" si="372"/>
        <v>0</v>
      </c>
      <c r="L105" s="17">
        <f t="shared" si="372"/>
        <v>0</v>
      </c>
      <c r="M105" s="17">
        <f t="shared" si="372"/>
        <v>0</v>
      </c>
      <c r="N105" s="17">
        <f t="shared" si="372"/>
        <v>0</v>
      </c>
      <c r="O105" s="17">
        <f t="shared" si="372"/>
        <v>0</v>
      </c>
      <c r="P105" s="17">
        <f t="shared" si="372"/>
        <v>0</v>
      </c>
      <c r="Q105" s="17">
        <f t="shared" si="372"/>
        <v>0</v>
      </c>
      <c r="R105" s="17">
        <f t="shared" si="372"/>
        <v>0</v>
      </c>
      <c r="S105" s="17">
        <f t="shared" si="372"/>
        <v>0</v>
      </c>
      <c r="T105" s="17">
        <f t="shared" si="372"/>
        <v>0</v>
      </c>
      <c r="U105" s="17">
        <f t="shared" si="372"/>
        <v>0</v>
      </c>
      <c r="V105" s="17">
        <f t="shared" si="372"/>
        <v>0</v>
      </c>
      <c r="W105" s="17">
        <f t="shared" si="372"/>
        <v>0</v>
      </c>
      <c r="X105" s="17">
        <f t="shared" si="372"/>
        <v>0</v>
      </c>
      <c r="Y105" s="17">
        <f t="shared" si="372"/>
        <v>0</v>
      </c>
      <c r="Z105" s="17">
        <f t="shared" si="372"/>
        <v>0</v>
      </c>
      <c r="AA105" s="17">
        <f t="shared" si="372"/>
        <v>0</v>
      </c>
      <c r="AB105" s="17">
        <f t="shared" si="372"/>
        <v>0</v>
      </c>
      <c r="AC105" s="17">
        <f t="shared" si="372"/>
        <v>0</v>
      </c>
      <c r="AD105" s="17">
        <f t="shared" si="372"/>
        <v>0</v>
      </c>
      <c r="AE105" s="17">
        <f t="shared" si="372"/>
        <v>0</v>
      </c>
      <c r="AF105" s="17">
        <f t="shared" si="372"/>
        <v>0</v>
      </c>
      <c r="AG105" s="17">
        <f t="shared" si="372"/>
        <v>0</v>
      </c>
      <c r="AH105" s="17">
        <f t="shared" si="372"/>
        <v>0</v>
      </c>
      <c r="AI105" s="17">
        <f t="shared" si="372"/>
        <v>0</v>
      </c>
      <c r="AJ105" s="17">
        <f t="shared" si="372"/>
        <v>0</v>
      </c>
      <c r="AK105" s="17">
        <f t="shared" si="372"/>
        <v>0</v>
      </c>
      <c r="AL105" s="17">
        <f t="shared" si="372"/>
        <v>0</v>
      </c>
      <c r="AM105" s="17">
        <f t="shared" si="372"/>
        <v>0</v>
      </c>
      <c r="AN105" s="17">
        <f t="shared" si="372"/>
        <v>0</v>
      </c>
      <c r="AO105" s="17">
        <f t="shared" si="372"/>
        <v>0</v>
      </c>
      <c r="AP105" s="17">
        <f t="shared" si="372"/>
        <v>0</v>
      </c>
      <c r="AQ105" s="17">
        <f t="shared" si="372"/>
        <v>0</v>
      </c>
      <c r="AR105" s="17">
        <f t="shared" si="372"/>
        <v>0</v>
      </c>
      <c r="AS105" s="17">
        <f t="shared" si="372"/>
        <v>0</v>
      </c>
      <c r="AT105" s="17">
        <f t="shared" si="372"/>
        <v>0</v>
      </c>
      <c r="AU105" s="17">
        <f t="shared" si="372"/>
        <v>0</v>
      </c>
      <c r="AV105" s="17">
        <f t="shared" si="372"/>
        <v>0</v>
      </c>
      <c r="AW105" s="17">
        <f t="shared" si="372"/>
        <v>0</v>
      </c>
      <c r="AX105" s="17">
        <f t="shared" si="372"/>
        <v>0</v>
      </c>
      <c r="AY105" s="17">
        <f t="shared" si="372"/>
        <v>0</v>
      </c>
      <c r="AZ105" s="17">
        <f t="shared" si="372"/>
        <v>0</v>
      </c>
      <c r="BA105" s="17">
        <f t="shared" si="372"/>
        <v>0</v>
      </c>
      <c r="BB105" s="17">
        <f t="shared" si="372"/>
        <v>0</v>
      </c>
      <c r="BC105" s="17">
        <f t="shared" si="372"/>
        <v>0</v>
      </c>
      <c r="BD105" s="17">
        <f t="shared" si="372"/>
        <v>0</v>
      </c>
      <c r="BE105" s="17">
        <f t="shared" si="372"/>
        <v>0</v>
      </c>
      <c r="BF105" s="17">
        <f t="shared" si="372"/>
        <v>0</v>
      </c>
      <c r="BG105" s="17">
        <f t="shared" si="372"/>
        <v>0</v>
      </c>
      <c r="BH105" s="17">
        <f t="shared" si="372"/>
        <v>0</v>
      </c>
      <c r="BI105" s="17">
        <f t="shared" si="372"/>
        <v>0</v>
      </c>
      <c r="BJ105" s="17">
        <f t="shared" si="372"/>
        <v>0</v>
      </c>
      <c r="BK105" s="17">
        <f t="shared" si="372"/>
        <v>0</v>
      </c>
      <c r="BL105" s="17">
        <f t="shared" ref="BL105" si="373">BK110</f>
        <v>98.070075554343177</v>
      </c>
      <c r="BM105" s="17">
        <f t="shared" ref="BM105" si="374">BL110</f>
        <v>137536.97752555431</v>
      </c>
      <c r="BN105" s="17">
        <f t="shared" ref="BN105" si="375">BM110</f>
        <v>146888.17752555432</v>
      </c>
      <c r="BO105" s="17">
        <f t="shared" ref="BO105" si="376">BN110</f>
        <v>155654.83752555432</v>
      </c>
      <c r="BP105" s="17">
        <f t="shared" ref="BP105" si="377">BO110</f>
        <v>164542.10752555431</v>
      </c>
      <c r="BQ105" s="17">
        <f t="shared" ref="BQ105" si="378">BP110</f>
        <v>39624.929999999993</v>
      </c>
      <c r="BR105" s="17">
        <f t="shared" ref="BR105" si="379">BQ110</f>
        <v>45815.789999999994</v>
      </c>
      <c r="BS105" s="17">
        <f t="shared" ref="BS105" si="380">BR110</f>
        <v>52144.289999999994</v>
      </c>
      <c r="BT105" s="17">
        <f t="shared" ref="BT105" si="381">BS110</f>
        <v>57107.34</v>
      </c>
      <c r="BU105" s="17">
        <f t="shared" ref="BU105" si="382">BT110</f>
        <v>60134.53</v>
      </c>
      <c r="BV105" s="17">
        <f t="shared" ref="BV105" si="383">BU110</f>
        <v>62701.85</v>
      </c>
      <c r="BW105" s="17">
        <f t="shared" ref="BW105" si="384">BV110</f>
        <v>64801.32</v>
      </c>
      <c r="BX105" s="17">
        <f t="shared" ref="BX105" si="385">BW110</f>
        <v>66607.31</v>
      </c>
      <c r="BY105" s="17">
        <f t="shared" si="372"/>
        <v>68490.02</v>
      </c>
      <c r="BZ105" s="17">
        <f t="shared" si="372"/>
        <v>70035.360000000001</v>
      </c>
      <c r="CA105" s="17">
        <f t="shared" si="372"/>
        <v>71039.28</v>
      </c>
      <c r="CB105" s="17">
        <f t="shared" ref="CB105" si="386">CA110</f>
        <v>71551.539999999994</v>
      </c>
      <c r="CC105" s="17">
        <f t="shared" ref="CC105" si="387">CB110</f>
        <v>4597.179999999993</v>
      </c>
      <c r="CD105" s="17">
        <f t="shared" ref="CD105" si="388">CC110</f>
        <v>2654.1499999999933</v>
      </c>
      <c r="CE105" s="17">
        <f t="shared" ref="CE105" si="389">CD110</f>
        <v>-693.25000000000682</v>
      </c>
      <c r="CF105" s="17">
        <f t="shared" ref="CF105" si="390">CE110</f>
        <v>-4859.4200000000073</v>
      </c>
      <c r="CG105" s="17">
        <f t="shared" ref="CG105" si="391">CF110</f>
        <v>-10110.790000000008</v>
      </c>
      <c r="CH105" s="17">
        <f t="shared" ref="CH105" si="392">CG110</f>
        <v>-16054.950000000008</v>
      </c>
      <c r="CI105" s="17">
        <f t="shared" ref="CI105" si="393">CH110</f>
        <v>-22352.960000000006</v>
      </c>
      <c r="CJ105" s="17">
        <f t="shared" ref="CJ105" si="394">CI110</f>
        <v>-28618.620000000006</v>
      </c>
      <c r="CK105" s="17">
        <f t="shared" ref="CK105" si="395">CJ110</f>
        <v>-28618.620000000006</v>
      </c>
      <c r="CL105" s="17">
        <f t="shared" ref="CL105" si="396">CK110</f>
        <v>-28618.620000000006</v>
      </c>
      <c r="CM105" s="17">
        <f t="shared" ref="CM105" si="397">CL110</f>
        <v>-28618.620000000006</v>
      </c>
    </row>
    <row r="106" spans="1:92" x14ac:dyDescent="0.2">
      <c r="A106" s="25"/>
      <c r="B106" s="21" t="s">
        <v>196</v>
      </c>
      <c r="C106" s="26"/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>
        <v>0</v>
      </c>
      <c r="AB106" s="23">
        <v>0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  <c r="AJ106" s="23">
        <v>0</v>
      </c>
      <c r="AK106" s="23">
        <v>0</v>
      </c>
      <c r="AL106" s="23">
        <v>0</v>
      </c>
      <c r="AM106" s="23">
        <v>0</v>
      </c>
      <c r="AN106" s="23">
        <v>0</v>
      </c>
      <c r="AO106" s="23">
        <v>0</v>
      </c>
      <c r="AP106" s="23">
        <v>0</v>
      </c>
      <c r="AQ106" s="23">
        <v>0</v>
      </c>
      <c r="AR106" s="23">
        <v>0</v>
      </c>
      <c r="AS106" s="23">
        <v>0</v>
      </c>
      <c r="AT106" s="23">
        <v>0</v>
      </c>
      <c r="AU106" s="23">
        <v>0</v>
      </c>
      <c r="AV106" s="23">
        <v>0</v>
      </c>
      <c r="AW106" s="23">
        <v>0</v>
      </c>
      <c r="AX106" s="23">
        <v>0</v>
      </c>
      <c r="AY106" s="23">
        <v>0</v>
      </c>
      <c r="AZ106" s="23">
        <v>0</v>
      </c>
      <c r="BA106" s="23">
        <v>0</v>
      </c>
      <c r="BB106" s="23">
        <v>0</v>
      </c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  <c r="BI106" s="23">
        <v>0</v>
      </c>
      <c r="BJ106" s="23">
        <v>0</v>
      </c>
      <c r="BK106" s="23">
        <v>0</v>
      </c>
      <c r="BL106" s="23">
        <v>0</v>
      </c>
      <c r="BM106" s="23">
        <v>0</v>
      </c>
      <c r="BN106" s="23">
        <v>0</v>
      </c>
      <c r="BO106" s="23">
        <v>0</v>
      </c>
      <c r="BP106" s="23">
        <v>-132395.48752555432</v>
      </c>
      <c r="BQ106" s="23">
        <v>0</v>
      </c>
      <c r="BR106" s="23">
        <v>0</v>
      </c>
      <c r="BS106" s="23">
        <v>0</v>
      </c>
      <c r="BT106" s="23">
        <v>0</v>
      </c>
      <c r="BU106" s="23">
        <v>0</v>
      </c>
      <c r="BV106" s="23">
        <v>0</v>
      </c>
      <c r="BW106" s="23">
        <v>0</v>
      </c>
      <c r="BX106" s="23">
        <v>0</v>
      </c>
      <c r="BY106" s="23">
        <v>0</v>
      </c>
      <c r="BZ106" s="23">
        <v>0</v>
      </c>
      <c r="CA106" s="23">
        <v>0</v>
      </c>
      <c r="CB106" s="23">
        <v>-66607.31</v>
      </c>
      <c r="CC106" s="20">
        <v>0</v>
      </c>
      <c r="CD106" s="20">
        <v>0</v>
      </c>
      <c r="CE106" s="20">
        <v>0</v>
      </c>
      <c r="CF106" s="20">
        <v>0</v>
      </c>
      <c r="CG106" s="20">
        <v>0</v>
      </c>
      <c r="CH106" s="20">
        <v>0</v>
      </c>
      <c r="CI106" s="20">
        <v>0</v>
      </c>
      <c r="CJ106" s="20"/>
      <c r="CK106" s="20"/>
      <c r="CL106" s="20"/>
      <c r="CM106" s="20"/>
    </row>
    <row r="107" spans="1:92" x14ac:dyDescent="0.2">
      <c r="A107" s="25"/>
      <c r="B107" s="21" t="s">
        <v>211</v>
      </c>
      <c r="C107" s="26"/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23">
        <v>0</v>
      </c>
      <c r="AJ107" s="23">
        <v>0</v>
      </c>
      <c r="AK107" s="23">
        <v>0</v>
      </c>
      <c r="AL107" s="23">
        <v>0</v>
      </c>
      <c r="AM107" s="23">
        <v>0</v>
      </c>
      <c r="AN107" s="23">
        <v>0</v>
      </c>
      <c r="AO107" s="23">
        <v>0</v>
      </c>
      <c r="AP107" s="23">
        <v>0</v>
      </c>
      <c r="AQ107" s="23">
        <v>0</v>
      </c>
      <c r="AR107" s="23">
        <v>0</v>
      </c>
      <c r="AS107" s="23">
        <v>0</v>
      </c>
      <c r="AT107" s="23">
        <v>0</v>
      </c>
      <c r="AU107" s="23">
        <v>0</v>
      </c>
      <c r="AV107" s="23">
        <v>0</v>
      </c>
      <c r="AW107" s="23">
        <v>0</v>
      </c>
      <c r="AX107" s="23">
        <v>0</v>
      </c>
      <c r="AY107" s="23">
        <v>0</v>
      </c>
      <c r="AZ107" s="23">
        <v>0</v>
      </c>
      <c r="BA107" s="23">
        <v>0</v>
      </c>
      <c r="BB107" s="23">
        <v>0</v>
      </c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  <c r="BI107" s="23">
        <v>0</v>
      </c>
      <c r="BJ107" s="23">
        <v>0</v>
      </c>
      <c r="BK107" s="23">
        <v>0</v>
      </c>
      <c r="BL107" s="23">
        <v>132297.41744999998</v>
      </c>
      <c r="BM107" s="23">
        <v>0</v>
      </c>
      <c r="BN107" s="23">
        <v>0</v>
      </c>
      <c r="BO107" s="23">
        <v>0</v>
      </c>
      <c r="BP107" s="23">
        <v>0</v>
      </c>
      <c r="BQ107" s="23">
        <v>0</v>
      </c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0">
        <v>0</v>
      </c>
      <c r="CD107" s="20">
        <v>0</v>
      </c>
      <c r="CE107" s="20">
        <v>0</v>
      </c>
      <c r="CF107" s="20">
        <v>0</v>
      </c>
      <c r="CG107" s="20">
        <v>0</v>
      </c>
      <c r="CH107" s="20">
        <v>0</v>
      </c>
      <c r="CI107" s="20">
        <v>0</v>
      </c>
      <c r="CJ107" s="20"/>
      <c r="CK107" s="20"/>
      <c r="CL107" s="20"/>
      <c r="CM107" s="20"/>
    </row>
    <row r="108" spans="1:92" x14ac:dyDescent="0.2">
      <c r="A108" s="21"/>
      <c r="B108" s="21" t="s">
        <v>209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v>0</v>
      </c>
      <c r="AI108" s="23">
        <v>0</v>
      </c>
      <c r="AJ108" s="23">
        <v>0</v>
      </c>
      <c r="AK108" s="23">
        <v>0</v>
      </c>
      <c r="AL108" s="23">
        <v>0</v>
      </c>
      <c r="AM108" s="23">
        <v>0</v>
      </c>
      <c r="AN108" s="23">
        <v>0</v>
      </c>
      <c r="AO108" s="23">
        <v>0</v>
      </c>
      <c r="AP108" s="23">
        <v>0</v>
      </c>
      <c r="AQ108" s="23">
        <v>0</v>
      </c>
      <c r="AR108" s="23">
        <v>0</v>
      </c>
      <c r="AS108" s="23">
        <v>0</v>
      </c>
      <c r="AT108" s="23">
        <v>0</v>
      </c>
      <c r="AU108" s="23">
        <v>0</v>
      </c>
      <c r="AV108" s="23">
        <v>0</v>
      </c>
      <c r="AW108" s="23">
        <v>0</v>
      </c>
      <c r="AX108" s="23">
        <v>0</v>
      </c>
      <c r="AY108" s="23">
        <v>0</v>
      </c>
      <c r="AZ108" s="23">
        <v>0</v>
      </c>
      <c r="BA108" s="23">
        <v>0</v>
      </c>
      <c r="BB108" s="23">
        <v>0</v>
      </c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  <c r="BI108" s="23">
        <v>0</v>
      </c>
      <c r="BJ108" s="23">
        <v>0</v>
      </c>
      <c r="BK108" s="23">
        <v>98.070075554343177</v>
      </c>
      <c r="BL108" s="23">
        <v>5141.49</v>
      </c>
      <c r="BM108" s="23">
        <v>9351.2000000000007</v>
      </c>
      <c r="BN108" s="23">
        <v>8766.66</v>
      </c>
      <c r="BO108" s="23">
        <v>8887.27</v>
      </c>
      <c r="BP108" s="23">
        <v>7478.31</v>
      </c>
      <c r="BQ108" s="23">
        <v>6190.86</v>
      </c>
      <c r="BR108" s="23">
        <v>6328.5</v>
      </c>
      <c r="BS108" s="23">
        <v>4963.05</v>
      </c>
      <c r="BT108" s="23">
        <v>3027.19</v>
      </c>
      <c r="BU108" s="23">
        <v>2567.3200000000002</v>
      </c>
      <c r="BV108" s="23">
        <v>2099.4699999999998</v>
      </c>
      <c r="BW108" s="23">
        <v>1805.99</v>
      </c>
      <c r="BX108" s="22">
        <f>'Sch 41&amp;86 Deferral Calc'!C16</f>
        <v>1882.71</v>
      </c>
      <c r="BY108" s="22">
        <f>'Sch 41&amp;86 Deferral Calc'!D16</f>
        <v>1545.34</v>
      </c>
      <c r="BZ108" s="22">
        <f>'Sch 41&amp;86 Deferral Calc'!E16</f>
        <v>1003.92</v>
      </c>
      <c r="CA108" s="22">
        <f>'Sch 41&amp;86 Deferral Calc'!F16</f>
        <v>512.26</v>
      </c>
      <c r="CB108" s="22">
        <f>'Sch 41&amp;86 Deferral Calc'!G16</f>
        <v>-347.05</v>
      </c>
      <c r="CC108" s="22">
        <f>'Sch 41&amp;86 Deferral Calc'!H16</f>
        <v>-1943.03</v>
      </c>
      <c r="CD108" s="22">
        <f>'Sch 41&amp;86 Deferral Calc'!I16</f>
        <v>-3347.4</v>
      </c>
      <c r="CE108" s="22">
        <f>'Sch 41&amp;86 Deferral Calc'!J16</f>
        <v>-4166.17</v>
      </c>
      <c r="CF108" s="22">
        <f>'Sch 41&amp;86 Deferral Calc'!K16</f>
        <v>-5251.37</v>
      </c>
      <c r="CG108" s="22">
        <f>'Sch 41&amp;86 Deferral Calc'!L16</f>
        <v>-5944.16</v>
      </c>
      <c r="CH108" s="22">
        <f>'Sch 41&amp;86 Deferral Calc'!M16</f>
        <v>-6298.01</v>
      </c>
      <c r="CI108" s="22">
        <f>'Sch 41&amp;86 Deferral Calc'!N16</f>
        <v>-6265.66</v>
      </c>
      <c r="CJ108" s="22"/>
      <c r="CK108" s="22"/>
      <c r="CL108" s="22"/>
      <c r="CM108" s="22"/>
    </row>
    <row r="109" spans="1:92" x14ac:dyDescent="0.2">
      <c r="B109" s="7" t="s">
        <v>198</v>
      </c>
      <c r="D109" s="24">
        <f t="shared" ref="D109:CA109" si="398">SUM(D106:D108)</f>
        <v>0</v>
      </c>
      <c r="E109" s="24">
        <f t="shared" si="398"/>
        <v>0</v>
      </c>
      <c r="F109" s="24">
        <f t="shared" si="398"/>
        <v>0</v>
      </c>
      <c r="G109" s="24">
        <f t="shared" si="398"/>
        <v>0</v>
      </c>
      <c r="H109" s="24">
        <f t="shared" si="398"/>
        <v>0</v>
      </c>
      <c r="I109" s="24">
        <f t="shared" si="398"/>
        <v>0</v>
      </c>
      <c r="J109" s="24">
        <f t="shared" si="398"/>
        <v>0</v>
      </c>
      <c r="K109" s="24">
        <f t="shared" si="398"/>
        <v>0</v>
      </c>
      <c r="L109" s="24">
        <f t="shared" si="398"/>
        <v>0</v>
      </c>
      <c r="M109" s="24">
        <f t="shared" si="398"/>
        <v>0</v>
      </c>
      <c r="N109" s="24">
        <f t="shared" si="398"/>
        <v>0</v>
      </c>
      <c r="O109" s="24">
        <f t="shared" si="398"/>
        <v>0</v>
      </c>
      <c r="P109" s="24">
        <f t="shared" si="398"/>
        <v>0</v>
      </c>
      <c r="Q109" s="24">
        <f t="shared" si="398"/>
        <v>0</v>
      </c>
      <c r="R109" s="24">
        <f t="shared" si="398"/>
        <v>0</v>
      </c>
      <c r="S109" s="24">
        <f t="shared" si="398"/>
        <v>0</v>
      </c>
      <c r="T109" s="24">
        <f t="shared" si="398"/>
        <v>0</v>
      </c>
      <c r="U109" s="24">
        <f t="shared" si="398"/>
        <v>0</v>
      </c>
      <c r="V109" s="24">
        <f t="shared" si="398"/>
        <v>0</v>
      </c>
      <c r="W109" s="24">
        <f t="shared" si="398"/>
        <v>0</v>
      </c>
      <c r="X109" s="24">
        <f t="shared" si="398"/>
        <v>0</v>
      </c>
      <c r="Y109" s="24">
        <f t="shared" si="398"/>
        <v>0</v>
      </c>
      <c r="Z109" s="24">
        <f t="shared" si="398"/>
        <v>0</v>
      </c>
      <c r="AA109" s="24">
        <f t="shared" si="398"/>
        <v>0</v>
      </c>
      <c r="AB109" s="24">
        <f t="shared" si="398"/>
        <v>0</v>
      </c>
      <c r="AC109" s="24">
        <f t="shared" si="398"/>
        <v>0</v>
      </c>
      <c r="AD109" s="24">
        <f t="shared" si="398"/>
        <v>0</v>
      </c>
      <c r="AE109" s="24">
        <f t="shared" si="398"/>
        <v>0</v>
      </c>
      <c r="AF109" s="24">
        <f t="shared" si="398"/>
        <v>0</v>
      </c>
      <c r="AG109" s="24">
        <f t="shared" si="398"/>
        <v>0</v>
      </c>
      <c r="AH109" s="24">
        <f t="shared" si="398"/>
        <v>0</v>
      </c>
      <c r="AI109" s="24">
        <f t="shared" si="398"/>
        <v>0</v>
      </c>
      <c r="AJ109" s="24">
        <f t="shared" si="398"/>
        <v>0</v>
      </c>
      <c r="AK109" s="24">
        <f t="shared" si="398"/>
        <v>0</v>
      </c>
      <c r="AL109" s="24">
        <f t="shared" si="398"/>
        <v>0</v>
      </c>
      <c r="AM109" s="24">
        <f t="shared" si="398"/>
        <v>0</v>
      </c>
      <c r="AN109" s="24">
        <f t="shared" si="398"/>
        <v>0</v>
      </c>
      <c r="AO109" s="24">
        <f t="shared" si="398"/>
        <v>0</v>
      </c>
      <c r="AP109" s="24">
        <f t="shared" si="398"/>
        <v>0</v>
      </c>
      <c r="AQ109" s="24">
        <f t="shared" si="398"/>
        <v>0</v>
      </c>
      <c r="AR109" s="24">
        <f t="shared" si="398"/>
        <v>0</v>
      </c>
      <c r="AS109" s="24">
        <f t="shared" si="398"/>
        <v>0</v>
      </c>
      <c r="AT109" s="24">
        <f t="shared" si="398"/>
        <v>0</v>
      </c>
      <c r="AU109" s="24">
        <f t="shared" si="398"/>
        <v>0</v>
      </c>
      <c r="AV109" s="24">
        <f t="shared" si="398"/>
        <v>0</v>
      </c>
      <c r="AW109" s="24">
        <f t="shared" si="398"/>
        <v>0</v>
      </c>
      <c r="AX109" s="24">
        <f t="shared" si="398"/>
        <v>0</v>
      </c>
      <c r="AY109" s="24">
        <f t="shared" si="398"/>
        <v>0</v>
      </c>
      <c r="AZ109" s="24">
        <f t="shared" si="398"/>
        <v>0</v>
      </c>
      <c r="BA109" s="24">
        <f t="shared" si="398"/>
        <v>0</v>
      </c>
      <c r="BB109" s="24">
        <f t="shared" si="398"/>
        <v>0</v>
      </c>
      <c r="BC109" s="24">
        <f t="shared" si="398"/>
        <v>0</v>
      </c>
      <c r="BD109" s="24">
        <f t="shared" si="398"/>
        <v>0</v>
      </c>
      <c r="BE109" s="24">
        <f t="shared" si="398"/>
        <v>0</v>
      </c>
      <c r="BF109" s="24">
        <f t="shared" si="398"/>
        <v>0</v>
      </c>
      <c r="BG109" s="24">
        <f t="shared" si="398"/>
        <v>0</v>
      </c>
      <c r="BH109" s="24">
        <f t="shared" si="398"/>
        <v>0</v>
      </c>
      <c r="BI109" s="24">
        <f t="shared" si="398"/>
        <v>0</v>
      </c>
      <c r="BJ109" s="24">
        <f t="shared" si="398"/>
        <v>0</v>
      </c>
      <c r="BK109" s="24">
        <f t="shared" si="398"/>
        <v>98.070075554343177</v>
      </c>
      <c r="BL109" s="24">
        <f t="shared" ref="BL109:BX109" si="399">SUM(BL106:BL108)</f>
        <v>137438.90744999997</v>
      </c>
      <c r="BM109" s="24">
        <f t="shared" si="399"/>
        <v>9351.2000000000007</v>
      </c>
      <c r="BN109" s="24">
        <f t="shared" si="399"/>
        <v>8766.66</v>
      </c>
      <c r="BO109" s="24">
        <f t="shared" si="399"/>
        <v>8887.27</v>
      </c>
      <c r="BP109" s="24">
        <f t="shared" si="399"/>
        <v>-124917.17752555432</v>
      </c>
      <c r="BQ109" s="24">
        <f t="shared" si="399"/>
        <v>6190.86</v>
      </c>
      <c r="BR109" s="24">
        <f t="shared" si="399"/>
        <v>6328.5</v>
      </c>
      <c r="BS109" s="24">
        <f t="shared" si="399"/>
        <v>4963.05</v>
      </c>
      <c r="BT109" s="24">
        <f t="shared" si="399"/>
        <v>3027.19</v>
      </c>
      <c r="BU109" s="24">
        <f t="shared" si="399"/>
        <v>2567.3200000000002</v>
      </c>
      <c r="BV109" s="24">
        <f t="shared" si="399"/>
        <v>2099.4699999999998</v>
      </c>
      <c r="BW109" s="24">
        <f t="shared" si="399"/>
        <v>1805.99</v>
      </c>
      <c r="BX109" s="24">
        <f t="shared" si="399"/>
        <v>1882.71</v>
      </c>
      <c r="BY109" s="24">
        <f t="shared" si="398"/>
        <v>1545.34</v>
      </c>
      <c r="BZ109" s="24">
        <f t="shared" si="398"/>
        <v>1003.92</v>
      </c>
      <c r="CA109" s="24">
        <f t="shared" si="398"/>
        <v>512.26</v>
      </c>
      <c r="CB109" s="24">
        <f t="shared" ref="CB109:CH109" si="400">SUM(CB106:CB108)</f>
        <v>-66954.36</v>
      </c>
      <c r="CC109" s="24">
        <f t="shared" si="400"/>
        <v>-1943.03</v>
      </c>
      <c r="CD109" s="24">
        <f t="shared" si="400"/>
        <v>-3347.4</v>
      </c>
      <c r="CE109" s="24">
        <f t="shared" si="400"/>
        <v>-4166.17</v>
      </c>
      <c r="CF109" s="24">
        <f t="shared" si="400"/>
        <v>-5251.37</v>
      </c>
      <c r="CG109" s="24">
        <f t="shared" si="400"/>
        <v>-5944.16</v>
      </c>
      <c r="CH109" s="24">
        <f t="shared" si="400"/>
        <v>-6298.01</v>
      </c>
      <c r="CI109" s="24">
        <f t="shared" ref="CI109:CM109" si="401">SUM(CI106:CI108)</f>
        <v>-6265.66</v>
      </c>
      <c r="CJ109" s="24">
        <f t="shared" si="401"/>
        <v>0</v>
      </c>
      <c r="CK109" s="24">
        <f t="shared" si="401"/>
        <v>0</v>
      </c>
      <c r="CL109" s="24">
        <f t="shared" si="401"/>
        <v>0</v>
      </c>
      <c r="CM109" s="24">
        <f t="shared" si="401"/>
        <v>0</v>
      </c>
    </row>
    <row r="110" spans="1:92" x14ac:dyDescent="0.2">
      <c r="B110" s="7" t="s">
        <v>199</v>
      </c>
      <c r="D110" s="17">
        <f>D105+D109</f>
        <v>0</v>
      </c>
      <c r="E110" s="17">
        <f t="shared" ref="E110:CA110" si="402">E105+E109</f>
        <v>0</v>
      </c>
      <c r="F110" s="17">
        <f t="shared" si="402"/>
        <v>0</v>
      </c>
      <c r="G110" s="17">
        <f t="shared" si="402"/>
        <v>0</v>
      </c>
      <c r="H110" s="17">
        <f t="shared" si="402"/>
        <v>0</v>
      </c>
      <c r="I110" s="17">
        <f t="shared" si="402"/>
        <v>0</v>
      </c>
      <c r="J110" s="17">
        <f t="shared" si="402"/>
        <v>0</v>
      </c>
      <c r="K110" s="17">
        <f t="shared" si="402"/>
        <v>0</v>
      </c>
      <c r="L110" s="17">
        <f t="shared" si="402"/>
        <v>0</v>
      </c>
      <c r="M110" s="17">
        <f t="shared" si="402"/>
        <v>0</v>
      </c>
      <c r="N110" s="17">
        <f t="shared" si="402"/>
        <v>0</v>
      </c>
      <c r="O110" s="17">
        <f t="shared" si="402"/>
        <v>0</v>
      </c>
      <c r="P110" s="17">
        <f t="shared" si="402"/>
        <v>0</v>
      </c>
      <c r="Q110" s="17">
        <f t="shared" si="402"/>
        <v>0</v>
      </c>
      <c r="R110" s="17">
        <f t="shared" si="402"/>
        <v>0</v>
      </c>
      <c r="S110" s="17">
        <f t="shared" si="402"/>
        <v>0</v>
      </c>
      <c r="T110" s="17">
        <f t="shared" si="402"/>
        <v>0</v>
      </c>
      <c r="U110" s="17">
        <f t="shared" si="402"/>
        <v>0</v>
      </c>
      <c r="V110" s="17">
        <f t="shared" si="402"/>
        <v>0</v>
      </c>
      <c r="W110" s="17">
        <f t="shared" si="402"/>
        <v>0</v>
      </c>
      <c r="X110" s="17">
        <f t="shared" si="402"/>
        <v>0</v>
      </c>
      <c r="Y110" s="17">
        <f t="shared" si="402"/>
        <v>0</v>
      </c>
      <c r="Z110" s="17">
        <f t="shared" si="402"/>
        <v>0</v>
      </c>
      <c r="AA110" s="17">
        <f t="shared" si="402"/>
        <v>0</v>
      </c>
      <c r="AB110" s="17">
        <f t="shared" si="402"/>
        <v>0</v>
      </c>
      <c r="AC110" s="17">
        <f t="shared" si="402"/>
        <v>0</v>
      </c>
      <c r="AD110" s="17">
        <f t="shared" si="402"/>
        <v>0</v>
      </c>
      <c r="AE110" s="17">
        <f t="shared" si="402"/>
        <v>0</v>
      </c>
      <c r="AF110" s="17">
        <f t="shared" si="402"/>
        <v>0</v>
      </c>
      <c r="AG110" s="17">
        <f t="shared" si="402"/>
        <v>0</v>
      </c>
      <c r="AH110" s="17">
        <f t="shared" si="402"/>
        <v>0</v>
      </c>
      <c r="AI110" s="17">
        <f t="shared" si="402"/>
        <v>0</v>
      </c>
      <c r="AJ110" s="17">
        <f t="shared" si="402"/>
        <v>0</v>
      </c>
      <c r="AK110" s="17">
        <f t="shared" si="402"/>
        <v>0</v>
      </c>
      <c r="AL110" s="17">
        <f t="shared" si="402"/>
        <v>0</v>
      </c>
      <c r="AM110" s="17">
        <f t="shared" si="402"/>
        <v>0</v>
      </c>
      <c r="AN110" s="17">
        <f t="shared" si="402"/>
        <v>0</v>
      </c>
      <c r="AO110" s="17">
        <f t="shared" si="402"/>
        <v>0</v>
      </c>
      <c r="AP110" s="17">
        <f t="shared" si="402"/>
        <v>0</v>
      </c>
      <c r="AQ110" s="17">
        <f t="shared" si="402"/>
        <v>0</v>
      </c>
      <c r="AR110" s="17">
        <f t="shared" si="402"/>
        <v>0</v>
      </c>
      <c r="AS110" s="17">
        <f t="shared" si="402"/>
        <v>0</v>
      </c>
      <c r="AT110" s="17">
        <f t="shared" si="402"/>
        <v>0</v>
      </c>
      <c r="AU110" s="17">
        <f t="shared" si="402"/>
        <v>0</v>
      </c>
      <c r="AV110" s="17">
        <f t="shared" si="402"/>
        <v>0</v>
      </c>
      <c r="AW110" s="17">
        <f t="shared" si="402"/>
        <v>0</v>
      </c>
      <c r="AX110" s="17">
        <f t="shared" si="402"/>
        <v>0</v>
      </c>
      <c r="AY110" s="17">
        <f t="shared" si="402"/>
        <v>0</v>
      </c>
      <c r="AZ110" s="17">
        <f t="shared" si="402"/>
        <v>0</v>
      </c>
      <c r="BA110" s="17">
        <f t="shared" si="402"/>
        <v>0</v>
      </c>
      <c r="BB110" s="17">
        <f t="shared" si="402"/>
        <v>0</v>
      </c>
      <c r="BC110" s="17">
        <f t="shared" si="402"/>
        <v>0</v>
      </c>
      <c r="BD110" s="17">
        <f t="shared" si="402"/>
        <v>0</v>
      </c>
      <c r="BE110" s="17">
        <f t="shared" si="402"/>
        <v>0</v>
      </c>
      <c r="BF110" s="17">
        <f t="shared" si="402"/>
        <v>0</v>
      </c>
      <c r="BG110" s="17">
        <f t="shared" si="402"/>
        <v>0</v>
      </c>
      <c r="BH110" s="17">
        <f t="shared" si="402"/>
        <v>0</v>
      </c>
      <c r="BI110" s="17">
        <f t="shared" si="402"/>
        <v>0</v>
      </c>
      <c r="BJ110" s="17">
        <f t="shared" si="402"/>
        <v>0</v>
      </c>
      <c r="BK110" s="17">
        <f t="shared" si="402"/>
        <v>98.070075554343177</v>
      </c>
      <c r="BL110" s="17">
        <f t="shared" ref="BL110:BX110" si="403">BL105+BL109</f>
        <v>137536.97752555431</v>
      </c>
      <c r="BM110" s="17">
        <f t="shared" si="403"/>
        <v>146888.17752555432</v>
      </c>
      <c r="BN110" s="17">
        <f t="shared" si="403"/>
        <v>155654.83752555432</v>
      </c>
      <c r="BO110" s="17">
        <f t="shared" si="403"/>
        <v>164542.10752555431</v>
      </c>
      <c r="BP110" s="17">
        <f t="shared" si="403"/>
        <v>39624.929999999993</v>
      </c>
      <c r="BQ110" s="17">
        <f t="shared" si="403"/>
        <v>45815.789999999994</v>
      </c>
      <c r="BR110" s="17">
        <f t="shared" si="403"/>
        <v>52144.289999999994</v>
      </c>
      <c r="BS110" s="17">
        <f t="shared" si="403"/>
        <v>57107.34</v>
      </c>
      <c r="BT110" s="17">
        <f t="shared" si="403"/>
        <v>60134.53</v>
      </c>
      <c r="BU110" s="17">
        <f t="shared" si="403"/>
        <v>62701.85</v>
      </c>
      <c r="BV110" s="17">
        <f t="shared" si="403"/>
        <v>64801.32</v>
      </c>
      <c r="BW110" s="17">
        <f t="shared" si="403"/>
        <v>66607.31</v>
      </c>
      <c r="BX110" s="17">
        <f t="shared" si="403"/>
        <v>68490.02</v>
      </c>
      <c r="BY110" s="17">
        <f t="shared" si="402"/>
        <v>70035.360000000001</v>
      </c>
      <c r="BZ110" s="17">
        <f t="shared" si="402"/>
        <v>71039.28</v>
      </c>
      <c r="CA110" s="17">
        <f t="shared" si="402"/>
        <v>71551.539999999994</v>
      </c>
      <c r="CB110" s="17">
        <f t="shared" ref="CB110:CH110" si="404">CB105+CB109</f>
        <v>4597.179999999993</v>
      </c>
      <c r="CC110" s="17">
        <f t="shared" si="404"/>
        <v>2654.1499999999933</v>
      </c>
      <c r="CD110" s="17">
        <f t="shared" si="404"/>
        <v>-693.25000000000682</v>
      </c>
      <c r="CE110" s="17">
        <f t="shared" si="404"/>
        <v>-4859.4200000000073</v>
      </c>
      <c r="CF110" s="17">
        <f t="shared" si="404"/>
        <v>-10110.790000000008</v>
      </c>
      <c r="CG110" s="17">
        <f t="shared" si="404"/>
        <v>-16054.950000000008</v>
      </c>
      <c r="CH110" s="17">
        <f t="shared" si="404"/>
        <v>-22352.960000000006</v>
      </c>
      <c r="CI110" s="17">
        <f t="shared" ref="CI110:CM110" si="405">CI105+CI109</f>
        <v>-28618.620000000006</v>
      </c>
      <c r="CJ110" s="17">
        <f t="shared" si="405"/>
        <v>-28618.620000000006</v>
      </c>
      <c r="CK110" s="17">
        <f t="shared" si="405"/>
        <v>-28618.620000000006</v>
      </c>
      <c r="CL110" s="17">
        <f t="shared" si="405"/>
        <v>-28618.620000000006</v>
      </c>
      <c r="CM110" s="17">
        <f t="shared" si="405"/>
        <v>-28618.620000000006</v>
      </c>
    </row>
    <row r="111" spans="1:92" x14ac:dyDescent="0.2"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159"/>
      <c r="AM111" s="159"/>
      <c r="AN111" s="159"/>
      <c r="AO111" s="159"/>
      <c r="AP111" s="159"/>
      <c r="AQ111" s="159"/>
      <c r="AR111" s="159"/>
      <c r="AS111" s="159"/>
      <c r="AT111" s="159"/>
      <c r="AU111" s="159"/>
      <c r="AV111" s="159"/>
      <c r="AW111" s="159"/>
      <c r="AX111" s="159"/>
      <c r="AY111" s="159"/>
      <c r="AZ111" s="159"/>
      <c r="BA111" s="159"/>
      <c r="BB111" s="159"/>
      <c r="BC111" s="159"/>
      <c r="BD111" s="159"/>
      <c r="BE111" s="159"/>
      <c r="BF111" s="159"/>
      <c r="BG111" s="159"/>
      <c r="BH111" s="159"/>
      <c r="BI111" s="159"/>
      <c r="BJ111" s="159"/>
      <c r="BK111" s="159"/>
      <c r="BL111" s="159"/>
      <c r="BM111" s="159"/>
      <c r="BN111" s="159"/>
      <c r="BO111" s="159"/>
      <c r="BP111" s="159"/>
      <c r="BQ111" s="159"/>
      <c r="BR111" s="159"/>
      <c r="BS111" s="159"/>
      <c r="BT111" s="159"/>
      <c r="BU111" s="159"/>
      <c r="BV111" s="159"/>
      <c r="BW111" s="159"/>
      <c r="BX111" s="159"/>
      <c r="BY111" s="159"/>
      <c r="BZ111" s="159"/>
      <c r="CA111" s="159"/>
      <c r="CB111" s="159"/>
      <c r="CC111" s="159"/>
      <c r="CD111" s="159"/>
      <c r="CE111" s="159"/>
      <c r="CF111" s="159"/>
      <c r="CG111" s="159"/>
      <c r="CH111" s="159"/>
      <c r="CI111" s="17"/>
      <c r="CJ111" s="17"/>
      <c r="CK111" s="17"/>
      <c r="CL111" s="17"/>
      <c r="CM111" s="17"/>
    </row>
    <row r="112" spans="1:92" x14ac:dyDescent="0.2">
      <c r="A112" s="4" t="s">
        <v>213</v>
      </c>
      <c r="CI112" s="8"/>
      <c r="CL112" s="8"/>
      <c r="CM112" s="8"/>
    </row>
    <row r="113" spans="1:91" x14ac:dyDescent="0.2">
      <c r="B113" s="7" t="s">
        <v>195</v>
      </c>
      <c r="D113" s="27">
        <f>SUM(D9,D16,D49,D85,D25,D33,D41,D60,D68,D76,D97,D105,)</f>
        <v>0</v>
      </c>
      <c r="E113" s="27">
        <f t="shared" ref="E113:CB113" si="406">SUM(E9,E16,E49,E85,E25,E33,E41,E60,E68,E76,E97,E105,)</f>
        <v>0</v>
      </c>
      <c r="F113" s="27">
        <f t="shared" si="406"/>
        <v>0</v>
      </c>
      <c r="G113" s="27">
        <f t="shared" si="406"/>
        <v>0</v>
      </c>
      <c r="H113" s="27">
        <f t="shared" si="406"/>
        <v>0</v>
      </c>
      <c r="I113" s="27">
        <f t="shared" si="406"/>
        <v>0</v>
      </c>
      <c r="J113" s="27">
        <f t="shared" si="406"/>
        <v>0</v>
      </c>
      <c r="K113" s="27">
        <f t="shared" si="406"/>
        <v>749737.8474552728</v>
      </c>
      <c r="L113" s="27">
        <f t="shared" si="406"/>
        <v>1954493.1273065959</v>
      </c>
      <c r="M113" s="27">
        <f t="shared" si="406"/>
        <v>2103473.1949466667</v>
      </c>
      <c r="N113" s="27">
        <f t="shared" si="406"/>
        <v>-876454.6719084481</v>
      </c>
      <c r="O113" s="27">
        <f t="shared" si="406"/>
        <v>96245.504342926608</v>
      </c>
      <c r="P113" s="27">
        <f t="shared" si="406"/>
        <v>-5161465.3767827461</v>
      </c>
      <c r="Q113" s="27">
        <f t="shared" si="406"/>
        <v>-4552807.4272919605</v>
      </c>
      <c r="R113" s="27">
        <f t="shared" si="406"/>
        <v>-6392168.4166245656</v>
      </c>
      <c r="S113" s="27">
        <f t="shared" si="406"/>
        <v>-3663722.3598893592</v>
      </c>
      <c r="T113" s="27">
        <f t="shared" si="406"/>
        <v>-437814.5761522745</v>
      </c>
      <c r="U113" s="27">
        <f t="shared" si="406"/>
        <v>2830612.0059704985</v>
      </c>
      <c r="V113" s="27">
        <f t="shared" si="406"/>
        <v>4777963.0222681044</v>
      </c>
      <c r="W113" s="27">
        <f t="shared" si="406"/>
        <v>6274167.2180051664</v>
      </c>
      <c r="X113" s="27">
        <f t="shared" si="406"/>
        <v>7457966.9598181881</v>
      </c>
      <c r="Y113" s="27">
        <f t="shared" si="406"/>
        <v>10042840.033093061</v>
      </c>
      <c r="Z113" s="27">
        <f t="shared" si="406"/>
        <v>17327113.428218469</v>
      </c>
      <c r="AA113" s="27">
        <f t="shared" si="406"/>
        <v>19118518.687288646</v>
      </c>
      <c r="AB113" s="27">
        <f t="shared" si="406"/>
        <v>26319422.3293055</v>
      </c>
      <c r="AC113" s="27">
        <f t="shared" si="406"/>
        <v>35180099.584160008</v>
      </c>
      <c r="AD113" s="27">
        <f t="shared" si="406"/>
        <v>49692834.335509449</v>
      </c>
      <c r="AE113" s="27">
        <f t="shared" si="406"/>
        <v>55807163.216545254</v>
      </c>
      <c r="AF113" s="27">
        <f t="shared" si="406"/>
        <v>59689876.398589939</v>
      </c>
      <c r="AG113" s="27">
        <f t="shared" si="406"/>
        <v>61765156.453626439</v>
      </c>
      <c r="AH113" s="27">
        <f t="shared" si="406"/>
        <v>64627907.526004195</v>
      </c>
      <c r="AI113" s="27">
        <f t="shared" si="406"/>
        <v>66814543.588727534</v>
      </c>
      <c r="AJ113" s="27">
        <f t="shared" si="406"/>
        <v>67860877.208664984</v>
      </c>
      <c r="AK113" s="27">
        <f t="shared" si="406"/>
        <v>68672431.802373528</v>
      </c>
      <c r="AL113" s="27">
        <f t="shared" si="406"/>
        <v>74512850.991922587</v>
      </c>
      <c r="AM113" s="27">
        <f t="shared" si="406"/>
        <v>73996421.910966754</v>
      </c>
      <c r="AN113" s="27">
        <f t="shared" si="406"/>
        <v>73385548.416961655</v>
      </c>
      <c r="AO113" s="27">
        <f t="shared" si="406"/>
        <v>75360144.510893464</v>
      </c>
      <c r="AP113" s="27">
        <f t="shared" si="406"/>
        <v>84685036.206491947</v>
      </c>
      <c r="AQ113" s="27">
        <f t="shared" si="406"/>
        <v>88464636.47706531</v>
      </c>
      <c r="AR113" s="27">
        <f t="shared" si="406"/>
        <v>97370618.988878861</v>
      </c>
      <c r="AS113" s="27">
        <f t="shared" si="406"/>
        <v>95717498.209962398</v>
      </c>
      <c r="AT113" s="27">
        <f t="shared" si="406"/>
        <v>96795116.74735482</v>
      </c>
      <c r="AU113" s="27">
        <f t="shared" si="406"/>
        <v>97178139.705055684</v>
      </c>
      <c r="AV113" s="27">
        <f t="shared" si="406"/>
        <v>98266771.151236266</v>
      </c>
      <c r="AW113" s="27">
        <f t="shared" si="406"/>
        <v>98640549.910022587</v>
      </c>
      <c r="AX113" s="27">
        <f t="shared" si="406"/>
        <v>100880862.99189651</v>
      </c>
      <c r="AY113" s="27">
        <f t="shared" si="406"/>
        <v>109958592.7477484</v>
      </c>
      <c r="AZ113" s="27">
        <f t="shared" si="406"/>
        <v>102465155.83046538</v>
      </c>
      <c r="BA113" s="27">
        <f t="shared" si="406"/>
        <v>89682390.370465383</v>
      </c>
      <c r="BB113" s="27">
        <f t="shared" si="406"/>
        <v>86747838.280465379</v>
      </c>
      <c r="BC113" s="27">
        <f t="shared" si="406"/>
        <v>83385185.570465386</v>
      </c>
      <c r="BD113" s="27">
        <f t="shared" si="406"/>
        <v>82639222.980465367</v>
      </c>
      <c r="BE113" s="27">
        <f t="shared" si="406"/>
        <v>79093437.883116558</v>
      </c>
      <c r="BF113" s="27">
        <f t="shared" si="406"/>
        <v>79400844.293667853</v>
      </c>
      <c r="BG113" s="27">
        <f t="shared" si="406"/>
        <v>79831967.347579092</v>
      </c>
      <c r="BH113" s="27">
        <f t="shared" si="406"/>
        <v>80464302.718734309</v>
      </c>
      <c r="BI113" s="27">
        <f t="shared" si="406"/>
        <v>81516866.762920126</v>
      </c>
      <c r="BJ113" s="27">
        <f t="shared" si="406"/>
        <v>79374175.263467476</v>
      </c>
      <c r="BK113" s="27">
        <f t="shared" si="406"/>
        <v>77668275.005949467</v>
      </c>
      <c r="BL113" s="27">
        <f t="shared" ref="BL113:BX113" si="407">SUM(BL9,BL16,BL49,BL85,BL25,BL33,BL41,BL60,BL68,BL76,BL97,BL105,)</f>
        <v>72395629.751954883</v>
      </c>
      <c r="BM113" s="27">
        <f t="shared" si="407"/>
        <v>72751643.391954869</v>
      </c>
      <c r="BN113" s="27">
        <f t="shared" si="407"/>
        <v>64444345.201954879</v>
      </c>
      <c r="BO113" s="27">
        <f t="shared" si="407"/>
        <v>57337622.641954876</v>
      </c>
      <c r="BP113" s="27">
        <f t="shared" si="407"/>
        <v>52309454.101954877</v>
      </c>
      <c r="BQ113" s="27">
        <f t="shared" si="407"/>
        <v>48589326.822562881</v>
      </c>
      <c r="BR113" s="27">
        <f t="shared" si="407"/>
        <v>47143971.37256287</v>
      </c>
      <c r="BS113" s="27">
        <f t="shared" si="407"/>
        <v>47193788.212562874</v>
      </c>
      <c r="BT113" s="27">
        <f t="shared" si="407"/>
        <v>45838205.102562889</v>
      </c>
      <c r="BU113" s="27">
        <f t="shared" si="407"/>
        <v>45129752.412562869</v>
      </c>
      <c r="BV113" s="27">
        <f t="shared" si="407"/>
        <v>42218063.922562882</v>
      </c>
      <c r="BW113" s="27">
        <f t="shared" si="407"/>
        <v>37956667.602562882</v>
      </c>
      <c r="BX113" s="27">
        <f t="shared" si="407"/>
        <v>35507541.852562867</v>
      </c>
      <c r="BY113" s="27">
        <f t="shared" si="406"/>
        <v>32913540.612562865</v>
      </c>
      <c r="BZ113" s="27">
        <f t="shared" si="406"/>
        <v>14382259.692562869</v>
      </c>
      <c r="CA113" s="27">
        <f t="shared" si="406"/>
        <v>9710210.0925628655</v>
      </c>
      <c r="CB113" s="27">
        <f t="shared" si="406"/>
        <v>8288455.6325628674</v>
      </c>
      <c r="CC113" s="27">
        <f t="shared" ref="CC113:CM113" si="408">SUM(CC9,CC16,CC49,CC85,CC25,CC33,CC41,CC60,CC68,CC76,CC97,CC105,)</f>
        <v>10347167.082562866</v>
      </c>
      <c r="CD113" s="27">
        <f t="shared" si="408"/>
        <v>10204169.70256287</v>
      </c>
      <c r="CE113" s="27">
        <f t="shared" si="408"/>
        <v>9701592.7625628673</v>
      </c>
      <c r="CF113" s="27">
        <f t="shared" si="408"/>
        <v>9089997.1625628676</v>
      </c>
      <c r="CG113" s="27">
        <f t="shared" si="408"/>
        <v>9474458.5925628655</v>
      </c>
      <c r="CH113" s="27">
        <f t="shared" si="408"/>
        <v>5937812.4925628686</v>
      </c>
      <c r="CI113" s="27">
        <f t="shared" si="408"/>
        <v>8563723.9925628658</v>
      </c>
      <c r="CJ113" s="27">
        <f t="shared" si="408"/>
        <v>8654989.8825628646</v>
      </c>
      <c r="CK113" s="27">
        <f t="shared" si="408"/>
        <v>7351500.5025628647</v>
      </c>
      <c r="CL113" s="27">
        <f t="shared" si="408"/>
        <v>6119371.7425628658</v>
      </c>
      <c r="CM113" s="27">
        <f t="shared" si="408"/>
        <v>5067854.6382507682</v>
      </c>
    </row>
    <row r="114" spans="1:91" x14ac:dyDescent="0.2">
      <c r="B114" s="7" t="s">
        <v>198</v>
      </c>
      <c r="D114" s="28">
        <f>SUM(D12,D29,D37,D45,D64,D72,D81,D101,D109,D21,D56,D93)</f>
        <v>0</v>
      </c>
      <c r="E114" s="28">
        <f t="shared" ref="E114:CB114" si="409">SUM(E12,E29,E37,E45,E64,E72,E81,E101,E109,E21,E56,E93)</f>
        <v>0</v>
      </c>
      <c r="F114" s="28">
        <f t="shared" si="409"/>
        <v>0</v>
      </c>
      <c r="G114" s="28">
        <f t="shared" si="409"/>
        <v>0</v>
      </c>
      <c r="H114" s="28">
        <f t="shared" si="409"/>
        <v>0</v>
      </c>
      <c r="I114" s="28">
        <f t="shared" si="409"/>
        <v>0</v>
      </c>
      <c r="J114" s="28">
        <f t="shared" si="409"/>
        <v>749737.8474552728</v>
      </c>
      <c r="K114" s="28">
        <f t="shared" si="409"/>
        <v>1204755.2798513235</v>
      </c>
      <c r="L114" s="28">
        <f t="shared" si="409"/>
        <v>148980.06764007069</v>
      </c>
      <c r="M114" s="28">
        <f t="shared" si="409"/>
        <v>-2979927.8668551147</v>
      </c>
      <c r="N114" s="28">
        <f t="shared" si="409"/>
        <v>972700.17625137442</v>
      </c>
      <c r="O114" s="28">
        <f t="shared" si="409"/>
        <v>-5257710.8811256727</v>
      </c>
      <c r="P114" s="28">
        <f t="shared" si="409"/>
        <v>608657.9494907863</v>
      </c>
      <c r="Q114" s="28">
        <f t="shared" si="409"/>
        <v>-1839360.9893326061</v>
      </c>
      <c r="R114" s="28">
        <f t="shared" si="409"/>
        <v>2728446.0567352073</v>
      </c>
      <c r="S114" s="28">
        <f t="shared" si="409"/>
        <v>3225907.7837370848</v>
      </c>
      <c r="T114" s="28">
        <f t="shared" si="409"/>
        <v>3268426.582122772</v>
      </c>
      <c r="U114" s="28">
        <f t="shared" si="409"/>
        <v>1947351.0162976058</v>
      </c>
      <c r="V114" s="28">
        <f t="shared" si="409"/>
        <v>1496204.1957370627</v>
      </c>
      <c r="W114" s="28">
        <f t="shared" si="409"/>
        <v>1183799.7418130208</v>
      </c>
      <c r="X114" s="28">
        <f t="shared" si="409"/>
        <v>2584873.0732748746</v>
      </c>
      <c r="Y114" s="28">
        <f t="shared" si="409"/>
        <v>7284273.3951254096</v>
      </c>
      <c r="Z114" s="28">
        <f t="shared" si="409"/>
        <v>1791405.2590701759</v>
      </c>
      <c r="AA114" s="28">
        <f t="shared" si="409"/>
        <v>7200903.6420168523</v>
      </c>
      <c r="AB114" s="28">
        <f t="shared" si="409"/>
        <v>8860677.2548545133</v>
      </c>
      <c r="AC114" s="28">
        <f t="shared" si="409"/>
        <v>14512734.751349444</v>
      </c>
      <c r="AD114" s="28">
        <f t="shared" si="409"/>
        <v>6114328.8810358094</v>
      </c>
      <c r="AE114" s="28">
        <f t="shared" si="409"/>
        <v>3882713.1820446844</v>
      </c>
      <c r="AF114" s="28">
        <f t="shared" si="409"/>
        <v>2075280.0550364964</v>
      </c>
      <c r="AG114" s="28">
        <f t="shared" si="409"/>
        <v>2862751.0723777693</v>
      </c>
      <c r="AH114" s="28">
        <f t="shared" si="409"/>
        <v>2186636.062723333</v>
      </c>
      <c r="AI114" s="28">
        <f t="shared" si="409"/>
        <v>1046333.6199374467</v>
      </c>
      <c r="AJ114" s="28">
        <f t="shared" si="409"/>
        <v>811554.59370854252</v>
      </c>
      <c r="AK114" s="28">
        <f t="shared" si="409"/>
        <v>5840419.1895490801</v>
      </c>
      <c r="AL114" s="28">
        <f t="shared" si="409"/>
        <v>-516429.08095584821</v>
      </c>
      <c r="AM114" s="28">
        <f t="shared" si="409"/>
        <v>-610873.49400509021</v>
      </c>
      <c r="AN114" s="28">
        <f t="shared" si="409"/>
        <v>1974596.0939318137</v>
      </c>
      <c r="AO114" s="28">
        <f t="shared" si="409"/>
        <v>9324891.6955984682</v>
      </c>
      <c r="AP114" s="28">
        <f t="shared" si="409"/>
        <v>3779600.2705733785</v>
      </c>
      <c r="AQ114" s="28">
        <f t="shared" si="409"/>
        <v>8905982.5118135381</v>
      </c>
      <c r="AR114" s="28">
        <f t="shared" si="409"/>
        <v>-1653120.7789164553</v>
      </c>
      <c r="AS114" s="28">
        <f t="shared" si="409"/>
        <v>1077618.5373924146</v>
      </c>
      <c r="AT114" s="28">
        <f t="shared" si="409"/>
        <v>383022.9577008785</v>
      </c>
      <c r="AU114" s="28">
        <f t="shared" si="409"/>
        <v>1088631.4461805879</v>
      </c>
      <c r="AV114" s="28">
        <f t="shared" si="409"/>
        <v>373778.75878632272</v>
      </c>
      <c r="AW114" s="28">
        <f t="shared" si="409"/>
        <v>2240313.0818739147</v>
      </c>
      <c r="AX114" s="28">
        <f t="shared" si="409"/>
        <v>9077729.7558518965</v>
      </c>
      <c r="AY114" s="28">
        <f t="shared" si="409"/>
        <v>-7493436.9172830265</v>
      </c>
      <c r="AZ114" s="28">
        <f t="shared" si="409"/>
        <v>-12782765.460000001</v>
      </c>
      <c r="BA114" s="28">
        <f t="shared" si="409"/>
        <v>-2934552.0900000003</v>
      </c>
      <c r="BB114" s="28">
        <f t="shared" si="409"/>
        <v>-3362652.71</v>
      </c>
      <c r="BC114" s="28">
        <f t="shared" si="409"/>
        <v>-745962.59000000008</v>
      </c>
      <c r="BD114" s="28">
        <f t="shared" si="409"/>
        <v>-3545785.097348813</v>
      </c>
      <c r="BE114" s="28">
        <f t="shared" si="409"/>
        <v>307406.41055127187</v>
      </c>
      <c r="BF114" s="28">
        <f t="shared" si="409"/>
        <v>431123.05391123879</v>
      </c>
      <c r="BG114" s="28">
        <f t="shared" si="409"/>
        <v>632335.37115522579</v>
      </c>
      <c r="BH114" s="28">
        <f t="shared" si="409"/>
        <v>1052564.0441858193</v>
      </c>
      <c r="BI114" s="28">
        <f t="shared" si="409"/>
        <v>-2142691.4994526445</v>
      </c>
      <c r="BJ114" s="28">
        <f t="shared" si="409"/>
        <v>-1705900.2575180146</v>
      </c>
      <c r="BK114" s="28">
        <f t="shared" si="409"/>
        <v>-5272645.2539945943</v>
      </c>
      <c r="BL114" s="28">
        <f t="shared" ref="BL114:BX114" si="410">SUM(BL12,BL29,BL37,BL45,BL64,BL72,BL81,BL101,BL109,BL21,BL56,BL93)</f>
        <v>356013.6399999992</v>
      </c>
      <c r="BM114" s="28">
        <f t="shared" si="410"/>
        <v>-8307298.1900000023</v>
      </c>
      <c r="BN114" s="28">
        <f t="shared" si="410"/>
        <v>-7106722.5599999996</v>
      </c>
      <c r="BO114" s="28">
        <f t="shared" si="410"/>
        <v>-5028168.54</v>
      </c>
      <c r="BP114" s="28">
        <f t="shared" si="410"/>
        <v>-3720127.2793920049</v>
      </c>
      <c r="BQ114" s="28">
        <f t="shared" si="410"/>
        <v>-1445355.45</v>
      </c>
      <c r="BR114" s="28">
        <f t="shared" si="410"/>
        <v>49816.83999999988</v>
      </c>
      <c r="BS114" s="28">
        <f t="shared" si="410"/>
        <v>-1355583.1099999999</v>
      </c>
      <c r="BT114" s="28">
        <f t="shared" si="410"/>
        <v>-708452.69000000018</v>
      </c>
      <c r="BU114" s="28">
        <f t="shared" si="410"/>
        <v>-2911688.49</v>
      </c>
      <c r="BV114" s="28">
        <f t="shared" si="410"/>
        <v>-4261396.3199999994</v>
      </c>
      <c r="BW114" s="28">
        <f t="shared" si="410"/>
        <v>-2449125.75</v>
      </c>
      <c r="BX114" s="28">
        <f t="shared" si="410"/>
        <v>-2594001.2400000002</v>
      </c>
      <c r="BY114" s="28">
        <f t="shared" si="409"/>
        <v>-18531280.919999998</v>
      </c>
      <c r="BZ114" s="28">
        <f t="shared" si="409"/>
        <v>-4672049.5999999996</v>
      </c>
      <c r="CA114" s="28">
        <f t="shared" si="409"/>
        <v>-1421754.4600000004</v>
      </c>
      <c r="CB114" s="28">
        <f t="shared" si="409"/>
        <v>2058711.4499999995</v>
      </c>
      <c r="CC114" s="28">
        <f t="shared" ref="CC114:CM114" si="411">SUM(CC12,CC29,CC37,CC45,CC64,CC72,CC81,CC101,CC109,CC21,CC56,CC93)</f>
        <v>-142997.37999999998</v>
      </c>
      <c r="CD114" s="28">
        <f t="shared" si="411"/>
        <v>-502576.93999999989</v>
      </c>
      <c r="CE114" s="28">
        <f t="shared" si="411"/>
        <v>-611595.60000000009</v>
      </c>
      <c r="CF114" s="28">
        <f t="shared" si="411"/>
        <v>384461.43</v>
      </c>
      <c r="CG114" s="28">
        <f t="shared" si="411"/>
        <v>-3536646.1000000006</v>
      </c>
      <c r="CH114" s="28">
        <f t="shared" si="411"/>
        <v>2625911.5</v>
      </c>
      <c r="CI114" s="28">
        <f t="shared" si="411"/>
        <v>91265.890000000116</v>
      </c>
      <c r="CJ114" s="28">
        <f t="shared" si="411"/>
        <v>-1303489.3800000001</v>
      </c>
      <c r="CK114" s="28">
        <f t="shared" si="411"/>
        <v>-1232128.76</v>
      </c>
      <c r="CL114" s="28">
        <f t="shared" si="411"/>
        <v>-1051517.1043120977</v>
      </c>
      <c r="CM114" s="28">
        <f t="shared" si="411"/>
        <v>-746408.37044690026</v>
      </c>
    </row>
    <row r="115" spans="1:91" ht="18" customHeight="1" thickBot="1" x14ac:dyDescent="0.25">
      <c r="B115" s="7" t="s">
        <v>199</v>
      </c>
      <c r="D115" s="29">
        <f>SUM(D13,D30,D38,D46,D65,D73,D82,D102,D110,D22,D57,D94)</f>
        <v>0</v>
      </c>
      <c r="E115" s="29">
        <f t="shared" ref="E115:CB115" si="412">SUM(E13,E30,E38,E46,E65,E73,E82,E102,E110,E22,E57,E94)</f>
        <v>0</v>
      </c>
      <c r="F115" s="29">
        <f t="shared" si="412"/>
        <v>0</v>
      </c>
      <c r="G115" s="29">
        <f t="shared" si="412"/>
        <v>0</v>
      </c>
      <c r="H115" s="29">
        <f t="shared" si="412"/>
        <v>0</v>
      </c>
      <c r="I115" s="29">
        <f t="shared" si="412"/>
        <v>0</v>
      </c>
      <c r="J115" s="29">
        <f t="shared" si="412"/>
        <v>749737.8474552728</v>
      </c>
      <c r="K115" s="29">
        <f t="shared" si="412"/>
        <v>1954493.1273065959</v>
      </c>
      <c r="L115" s="29">
        <f t="shared" si="412"/>
        <v>2103473.1949466667</v>
      </c>
      <c r="M115" s="29">
        <f t="shared" si="412"/>
        <v>-876454.67190844822</v>
      </c>
      <c r="N115" s="29">
        <f t="shared" si="412"/>
        <v>96245.504342926477</v>
      </c>
      <c r="O115" s="29">
        <f t="shared" si="412"/>
        <v>-5161465.3767827461</v>
      </c>
      <c r="P115" s="29">
        <f t="shared" si="412"/>
        <v>-4552807.4272919605</v>
      </c>
      <c r="Q115" s="29">
        <f t="shared" si="412"/>
        <v>-6392168.4166245656</v>
      </c>
      <c r="R115" s="29">
        <f t="shared" si="412"/>
        <v>-3663722.3598893592</v>
      </c>
      <c r="S115" s="29">
        <f t="shared" si="412"/>
        <v>-437814.57615227433</v>
      </c>
      <c r="T115" s="29">
        <f t="shared" si="412"/>
        <v>2830612.0059704981</v>
      </c>
      <c r="U115" s="29">
        <f t="shared" si="412"/>
        <v>4777963.0222681034</v>
      </c>
      <c r="V115" s="29">
        <f t="shared" si="412"/>
        <v>6274167.2180051673</v>
      </c>
      <c r="W115" s="29">
        <f t="shared" si="412"/>
        <v>7457966.9598181872</v>
      </c>
      <c r="X115" s="29">
        <f t="shared" si="412"/>
        <v>10042840.033093061</v>
      </c>
      <c r="Y115" s="29">
        <f t="shared" si="412"/>
        <v>17327113.428218469</v>
      </c>
      <c r="Z115" s="29">
        <f t="shared" si="412"/>
        <v>19118518.687288649</v>
      </c>
      <c r="AA115" s="29">
        <f t="shared" si="412"/>
        <v>26319422.329305504</v>
      </c>
      <c r="AB115" s="29">
        <f t="shared" si="412"/>
        <v>35180099.584160015</v>
      </c>
      <c r="AC115" s="29">
        <f t="shared" si="412"/>
        <v>49692834.335509449</v>
      </c>
      <c r="AD115" s="29">
        <f t="shared" si="412"/>
        <v>55807163.216545254</v>
      </c>
      <c r="AE115" s="29">
        <f t="shared" si="412"/>
        <v>59689876.398589939</v>
      </c>
      <c r="AF115" s="29">
        <f t="shared" si="412"/>
        <v>61765156.453626432</v>
      </c>
      <c r="AG115" s="29">
        <f t="shared" si="412"/>
        <v>64627907.526004195</v>
      </c>
      <c r="AH115" s="29">
        <f t="shared" si="412"/>
        <v>66814543.588727541</v>
      </c>
      <c r="AI115" s="29">
        <f t="shared" si="412"/>
        <v>67860877.208664984</v>
      </c>
      <c r="AJ115" s="29">
        <f t="shared" si="412"/>
        <v>68672431.802373528</v>
      </c>
      <c r="AK115" s="29">
        <f t="shared" si="412"/>
        <v>74512850.991922602</v>
      </c>
      <c r="AL115" s="29">
        <f t="shared" si="412"/>
        <v>73996421.910966754</v>
      </c>
      <c r="AM115" s="29">
        <f t="shared" si="412"/>
        <v>73385548.416961655</v>
      </c>
      <c r="AN115" s="29">
        <f t="shared" si="412"/>
        <v>75360144.510893479</v>
      </c>
      <c r="AO115" s="29">
        <f t="shared" si="412"/>
        <v>84685036.206491947</v>
      </c>
      <c r="AP115" s="29">
        <f t="shared" si="412"/>
        <v>88464636.47706531</v>
      </c>
      <c r="AQ115" s="29">
        <f t="shared" si="412"/>
        <v>97370618.988878861</v>
      </c>
      <c r="AR115" s="29">
        <f t="shared" si="412"/>
        <v>95717498.209962398</v>
      </c>
      <c r="AS115" s="29">
        <f t="shared" si="412"/>
        <v>96795116.747354805</v>
      </c>
      <c r="AT115" s="29">
        <f t="shared" si="412"/>
        <v>97178139.705055684</v>
      </c>
      <c r="AU115" s="29">
        <f t="shared" si="412"/>
        <v>98266771.151236281</v>
      </c>
      <c r="AV115" s="29">
        <f t="shared" si="412"/>
        <v>98640549.910022587</v>
      </c>
      <c r="AW115" s="29">
        <f t="shared" si="412"/>
        <v>100880862.99189651</v>
      </c>
      <c r="AX115" s="29">
        <f t="shared" si="412"/>
        <v>109958592.7477484</v>
      </c>
      <c r="AY115" s="29">
        <f t="shared" si="412"/>
        <v>102465155.83046538</v>
      </c>
      <c r="AZ115" s="29">
        <f t="shared" si="412"/>
        <v>89682390.370465383</v>
      </c>
      <c r="BA115" s="29">
        <f t="shared" si="412"/>
        <v>86747838.280465379</v>
      </c>
      <c r="BB115" s="29">
        <f t="shared" si="412"/>
        <v>83385185.570465371</v>
      </c>
      <c r="BC115" s="29">
        <f t="shared" si="412"/>
        <v>82639222.980465367</v>
      </c>
      <c r="BD115" s="29">
        <f t="shared" si="412"/>
        <v>79093437.883116573</v>
      </c>
      <c r="BE115" s="29">
        <f t="shared" si="412"/>
        <v>79400844.293667838</v>
      </c>
      <c r="BF115" s="29">
        <f t="shared" si="412"/>
        <v>79831967.347579077</v>
      </c>
      <c r="BG115" s="29">
        <f t="shared" si="412"/>
        <v>80464302.718734309</v>
      </c>
      <c r="BH115" s="29">
        <f t="shared" si="412"/>
        <v>81516866.762920126</v>
      </c>
      <c r="BI115" s="29">
        <f t="shared" si="412"/>
        <v>79374175.263467476</v>
      </c>
      <c r="BJ115" s="29">
        <f t="shared" si="412"/>
        <v>77668275.005949482</v>
      </c>
      <c r="BK115" s="29">
        <f t="shared" si="412"/>
        <v>72395629.751954868</v>
      </c>
      <c r="BL115" s="29">
        <f t="shared" ref="BL115:BX115" si="413">SUM(BL13,BL30,BL38,BL46,BL65,BL73,BL82,BL102,BL110,BL22,BL57,BL94)</f>
        <v>72751643.391954884</v>
      </c>
      <c r="BM115" s="29">
        <f t="shared" si="413"/>
        <v>64444345.201954879</v>
      </c>
      <c r="BN115" s="29">
        <f t="shared" si="413"/>
        <v>57337622.641954876</v>
      </c>
      <c r="BO115" s="29">
        <f t="shared" si="413"/>
        <v>52309454.101954877</v>
      </c>
      <c r="BP115" s="29">
        <f t="shared" si="413"/>
        <v>48589326.822562881</v>
      </c>
      <c r="BQ115" s="29">
        <f t="shared" si="413"/>
        <v>47143971.37256287</v>
      </c>
      <c r="BR115" s="29">
        <f t="shared" si="413"/>
        <v>47193788.212562874</v>
      </c>
      <c r="BS115" s="29">
        <f t="shared" si="413"/>
        <v>45838205.102562889</v>
      </c>
      <c r="BT115" s="29">
        <f t="shared" si="413"/>
        <v>45129752.412562869</v>
      </c>
      <c r="BU115" s="29">
        <f t="shared" si="413"/>
        <v>42218063.922562882</v>
      </c>
      <c r="BV115" s="29">
        <f t="shared" si="413"/>
        <v>37956667.602562882</v>
      </c>
      <c r="BW115" s="29">
        <f t="shared" si="413"/>
        <v>35507541.85256286</v>
      </c>
      <c r="BX115" s="29">
        <f t="shared" si="413"/>
        <v>32913540.612562865</v>
      </c>
      <c r="BY115" s="29">
        <f t="shared" si="412"/>
        <v>14382259.692562869</v>
      </c>
      <c r="BZ115" s="29">
        <f t="shared" si="412"/>
        <v>9710210.0925628692</v>
      </c>
      <c r="CA115" s="29">
        <f t="shared" si="412"/>
        <v>8288455.6325628646</v>
      </c>
      <c r="CB115" s="29">
        <f t="shared" si="412"/>
        <v>10347167.082562866</v>
      </c>
      <c r="CC115" s="29">
        <f t="shared" ref="CC115:CM115" si="414">SUM(CC13,CC30,CC38,CC46,CC65,CC73,CC82,CC102,CC110,CC22,CC57,CC94)</f>
        <v>10204169.70256287</v>
      </c>
      <c r="CD115" s="29">
        <f t="shared" si="414"/>
        <v>9701592.7625628673</v>
      </c>
      <c r="CE115" s="29">
        <f t="shared" si="414"/>
        <v>9089997.1625628676</v>
      </c>
      <c r="CF115" s="29">
        <f t="shared" si="414"/>
        <v>9474458.5925628655</v>
      </c>
      <c r="CG115" s="29">
        <f t="shared" si="414"/>
        <v>5937812.4925628658</v>
      </c>
      <c r="CH115" s="29">
        <f t="shared" si="414"/>
        <v>8563723.9925628658</v>
      </c>
      <c r="CI115" s="29">
        <f t="shared" si="414"/>
        <v>8654989.8825628683</v>
      </c>
      <c r="CJ115" s="29">
        <f t="shared" si="414"/>
        <v>7351500.5025628656</v>
      </c>
      <c r="CK115" s="29">
        <f t="shared" si="414"/>
        <v>6119371.7425628649</v>
      </c>
      <c r="CL115" s="29">
        <f t="shared" si="414"/>
        <v>5067854.6382507673</v>
      </c>
      <c r="CM115" s="29">
        <f t="shared" si="414"/>
        <v>4321446.2678038664</v>
      </c>
    </row>
    <row r="116" spans="1:91" ht="12" thickTop="1" x14ac:dyDescent="0.2">
      <c r="A116" s="7" t="s">
        <v>214</v>
      </c>
      <c r="D116" s="30">
        <f>SUM(D13,D30,D38,D22)</f>
        <v>0</v>
      </c>
      <c r="E116" s="30">
        <f t="shared" ref="E116:CB116" si="415">SUM(E13,E30,E38,E22)</f>
        <v>0</v>
      </c>
      <c r="F116" s="30">
        <f t="shared" si="415"/>
        <v>0</v>
      </c>
      <c r="G116" s="30">
        <f t="shared" si="415"/>
        <v>0</v>
      </c>
      <c r="H116" s="30">
        <f t="shared" si="415"/>
        <v>0</v>
      </c>
      <c r="I116" s="30">
        <f t="shared" si="415"/>
        <v>0</v>
      </c>
      <c r="J116" s="30">
        <f t="shared" si="415"/>
        <v>0</v>
      </c>
      <c r="K116" s="30">
        <f t="shared" si="415"/>
        <v>0</v>
      </c>
      <c r="L116" s="30">
        <f t="shared" si="415"/>
        <v>0</v>
      </c>
      <c r="M116" s="30">
        <f t="shared" si="415"/>
        <v>0</v>
      </c>
      <c r="N116" s="30">
        <f t="shared" si="415"/>
        <v>0</v>
      </c>
      <c r="O116" s="30">
        <f t="shared" si="415"/>
        <v>0</v>
      </c>
      <c r="P116" s="30">
        <f t="shared" si="415"/>
        <v>0</v>
      </c>
      <c r="Q116" s="30">
        <f t="shared" si="415"/>
        <v>0</v>
      </c>
      <c r="R116" s="30">
        <f t="shared" si="415"/>
        <v>0</v>
      </c>
      <c r="S116" s="30">
        <f t="shared" si="415"/>
        <v>0</v>
      </c>
      <c r="T116" s="30">
        <f t="shared" si="415"/>
        <v>-4984473.0387106789</v>
      </c>
      <c r="U116" s="30">
        <f t="shared" si="415"/>
        <v>-4834353.2706501456</v>
      </c>
      <c r="V116" s="30">
        <f t="shared" si="415"/>
        <v>-4723512.543973201</v>
      </c>
      <c r="W116" s="30">
        <f t="shared" si="415"/>
        <v>-4621731.5997377206</v>
      </c>
      <c r="X116" s="30">
        <f t="shared" si="415"/>
        <v>-4494975.5093329586</v>
      </c>
      <c r="Y116" s="30">
        <f t="shared" si="415"/>
        <v>-4258326.0628518583</v>
      </c>
      <c r="Z116" s="30">
        <f t="shared" si="415"/>
        <v>-3654139.7205273085</v>
      </c>
      <c r="AA116" s="30">
        <f t="shared" si="415"/>
        <v>-2967966.716642112</v>
      </c>
      <c r="AB116" s="30">
        <f t="shared" si="415"/>
        <v>-2311474.0738325845</v>
      </c>
      <c r="AC116" s="30">
        <f t="shared" si="415"/>
        <v>-1825267.4989476348</v>
      </c>
      <c r="AD116" s="30">
        <f t="shared" si="415"/>
        <v>-1370256.0650724955</v>
      </c>
      <c r="AE116" s="30">
        <f t="shared" si="415"/>
        <v>-988346.97802894819</v>
      </c>
      <c r="AF116" s="30">
        <f t="shared" si="415"/>
        <v>16265343.047508944</v>
      </c>
      <c r="AG116" s="30">
        <f t="shared" si="415"/>
        <v>15819082.27101879</v>
      </c>
      <c r="AH116" s="30">
        <f t="shared" si="415"/>
        <v>15428452.1600498</v>
      </c>
      <c r="AI116" s="30">
        <f t="shared" si="415"/>
        <v>15012901.877903635</v>
      </c>
      <c r="AJ116" s="30">
        <f t="shared" si="415"/>
        <v>14458309.516399225</v>
      </c>
      <c r="AK116" s="30">
        <f t="shared" si="415"/>
        <v>13627774.907090738</v>
      </c>
      <c r="AL116" s="30">
        <f t="shared" si="415"/>
        <v>11761269.51739054</v>
      </c>
      <c r="AM116" s="30">
        <f t="shared" si="415"/>
        <v>9420138.8052283637</v>
      </c>
      <c r="AN116" s="30">
        <f t="shared" si="415"/>
        <v>7192358.4812908377</v>
      </c>
      <c r="AO116" s="30">
        <f t="shared" si="415"/>
        <v>5489120.2222982738</v>
      </c>
      <c r="AP116" s="30">
        <f t="shared" si="415"/>
        <v>3814347.1796343783</v>
      </c>
      <c r="AQ116" s="30">
        <f t="shared" si="415"/>
        <v>2892828.9909327431</v>
      </c>
      <c r="AR116" s="30">
        <f t="shared" si="415"/>
        <v>32850386.310156126</v>
      </c>
      <c r="AS116" s="30">
        <f t="shared" si="415"/>
        <v>31840241.255354583</v>
      </c>
      <c r="AT116" s="30">
        <f t="shared" si="415"/>
        <v>30939252.694776982</v>
      </c>
      <c r="AU116" s="30">
        <f t="shared" si="415"/>
        <v>30170106.355587818</v>
      </c>
      <c r="AV116" s="30">
        <f t="shared" si="415"/>
        <v>29107559.74426119</v>
      </c>
      <c r="AW116" s="30">
        <f t="shared" si="415"/>
        <v>27218245.923017941</v>
      </c>
      <c r="AX116" s="30">
        <f t="shared" si="415"/>
        <v>24622630.705050059</v>
      </c>
      <c r="AY116" s="30">
        <f t="shared" si="415"/>
        <v>19640107.660528962</v>
      </c>
      <c r="AZ116" s="30">
        <f t="shared" si="415"/>
        <v>14141837.840528961</v>
      </c>
      <c r="BA116" s="30">
        <f t="shared" si="415"/>
        <v>9830823.3305289615</v>
      </c>
      <c r="BB116" s="30">
        <f t="shared" si="415"/>
        <v>6058050.4005289618</v>
      </c>
      <c r="BC116" s="30">
        <f t="shared" si="415"/>
        <v>3461647.2605289621</v>
      </c>
      <c r="BD116" s="30">
        <f t="shared" si="415"/>
        <v>36943648.47052896</v>
      </c>
      <c r="BE116" s="30">
        <f t="shared" si="415"/>
        <v>35710145.150528967</v>
      </c>
      <c r="BF116" s="30">
        <f t="shared" si="415"/>
        <v>34688233.820528969</v>
      </c>
      <c r="BG116" s="30">
        <f t="shared" si="415"/>
        <v>33753748.380528964</v>
      </c>
      <c r="BH116" s="30">
        <f t="shared" si="415"/>
        <v>32602857.520528965</v>
      </c>
      <c r="BI116" s="30">
        <f t="shared" si="415"/>
        <v>30061670.310528964</v>
      </c>
      <c r="BJ116" s="30">
        <f t="shared" si="415"/>
        <v>26085727.150528964</v>
      </c>
      <c r="BK116" s="30">
        <f t="shared" si="415"/>
        <v>20673234.340528965</v>
      </c>
      <c r="BL116" s="30">
        <f t="shared" ref="BL116:BX116" si="416">SUM(BL13,BL30,BL38,BL22)</f>
        <v>15904793.690528965</v>
      </c>
      <c r="BM116" s="30">
        <f t="shared" si="416"/>
        <v>10948096.340528965</v>
      </c>
      <c r="BN116" s="30">
        <f t="shared" si="416"/>
        <v>6714608.5205289647</v>
      </c>
      <c r="BO116" s="30">
        <f t="shared" si="416"/>
        <v>3701336.9605289642</v>
      </c>
      <c r="BP116" s="30">
        <f t="shared" si="416"/>
        <v>48749581.969460443</v>
      </c>
      <c r="BQ116" s="30">
        <f t="shared" si="416"/>
        <v>47111311.009460442</v>
      </c>
      <c r="BR116" s="30">
        <f t="shared" si="416"/>
        <v>45980255.789460436</v>
      </c>
      <c r="BS116" s="30">
        <f t="shared" si="416"/>
        <v>44775358.789460443</v>
      </c>
      <c r="BT116" s="30">
        <f t="shared" si="416"/>
        <v>43218987.369460434</v>
      </c>
      <c r="BU116" s="30">
        <f t="shared" si="416"/>
        <v>39653832.279460445</v>
      </c>
      <c r="BV116" s="30">
        <f t="shared" si="416"/>
        <v>34492393.599460438</v>
      </c>
      <c r="BW116" s="30">
        <f t="shared" si="416"/>
        <v>27273493.519460436</v>
      </c>
      <c r="BX116" s="30">
        <f t="shared" si="416"/>
        <v>20172166.149460435</v>
      </c>
      <c r="BY116" s="30">
        <f t="shared" si="415"/>
        <v>11638898.719460435</v>
      </c>
      <c r="BZ116" s="30">
        <f t="shared" si="415"/>
        <v>5537684.9494604347</v>
      </c>
      <c r="CA116" s="30">
        <f t="shared" si="415"/>
        <v>1723096.8594604342</v>
      </c>
      <c r="CB116" s="30">
        <f t="shared" si="415"/>
        <v>9745093.1142945644</v>
      </c>
      <c r="CC116" s="30">
        <f t="shared" ref="CC116:CM116" si="417">SUM(CC13,CC30,CC38,CC22)</f>
        <v>9475282.8442945667</v>
      </c>
      <c r="CD116" s="30">
        <f t="shared" si="417"/>
        <v>9303712.4042945653</v>
      </c>
      <c r="CE116" s="30">
        <f t="shared" si="417"/>
        <v>9156508.8642945644</v>
      </c>
      <c r="CF116" s="30">
        <f t="shared" si="417"/>
        <v>8935741.1642945651</v>
      </c>
      <c r="CG116" s="30">
        <f t="shared" si="417"/>
        <v>8137022.5542945648</v>
      </c>
      <c r="CH116" s="30">
        <f t="shared" si="417"/>
        <v>7075016.9942945642</v>
      </c>
      <c r="CI116" s="30">
        <f t="shared" si="417"/>
        <v>5798079.5142945647</v>
      </c>
      <c r="CJ116" s="30">
        <f t="shared" si="417"/>
        <v>4494590.1342945648</v>
      </c>
      <c r="CK116" s="30">
        <f t="shared" si="417"/>
        <v>3262461.3742945655</v>
      </c>
      <c r="CL116" s="30">
        <f t="shared" si="417"/>
        <v>2210944.2699824679</v>
      </c>
      <c r="CM116" s="30">
        <f t="shared" si="417"/>
        <v>1464535.899535567</v>
      </c>
    </row>
    <row r="117" spans="1:91" ht="12" thickBot="1" x14ac:dyDescent="0.25">
      <c r="A117" s="7" t="s">
        <v>215</v>
      </c>
      <c r="D117" s="31">
        <f t="shared" ref="D117" si="418">D115-D116</f>
        <v>0</v>
      </c>
      <c r="E117" s="31">
        <f t="shared" ref="E117:CB117" si="419">E115-E116</f>
        <v>0</v>
      </c>
      <c r="F117" s="31">
        <f t="shared" si="419"/>
        <v>0</v>
      </c>
      <c r="G117" s="31">
        <f t="shared" si="419"/>
        <v>0</v>
      </c>
      <c r="H117" s="31">
        <f t="shared" si="419"/>
        <v>0</v>
      </c>
      <c r="I117" s="31">
        <f t="shared" si="419"/>
        <v>0</v>
      </c>
      <c r="J117" s="31">
        <f t="shared" si="419"/>
        <v>749737.8474552728</v>
      </c>
      <c r="K117" s="31">
        <f t="shared" si="419"/>
        <v>1954493.1273065959</v>
      </c>
      <c r="L117" s="31">
        <f t="shared" si="419"/>
        <v>2103473.1949466667</v>
      </c>
      <c r="M117" s="31">
        <f t="shared" si="419"/>
        <v>-876454.67190844822</v>
      </c>
      <c r="N117" s="31">
        <f t="shared" si="419"/>
        <v>96245.504342926477</v>
      </c>
      <c r="O117" s="31">
        <f t="shared" si="419"/>
        <v>-5161465.3767827461</v>
      </c>
      <c r="P117" s="31">
        <f t="shared" si="419"/>
        <v>-4552807.4272919605</v>
      </c>
      <c r="Q117" s="31">
        <f t="shared" si="419"/>
        <v>-6392168.4166245656</v>
      </c>
      <c r="R117" s="31">
        <f t="shared" si="419"/>
        <v>-3663722.3598893592</v>
      </c>
      <c r="S117" s="31">
        <f t="shared" si="419"/>
        <v>-437814.57615227433</v>
      </c>
      <c r="T117" s="31">
        <f t="shared" si="419"/>
        <v>7815085.0446811765</v>
      </c>
      <c r="U117" s="31">
        <f t="shared" si="419"/>
        <v>9612316.29291825</v>
      </c>
      <c r="V117" s="31">
        <f t="shared" si="419"/>
        <v>10997679.761978369</v>
      </c>
      <c r="W117" s="31">
        <f t="shared" si="419"/>
        <v>12079698.559555907</v>
      </c>
      <c r="X117" s="31">
        <f t="shared" si="419"/>
        <v>14537815.54242602</v>
      </c>
      <c r="Y117" s="31">
        <f t="shared" si="419"/>
        <v>21585439.491070326</v>
      </c>
      <c r="Z117" s="31">
        <f t="shared" si="419"/>
        <v>22772658.407815959</v>
      </c>
      <c r="AA117" s="31">
        <f t="shared" si="419"/>
        <v>29287389.045947615</v>
      </c>
      <c r="AB117" s="31">
        <f t="shared" si="419"/>
        <v>37491573.657992601</v>
      </c>
      <c r="AC117" s="31">
        <f t="shared" si="419"/>
        <v>51518101.834457085</v>
      </c>
      <c r="AD117" s="31">
        <f t="shared" si="419"/>
        <v>57177419.281617746</v>
      </c>
      <c r="AE117" s="31">
        <f t="shared" si="419"/>
        <v>60678223.376618885</v>
      </c>
      <c r="AF117" s="31">
        <f t="shared" si="419"/>
        <v>45499813.406117484</v>
      </c>
      <c r="AG117" s="31">
        <f t="shared" si="419"/>
        <v>48808825.254985407</v>
      </c>
      <c r="AH117" s="31">
        <f t="shared" si="419"/>
        <v>51386091.428677738</v>
      </c>
      <c r="AI117" s="31">
        <f t="shared" si="419"/>
        <v>52847975.330761351</v>
      </c>
      <c r="AJ117" s="31">
        <f t="shared" si="419"/>
        <v>54214122.285974301</v>
      </c>
      <c r="AK117" s="31">
        <f t="shared" si="419"/>
        <v>60885076.084831864</v>
      </c>
      <c r="AL117" s="31">
        <f t="shared" si="419"/>
        <v>62235152.393576212</v>
      </c>
      <c r="AM117" s="31">
        <f t="shared" si="419"/>
        <v>63965409.611733288</v>
      </c>
      <c r="AN117" s="31">
        <f t="shared" si="419"/>
        <v>68167786.029602647</v>
      </c>
      <c r="AO117" s="31">
        <f t="shared" si="419"/>
        <v>79195915.984193668</v>
      </c>
      <c r="AP117" s="31">
        <f t="shared" si="419"/>
        <v>84650289.297430933</v>
      </c>
      <c r="AQ117" s="31">
        <f t="shared" si="419"/>
        <v>94477789.997946113</v>
      </c>
      <c r="AR117" s="31">
        <f t="shared" si="419"/>
        <v>62867111.899806276</v>
      </c>
      <c r="AS117" s="31">
        <f t="shared" si="419"/>
        <v>64954875.492000222</v>
      </c>
      <c r="AT117" s="31">
        <f t="shared" si="419"/>
        <v>66238887.010278702</v>
      </c>
      <c r="AU117" s="31">
        <f t="shared" si="419"/>
        <v>68096664.795648456</v>
      </c>
      <c r="AV117" s="31">
        <f t="shared" si="419"/>
        <v>69532990.165761396</v>
      </c>
      <c r="AW117" s="31">
        <f t="shared" si="419"/>
        <v>73662617.068878561</v>
      </c>
      <c r="AX117" s="31">
        <f t="shared" si="419"/>
        <v>85335962.042698354</v>
      </c>
      <c r="AY117" s="31">
        <f t="shared" si="419"/>
        <v>82825048.169936419</v>
      </c>
      <c r="AZ117" s="31">
        <f t="shared" si="419"/>
        <v>75540552.529936418</v>
      </c>
      <c r="BA117" s="31">
        <f t="shared" si="419"/>
        <v>76917014.94993642</v>
      </c>
      <c r="BB117" s="31">
        <f t="shared" si="419"/>
        <v>77327135.169936404</v>
      </c>
      <c r="BC117" s="31">
        <f t="shared" si="419"/>
        <v>79177575.719936401</v>
      </c>
      <c r="BD117" s="31">
        <f t="shared" si="419"/>
        <v>42149789.412587613</v>
      </c>
      <c r="BE117" s="31">
        <f t="shared" si="419"/>
        <v>43690699.143138871</v>
      </c>
      <c r="BF117" s="31">
        <f t="shared" si="419"/>
        <v>45143733.527050108</v>
      </c>
      <c r="BG117" s="31">
        <f t="shared" si="419"/>
        <v>46710554.338205345</v>
      </c>
      <c r="BH117" s="31">
        <f t="shared" si="419"/>
        <v>48914009.242391162</v>
      </c>
      <c r="BI117" s="31">
        <f t="shared" si="419"/>
        <v>49312504.952938512</v>
      </c>
      <c r="BJ117" s="31">
        <f t="shared" si="419"/>
        <v>51582547.855420515</v>
      </c>
      <c r="BK117" s="31">
        <f t="shared" si="419"/>
        <v>51722395.411425903</v>
      </c>
      <c r="BL117" s="31">
        <f t="shared" ref="BL117:BX117" si="420">BL115-BL116</f>
        <v>56846849.701425917</v>
      </c>
      <c r="BM117" s="31">
        <f t="shared" si="420"/>
        <v>53496248.861425914</v>
      </c>
      <c r="BN117" s="31">
        <f t="shared" si="420"/>
        <v>50623014.121425912</v>
      </c>
      <c r="BO117" s="31">
        <f t="shared" si="420"/>
        <v>48608117.141425915</v>
      </c>
      <c r="BP117" s="31">
        <f t="shared" si="420"/>
        <v>-160255.14689756185</v>
      </c>
      <c r="BQ117" s="31">
        <f t="shared" si="420"/>
        <v>32660.363102428615</v>
      </c>
      <c r="BR117" s="31">
        <f t="shared" si="420"/>
        <v>1213532.4231024384</v>
      </c>
      <c r="BS117" s="31">
        <f t="shared" si="420"/>
        <v>1062846.3131024465</v>
      </c>
      <c r="BT117" s="31">
        <f t="shared" si="420"/>
        <v>1910765.0431024358</v>
      </c>
      <c r="BU117" s="31">
        <f t="shared" si="420"/>
        <v>2564231.6431024373</v>
      </c>
      <c r="BV117" s="31">
        <f t="shared" si="420"/>
        <v>3464274.0031024441</v>
      </c>
      <c r="BW117" s="31">
        <f t="shared" si="420"/>
        <v>8234048.3331024237</v>
      </c>
      <c r="BX117" s="31">
        <f t="shared" si="420"/>
        <v>12741374.46310243</v>
      </c>
      <c r="BY117" s="31">
        <f t="shared" si="419"/>
        <v>2743360.9731024336</v>
      </c>
      <c r="BZ117" s="31">
        <f t="shared" si="419"/>
        <v>4172525.1431024345</v>
      </c>
      <c r="CA117" s="31">
        <f t="shared" si="419"/>
        <v>6565358.7731024306</v>
      </c>
      <c r="CB117" s="31">
        <f t="shared" si="419"/>
        <v>602073.96826830134</v>
      </c>
      <c r="CC117" s="31">
        <f t="shared" ref="CC117:CM117" si="421">CC115-CC116</f>
        <v>728886.8582683038</v>
      </c>
      <c r="CD117" s="31">
        <f t="shared" si="421"/>
        <v>397880.35826830193</v>
      </c>
      <c r="CE117" s="31">
        <f t="shared" si="421"/>
        <v>-66511.701731696725</v>
      </c>
      <c r="CF117" s="31">
        <f t="shared" si="421"/>
        <v>538717.42826830037</v>
      </c>
      <c r="CG117" s="31">
        <f t="shared" si="421"/>
        <v>-2199210.0617316989</v>
      </c>
      <c r="CH117" s="31">
        <f t="shared" si="421"/>
        <v>1488706.9982683016</v>
      </c>
      <c r="CI117" s="31">
        <f t="shared" si="421"/>
        <v>2856910.3682683036</v>
      </c>
      <c r="CJ117" s="31">
        <f t="shared" si="421"/>
        <v>2856910.3682683008</v>
      </c>
      <c r="CK117" s="31">
        <f t="shared" si="421"/>
        <v>2856910.3682682994</v>
      </c>
      <c r="CL117" s="31">
        <f t="shared" si="421"/>
        <v>2856910.3682682994</v>
      </c>
      <c r="CM117" s="31">
        <f t="shared" si="421"/>
        <v>2856910.3682682994</v>
      </c>
    </row>
    <row r="118" spans="1:91" ht="12" thickTop="1" x14ac:dyDescent="0.2"/>
    <row r="119" spans="1:91" x14ac:dyDescent="0.2">
      <c r="BW119" s="17"/>
      <c r="CI119" s="32"/>
    </row>
    <row r="130" spans="1:92" s="8" customFormat="1" x14ac:dyDescent="0.2">
      <c r="A130" s="7"/>
      <c r="B130" s="7"/>
      <c r="C130" s="11"/>
      <c r="F130" s="234"/>
      <c r="CI130" s="7"/>
      <c r="CL130" s="7"/>
      <c r="CM130" s="7"/>
      <c r="CN130" s="7"/>
    </row>
    <row r="131" spans="1:92" s="8" customFormat="1" x14ac:dyDescent="0.2">
      <c r="A131" s="7"/>
      <c r="B131" s="33"/>
      <c r="C131" s="11"/>
      <c r="F131" s="234"/>
    </row>
    <row r="132" spans="1:92" s="8" customFormat="1" x14ac:dyDescent="0.2">
      <c r="A132" s="7"/>
      <c r="B132" s="34"/>
      <c r="C132" s="11"/>
      <c r="F132" s="234"/>
    </row>
    <row r="133" spans="1:92" x14ac:dyDescent="0.2">
      <c r="B133" s="34"/>
      <c r="CI133" s="8"/>
      <c r="CL133" s="8"/>
      <c r="CM133" s="8"/>
      <c r="CN133" s="8"/>
    </row>
  </sheetData>
  <printOptions horizontalCentered="1"/>
  <pageMargins left="0.7" right="0.7" top="0.75" bottom="0.75" header="0.3" footer="0.3"/>
  <pageSetup scale="10" fitToHeight="2" orientation="portrait" blackAndWhite="1" r:id="rId1"/>
  <headerFooter>
    <oddFooter>&amp;R&amp;F
&amp;A</oddFooter>
  </headerFooter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  <pageSetUpPr fitToPage="1"/>
  </sheetPr>
  <dimension ref="A1:E36"/>
  <sheetViews>
    <sheetView workbookViewId="0">
      <selection activeCell="E33" sqref="E33"/>
    </sheetView>
  </sheetViews>
  <sheetFormatPr defaultColWidth="9.140625" defaultRowHeight="11.25" x14ac:dyDescent="0.2"/>
  <cols>
    <col min="1" max="1" width="5.28515625" style="90" customWidth="1"/>
    <col min="2" max="2" width="3.5703125" style="90" customWidth="1"/>
    <col min="3" max="3" width="44.85546875" style="90" customWidth="1"/>
    <col min="4" max="5" width="9.85546875" style="90" bestFit="1" customWidth="1"/>
    <col min="6" max="16384" width="9.140625" style="90"/>
  </cols>
  <sheetData>
    <row r="1" spans="1:5" x14ac:dyDescent="0.2">
      <c r="A1" s="434" t="s">
        <v>0</v>
      </c>
      <c r="B1" s="434"/>
      <c r="C1" s="434"/>
      <c r="D1" s="434"/>
      <c r="E1" s="434"/>
    </row>
    <row r="2" spans="1:5" x14ac:dyDescent="0.2">
      <c r="A2" s="433" t="str">
        <f>'Delivery Rate Change Calc'!A2:F2</f>
        <v>2020 Gas Decoupling Filing</v>
      </c>
      <c r="B2" s="433"/>
      <c r="C2" s="433"/>
      <c r="D2" s="433"/>
      <c r="E2" s="433"/>
    </row>
    <row r="3" spans="1:5" x14ac:dyDescent="0.2">
      <c r="A3" s="432" t="s">
        <v>447</v>
      </c>
      <c r="B3" s="432"/>
      <c r="C3" s="432"/>
      <c r="D3" s="432"/>
      <c r="E3" s="432"/>
    </row>
    <row r="4" spans="1:5" x14ac:dyDescent="0.2">
      <c r="A4" s="433" t="str">
        <f>'Delivery Rate Change Calc'!A4:F4</f>
        <v>Proposed Effective May 1, 2020</v>
      </c>
      <c r="B4" s="433"/>
      <c r="C4" s="433"/>
      <c r="D4" s="433"/>
      <c r="E4" s="433"/>
    </row>
    <row r="5" spans="1:5" x14ac:dyDescent="0.2">
      <c r="A5" s="44"/>
      <c r="B5" s="44"/>
      <c r="C5" s="44"/>
      <c r="D5" s="44"/>
      <c r="E5" s="44"/>
    </row>
    <row r="6" spans="1:5" x14ac:dyDescent="0.2">
      <c r="A6" s="43"/>
      <c r="B6" s="43"/>
      <c r="C6" s="43"/>
      <c r="D6" s="235" t="s">
        <v>242</v>
      </c>
      <c r="E6" s="235" t="s">
        <v>242</v>
      </c>
    </row>
    <row r="7" spans="1:5" ht="25.5" customHeight="1" x14ac:dyDescent="0.2">
      <c r="A7" s="137" t="s">
        <v>80</v>
      </c>
      <c r="B7" s="137"/>
      <c r="C7" s="138"/>
      <c r="D7" s="222">
        <v>43921</v>
      </c>
      <c r="E7" s="289">
        <f t="shared" ref="E7" si="0">EDATE(D7,1)</f>
        <v>43951</v>
      </c>
    </row>
    <row r="8" spans="1:5" x14ac:dyDescent="0.2">
      <c r="A8" s="139">
        <v>1</v>
      </c>
      <c r="B8" s="140" t="s">
        <v>250</v>
      </c>
    </row>
    <row r="9" spans="1:5" x14ac:dyDescent="0.2">
      <c r="A9" s="139">
        <f>A8+1</f>
        <v>2</v>
      </c>
      <c r="B9" s="139"/>
      <c r="C9" s="90" t="s">
        <v>243</v>
      </c>
      <c r="D9" s="141">
        <f>'F2019 Forecast'!B24</f>
        <v>70825946</v>
      </c>
      <c r="E9" s="141">
        <f>'F2019 Forecast'!C24</f>
        <v>50936814</v>
      </c>
    </row>
    <row r="10" spans="1:5" x14ac:dyDescent="0.2">
      <c r="A10" s="139">
        <f t="shared" ref="A10:A33" si="1">A9+1</f>
        <v>3</v>
      </c>
      <c r="B10" s="139"/>
      <c r="C10" s="43" t="s">
        <v>244</v>
      </c>
      <c r="D10" s="223">
        <f>'Rate Test'!D17</f>
        <v>1.9550000000000001E-2</v>
      </c>
      <c r="E10" s="224">
        <f>D10</f>
        <v>1.9550000000000001E-2</v>
      </c>
    </row>
    <row r="11" spans="1:5" x14ac:dyDescent="0.2">
      <c r="A11" s="139">
        <f t="shared" si="1"/>
        <v>4</v>
      </c>
      <c r="B11" s="139"/>
      <c r="C11" s="43" t="s">
        <v>245</v>
      </c>
      <c r="D11" s="142">
        <f>D9*D10</f>
        <v>1384647.2443000001</v>
      </c>
      <c r="E11" s="142">
        <f>E9*E10</f>
        <v>995814.71370000008</v>
      </c>
    </row>
    <row r="12" spans="1:5" x14ac:dyDescent="0.2">
      <c r="A12" s="139">
        <f t="shared" si="1"/>
        <v>5</v>
      </c>
      <c r="B12" s="139"/>
      <c r="C12" s="43"/>
    </row>
    <row r="13" spans="1:5" x14ac:dyDescent="0.2">
      <c r="A13" s="139">
        <f t="shared" si="1"/>
        <v>6</v>
      </c>
      <c r="B13" s="139"/>
      <c r="C13" s="43" t="s">
        <v>399</v>
      </c>
      <c r="D13" s="143">
        <f>'2017 GRC Conversion Factor'!$D$18</f>
        <v>0.954538</v>
      </c>
      <c r="E13" s="7">
        <f>$D$13</f>
        <v>0.954538</v>
      </c>
    </row>
    <row r="14" spans="1:5" x14ac:dyDescent="0.2">
      <c r="A14" s="139">
        <f t="shared" si="1"/>
        <v>7</v>
      </c>
      <c r="B14" s="139"/>
      <c r="C14" s="43"/>
    </row>
    <row r="15" spans="1:5" x14ac:dyDescent="0.2">
      <c r="A15" s="139">
        <f t="shared" si="1"/>
        <v>8</v>
      </c>
      <c r="B15" s="139"/>
      <c r="C15" s="43" t="s">
        <v>247</v>
      </c>
      <c r="D15" s="142">
        <f>D11*D13</f>
        <v>1321698.4112796336</v>
      </c>
      <c r="E15" s="142">
        <f>E11*E13</f>
        <v>950542.98518577067</v>
      </c>
    </row>
    <row r="16" spans="1:5" x14ac:dyDescent="0.2">
      <c r="A16" s="139">
        <f t="shared" si="1"/>
        <v>9</v>
      </c>
      <c r="B16" s="139"/>
    </row>
    <row r="17" spans="1:5" x14ac:dyDescent="0.2">
      <c r="A17" s="139">
        <f t="shared" si="1"/>
        <v>10</v>
      </c>
      <c r="B17" s="140" t="s">
        <v>251</v>
      </c>
    </row>
    <row r="18" spans="1:5" x14ac:dyDescent="0.2">
      <c r="A18" s="139">
        <f t="shared" si="1"/>
        <v>11</v>
      </c>
      <c r="B18" s="139"/>
      <c r="C18" s="90" t="s">
        <v>243</v>
      </c>
      <c r="D18" s="141">
        <f>'F2019 Forecast'!B25</f>
        <v>26257841</v>
      </c>
      <c r="E18" s="141">
        <f>'F2019 Forecast'!C25</f>
        <v>19737504</v>
      </c>
    </row>
    <row r="19" spans="1:5" x14ac:dyDescent="0.2">
      <c r="A19" s="139">
        <f t="shared" si="1"/>
        <v>12</v>
      </c>
      <c r="B19" s="139"/>
      <c r="C19" s="43" t="s">
        <v>244</v>
      </c>
      <c r="D19" s="223">
        <f>'Rate Test'!E17</f>
        <v>-1.04E-2</v>
      </c>
      <c r="E19" s="224">
        <f>D19</f>
        <v>-1.04E-2</v>
      </c>
    </row>
    <row r="20" spans="1:5" x14ac:dyDescent="0.2">
      <c r="A20" s="139">
        <f t="shared" si="1"/>
        <v>13</v>
      </c>
      <c r="B20" s="139"/>
      <c r="C20" s="43" t="s">
        <v>245</v>
      </c>
      <c r="D20" s="142">
        <f>D18*D19</f>
        <v>-273081.54639999999</v>
      </c>
      <c r="E20" s="142">
        <f>E18*E19</f>
        <v>-205270.0416</v>
      </c>
    </row>
    <row r="21" spans="1:5" x14ac:dyDescent="0.2">
      <c r="A21" s="139">
        <f t="shared" si="1"/>
        <v>14</v>
      </c>
      <c r="B21" s="139"/>
      <c r="C21" s="43"/>
    </row>
    <row r="22" spans="1:5" x14ac:dyDescent="0.2">
      <c r="A22" s="139">
        <f t="shared" si="1"/>
        <v>15</v>
      </c>
      <c r="B22" s="139"/>
      <c r="C22" s="43" t="s">
        <v>399</v>
      </c>
      <c r="D22" s="7">
        <f t="shared" ref="D22:E22" si="2">$D$13</f>
        <v>0.954538</v>
      </c>
      <c r="E22" s="7">
        <f t="shared" si="2"/>
        <v>0.954538</v>
      </c>
    </row>
    <row r="23" spans="1:5" x14ac:dyDescent="0.2">
      <c r="A23" s="139">
        <f t="shared" si="1"/>
        <v>16</v>
      </c>
      <c r="B23" s="139"/>
      <c r="C23" s="43"/>
    </row>
    <row r="24" spans="1:5" x14ac:dyDescent="0.2">
      <c r="A24" s="139">
        <f t="shared" si="1"/>
        <v>17</v>
      </c>
      <c r="B24" s="139"/>
      <c r="C24" s="43" t="s">
        <v>247</v>
      </c>
      <c r="D24" s="142">
        <f>D20*D22</f>
        <v>-260666.7131375632</v>
      </c>
      <c r="E24" s="142">
        <f>E20*E22</f>
        <v>-195938.05496878081</v>
      </c>
    </row>
    <row r="25" spans="1:5" x14ac:dyDescent="0.2">
      <c r="A25" s="139">
        <f t="shared" si="1"/>
        <v>18</v>
      </c>
    </row>
    <row r="26" spans="1:5" x14ac:dyDescent="0.2">
      <c r="A26" s="139">
        <f t="shared" si="1"/>
        <v>19</v>
      </c>
      <c r="B26" s="140" t="s">
        <v>252</v>
      </c>
    </row>
    <row r="27" spans="1:5" x14ac:dyDescent="0.2">
      <c r="A27" s="139">
        <f t="shared" si="1"/>
        <v>20</v>
      </c>
      <c r="B27" s="139"/>
      <c r="C27" s="90" t="s">
        <v>243</v>
      </c>
      <c r="D27" s="141">
        <f>'F2019 Forecast'!B26</f>
        <v>9869057</v>
      </c>
      <c r="E27" s="141">
        <f>'F2019 Forecast'!C26</f>
        <v>8501920</v>
      </c>
    </row>
    <row r="28" spans="1:5" x14ac:dyDescent="0.2">
      <c r="A28" s="139">
        <f t="shared" si="1"/>
        <v>21</v>
      </c>
      <c r="B28" s="139"/>
      <c r="C28" s="43" t="s">
        <v>248</v>
      </c>
      <c r="D28" s="223">
        <f>'Rate Test'!F17</f>
        <v>-1.01E-3</v>
      </c>
      <c r="E28" s="224">
        <f>D28</f>
        <v>-1.01E-3</v>
      </c>
    </row>
    <row r="29" spans="1:5" x14ac:dyDescent="0.2">
      <c r="A29" s="139">
        <f t="shared" si="1"/>
        <v>22</v>
      </c>
      <c r="B29" s="139"/>
      <c r="C29" s="43" t="s">
        <v>245</v>
      </c>
      <c r="D29" s="142">
        <f>D27*D28</f>
        <v>-9967.7475700000014</v>
      </c>
      <c r="E29" s="142">
        <f>E27*E28</f>
        <v>-8586.9392000000007</v>
      </c>
    </row>
    <row r="30" spans="1:5" x14ac:dyDescent="0.2">
      <c r="A30" s="139">
        <f t="shared" si="1"/>
        <v>23</v>
      </c>
      <c r="B30" s="139"/>
      <c r="C30" s="43"/>
    </row>
    <row r="31" spans="1:5" x14ac:dyDescent="0.2">
      <c r="A31" s="139">
        <f t="shared" si="1"/>
        <v>24</v>
      </c>
      <c r="B31" s="139"/>
      <c r="C31" s="43" t="s">
        <v>246</v>
      </c>
      <c r="D31" s="7">
        <f t="shared" ref="D31:E31" si="3">$D$13</f>
        <v>0.954538</v>
      </c>
      <c r="E31" s="7">
        <f t="shared" si="3"/>
        <v>0.954538</v>
      </c>
    </row>
    <row r="32" spans="1:5" x14ac:dyDescent="0.2">
      <c r="A32" s="139">
        <f t="shared" si="1"/>
        <v>25</v>
      </c>
      <c r="B32" s="139"/>
      <c r="C32" s="43"/>
    </row>
    <row r="33" spans="1:5" x14ac:dyDescent="0.2">
      <c r="A33" s="139">
        <f t="shared" si="1"/>
        <v>26</v>
      </c>
      <c r="B33" s="139"/>
      <c r="C33" s="43" t="s">
        <v>247</v>
      </c>
      <c r="D33" s="142">
        <f>D29*D31</f>
        <v>-9514.5938299726604</v>
      </c>
      <c r="E33" s="142">
        <f>E29*E31</f>
        <v>-8196.5597700896014</v>
      </c>
    </row>
    <row r="35" spans="1:5" x14ac:dyDescent="0.2">
      <c r="B35" s="90" t="s">
        <v>388</v>
      </c>
    </row>
    <row r="36" spans="1:5" x14ac:dyDescent="0.2">
      <c r="B36" s="90" t="s">
        <v>249</v>
      </c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/>
  </sheetPr>
  <dimension ref="A1"/>
  <sheetViews>
    <sheetView workbookViewId="0">
      <selection activeCell="P29" sqref="P29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91"/>
  <sheetViews>
    <sheetView zoomScaleNormal="100" workbookViewId="0">
      <pane xSplit="2" ySplit="6" topLeftCell="C10" activePane="bottomRight" state="frozen"/>
      <selection activeCell="K21" sqref="K21"/>
      <selection pane="topRight" activeCell="K21" sqref="K21"/>
      <selection pane="bottomLeft" activeCell="K21" sqref="K21"/>
      <selection pane="bottomRight" activeCell="N42" sqref="N42"/>
    </sheetView>
  </sheetViews>
  <sheetFormatPr defaultColWidth="9.140625" defaultRowHeight="11.25" x14ac:dyDescent="0.2"/>
  <cols>
    <col min="1" max="1" width="5.5703125" style="43" bestFit="1" customWidth="1"/>
    <col min="2" max="2" width="36.7109375" style="43" customWidth="1"/>
    <col min="3" max="3" width="10.7109375" style="43" bestFit="1" customWidth="1"/>
    <col min="4" max="14" width="11.28515625" style="43" bestFit="1" customWidth="1"/>
    <col min="15" max="16384" width="9.140625" style="43"/>
  </cols>
  <sheetData>
    <row r="1" spans="1:15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5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5" x14ac:dyDescent="0.2">
      <c r="A3" s="10" t="s">
        <v>351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5" x14ac:dyDescent="0.2">
      <c r="A4" s="10" t="s">
        <v>183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5" ht="12" thickBot="1" x14ac:dyDescent="0.25"/>
    <row r="6" spans="1:15" ht="33.75" x14ac:dyDescent="0.2">
      <c r="A6" s="196" t="s">
        <v>80</v>
      </c>
      <c r="B6" s="197"/>
      <c r="C6" s="280">
        <v>43496</v>
      </c>
      <c r="D6" s="198">
        <f t="shared" ref="D6:N6" si="0">EDATE(C6,1)</f>
        <v>43524</v>
      </c>
      <c r="E6" s="198">
        <f t="shared" si="0"/>
        <v>43552</v>
      </c>
      <c r="F6" s="198">
        <f t="shared" si="0"/>
        <v>43583</v>
      </c>
      <c r="G6" s="198">
        <f t="shared" si="0"/>
        <v>43613</v>
      </c>
      <c r="H6" s="198">
        <f t="shared" si="0"/>
        <v>43644</v>
      </c>
      <c r="I6" s="198">
        <f t="shared" si="0"/>
        <v>43674</v>
      </c>
      <c r="J6" s="198">
        <f t="shared" si="0"/>
        <v>43705</v>
      </c>
      <c r="K6" s="198">
        <f t="shared" si="0"/>
        <v>43736</v>
      </c>
      <c r="L6" s="198">
        <f t="shared" si="0"/>
        <v>43766</v>
      </c>
      <c r="M6" s="198">
        <f t="shared" si="0"/>
        <v>43797</v>
      </c>
      <c r="N6" s="198">
        <f t="shared" si="0"/>
        <v>43827</v>
      </c>
      <c r="O6" s="402" t="s">
        <v>456</v>
      </c>
    </row>
    <row r="7" spans="1:15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03"/>
    </row>
    <row r="8" spans="1:15" ht="12" thickBot="1" x14ac:dyDescent="0.25">
      <c r="A8" s="44">
        <v>1</v>
      </c>
      <c r="B8" s="199" t="s">
        <v>81</v>
      </c>
      <c r="C8" s="200">
        <v>779207</v>
      </c>
      <c r="D8" s="200">
        <v>779981</v>
      </c>
      <c r="E8" s="200">
        <v>780599</v>
      </c>
      <c r="F8" s="200">
        <v>781022</v>
      </c>
      <c r="G8" s="200">
        <v>781459</v>
      </c>
      <c r="H8" s="200">
        <v>781449</v>
      </c>
      <c r="I8" s="200">
        <v>781427</v>
      </c>
      <c r="J8" s="200">
        <v>782157</v>
      </c>
      <c r="K8" s="200">
        <v>782897</v>
      </c>
      <c r="L8" s="200">
        <v>784722</v>
      </c>
      <c r="M8" s="200">
        <v>786453</v>
      </c>
      <c r="N8" s="200">
        <v>787587</v>
      </c>
      <c r="O8" s="404">
        <f>AVERAGE(C8:N8)</f>
        <v>782413.33333333337</v>
      </c>
    </row>
    <row r="9" spans="1:15" x14ac:dyDescent="0.2">
      <c r="A9" s="44">
        <f>A8+1</f>
        <v>2</v>
      </c>
      <c r="B9" s="43" t="s">
        <v>352</v>
      </c>
      <c r="C9" s="16">
        <v>42.49</v>
      </c>
      <c r="D9" s="16">
        <v>36.01</v>
      </c>
      <c r="E9" s="16">
        <v>35.864061093744688</v>
      </c>
      <c r="F9" s="16">
        <v>23.770988252585376</v>
      </c>
      <c r="G9" s="16">
        <v>14.605611727921035</v>
      </c>
      <c r="H9" s="16">
        <v>9.1147130469635904</v>
      </c>
      <c r="I9" s="16">
        <v>6.3571812504158993</v>
      </c>
      <c r="J9" s="16">
        <v>6.0224674426658709</v>
      </c>
      <c r="K9" s="16">
        <v>10.236544715381395</v>
      </c>
      <c r="L9" s="16">
        <v>21.825749818725008</v>
      </c>
      <c r="M9" s="16">
        <v>34.870282042999804</v>
      </c>
      <c r="N9" s="16">
        <v>41.85348024903255</v>
      </c>
    </row>
    <row r="10" spans="1:15" x14ac:dyDescent="0.2">
      <c r="A10" s="44">
        <f t="shared" ref="A10:A46" si="1">A9+1</f>
        <v>3</v>
      </c>
      <c r="B10" s="43" t="s">
        <v>353</v>
      </c>
      <c r="C10" s="52">
        <f t="shared" ref="C10:N10" si="2">C8*C9</f>
        <v>33108505.43</v>
      </c>
      <c r="D10" s="52">
        <f t="shared" si="2"/>
        <v>28087115.809999999</v>
      </c>
      <c r="E10" s="52">
        <f t="shared" si="2"/>
        <v>27995450.22571601</v>
      </c>
      <c r="F10" s="52">
        <f t="shared" si="2"/>
        <v>18565664.787010737</v>
      </c>
      <c r="G10" s="52">
        <f t="shared" si="2"/>
        <v>11413686.735289443</v>
      </c>
      <c r="H10" s="52">
        <f t="shared" si="2"/>
        <v>7122683.3958366504</v>
      </c>
      <c r="I10" s="52">
        <f t="shared" si="2"/>
        <v>4967673.0729687447</v>
      </c>
      <c r="J10" s="52">
        <f t="shared" si="2"/>
        <v>4710515.0675532091</v>
      </c>
      <c r="K10" s="52">
        <f t="shared" si="2"/>
        <v>8014160.1480379486</v>
      </c>
      <c r="L10" s="52">
        <f t="shared" si="2"/>
        <v>17127146.049249526</v>
      </c>
      <c r="M10" s="52">
        <f t="shared" si="2"/>
        <v>27423837.923563324</v>
      </c>
      <c r="N10" s="52">
        <f t="shared" si="2"/>
        <v>32963256.948894799</v>
      </c>
    </row>
    <row r="11" spans="1:15" x14ac:dyDescent="0.2">
      <c r="A11" s="44">
        <f t="shared" si="1"/>
        <v>4</v>
      </c>
    </row>
    <row r="12" spans="1:15" x14ac:dyDescent="0.2">
      <c r="A12" s="44">
        <f t="shared" si="1"/>
        <v>5</v>
      </c>
      <c r="B12" s="199" t="s">
        <v>345</v>
      </c>
      <c r="C12" s="200">
        <v>86365525.951352656</v>
      </c>
      <c r="D12" s="200">
        <v>104049723.65295246</v>
      </c>
      <c r="E12" s="200">
        <v>71847565.69791843</v>
      </c>
      <c r="F12" s="200">
        <v>44896736.57567963</v>
      </c>
      <c r="G12" s="200">
        <v>27022072.33273486</v>
      </c>
      <c r="H12" s="200">
        <v>17655472.547624543</v>
      </c>
      <c r="I12" s="200">
        <v>13868163.27840247</v>
      </c>
      <c r="J12" s="200">
        <v>12929912.320068488</v>
      </c>
      <c r="K12" s="200">
        <v>18292618.929006856</v>
      </c>
      <c r="L12" s="200">
        <v>53312402.499214396</v>
      </c>
      <c r="M12" s="200">
        <v>68864722.13700439</v>
      </c>
      <c r="N12" s="200">
        <v>86406580.37940082</v>
      </c>
    </row>
    <row r="13" spans="1:15" x14ac:dyDescent="0.2">
      <c r="A13" s="44">
        <f t="shared" si="1"/>
        <v>6</v>
      </c>
      <c r="B13" s="43" t="s">
        <v>346</v>
      </c>
      <c r="C13" s="201">
        <v>0.34603</v>
      </c>
      <c r="D13" s="51">
        <f>$C$13</f>
        <v>0.34603</v>
      </c>
      <c r="E13" s="201">
        <v>0.36247000000000001</v>
      </c>
      <c r="F13" s="51">
        <f>$E$13</f>
        <v>0.36247000000000001</v>
      </c>
      <c r="G13" s="51">
        <f t="shared" ref="G13:N13" si="3">$E$13</f>
        <v>0.36247000000000001</v>
      </c>
      <c r="H13" s="51">
        <f t="shared" si="3"/>
        <v>0.36247000000000001</v>
      </c>
      <c r="I13" s="51">
        <f t="shared" si="3"/>
        <v>0.36247000000000001</v>
      </c>
      <c r="J13" s="51">
        <f t="shared" si="3"/>
        <v>0.36247000000000001</v>
      </c>
      <c r="K13" s="51">
        <f t="shared" si="3"/>
        <v>0.36247000000000001</v>
      </c>
      <c r="L13" s="51">
        <f t="shared" si="3"/>
        <v>0.36247000000000001</v>
      </c>
      <c r="M13" s="51">
        <f t="shared" si="3"/>
        <v>0.36247000000000001</v>
      </c>
      <c r="N13" s="51">
        <f t="shared" si="3"/>
        <v>0.36247000000000001</v>
      </c>
    </row>
    <row r="14" spans="1:15" x14ac:dyDescent="0.2">
      <c r="A14" s="44">
        <f t="shared" si="1"/>
        <v>7</v>
      </c>
      <c r="B14" s="43" t="s">
        <v>354</v>
      </c>
      <c r="C14" s="52">
        <f t="shared" ref="C14:N14" si="4">C12*C13</f>
        <v>29885062.944946561</v>
      </c>
      <c r="D14" s="52">
        <f t="shared" si="4"/>
        <v>36004325.875631139</v>
      </c>
      <c r="E14" s="52">
        <f t="shared" si="4"/>
        <v>26042587.138524495</v>
      </c>
      <c r="F14" s="52">
        <f t="shared" si="4"/>
        <v>16273720.106586596</v>
      </c>
      <c r="G14" s="52">
        <f t="shared" si="4"/>
        <v>9794690.5584464055</v>
      </c>
      <c r="H14" s="52">
        <f t="shared" si="4"/>
        <v>6399579.1343374681</v>
      </c>
      <c r="I14" s="52">
        <f t="shared" si="4"/>
        <v>5026793.1435225438</v>
      </c>
      <c r="J14" s="52">
        <f t="shared" si="4"/>
        <v>4686705.3186552254</v>
      </c>
      <c r="K14" s="52">
        <f t="shared" si="4"/>
        <v>6630525.583197115</v>
      </c>
      <c r="L14" s="52">
        <f t="shared" si="4"/>
        <v>19324146.533890244</v>
      </c>
      <c r="M14" s="52">
        <f t="shared" si="4"/>
        <v>24961395.832999982</v>
      </c>
      <c r="N14" s="52">
        <f t="shared" si="4"/>
        <v>31319793.190121416</v>
      </c>
    </row>
    <row r="15" spans="1:15" x14ac:dyDescent="0.2">
      <c r="A15" s="44">
        <f t="shared" si="1"/>
        <v>8</v>
      </c>
    </row>
    <row r="16" spans="1:15" x14ac:dyDescent="0.2">
      <c r="A16" s="44">
        <f t="shared" si="1"/>
        <v>9</v>
      </c>
      <c r="B16" s="199" t="s">
        <v>347</v>
      </c>
      <c r="C16" s="200">
        <v>0</v>
      </c>
      <c r="D16" s="200">
        <v>0</v>
      </c>
      <c r="E16" s="200">
        <v>1732260.3082517013</v>
      </c>
      <c r="F16" s="200">
        <v>432668.99500000104</v>
      </c>
      <c r="G16" s="200">
        <v>-2411439.0285980552</v>
      </c>
      <c r="H16" s="200">
        <v>165375.21800000034</v>
      </c>
      <c r="I16" s="200">
        <v>39514.687999999151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</row>
    <row r="17" spans="1:14" x14ac:dyDescent="0.2">
      <c r="A17" s="44">
        <f t="shared" si="1"/>
        <v>10</v>
      </c>
      <c r="B17" s="43" t="s">
        <v>346</v>
      </c>
      <c r="C17" s="51">
        <f>$C$13</f>
        <v>0.34603</v>
      </c>
      <c r="D17" s="51">
        <f>$C$17</f>
        <v>0.34603</v>
      </c>
      <c r="E17" s="51">
        <f t="shared" ref="E17:N17" si="5">$C$17</f>
        <v>0.34603</v>
      </c>
      <c r="F17" s="51">
        <f t="shared" si="5"/>
        <v>0.34603</v>
      </c>
      <c r="G17" s="51">
        <f t="shared" si="5"/>
        <v>0.34603</v>
      </c>
      <c r="H17" s="51">
        <f t="shared" si="5"/>
        <v>0.34603</v>
      </c>
      <c r="I17" s="51">
        <f t="shared" si="5"/>
        <v>0.34603</v>
      </c>
      <c r="J17" s="51">
        <f t="shared" si="5"/>
        <v>0.34603</v>
      </c>
      <c r="K17" s="51">
        <f t="shared" si="5"/>
        <v>0.34603</v>
      </c>
      <c r="L17" s="51">
        <f t="shared" si="5"/>
        <v>0.34603</v>
      </c>
      <c r="M17" s="51">
        <f t="shared" si="5"/>
        <v>0.34603</v>
      </c>
      <c r="N17" s="51">
        <f t="shared" si="5"/>
        <v>0.34603</v>
      </c>
    </row>
    <row r="18" spans="1:14" x14ac:dyDescent="0.2">
      <c r="A18" s="44">
        <f t="shared" si="1"/>
        <v>11</v>
      </c>
      <c r="B18" s="43" t="s">
        <v>354</v>
      </c>
      <c r="C18" s="52">
        <f t="shared" ref="C18:N18" si="6">C16*C17</f>
        <v>0</v>
      </c>
      <c r="D18" s="52">
        <f t="shared" si="6"/>
        <v>0</v>
      </c>
      <c r="E18" s="52">
        <f t="shared" si="6"/>
        <v>599414.03446433623</v>
      </c>
      <c r="F18" s="52">
        <f t="shared" si="6"/>
        <v>149716.45233985037</v>
      </c>
      <c r="G18" s="52">
        <f t="shared" si="6"/>
        <v>-834430.24706578511</v>
      </c>
      <c r="H18" s="52">
        <f t="shared" si="6"/>
        <v>57224.786684540122</v>
      </c>
      <c r="I18" s="52">
        <f t="shared" si="6"/>
        <v>13673.267488639707</v>
      </c>
      <c r="J18" s="52">
        <f t="shared" si="6"/>
        <v>0</v>
      </c>
      <c r="K18" s="52">
        <f t="shared" si="6"/>
        <v>0</v>
      </c>
      <c r="L18" s="52">
        <f t="shared" si="6"/>
        <v>0</v>
      </c>
      <c r="M18" s="52">
        <f t="shared" si="6"/>
        <v>0</v>
      </c>
      <c r="N18" s="52">
        <f t="shared" si="6"/>
        <v>0</v>
      </c>
    </row>
    <row r="19" spans="1:14" x14ac:dyDescent="0.2">
      <c r="A19" s="44">
        <f t="shared" si="1"/>
        <v>12</v>
      </c>
    </row>
    <row r="20" spans="1:14" x14ac:dyDescent="0.2">
      <c r="A20" s="44">
        <f t="shared" si="1"/>
        <v>13</v>
      </c>
      <c r="B20" s="43" t="s">
        <v>348</v>
      </c>
      <c r="C20" s="52">
        <f t="shared" ref="C20:L20" si="7">C14+C18</f>
        <v>29885062.944946561</v>
      </c>
      <c r="D20" s="52">
        <f t="shared" si="7"/>
        <v>36004325.875631139</v>
      </c>
      <c r="E20" s="52">
        <f t="shared" si="7"/>
        <v>26642001.172988832</v>
      </c>
      <c r="F20" s="52">
        <f t="shared" si="7"/>
        <v>16423436.558926446</v>
      </c>
      <c r="G20" s="52">
        <f t="shared" si="7"/>
        <v>8960260.311380621</v>
      </c>
      <c r="H20" s="52">
        <f t="shared" si="7"/>
        <v>6456803.9210220082</v>
      </c>
      <c r="I20" s="52">
        <f t="shared" si="7"/>
        <v>5040466.4110111836</v>
      </c>
      <c r="J20" s="52">
        <f t="shared" si="7"/>
        <v>4686705.3186552254</v>
      </c>
      <c r="K20" s="52">
        <f t="shared" si="7"/>
        <v>6630525.583197115</v>
      </c>
      <c r="L20" s="52">
        <f t="shared" si="7"/>
        <v>19324146.533890244</v>
      </c>
      <c r="M20" s="52">
        <f>M14+M18</f>
        <v>24961395.832999982</v>
      </c>
      <c r="N20" s="52">
        <f>N14+N18</f>
        <v>31319793.190121416</v>
      </c>
    </row>
    <row r="21" spans="1:14" x14ac:dyDescent="0.2">
      <c r="A21" s="44">
        <f t="shared" si="1"/>
        <v>14</v>
      </c>
    </row>
    <row r="22" spans="1:14" x14ac:dyDescent="0.2">
      <c r="A22" s="44">
        <f t="shared" si="1"/>
        <v>15</v>
      </c>
      <c r="B22" s="43" t="s">
        <v>349</v>
      </c>
      <c r="C22" s="52">
        <f t="shared" ref="C22:N22" si="8">C10-C20</f>
        <v>3223442.4850534387</v>
      </c>
      <c r="D22" s="52">
        <f t="shared" si="8"/>
        <v>-7917210.06563114</v>
      </c>
      <c r="E22" s="52">
        <f t="shared" si="8"/>
        <v>1353449.0527271777</v>
      </c>
      <c r="F22" s="52">
        <f t="shared" si="8"/>
        <v>2142228.2280842904</v>
      </c>
      <c r="G22" s="52">
        <f t="shared" si="8"/>
        <v>2453426.4239088222</v>
      </c>
      <c r="H22" s="52">
        <f t="shared" si="8"/>
        <v>665879.47481464222</v>
      </c>
      <c r="I22" s="52">
        <f t="shared" si="8"/>
        <v>-72793.338042438962</v>
      </c>
      <c r="J22" s="52">
        <f t="shared" si="8"/>
        <v>23809.748897983693</v>
      </c>
      <c r="K22" s="52">
        <f t="shared" si="8"/>
        <v>1383634.5648408337</v>
      </c>
      <c r="L22" s="52">
        <f t="shared" si="8"/>
        <v>-2197000.4846407175</v>
      </c>
      <c r="M22" s="52">
        <f t="shared" si="8"/>
        <v>2462442.090563342</v>
      </c>
      <c r="N22" s="52">
        <f t="shared" si="8"/>
        <v>1643463.7587733828</v>
      </c>
    </row>
    <row r="23" spans="1:14" x14ac:dyDescent="0.2">
      <c r="A23" s="44">
        <f t="shared" si="1"/>
        <v>16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4" x14ac:dyDescent="0.2">
      <c r="A24" s="44">
        <f t="shared" si="1"/>
        <v>17</v>
      </c>
      <c r="B24" s="43" t="s">
        <v>355</v>
      </c>
      <c r="C24" s="171">
        <v>135310.53</v>
      </c>
      <c r="D24" s="171">
        <v>95275.36</v>
      </c>
      <c r="E24" s="171">
        <v>53426.5</v>
      </c>
      <c r="F24" s="171">
        <v>43837.98</v>
      </c>
      <c r="G24" s="171">
        <v>45599.16</v>
      </c>
      <c r="H24" s="284">
        <v>51122.05</v>
      </c>
      <c r="I24" s="16">
        <v>51742.29</v>
      </c>
      <c r="J24" s="284">
        <v>50680.7</v>
      </c>
      <c r="K24" s="284">
        <v>52654.23</v>
      </c>
      <c r="L24" s="171">
        <v>47637.17</v>
      </c>
      <c r="M24" s="171">
        <v>43947.41</v>
      </c>
      <c r="N24" s="171">
        <v>47381.96</v>
      </c>
    </row>
    <row r="25" spans="1:14" x14ac:dyDescent="0.2">
      <c r="A25" s="44">
        <f t="shared" si="1"/>
        <v>18</v>
      </c>
    </row>
    <row r="26" spans="1:14" x14ac:dyDescent="0.2">
      <c r="A26" s="44">
        <f t="shared" si="1"/>
        <v>19</v>
      </c>
      <c r="B26" s="43" t="s">
        <v>356</v>
      </c>
      <c r="C26" s="284">
        <v>8148273.9102381608</v>
      </c>
      <c r="D26" s="52">
        <f t="shared" ref="D26:N26" si="9">C26+D22+D24</f>
        <v>326339.20460702071</v>
      </c>
      <c r="E26" s="52">
        <f t="shared" si="9"/>
        <v>1733214.7573341983</v>
      </c>
      <c r="F26" s="52">
        <f t="shared" si="9"/>
        <v>3919280.9654184887</v>
      </c>
      <c r="G26" s="52">
        <f t="shared" si="9"/>
        <v>6418306.5493273111</v>
      </c>
      <c r="H26" s="52">
        <f t="shared" si="9"/>
        <v>7135308.0741419531</v>
      </c>
      <c r="I26" s="52">
        <f t="shared" si="9"/>
        <v>7114257.0260995142</v>
      </c>
      <c r="J26" s="52">
        <f t="shared" si="9"/>
        <v>7188747.4749974981</v>
      </c>
      <c r="K26" s="52">
        <f t="shared" si="9"/>
        <v>8625036.2698383331</v>
      </c>
      <c r="L26" s="52">
        <f t="shared" si="9"/>
        <v>6475672.9551976155</v>
      </c>
      <c r="M26" s="52">
        <f t="shared" si="9"/>
        <v>8982062.4557609577</v>
      </c>
      <c r="N26" s="52">
        <f t="shared" si="9"/>
        <v>10672908.174534341</v>
      </c>
    </row>
    <row r="27" spans="1:14" x14ac:dyDescent="0.2">
      <c r="A27" s="44">
        <f t="shared" si="1"/>
        <v>20</v>
      </c>
    </row>
    <row r="28" spans="1:14" x14ac:dyDescent="0.2">
      <c r="A28" s="44">
        <f t="shared" si="1"/>
        <v>21</v>
      </c>
      <c r="B28" s="203" t="s">
        <v>350</v>
      </c>
      <c r="C28" s="204">
        <v>8.1549999999999997E-2</v>
      </c>
      <c r="D28" s="205">
        <f>$C$28</f>
        <v>8.1549999999999997E-2</v>
      </c>
      <c r="E28" s="205">
        <f t="shared" ref="E28:F28" si="10">$C$28</f>
        <v>8.1549999999999997E-2</v>
      </c>
      <c r="F28" s="205">
        <f t="shared" si="10"/>
        <v>8.1549999999999997E-2</v>
      </c>
      <c r="G28" s="204">
        <v>1.9550000000000001E-2</v>
      </c>
      <c r="H28" s="206">
        <f>$G$28</f>
        <v>1.9550000000000001E-2</v>
      </c>
      <c r="I28" s="206">
        <f t="shared" ref="I28:N28" si="11">$G$28</f>
        <v>1.9550000000000001E-2</v>
      </c>
      <c r="J28" s="206">
        <f t="shared" si="11"/>
        <v>1.9550000000000001E-2</v>
      </c>
      <c r="K28" s="206">
        <f t="shared" si="11"/>
        <v>1.9550000000000001E-2</v>
      </c>
      <c r="L28" s="206">
        <f t="shared" si="11"/>
        <v>1.9550000000000001E-2</v>
      </c>
      <c r="M28" s="206">
        <f t="shared" si="11"/>
        <v>1.9550000000000001E-2</v>
      </c>
      <c r="N28" s="206">
        <f t="shared" si="11"/>
        <v>1.9550000000000001E-2</v>
      </c>
    </row>
    <row r="29" spans="1:14" x14ac:dyDescent="0.2">
      <c r="A29" s="44">
        <f t="shared" si="1"/>
        <v>22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1:14" x14ac:dyDescent="0.2">
      <c r="A30" s="44">
        <f t="shared" si="1"/>
        <v>23</v>
      </c>
      <c r="B30" s="203" t="s">
        <v>357</v>
      </c>
      <c r="C30" s="205">
        <f>$C$28</f>
        <v>8.1549999999999997E-2</v>
      </c>
      <c r="D30" s="205">
        <f>$C$30</f>
        <v>8.1549999999999997E-2</v>
      </c>
      <c r="E30" s="205">
        <f t="shared" ref="E30:N30" si="12">$C$30</f>
        <v>8.1549999999999997E-2</v>
      </c>
      <c r="F30" s="205">
        <f t="shared" si="12"/>
        <v>8.1549999999999997E-2</v>
      </c>
      <c r="G30" s="205">
        <f t="shared" si="12"/>
        <v>8.1549999999999997E-2</v>
      </c>
      <c r="H30" s="205">
        <f t="shared" si="12"/>
        <v>8.1549999999999997E-2</v>
      </c>
      <c r="I30" s="205">
        <f t="shared" si="12"/>
        <v>8.1549999999999997E-2</v>
      </c>
      <c r="J30" s="205">
        <f t="shared" si="12"/>
        <v>8.1549999999999997E-2</v>
      </c>
      <c r="K30" s="205">
        <f t="shared" si="12"/>
        <v>8.1549999999999997E-2</v>
      </c>
      <c r="L30" s="205">
        <f t="shared" si="12"/>
        <v>8.1549999999999997E-2</v>
      </c>
      <c r="M30" s="205">
        <f t="shared" si="12"/>
        <v>8.1549999999999997E-2</v>
      </c>
      <c r="N30" s="205">
        <f t="shared" si="12"/>
        <v>8.1549999999999997E-2</v>
      </c>
    </row>
    <row r="31" spans="1:14" x14ac:dyDescent="0.2">
      <c r="A31" s="44">
        <f t="shared" si="1"/>
        <v>24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4" x14ac:dyDescent="0.2">
      <c r="A32" s="44">
        <f t="shared" si="1"/>
        <v>25</v>
      </c>
      <c r="B32" s="43" t="s">
        <v>245</v>
      </c>
      <c r="C32" s="52">
        <f t="shared" ref="C32:N32" si="13">(C12*C28)+(C16*C30)</f>
        <v>7043108.6413328089</v>
      </c>
      <c r="D32" s="52">
        <f t="shared" si="13"/>
        <v>8485254.9638982732</v>
      </c>
      <c r="E32" s="52">
        <f t="shared" si="13"/>
        <v>6000434.810803174</v>
      </c>
      <c r="F32" s="52">
        <f t="shared" si="13"/>
        <v>3696613.0242889235</v>
      </c>
      <c r="G32" s="52">
        <f t="shared" si="13"/>
        <v>331628.66132279515</v>
      </c>
      <c r="H32" s="52">
        <f t="shared" si="13"/>
        <v>358650.83733395988</v>
      </c>
      <c r="I32" s="52">
        <f t="shared" si="13"/>
        <v>274345.01489916822</v>
      </c>
      <c r="J32" s="52">
        <f t="shared" si="13"/>
        <v>252779.78585733895</v>
      </c>
      <c r="K32" s="52">
        <f t="shared" si="13"/>
        <v>357620.70006208407</v>
      </c>
      <c r="L32" s="52">
        <f t="shared" si="13"/>
        <v>1042257.4688596415</v>
      </c>
      <c r="M32" s="52">
        <f t="shared" si="13"/>
        <v>1346305.317778436</v>
      </c>
      <c r="N32" s="52">
        <f t="shared" si="13"/>
        <v>1689248.6464172862</v>
      </c>
    </row>
    <row r="33" spans="1:14" x14ac:dyDescent="0.2">
      <c r="A33" s="44">
        <f t="shared" si="1"/>
        <v>26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 x14ac:dyDescent="0.2">
      <c r="A34" s="44">
        <f t="shared" si="1"/>
        <v>27</v>
      </c>
      <c r="B34" s="43" t="s">
        <v>358</v>
      </c>
      <c r="C34" s="284">
        <v>-6021041.0336368708</v>
      </c>
      <c r="D34" s="52">
        <f t="shared" ref="D34:N34" si="14">C34+D22+D24-D32</f>
        <v>-22328230.703166284</v>
      </c>
      <c r="E34" s="52">
        <f t="shared" si="14"/>
        <v>-26921789.961242281</v>
      </c>
      <c r="F34" s="52">
        <f t="shared" si="14"/>
        <v>-28432336.777446914</v>
      </c>
      <c r="G34" s="52">
        <f t="shared" si="14"/>
        <v>-26264939.854860887</v>
      </c>
      <c r="H34" s="52">
        <f t="shared" si="14"/>
        <v>-25906589.167380203</v>
      </c>
      <c r="I34" s="52">
        <f t="shared" si="14"/>
        <v>-26201985.23032181</v>
      </c>
      <c r="J34" s="52">
        <f t="shared" si="14"/>
        <v>-26380274.567281164</v>
      </c>
      <c r="K34" s="52">
        <f t="shared" si="14"/>
        <v>-25301606.472502414</v>
      </c>
      <c r="L34" s="52">
        <f t="shared" si="14"/>
        <v>-28493227.256002773</v>
      </c>
      <c r="M34" s="52">
        <f t="shared" si="14"/>
        <v>-27333143.073217865</v>
      </c>
      <c r="N34" s="52">
        <f t="shared" si="14"/>
        <v>-27331546.000861768</v>
      </c>
    </row>
    <row r="35" spans="1:14" x14ac:dyDescent="0.2">
      <c r="A35" s="44">
        <f t="shared" si="1"/>
        <v>28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x14ac:dyDescent="0.2">
      <c r="A36" s="44">
        <f t="shared" si="1"/>
        <v>29</v>
      </c>
      <c r="B36" s="207" t="s">
        <v>359</v>
      </c>
      <c r="C36" s="281"/>
      <c r="D36" s="281"/>
      <c r="E36" s="282">
        <v>0.954538</v>
      </c>
      <c r="F36" s="281">
        <f>$E$36</f>
        <v>0.954538</v>
      </c>
      <c r="G36" s="281">
        <f t="shared" ref="G36:N36" si="15">$E$36</f>
        <v>0.954538</v>
      </c>
      <c r="H36" s="281">
        <f t="shared" si="15"/>
        <v>0.954538</v>
      </c>
      <c r="I36" s="281">
        <f t="shared" si="15"/>
        <v>0.954538</v>
      </c>
      <c r="J36" s="281">
        <f t="shared" si="15"/>
        <v>0.954538</v>
      </c>
      <c r="K36" s="281">
        <f t="shared" si="15"/>
        <v>0.954538</v>
      </c>
      <c r="L36" s="281">
        <f t="shared" si="15"/>
        <v>0.954538</v>
      </c>
      <c r="M36" s="281">
        <f t="shared" si="15"/>
        <v>0.954538</v>
      </c>
      <c r="N36" s="281">
        <f t="shared" si="15"/>
        <v>0.954538</v>
      </c>
    </row>
    <row r="37" spans="1:14" x14ac:dyDescent="0.2">
      <c r="A37" s="44">
        <f t="shared" si="1"/>
        <v>30</v>
      </c>
      <c r="C37" s="51"/>
      <c r="D37" s="51"/>
      <c r="E37" s="51"/>
      <c r="F37" s="51"/>
      <c r="G37" s="202"/>
      <c r="H37" s="202"/>
      <c r="I37" s="202"/>
      <c r="J37" s="202"/>
      <c r="K37" s="202"/>
      <c r="L37" s="202"/>
      <c r="M37" s="202"/>
      <c r="N37" s="202"/>
    </row>
    <row r="38" spans="1:14" x14ac:dyDescent="0.2">
      <c r="A38" s="44">
        <f t="shared" si="1"/>
        <v>31</v>
      </c>
      <c r="B38" s="207" t="s">
        <v>360</v>
      </c>
      <c r="C38" s="282">
        <v>0.954538</v>
      </c>
      <c r="D38" s="281">
        <f>$C$38</f>
        <v>0.954538</v>
      </c>
      <c r="E38" s="281"/>
      <c r="F38" s="281"/>
      <c r="G38" s="281"/>
      <c r="H38" s="281"/>
      <c r="I38" s="281"/>
      <c r="J38" s="281"/>
      <c r="K38" s="281"/>
      <c r="L38" s="281"/>
      <c r="M38" s="281"/>
      <c r="N38" s="281"/>
    </row>
    <row r="39" spans="1:14" x14ac:dyDescent="0.2">
      <c r="A39" s="44">
        <f t="shared" si="1"/>
        <v>32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14" ht="12" thickBot="1" x14ac:dyDescent="0.25">
      <c r="A40" s="44">
        <f t="shared" si="1"/>
        <v>33</v>
      </c>
      <c r="B40" s="43" t="s">
        <v>361</v>
      </c>
      <c r="C40" s="208">
        <f t="shared" ref="C40:D40" si="16">ROUND((C22*C38),2)</f>
        <v>3076898.34</v>
      </c>
      <c r="D40" s="208">
        <f t="shared" si="16"/>
        <v>-7557277.8600000003</v>
      </c>
      <c r="E40" s="208">
        <f>ROUND((E22*E36),2)</f>
        <v>1291918.55</v>
      </c>
      <c r="F40" s="208">
        <f t="shared" ref="F40:N40" si="17">ROUND((F22*F36),2)</f>
        <v>2044838.25</v>
      </c>
      <c r="G40" s="208">
        <f t="shared" si="17"/>
        <v>2341888.75</v>
      </c>
      <c r="H40" s="208">
        <f t="shared" si="17"/>
        <v>635607.26</v>
      </c>
      <c r="I40" s="283">
        <f t="shared" si="17"/>
        <v>-69484.009999999995</v>
      </c>
      <c r="J40" s="208">
        <f t="shared" si="17"/>
        <v>22727.31</v>
      </c>
      <c r="K40" s="208">
        <f t="shared" si="17"/>
        <v>1320731.77</v>
      </c>
      <c r="L40" s="208">
        <f t="shared" si="17"/>
        <v>-2097120.45</v>
      </c>
      <c r="M40" s="208">
        <f t="shared" si="17"/>
        <v>2350494.5499999998</v>
      </c>
      <c r="N40" s="208">
        <f t="shared" si="17"/>
        <v>1568748.61</v>
      </c>
    </row>
    <row r="41" spans="1:14" x14ac:dyDescent="0.2">
      <c r="A41" s="44">
        <f t="shared" si="1"/>
        <v>34</v>
      </c>
    </row>
    <row r="42" spans="1:14" ht="12" thickBot="1" x14ac:dyDescent="0.25">
      <c r="A42" s="44">
        <f t="shared" si="1"/>
        <v>35</v>
      </c>
      <c r="B42" s="43" t="s">
        <v>362</v>
      </c>
      <c r="C42" s="208">
        <f t="shared" ref="C42:D42" si="18">ROUND((C32*C38),2)</f>
        <v>6722914.8399999999</v>
      </c>
      <c r="D42" s="208">
        <f t="shared" si="18"/>
        <v>8099498.2999999998</v>
      </c>
      <c r="E42" s="208">
        <f>ROUND((E32*E36),2)</f>
        <v>5727643.04</v>
      </c>
      <c r="F42" s="208">
        <f t="shared" ref="F42:N42" si="19">ROUND((F32*F36),2)</f>
        <v>3528557.6</v>
      </c>
      <c r="G42" s="208">
        <f t="shared" si="19"/>
        <v>316552.15999999997</v>
      </c>
      <c r="H42" s="208">
        <f t="shared" si="19"/>
        <v>342345.85</v>
      </c>
      <c r="I42" s="283">
        <f t="shared" si="19"/>
        <v>261872.74</v>
      </c>
      <c r="J42" s="208">
        <f t="shared" si="19"/>
        <v>241287.91</v>
      </c>
      <c r="K42" s="208">
        <f t="shared" si="19"/>
        <v>341362.55</v>
      </c>
      <c r="L42" s="208">
        <f t="shared" si="19"/>
        <v>994874.36</v>
      </c>
      <c r="M42" s="208">
        <f t="shared" si="19"/>
        <v>1285099.5900000001</v>
      </c>
      <c r="N42" s="208">
        <f t="shared" si="19"/>
        <v>1612452.02</v>
      </c>
    </row>
    <row r="43" spans="1:14" x14ac:dyDescent="0.2">
      <c r="A43" s="44">
        <f t="shared" si="1"/>
        <v>36</v>
      </c>
    </row>
    <row r="44" spans="1:14" s="199" customFormat="1" x14ac:dyDescent="0.2">
      <c r="A44" s="44">
        <f t="shared" si="1"/>
        <v>37</v>
      </c>
      <c r="B44" s="199" t="s">
        <v>363</v>
      </c>
    </row>
    <row r="45" spans="1:14" s="203" customFormat="1" x14ac:dyDescent="0.2">
      <c r="A45" s="44">
        <f t="shared" si="1"/>
        <v>38</v>
      </c>
      <c r="B45" s="203" t="s">
        <v>364</v>
      </c>
    </row>
    <row r="46" spans="1:14" s="207" customFormat="1" x14ac:dyDescent="0.2">
      <c r="A46" s="44">
        <f t="shared" si="1"/>
        <v>39</v>
      </c>
      <c r="B46" s="207" t="s">
        <v>365</v>
      </c>
    </row>
    <row r="47" spans="1:14" x14ac:dyDescent="0.2">
      <c r="A47" s="153"/>
    </row>
    <row r="48" spans="1:14" x14ac:dyDescent="0.2">
      <c r="A48" s="44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spans="1:14" x14ac:dyDescent="0.2">
      <c r="A49" s="44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1:14" x14ac:dyDescent="0.2">
      <c r="A50" s="44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</row>
    <row r="51" spans="1:14" x14ac:dyDescent="0.2">
      <c r="A51" s="44"/>
    </row>
    <row r="52" spans="1:14" x14ac:dyDescent="0.2">
      <c r="A52" s="44"/>
    </row>
    <row r="53" spans="1:14" x14ac:dyDescent="0.2">
      <c r="A53" s="44"/>
    </row>
    <row r="54" spans="1:14" x14ac:dyDescent="0.2">
      <c r="A54" s="44"/>
    </row>
    <row r="55" spans="1:14" x14ac:dyDescent="0.2">
      <c r="A55" s="44"/>
    </row>
    <row r="56" spans="1:14" x14ac:dyDescent="0.2">
      <c r="A56" s="44"/>
    </row>
    <row r="57" spans="1:14" x14ac:dyDescent="0.2">
      <c r="A57" s="44"/>
    </row>
    <row r="58" spans="1:14" x14ac:dyDescent="0.2">
      <c r="A58" s="44"/>
    </row>
    <row r="59" spans="1:14" x14ac:dyDescent="0.2">
      <c r="A59" s="44"/>
    </row>
    <row r="60" spans="1:14" x14ac:dyDescent="0.2">
      <c r="A60" s="44"/>
    </row>
    <row r="61" spans="1:14" x14ac:dyDescent="0.2">
      <c r="A61" s="44"/>
    </row>
    <row r="62" spans="1:14" x14ac:dyDescent="0.2">
      <c r="A62" s="44"/>
    </row>
    <row r="63" spans="1:14" x14ac:dyDescent="0.2">
      <c r="A63" s="44"/>
    </row>
    <row r="64" spans="1:14" x14ac:dyDescent="0.2">
      <c r="A64" s="44"/>
    </row>
    <row r="65" spans="1:1" x14ac:dyDescent="0.2">
      <c r="A65" s="44"/>
    </row>
    <row r="66" spans="1:1" x14ac:dyDescent="0.2">
      <c r="A66" s="44"/>
    </row>
    <row r="67" spans="1:1" x14ac:dyDescent="0.2">
      <c r="A67" s="44"/>
    </row>
    <row r="68" spans="1:1" x14ac:dyDescent="0.2">
      <c r="A68" s="44"/>
    </row>
    <row r="69" spans="1:1" x14ac:dyDescent="0.2">
      <c r="A69" s="44"/>
    </row>
    <row r="70" spans="1:1" x14ac:dyDescent="0.2">
      <c r="A70" s="44"/>
    </row>
    <row r="71" spans="1:1" x14ac:dyDescent="0.2">
      <c r="A71" s="44"/>
    </row>
    <row r="72" spans="1:1" x14ac:dyDescent="0.2">
      <c r="A72" s="44"/>
    </row>
    <row r="73" spans="1:1" x14ac:dyDescent="0.2">
      <c r="A73" s="44"/>
    </row>
    <row r="74" spans="1:1" x14ac:dyDescent="0.2">
      <c r="A74" s="44"/>
    </row>
    <row r="75" spans="1:1" x14ac:dyDescent="0.2">
      <c r="A75" s="44"/>
    </row>
    <row r="76" spans="1:1" x14ac:dyDescent="0.2">
      <c r="A76" s="44"/>
    </row>
    <row r="77" spans="1:1" x14ac:dyDescent="0.2">
      <c r="A77" s="44"/>
    </row>
    <row r="78" spans="1:1" x14ac:dyDescent="0.2">
      <c r="A78" s="44"/>
    </row>
    <row r="79" spans="1:1" x14ac:dyDescent="0.2">
      <c r="A79" s="44"/>
    </row>
    <row r="80" spans="1:1" x14ac:dyDescent="0.2">
      <c r="A80" s="44"/>
    </row>
    <row r="81" spans="1:1" x14ac:dyDescent="0.2">
      <c r="A81" s="44"/>
    </row>
    <row r="82" spans="1:1" x14ac:dyDescent="0.2">
      <c r="A82" s="44"/>
    </row>
    <row r="83" spans="1:1" x14ac:dyDescent="0.2">
      <c r="A83" s="44"/>
    </row>
    <row r="84" spans="1:1" x14ac:dyDescent="0.2">
      <c r="A84" s="44"/>
    </row>
    <row r="85" spans="1:1" x14ac:dyDescent="0.2">
      <c r="A85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89" spans="1:1" x14ac:dyDescent="0.2">
      <c r="A89" s="44"/>
    </row>
    <row r="90" spans="1:1" x14ac:dyDescent="0.2">
      <c r="A90" s="44"/>
    </row>
    <row r="91" spans="1:1" x14ac:dyDescent="0.2">
      <c r="A91" s="44"/>
    </row>
  </sheetData>
  <printOptions horizontalCentered="1"/>
  <pageMargins left="0.45" right="0.45" top="0.75" bottom="0.75" header="0.3" footer="0.3"/>
  <pageSetup scale="73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78"/>
  <sheetViews>
    <sheetView zoomScaleNormal="100" workbookViewId="0">
      <pane xSplit="2" ySplit="6" topLeftCell="C7" activePane="bottomRight" state="frozen"/>
      <selection activeCell="Q47" sqref="A1:Q47"/>
      <selection pane="topRight" activeCell="Q47" sqref="A1:Q47"/>
      <selection pane="bottomLeft" activeCell="Q47" sqref="A1:Q47"/>
      <selection pane="bottomRight" activeCell="N30" sqref="N30"/>
    </sheetView>
  </sheetViews>
  <sheetFormatPr defaultColWidth="9.140625" defaultRowHeight="11.25" x14ac:dyDescent="0.2"/>
  <cols>
    <col min="1" max="1" width="5.5703125" style="43" bestFit="1" customWidth="1"/>
    <col min="2" max="2" width="41" style="43" customWidth="1"/>
    <col min="3" max="3" width="10.7109375" style="43" bestFit="1" customWidth="1"/>
    <col min="4" max="4" width="10.42578125" style="43" bestFit="1" customWidth="1"/>
    <col min="5" max="5" width="10.5703125" style="43" bestFit="1" customWidth="1"/>
    <col min="6" max="6" width="10.7109375" style="43" bestFit="1" customWidth="1"/>
    <col min="7" max="7" width="11.42578125" style="43" bestFit="1" customWidth="1"/>
    <col min="8" max="9" width="10.5703125" style="43" bestFit="1" customWidth="1"/>
    <col min="10" max="10" width="11.28515625" style="43" bestFit="1" customWidth="1"/>
    <col min="11" max="14" width="10.42578125" style="43" bestFit="1" customWidth="1"/>
    <col min="15" max="16384" width="9.140625" style="43"/>
  </cols>
  <sheetData>
    <row r="1" spans="1:15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5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5" x14ac:dyDescent="0.2">
      <c r="A3" s="10" t="s">
        <v>351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5" x14ac:dyDescent="0.2">
      <c r="A4" s="10" t="s">
        <v>184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5" ht="12" thickBot="1" x14ac:dyDescent="0.25"/>
    <row r="6" spans="1:15" ht="33.75" x14ac:dyDescent="0.2">
      <c r="A6" s="196" t="s">
        <v>80</v>
      </c>
      <c r="B6" s="197"/>
      <c r="C6" s="279">
        <f>'Sch23&amp;53 Deferral Calc'!C6</f>
        <v>43496</v>
      </c>
      <c r="D6" s="198">
        <f t="shared" ref="D6:N6" si="0">EDATE(C6,1)</f>
        <v>43524</v>
      </c>
      <c r="E6" s="198">
        <f t="shared" si="0"/>
        <v>43552</v>
      </c>
      <c r="F6" s="198">
        <f t="shared" si="0"/>
        <v>43583</v>
      </c>
      <c r="G6" s="198">
        <f t="shared" si="0"/>
        <v>43613</v>
      </c>
      <c r="H6" s="198">
        <f t="shared" si="0"/>
        <v>43644</v>
      </c>
      <c r="I6" s="198">
        <f t="shared" si="0"/>
        <v>43674</v>
      </c>
      <c r="J6" s="198">
        <f t="shared" si="0"/>
        <v>43705</v>
      </c>
      <c r="K6" s="198">
        <f t="shared" si="0"/>
        <v>43736</v>
      </c>
      <c r="L6" s="198">
        <f t="shared" si="0"/>
        <v>43766</v>
      </c>
      <c r="M6" s="198">
        <f t="shared" si="0"/>
        <v>43797</v>
      </c>
      <c r="N6" s="198">
        <f t="shared" si="0"/>
        <v>43827</v>
      </c>
      <c r="O6" s="402" t="s">
        <v>456</v>
      </c>
    </row>
    <row r="7" spans="1:15" x14ac:dyDescent="0.2">
      <c r="A7" s="44"/>
      <c r="B7" s="44"/>
      <c r="C7" s="209"/>
      <c r="D7" s="209"/>
      <c r="E7" s="209"/>
      <c r="F7" s="209"/>
      <c r="G7" s="209"/>
      <c r="H7" s="209"/>
      <c r="I7" s="209"/>
      <c r="J7" s="209"/>
      <c r="K7" s="209"/>
      <c r="L7" s="44"/>
      <c r="M7" s="44"/>
      <c r="N7" s="44"/>
      <c r="O7" s="403"/>
    </row>
    <row r="8" spans="1:15" ht="12" thickBot="1" x14ac:dyDescent="0.25">
      <c r="A8" s="44">
        <v>1</v>
      </c>
      <c r="B8" s="199" t="s">
        <v>81</v>
      </c>
      <c r="C8" s="200">
        <v>57013</v>
      </c>
      <c r="D8" s="200">
        <v>57095</v>
      </c>
      <c r="E8" s="200">
        <v>57154</v>
      </c>
      <c r="F8" s="200">
        <v>57112</v>
      </c>
      <c r="G8" s="200">
        <v>57109</v>
      </c>
      <c r="H8" s="200">
        <v>57028</v>
      </c>
      <c r="I8" s="200">
        <v>57024</v>
      </c>
      <c r="J8" s="200">
        <v>56965</v>
      </c>
      <c r="K8" s="200">
        <v>56963</v>
      </c>
      <c r="L8" s="200">
        <v>57063</v>
      </c>
      <c r="M8" s="200">
        <v>57243</v>
      </c>
      <c r="N8" s="200">
        <v>57315</v>
      </c>
      <c r="O8" s="404">
        <f t="shared" ref="O8" si="1">AVERAGE(C8:N8)</f>
        <v>57090.333333333336</v>
      </c>
    </row>
    <row r="9" spans="1:15" x14ac:dyDescent="0.2">
      <c r="A9" s="44">
        <f>A8+1</f>
        <v>2</v>
      </c>
      <c r="B9" s="43" t="s">
        <v>352</v>
      </c>
      <c r="C9" s="16">
        <v>172.56</v>
      </c>
      <c r="D9" s="16">
        <v>145.13</v>
      </c>
      <c r="E9" s="16">
        <v>154.71503924527812</v>
      </c>
      <c r="F9" s="16">
        <v>108.58564737045211</v>
      </c>
      <c r="G9" s="16">
        <v>72.388236524211251</v>
      </c>
      <c r="H9" s="16">
        <v>52.858234576473087</v>
      </c>
      <c r="I9" s="16">
        <v>45.365001334241484</v>
      </c>
      <c r="J9" s="16">
        <v>44.491299201870326</v>
      </c>
      <c r="K9" s="16">
        <v>54.158781019294224</v>
      </c>
      <c r="L9" s="16">
        <v>95.764263208668822</v>
      </c>
      <c r="M9" s="16">
        <v>144.46845536842417</v>
      </c>
      <c r="N9" s="16">
        <v>177.44399350380391</v>
      </c>
    </row>
    <row r="10" spans="1:15" x14ac:dyDescent="0.2">
      <c r="A10" s="44">
        <f t="shared" ref="A10:A33" si="2">A9+1</f>
        <v>3</v>
      </c>
      <c r="B10" s="43" t="s">
        <v>353</v>
      </c>
      <c r="C10" s="52">
        <f t="shared" ref="C10:N10" si="3">C8*C9</f>
        <v>9838163.2799999993</v>
      </c>
      <c r="D10" s="52">
        <f t="shared" si="3"/>
        <v>8286197.3499999996</v>
      </c>
      <c r="E10" s="52">
        <f t="shared" si="3"/>
        <v>8842583.3530246262</v>
      </c>
      <c r="F10" s="52">
        <f t="shared" si="3"/>
        <v>6201543.4926212607</v>
      </c>
      <c r="G10" s="52">
        <f t="shared" si="3"/>
        <v>4134019.7996611805</v>
      </c>
      <c r="H10" s="52">
        <f t="shared" si="3"/>
        <v>3014399.4014271074</v>
      </c>
      <c r="I10" s="52">
        <f t="shared" si="3"/>
        <v>2586893.8360837866</v>
      </c>
      <c r="J10" s="52">
        <f t="shared" si="3"/>
        <v>2534446.8590345429</v>
      </c>
      <c r="K10" s="52">
        <f t="shared" si="3"/>
        <v>3085046.6432020571</v>
      </c>
      <c r="L10" s="52">
        <f t="shared" si="3"/>
        <v>5464596.1514762687</v>
      </c>
      <c r="M10" s="52">
        <f t="shared" si="3"/>
        <v>8269807.7906547049</v>
      </c>
      <c r="N10" s="52">
        <f t="shared" si="3"/>
        <v>10170202.48767052</v>
      </c>
    </row>
    <row r="11" spans="1:15" x14ac:dyDescent="0.2">
      <c r="A11" s="44">
        <f t="shared" si="2"/>
        <v>4</v>
      </c>
    </row>
    <row r="12" spans="1:15" x14ac:dyDescent="0.2">
      <c r="A12" s="44">
        <f t="shared" si="2"/>
        <v>5</v>
      </c>
      <c r="B12" s="43" t="s">
        <v>348</v>
      </c>
      <c r="C12" s="171">
        <v>8695868.1606244221</v>
      </c>
      <c r="D12" s="171">
        <v>10907260.186949695</v>
      </c>
      <c r="E12" s="171">
        <v>8860020.6777463108</v>
      </c>
      <c r="F12" s="171">
        <v>5825969.7265601214</v>
      </c>
      <c r="G12" s="171">
        <v>4108852.4115269482</v>
      </c>
      <c r="H12" s="171">
        <v>3063815.6709165541</v>
      </c>
      <c r="I12" s="171">
        <v>2777181.9278768823</v>
      </c>
      <c r="J12" s="171">
        <v>2787999.0327493665</v>
      </c>
      <c r="K12" s="171">
        <v>3632198.8395227287</v>
      </c>
      <c r="L12" s="171">
        <v>6006962.6902403319</v>
      </c>
      <c r="M12" s="171">
        <v>6845509.6792737935</v>
      </c>
      <c r="N12" s="171">
        <v>10433588.897698322</v>
      </c>
    </row>
    <row r="13" spans="1:15" x14ac:dyDescent="0.2">
      <c r="A13" s="44">
        <f t="shared" si="2"/>
        <v>6</v>
      </c>
    </row>
    <row r="14" spans="1:15" x14ac:dyDescent="0.2">
      <c r="A14" s="44">
        <f t="shared" si="2"/>
        <v>7</v>
      </c>
      <c r="B14" s="43" t="s">
        <v>349</v>
      </c>
      <c r="C14" s="52">
        <f t="shared" ref="C14:N14" si="4">C10-C12</f>
        <v>1142295.1193755772</v>
      </c>
      <c r="D14" s="52">
        <f>D10-D12</f>
        <v>-2621062.8369496949</v>
      </c>
      <c r="E14" s="52">
        <f>E10-E12</f>
        <v>-17437.324721684679</v>
      </c>
      <c r="F14" s="52">
        <f t="shared" si="4"/>
        <v>375573.76606113929</v>
      </c>
      <c r="G14" s="52">
        <f t="shared" si="4"/>
        <v>25167.388134232257</v>
      </c>
      <c r="H14" s="52">
        <f t="shared" si="4"/>
        <v>-49416.269489446655</v>
      </c>
      <c r="I14" s="52">
        <f t="shared" si="4"/>
        <v>-190288.09179309569</v>
      </c>
      <c r="J14" s="52">
        <f t="shared" si="4"/>
        <v>-253552.17371482356</v>
      </c>
      <c r="K14" s="52">
        <f t="shared" si="4"/>
        <v>-547152.19632067159</v>
      </c>
      <c r="L14" s="52">
        <f t="shared" si="4"/>
        <v>-542366.53876406327</v>
      </c>
      <c r="M14" s="52">
        <f t="shared" si="4"/>
        <v>1424298.1113809114</v>
      </c>
      <c r="N14" s="52">
        <f t="shared" si="4"/>
        <v>-263386.41002780199</v>
      </c>
    </row>
    <row r="15" spans="1:15" x14ac:dyDescent="0.2">
      <c r="A15" s="44">
        <f t="shared" si="2"/>
        <v>8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5" x14ac:dyDescent="0.2">
      <c r="A16" s="44">
        <f t="shared" si="2"/>
        <v>9</v>
      </c>
      <c r="B16" s="43" t="s">
        <v>355</v>
      </c>
      <c r="C16" s="171">
        <v>-5798.84</v>
      </c>
      <c r="D16" s="171">
        <v>-9621.26</v>
      </c>
      <c r="E16" s="171">
        <v>-15822.43</v>
      </c>
      <c r="F16" s="171">
        <v>-16452.990000000002</v>
      </c>
      <c r="G16" s="171">
        <v>-15488.72</v>
      </c>
      <c r="H16" s="284">
        <v>-15029.8</v>
      </c>
      <c r="I16" s="284">
        <v>-15324.49</v>
      </c>
      <c r="J16" s="16">
        <v>-15915.98</v>
      </c>
      <c r="K16" s="171">
        <v>-17210.95</v>
      </c>
      <c r="L16" s="171">
        <v>-18633.75</v>
      </c>
      <c r="M16" s="171">
        <v>-15831.93</v>
      </c>
      <c r="N16" s="171">
        <v>-12118.51</v>
      </c>
    </row>
    <row r="17" spans="1:14" x14ac:dyDescent="0.2">
      <c r="A17" s="44">
        <f t="shared" si="2"/>
        <v>10</v>
      </c>
    </row>
    <row r="18" spans="1:14" x14ac:dyDescent="0.2">
      <c r="A18" s="44">
        <f t="shared" si="2"/>
        <v>11</v>
      </c>
      <c r="B18" s="43" t="s">
        <v>356</v>
      </c>
      <c r="C18" s="284">
        <v>1198089.9604004466</v>
      </c>
      <c r="D18" s="52">
        <f t="shared" ref="D18:N18" si="5">C18+D14+D16</f>
        <v>-1432594.1365492484</v>
      </c>
      <c r="E18" s="52">
        <f>D18+E14+E16</f>
        <v>-1465853.891270933</v>
      </c>
      <c r="F18" s="52">
        <f t="shared" si="5"/>
        <v>-1106733.1152097937</v>
      </c>
      <c r="G18" s="52">
        <f t="shared" si="5"/>
        <v>-1097054.4470755614</v>
      </c>
      <c r="H18" s="52">
        <f t="shared" si="5"/>
        <v>-1161500.5165650081</v>
      </c>
      <c r="I18" s="52">
        <f t="shared" si="5"/>
        <v>-1367113.0983581038</v>
      </c>
      <c r="J18" s="52">
        <f t="shared" si="5"/>
        <v>-1636581.2520729273</v>
      </c>
      <c r="K18" s="52">
        <f t="shared" si="5"/>
        <v>-2200944.3983935993</v>
      </c>
      <c r="L18" s="52">
        <f t="shared" si="5"/>
        <v>-2761944.6871576626</v>
      </c>
      <c r="M18" s="52">
        <f t="shared" si="5"/>
        <v>-1353478.5057767511</v>
      </c>
      <c r="N18" s="52">
        <f t="shared" si="5"/>
        <v>-1628983.4258045531</v>
      </c>
    </row>
    <row r="19" spans="1:14" x14ac:dyDescent="0.2">
      <c r="A19" s="44">
        <f t="shared" si="2"/>
        <v>12</v>
      </c>
    </row>
    <row r="20" spans="1:14" x14ac:dyDescent="0.2">
      <c r="A20" s="44">
        <f t="shared" si="2"/>
        <v>13</v>
      </c>
      <c r="B20" s="43" t="s">
        <v>245</v>
      </c>
      <c r="C20" s="171">
        <v>207965.2521634615</v>
      </c>
      <c r="D20" s="171">
        <v>260851.5903385382</v>
      </c>
      <c r="E20" s="171">
        <v>201598.63941214202</v>
      </c>
      <c r="F20" s="171">
        <v>132746.60240750288</v>
      </c>
      <c r="G20" s="171">
        <v>-151000.62558254111</v>
      </c>
      <c r="H20" s="171">
        <v>-85357.48009010531</v>
      </c>
      <c r="I20" s="171">
        <v>-82947.069836809475</v>
      </c>
      <c r="J20" s="171">
        <v>-90786.00803617404</v>
      </c>
      <c r="K20" s="171">
        <v>-118275.49192395978</v>
      </c>
      <c r="L20" s="171">
        <v>-195605.28295434706</v>
      </c>
      <c r="M20" s="171">
        <v>-222910.96619736182</v>
      </c>
      <c r="N20" s="171">
        <v>-339749.91626190901</v>
      </c>
    </row>
    <row r="21" spans="1:14" x14ac:dyDescent="0.2">
      <c r="A21" s="44">
        <f t="shared" si="2"/>
        <v>14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4" x14ac:dyDescent="0.2">
      <c r="A22" s="44">
        <f t="shared" si="2"/>
        <v>15</v>
      </c>
      <c r="B22" s="43" t="s">
        <v>358</v>
      </c>
      <c r="C22" s="284">
        <v>750146.17347266898</v>
      </c>
      <c r="D22" s="52">
        <f t="shared" ref="D22:N22" si="6">C22+D14+D16-D20</f>
        <v>-2141389.5138155641</v>
      </c>
      <c r="E22" s="52">
        <f t="shared" si="6"/>
        <v>-2376247.9079493908</v>
      </c>
      <c r="F22" s="52">
        <f t="shared" si="6"/>
        <v>-2149873.7342957542</v>
      </c>
      <c r="G22" s="52">
        <f t="shared" si="6"/>
        <v>-1989194.4405789811</v>
      </c>
      <c r="H22" s="52">
        <f t="shared" si="6"/>
        <v>-1968283.0299783226</v>
      </c>
      <c r="I22" s="52">
        <f t="shared" si="6"/>
        <v>-2090948.5419346092</v>
      </c>
      <c r="J22" s="52">
        <f t="shared" si="6"/>
        <v>-2269630.6876132586</v>
      </c>
      <c r="K22" s="52">
        <f t="shared" si="6"/>
        <v>-2715718.3420099705</v>
      </c>
      <c r="L22" s="52">
        <f t="shared" si="6"/>
        <v>-3081113.3478196869</v>
      </c>
      <c r="M22" s="52">
        <f t="shared" si="6"/>
        <v>-1449736.2002414134</v>
      </c>
      <c r="N22" s="52">
        <f t="shared" si="6"/>
        <v>-1385491.2040073064</v>
      </c>
    </row>
    <row r="23" spans="1:14" x14ac:dyDescent="0.2">
      <c r="A23" s="44">
        <f t="shared" si="2"/>
        <v>16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4" x14ac:dyDescent="0.2">
      <c r="A24" s="44">
        <f t="shared" si="2"/>
        <v>17</v>
      </c>
      <c r="B24" s="207" t="s">
        <v>359</v>
      </c>
      <c r="C24" s="281"/>
      <c r="D24" s="281"/>
      <c r="E24" s="282">
        <v>0.954538</v>
      </c>
      <c r="F24" s="281">
        <f>$E$24</f>
        <v>0.954538</v>
      </c>
      <c r="G24" s="281">
        <f t="shared" ref="G24:N24" si="7">$E$24</f>
        <v>0.954538</v>
      </c>
      <c r="H24" s="281">
        <f t="shared" si="7"/>
        <v>0.954538</v>
      </c>
      <c r="I24" s="281">
        <f t="shared" si="7"/>
        <v>0.954538</v>
      </c>
      <c r="J24" s="281">
        <f t="shared" si="7"/>
        <v>0.954538</v>
      </c>
      <c r="K24" s="281">
        <f t="shared" si="7"/>
        <v>0.954538</v>
      </c>
      <c r="L24" s="281">
        <f t="shared" si="7"/>
        <v>0.954538</v>
      </c>
      <c r="M24" s="281">
        <f t="shared" si="7"/>
        <v>0.954538</v>
      </c>
      <c r="N24" s="281">
        <f t="shared" si="7"/>
        <v>0.954538</v>
      </c>
    </row>
    <row r="25" spans="1:14" x14ac:dyDescent="0.2">
      <c r="A25" s="44">
        <f t="shared" si="2"/>
        <v>18</v>
      </c>
      <c r="C25" s="51"/>
      <c r="D25" s="51"/>
      <c r="E25" s="51"/>
      <c r="F25" s="51"/>
      <c r="G25" s="202"/>
      <c r="H25" s="202"/>
      <c r="I25" s="202"/>
      <c r="J25" s="202"/>
      <c r="K25" s="202"/>
      <c r="L25" s="202"/>
      <c r="M25" s="202"/>
      <c r="N25" s="202"/>
    </row>
    <row r="26" spans="1:14" x14ac:dyDescent="0.2">
      <c r="A26" s="44">
        <f t="shared" si="2"/>
        <v>19</v>
      </c>
      <c r="B26" s="207" t="s">
        <v>360</v>
      </c>
      <c r="C26" s="282">
        <v>0.954538</v>
      </c>
      <c r="D26" s="281">
        <f>$C$26</f>
        <v>0.954538</v>
      </c>
      <c r="E26" s="281"/>
      <c r="F26" s="281"/>
      <c r="G26" s="281"/>
      <c r="H26" s="281"/>
      <c r="I26" s="281"/>
      <c r="J26" s="281"/>
      <c r="K26" s="281"/>
      <c r="L26" s="281"/>
      <c r="M26" s="281"/>
      <c r="N26" s="281"/>
    </row>
    <row r="27" spans="1:14" x14ac:dyDescent="0.2">
      <c r="A27" s="44">
        <f t="shared" si="2"/>
        <v>20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  <row r="28" spans="1:14" ht="12" thickBot="1" x14ac:dyDescent="0.25">
      <c r="A28" s="44">
        <f t="shared" si="2"/>
        <v>21</v>
      </c>
      <c r="B28" s="43" t="s">
        <v>361</v>
      </c>
      <c r="C28" s="208">
        <f>ROUND((C14*C26),2)</f>
        <v>1090364.1000000001</v>
      </c>
      <c r="D28" s="208">
        <f>ROUND((D14*D26),2)</f>
        <v>-2501904.08</v>
      </c>
      <c r="E28" s="208">
        <f>ROUND((E14*E24),2)</f>
        <v>-16644.59</v>
      </c>
      <c r="F28" s="208">
        <f t="shared" ref="F28:N28" si="8">ROUND((F14*F24),2)</f>
        <v>358499.43</v>
      </c>
      <c r="G28" s="208">
        <f t="shared" si="8"/>
        <v>24023.23</v>
      </c>
      <c r="H28" s="208">
        <f t="shared" si="8"/>
        <v>-47169.71</v>
      </c>
      <c r="I28" s="208">
        <f t="shared" si="8"/>
        <v>-181637.21</v>
      </c>
      <c r="J28" s="283">
        <f t="shared" si="8"/>
        <v>-242025.18</v>
      </c>
      <c r="K28" s="208">
        <f t="shared" si="8"/>
        <v>-522277.56</v>
      </c>
      <c r="L28" s="208">
        <f t="shared" si="8"/>
        <v>-517709.47</v>
      </c>
      <c r="M28" s="208">
        <f t="shared" si="8"/>
        <v>1359546.67</v>
      </c>
      <c r="N28" s="208">
        <f t="shared" si="8"/>
        <v>-251412.34</v>
      </c>
    </row>
    <row r="29" spans="1:14" x14ac:dyDescent="0.2">
      <c r="A29" s="44">
        <f t="shared" si="2"/>
        <v>22</v>
      </c>
      <c r="E29" s="103"/>
      <c r="F29" s="103"/>
      <c r="G29" s="103"/>
      <c r="H29" s="102"/>
      <c r="I29" s="102"/>
    </row>
    <row r="30" spans="1:14" ht="12" thickBot="1" x14ac:dyDescent="0.25">
      <c r="A30" s="44">
        <f t="shared" si="2"/>
        <v>23</v>
      </c>
      <c r="B30" s="43" t="s">
        <v>362</v>
      </c>
      <c r="C30" s="208">
        <f t="shared" ref="C30:D30" si="9">ROUND((C20*C26),2)</f>
        <v>198510.74</v>
      </c>
      <c r="D30" s="208">
        <f t="shared" si="9"/>
        <v>248992.76</v>
      </c>
      <c r="E30" s="285">
        <v>192433.56</v>
      </c>
      <c r="F30" s="286">
        <v>126711.67999999999</v>
      </c>
      <c r="G30" s="286">
        <v>-144135.84</v>
      </c>
      <c r="H30" s="285">
        <v>-81476.960000000006</v>
      </c>
      <c r="I30" s="285">
        <v>-79176.13</v>
      </c>
      <c r="J30" s="283">
        <f t="shared" ref="J30:N30" si="10">ROUND((J20*J24),2)</f>
        <v>-86658.69</v>
      </c>
      <c r="K30" s="208">
        <f t="shared" si="10"/>
        <v>-112898.45</v>
      </c>
      <c r="L30" s="208">
        <f t="shared" si="10"/>
        <v>-186712.68</v>
      </c>
      <c r="M30" s="208">
        <f t="shared" si="10"/>
        <v>-212776.99</v>
      </c>
      <c r="N30" s="208">
        <f t="shared" si="10"/>
        <v>-324304.21000000002</v>
      </c>
    </row>
    <row r="31" spans="1:14" x14ac:dyDescent="0.2">
      <c r="A31" s="44">
        <f t="shared" si="2"/>
        <v>24</v>
      </c>
    </row>
    <row r="32" spans="1:14" s="199" customFormat="1" x14ac:dyDescent="0.2">
      <c r="A32" s="44">
        <f t="shared" si="2"/>
        <v>25</v>
      </c>
      <c r="B32" s="199" t="s">
        <v>366</v>
      </c>
    </row>
    <row r="33" spans="1:15" s="207" customFormat="1" x14ac:dyDescent="0.2">
      <c r="A33" s="44">
        <f t="shared" si="2"/>
        <v>26</v>
      </c>
      <c r="B33" s="207" t="s">
        <v>365</v>
      </c>
    </row>
    <row r="34" spans="1:15" x14ac:dyDescent="0.2">
      <c r="A34" s="153"/>
    </row>
    <row r="35" spans="1:15" x14ac:dyDescent="0.2">
      <c r="A35" s="44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A36" s="44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x14ac:dyDescent="0.2">
      <c r="A37" s="44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x14ac:dyDescent="0.2">
      <c r="A38" s="44"/>
    </row>
    <row r="39" spans="1:15" x14ac:dyDescent="0.2">
      <c r="A39" s="44"/>
    </row>
    <row r="40" spans="1:15" x14ac:dyDescent="0.2">
      <c r="A40" s="44"/>
    </row>
    <row r="41" spans="1:15" x14ac:dyDescent="0.2">
      <c r="A41" s="44"/>
    </row>
    <row r="42" spans="1:15" x14ac:dyDescent="0.2">
      <c r="A42" s="44"/>
    </row>
    <row r="43" spans="1:15" x14ac:dyDescent="0.2">
      <c r="A43" s="44"/>
    </row>
    <row r="44" spans="1:15" x14ac:dyDescent="0.2">
      <c r="A44" s="44"/>
    </row>
    <row r="45" spans="1:15" x14ac:dyDescent="0.2">
      <c r="A45" s="44"/>
    </row>
    <row r="46" spans="1:15" x14ac:dyDescent="0.2">
      <c r="A46" s="44"/>
    </row>
    <row r="47" spans="1:15" x14ac:dyDescent="0.2">
      <c r="A47" s="44"/>
    </row>
    <row r="48" spans="1:15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  <row r="54" spans="1:1" x14ac:dyDescent="0.2">
      <c r="A54" s="44"/>
    </row>
    <row r="55" spans="1:1" x14ac:dyDescent="0.2">
      <c r="A55" s="44"/>
    </row>
    <row r="56" spans="1:1" x14ac:dyDescent="0.2">
      <c r="A56" s="44"/>
    </row>
    <row r="57" spans="1:1" x14ac:dyDescent="0.2">
      <c r="A57" s="44"/>
    </row>
    <row r="58" spans="1:1" x14ac:dyDescent="0.2">
      <c r="A58" s="44"/>
    </row>
    <row r="59" spans="1:1" x14ac:dyDescent="0.2">
      <c r="A59" s="44"/>
    </row>
    <row r="60" spans="1:1" x14ac:dyDescent="0.2">
      <c r="A60" s="44"/>
    </row>
    <row r="61" spans="1:1" x14ac:dyDescent="0.2">
      <c r="A61" s="44"/>
    </row>
    <row r="62" spans="1:1" x14ac:dyDescent="0.2">
      <c r="A62" s="44"/>
    </row>
    <row r="63" spans="1:1" x14ac:dyDescent="0.2">
      <c r="A63" s="44"/>
    </row>
    <row r="64" spans="1:1" x14ac:dyDescent="0.2">
      <c r="A64" s="44"/>
    </row>
    <row r="65" spans="1:1" x14ac:dyDescent="0.2">
      <c r="A65" s="44"/>
    </row>
    <row r="66" spans="1:1" x14ac:dyDescent="0.2">
      <c r="A66" s="44"/>
    </row>
    <row r="67" spans="1:1" x14ac:dyDescent="0.2">
      <c r="A67" s="44"/>
    </row>
    <row r="68" spans="1:1" x14ac:dyDescent="0.2">
      <c r="A68" s="44"/>
    </row>
    <row r="69" spans="1:1" x14ac:dyDescent="0.2">
      <c r="A69" s="44"/>
    </row>
    <row r="70" spans="1:1" x14ac:dyDescent="0.2">
      <c r="A70" s="44"/>
    </row>
    <row r="71" spans="1:1" x14ac:dyDescent="0.2">
      <c r="A71" s="44"/>
    </row>
    <row r="72" spans="1:1" x14ac:dyDescent="0.2">
      <c r="A72" s="44"/>
    </row>
    <row r="73" spans="1:1" x14ac:dyDescent="0.2">
      <c r="A73" s="44"/>
    </row>
    <row r="74" spans="1:1" x14ac:dyDescent="0.2">
      <c r="A74" s="44"/>
    </row>
    <row r="75" spans="1:1" x14ac:dyDescent="0.2">
      <c r="A75" s="44"/>
    </row>
    <row r="76" spans="1:1" x14ac:dyDescent="0.2">
      <c r="A76" s="44"/>
    </row>
    <row r="77" spans="1:1" x14ac:dyDescent="0.2">
      <c r="A77" s="44"/>
    </row>
    <row r="78" spans="1:1" x14ac:dyDescent="0.2">
      <c r="A78" s="44"/>
    </row>
  </sheetData>
  <printOptions horizontalCentered="1"/>
  <pageMargins left="0.45" right="0.45" top="0.75" bottom="0.75" header="0.3" footer="0.3"/>
  <pageSetup scale="70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O78"/>
  <sheetViews>
    <sheetView zoomScaleNormal="100" workbookViewId="0">
      <pane ySplit="6" topLeftCell="A7" activePane="bottomLeft" state="frozen"/>
      <selection pane="bottomLeft" activeCell="N30" sqref="N30"/>
    </sheetView>
  </sheetViews>
  <sheetFormatPr defaultColWidth="9.140625" defaultRowHeight="11.25" x14ac:dyDescent="0.2"/>
  <cols>
    <col min="1" max="1" width="5.5703125" style="43" bestFit="1" customWidth="1"/>
    <col min="2" max="2" width="41" style="43" customWidth="1"/>
    <col min="3" max="4" width="9.85546875" style="43" bestFit="1" customWidth="1"/>
    <col min="5" max="5" width="10" style="43" bestFit="1" customWidth="1"/>
    <col min="6" max="6" width="10.7109375" style="43" bestFit="1" customWidth="1"/>
    <col min="7" max="7" width="10" style="43" bestFit="1" customWidth="1"/>
    <col min="8" max="9" width="10.42578125" style="43" bestFit="1" customWidth="1"/>
    <col min="10" max="10" width="11.28515625" style="43" bestFit="1" customWidth="1"/>
    <col min="11" max="14" width="10.42578125" style="43" bestFit="1" customWidth="1"/>
    <col min="15" max="16384" width="9.140625" style="43"/>
  </cols>
  <sheetData>
    <row r="1" spans="1:15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5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5" x14ac:dyDescent="0.2">
      <c r="A3" s="10" t="s">
        <v>351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5" x14ac:dyDescent="0.2">
      <c r="A4" s="10" t="s">
        <v>185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5" ht="12" thickBot="1" x14ac:dyDescent="0.25"/>
    <row r="6" spans="1:15" ht="33.75" x14ac:dyDescent="0.2">
      <c r="A6" s="196" t="s">
        <v>80</v>
      </c>
      <c r="B6" s="197"/>
      <c r="C6" s="279">
        <f>'Sch23&amp;53 Deferral Calc'!C6</f>
        <v>43496</v>
      </c>
      <c r="D6" s="198">
        <f t="shared" ref="D6:N6" si="0">EDATE(C6,1)</f>
        <v>43524</v>
      </c>
      <c r="E6" s="198">
        <f t="shared" si="0"/>
        <v>43552</v>
      </c>
      <c r="F6" s="198">
        <f t="shared" si="0"/>
        <v>43583</v>
      </c>
      <c r="G6" s="198">
        <f t="shared" si="0"/>
        <v>43613</v>
      </c>
      <c r="H6" s="198">
        <f t="shared" si="0"/>
        <v>43644</v>
      </c>
      <c r="I6" s="198">
        <f t="shared" si="0"/>
        <v>43674</v>
      </c>
      <c r="J6" s="198">
        <f t="shared" si="0"/>
        <v>43705</v>
      </c>
      <c r="K6" s="198">
        <f t="shared" si="0"/>
        <v>43736</v>
      </c>
      <c r="L6" s="198">
        <f t="shared" si="0"/>
        <v>43766</v>
      </c>
      <c r="M6" s="198">
        <f t="shared" si="0"/>
        <v>43797</v>
      </c>
      <c r="N6" s="198">
        <f t="shared" si="0"/>
        <v>43827</v>
      </c>
      <c r="O6" s="402" t="s">
        <v>456</v>
      </c>
    </row>
    <row r="7" spans="1:15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03"/>
    </row>
    <row r="8" spans="1:15" ht="12" thickBot="1" x14ac:dyDescent="0.25">
      <c r="A8" s="44">
        <v>1</v>
      </c>
      <c r="B8" s="199" t="s">
        <v>81</v>
      </c>
      <c r="C8" s="200">
        <v>1648</v>
      </c>
      <c r="D8" s="200">
        <v>1643</v>
      </c>
      <c r="E8" s="200">
        <v>1649</v>
      </c>
      <c r="F8" s="200">
        <v>1648</v>
      </c>
      <c r="G8" s="200">
        <v>1649</v>
      </c>
      <c r="H8" s="200">
        <v>1647</v>
      </c>
      <c r="I8" s="200">
        <v>1647</v>
      </c>
      <c r="J8" s="200">
        <v>1645</v>
      </c>
      <c r="K8" s="200">
        <v>1644</v>
      </c>
      <c r="L8" s="200">
        <v>1619</v>
      </c>
      <c r="M8" s="200">
        <v>1616</v>
      </c>
      <c r="N8" s="200">
        <v>1595</v>
      </c>
      <c r="O8" s="404">
        <f>AVERAGE(C8:N8)</f>
        <v>1637.5</v>
      </c>
    </row>
    <row r="9" spans="1:15" x14ac:dyDescent="0.2">
      <c r="A9" s="44">
        <f>A8+1</f>
        <v>2</v>
      </c>
      <c r="B9" s="43" t="s">
        <v>352</v>
      </c>
      <c r="C9" s="16">
        <v>1115.69</v>
      </c>
      <c r="D9" s="16">
        <v>994.46</v>
      </c>
      <c r="E9" s="16">
        <v>1101.054368675603</v>
      </c>
      <c r="F9" s="16">
        <v>894.8943580158159</v>
      </c>
      <c r="G9" s="16">
        <v>695.41592242600007</v>
      </c>
      <c r="H9" s="16">
        <v>376.28443964710897</v>
      </c>
      <c r="I9" s="16">
        <v>515.59655931144289</v>
      </c>
      <c r="J9" s="16">
        <v>504.98287124582947</v>
      </c>
      <c r="K9" s="16">
        <v>575.54003158710259</v>
      </c>
      <c r="L9" s="16">
        <v>834.53832972986584</v>
      </c>
      <c r="M9" s="16">
        <v>1016.2550367653449</v>
      </c>
      <c r="N9" s="16">
        <v>1164.0739236770994</v>
      </c>
    </row>
    <row r="10" spans="1:15" x14ac:dyDescent="0.2">
      <c r="A10" s="44">
        <f t="shared" ref="A10:A33" si="1">A9+1</f>
        <v>3</v>
      </c>
      <c r="B10" s="43" t="s">
        <v>353</v>
      </c>
      <c r="C10" s="52">
        <f t="shared" ref="C10:N10" si="2">C8*C9</f>
        <v>1838657.12</v>
      </c>
      <c r="D10" s="52">
        <f t="shared" si="2"/>
        <v>1633897.78</v>
      </c>
      <c r="E10" s="52">
        <f t="shared" si="2"/>
        <v>1815638.6539460693</v>
      </c>
      <c r="F10" s="52">
        <f t="shared" si="2"/>
        <v>1474785.9020100646</v>
      </c>
      <c r="G10" s="52">
        <f t="shared" si="2"/>
        <v>1146740.8560804741</v>
      </c>
      <c r="H10" s="52">
        <f t="shared" si="2"/>
        <v>619740.47209878848</v>
      </c>
      <c r="I10" s="52">
        <f t="shared" si="2"/>
        <v>849187.53318594641</v>
      </c>
      <c r="J10" s="52">
        <f t="shared" si="2"/>
        <v>830696.8231993895</v>
      </c>
      <c r="K10" s="52">
        <f t="shared" si="2"/>
        <v>946187.8119291967</v>
      </c>
      <c r="L10" s="52">
        <f t="shared" si="2"/>
        <v>1351117.5558326528</v>
      </c>
      <c r="M10" s="52">
        <f t="shared" si="2"/>
        <v>1642268.1394127973</v>
      </c>
      <c r="N10" s="52">
        <f t="shared" si="2"/>
        <v>1856697.9082649734</v>
      </c>
    </row>
    <row r="11" spans="1:15" x14ac:dyDescent="0.2">
      <c r="A11" s="44">
        <f t="shared" si="1"/>
        <v>4</v>
      </c>
    </row>
    <row r="12" spans="1:15" x14ac:dyDescent="0.2">
      <c r="A12" s="44">
        <f t="shared" si="1"/>
        <v>5</v>
      </c>
      <c r="B12" s="43" t="s">
        <v>348</v>
      </c>
      <c r="C12" s="171">
        <v>1620049.493119003</v>
      </c>
      <c r="D12" s="171">
        <v>1661168.5493359424</v>
      </c>
      <c r="E12" s="171">
        <v>1694865.863926467</v>
      </c>
      <c r="F12" s="171">
        <v>1515016.1485205006</v>
      </c>
      <c r="G12" s="171">
        <v>1277601.8963649389</v>
      </c>
      <c r="H12" s="171">
        <v>1139126.6925676614</v>
      </c>
      <c r="I12" s="171">
        <v>967522.97914698569</v>
      </c>
      <c r="J12" s="171">
        <v>1119520.0491568516</v>
      </c>
      <c r="K12" s="171">
        <v>1180245.5303385097</v>
      </c>
      <c r="L12" s="171">
        <v>1504235.4275989092</v>
      </c>
      <c r="M12" s="171">
        <v>1688302.5857948482</v>
      </c>
      <c r="N12" s="171">
        <v>1833787.026937692</v>
      </c>
    </row>
    <row r="13" spans="1:15" x14ac:dyDescent="0.2">
      <c r="A13" s="44">
        <f t="shared" si="1"/>
        <v>6</v>
      </c>
    </row>
    <row r="14" spans="1:15" x14ac:dyDescent="0.2">
      <c r="A14" s="44">
        <f t="shared" si="1"/>
        <v>7</v>
      </c>
      <c r="B14" s="43" t="s">
        <v>349</v>
      </c>
      <c r="C14" s="52">
        <f t="shared" ref="C14:N14" si="3">C10-C12</f>
        <v>218607.62688099709</v>
      </c>
      <c r="D14" s="52">
        <f t="shared" si="3"/>
        <v>-27270.769335942343</v>
      </c>
      <c r="E14" s="52">
        <f t="shared" si="3"/>
        <v>120772.79001960228</v>
      </c>
      <c r="F14" s="52">
        <f t="shared" si="3"/>
        <v>-40230.24651043606</v>
      </c>
      <c r="G14" s="52">
        <f>G10-G12</f>
        <v>-130861.04028446483</v>
      </c>
      <c r="H14" s="52">
        <f t="shared" si="3"/>
        <v>-519386.22046887293</v>
      </c>
      <c r="I14" s="52">
        <f t="shared" si="3"/>
        <v>-118335.44596103928</v>
      </c>
      <c r="J14" s="52">
        <f t="shared" si="3"/>
        <v>-288823.2259574621</v>
      </c>
      <c r="K14" s="52">
        <f t="shared" si="3"/>
        <v>-234057.71840931301</v>
      </c>
      <c r="L14" s="52">
        <f t="shared" si="3"/>
        <v>-153117.8717662564</v>
      </c>
      <c r="M14" s="52">
        <f t="shared" si="3"/>
        <v>-46034.446382050868</v>
      </c>
      <c r="N14" s="52">
        <f t="shared" si="3"/>
        <v>22910.881327281473</v>
      </c>
    </row>
    <row r="15" spans="1:15" x14ac:dyDescent="0.2">
      <c r="A15" s="44">
        <f t="shared" si="1"/>
        <v>8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5" x14ac:dyDescent="0.2">
      <c r="A16" s="44">
        <f t="shared" si="1"/>
        <v>9</v>
      </c>
      <c r="B16" s="43" t="s">
        <v>355</v>
      </c>
      <c r="C16" s="171">
        <v>1882.71</v>
      </c>
      <c r="D16" s="171">
        <v>1545.34</v>
      </c>
      <c r="E16" s="171">
        <v>1003.92</v>
      </c>
      <c r="F16" s="171">
        <v>512.26</v>
      </c>
      <c r="G16" s="171">
        <v>-347.05</v>
      </c>
      <c r="H16" s="284">
        <v>-1943.03</v>
      </c>
      <c r="I16" s="284">
        <v>-3347.4</v>
      </c>
      <c r="J16" s="16">
        <v>-4166.17</v>
      </c>
      <c r="K16" s="171">
        <v>-5251.37</v>
      </c>
      <c r="L16" s="171">
        <v>-5944.16</v>
      </c>
      <c r="M16" s="171">
        <v>-6298.01</v>
      </c>
      <c r="N16" s="171">
        <v>-6265.66</v>
      </c>
    </row>
    <row r="17" spans="1:14" x14ac:dyDescent="0.2">
      <c r="A17" s="44">
        <f t="shared" si="1"/>
        <v>10</v>
      </c>
      <c r="H17" s="52"/>
      <c r="I17" s="52"/>
    </row>
    <row r="18" spans="1:14" x14ac:dyDescent="0.2">
      <c r="A18" s="44">
        <f t="shared" si="1"/>
        <v>11</v>
      </c>
      <c r="B18" s="43" t="s">
        <v>356</v>
      </c>
      <c r="C18" s="284">
        <v>359886.05474122713</v>
      </c>
      <c r="D18" s="52">
        <f t="shared" ref="D18:N18" si="4">C18+D14+D16</f>
        <v>334160.62540528481</v>
      </c>
      <c r="E18" s="52">
        <f t="shared" si="4"/>
        <v>455937.33542488707</v>
      </c>
      <c r="F18" s="52">
        <f t="shared" si="4"/>
        <v>416219.34891445102</v>
      </c>
      <c r="G18" s="52">
        <f t="shared" si="4"/>
        <v>285011.2586299862</v>
      </c>
      <c r="H18" s="52">
        <f t="shared" si="4"/>
        <v>-236317.99183888672</v>
      </c>
      <c r="I18" s="52">
        <f t="shared" si="4"/>
        <v>-358000.83779992606</v>
      </c>
      <c r="J18" s="52">
        <f t="shared" si="4"/>
        <v>-650990.2337573882</v>
      </c>
      <c r="K18" s="52">
        <f t="shared" si="4"/>
        <v>-890299.3221667012</v>
      </c>
      <c r="L18" s="52">
        <f t="shared" si="4"/>
        <v>-1049361.3539329576</v>
      </c>
      <c r="M18" s="52">
        <f t="shared" si="4"/>
        <v>-1101693.8103150085</v>
      </c>
      <c r="N18" s="52">
        <f t="shared" si="4"/>
        <v>-1085048.588987727</v>
      </c>
    </row>
    <row r="19" spans="1:14" x14ac:dyDescent="0.2">
      <c r="A19" s="44">
        <f t="shared" si="1"/>
        <v>12</v>
      </c>
      <c r="H19" s="52"/>
      <c r="I19" s="52"/>
    </row>
    <row r="20" spans="1:14" x14ac:dyDescent="0.2">
      <c r="A20" s="44">
        <f t="shared" si="1"/>
        <v>13</v>
      </c>
      <c r="B20" s="43" t="s">
        <v>245</v>
      </c>
      <c r="C20" s="171">
        <v>188470.00954875397</v>
      </c>
      <c r="D20" s="171">
        <v>193576.75997263825</v>
      </c>
      <c r="E20" s="171">
        <v>189764.23061736621</v>
      </c>
      <c r="F20" s="171">
        <v>166906.71985326757</v>
      </c>
      <c r="G20" s="171">
        <v>41523.5048578723</v>
      </c>
      <c r="H20" s="284">
        <v>9367.2339639865677</v>
      </c>
      <c r="I20" s="284">
        <v>-11656.082466069176</v>
      </c>
      <c r="J20" s="171">
        <v>-7779.3422318291732</v>
      </c>
      <c r="K20" s="171">
        <v>-8062.9583359976186</v>
      </c>
      <c r="L20" s="171">
        <v>-9892.8181963210354</v>
      </c>
      <c r="M20" s="171">
        <v>-10808.413527554785</v>
      </c>
      <c r="N20" s="171">
        <v>-11744.242373208235</v>
      </c>
    </row>
    <row r="21" spans="1:14" x14ac:dyDescent="0.2">
      <c r="A21" s="44">
        <f t="shared" si="1"/>
        <v>14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4" x14ac:dyDescent="0.2">
      <c r="A22" s="44">
        <f t="shared" si="1"/>
        <v>15</v>
      </c>
      <c r="B22" s="43" t="s">
        <v>358</v>
      </c>
      <c r="C22" s="284">
        <v>-25113.284453518805</v>
      </c>
      <c r="D22" s="52">
        <f t="shared" ref="D22:N22" si="5">C22+D14+D16-D20</f>
        <v>-244415.4737620994</v>
      </c>
      <c r="E22" s="52">
        <f t="shared" si="5"/>
        <v>-312402.99435986334</v>
      </c>
      <c r="F22" s="52">
        <f t="shared" si="5"/>
        <v>-519027.70072356693</v>
      </c>
      <c r="G22" s="52">
        <f t="shared" si="5"/>
        <v>-691759.29586590407</v>
      </c>
      <c r="H22" s="52">
        <f t="shared" si="5"/>
        <v>-1222455.7802987637</v>
      </c>
      <c r="I22" s="52">
        <f t="shared" si="5"/>
        <v>-1332482.5437937337</v>
      </c>
      <c r="J22" s="52">
        <f t="shared" si="5"/>
        <v>-1617692.5975193665</v>
      </c>
      <c r="K22" s="52">
        <f t="shared" si="5"/>
        <v>-1848938.727592682</v>
      </c>
      <c r="L22" s="52">
        <f t="shared" si="5"/>
        <v>-1998107.9411626172</v>
      </c>
      <c r="M22" s="52">
        <f t="shared" si="5"/>
        <v>-2039631.9840171132</v>
      </c>
      <c r="N22" s="52">
        <f t="shared" si="5"/>
        <v>-2011242.5203166234</v>
      </c>
    </row>
    <row r="23" spans="1:14" x14ac:dyDescent="0.2">
      <c r="A23" s="44">
        <f t="shared" si="1"/>
        <v>16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4" x14ac:dyDescent="0.2">
      <c r="A24" s="44">
        <f t="shared" si="1"/>
        <v>17</v>
      </c>
      <c r="B24" s="207" t="s">
        <v>359</v>
      </c>
      <c r="C24" s="281"/>
      <c r="D24" s="281"/>
      <c r="E24" s="282">
        <v>0.954538</v>
      </c>
      <c r="F24" s="281">
        <f>$E$24</f>
        <v>0.954538</v>
      </c>
      <c r="G24" s="281">
        <f t="shared" ref="G24:N24" si="6">$E$24</f>
        <v>0.954538</v>
      </c>
      <c r="H24" s="281">
        <f t="shared" si="6"/>
        <v>0.954538</v>
      </c>
      <c r="I24" s="281">
        <f t="shared" si="6"/>
        <v>0.954538</v>
      </c>
      <c r="J24" s="281">
        <f t="shared" si="6"/>
        <v>0.954538</v>
      </c>
      <c r="K24" s="281">
        <f t="shared" si="6"/>
        <v>0.954538</v>
      </c>
      <c r="L24" s="281">
        <f t="shared" si="6"/>
        <v>0.954538</v>
      </c>
      <c r="M24" s="281">
        <f t="shared" si="6"/>
        <v>0.954538</v>
      </c>
      <c r="N24" s="281">
        <f t="shared" si="6"/>
        <v>0.954538</v>
      </c>
    </row>
    <row r="25" spans="1:14" x14ac:dyDescent="0.2">
      <c r="A25" s="44">
        <f t="shared" si="1"/>
        <v>18</v>
      </c>
      <c r="C25" s="51"/>
      <c r="D25" s="51"/>
      <c r="E25" s="51"/>
      <c r="F25" s="51"/>
      <c r="G25" s="202"/>
      <c r="H25" s="287"/>
      <c r="I25" s="287"/>
      <c r="J25" s="202"/>
      <c r="K25" s="202"/>
      <c r="L25" s="202"/>
      <c r="M25" s="202"/>
      <c r="N25" s="202"/>
    </row>
    <row r="26" spans="1:14" x14ac:dyDescent="0.2">
      <c r="A26" s="44">
        <f t="shared" si="1"/>
        <v>19</v>
      </c>
      <c r="B26" s="207" t="s">
        <v>360</v>
      </c>
      <c r="C26" s="282">
        <v>0.954538</v>
      </c>
      <c r="D26" s="281">
        <f>$C$26</f>
        <v>0.954538</v>
      </c>
      <c r="E26" s="281"/>
      <c r="F26" s="281"/>
      <c r="G26" s="281"/>
      <c r="H26" s="288"/>
      <c r="I26" s="288"/>
      <c r="J26" s="281"/>
      <c r="K26" s="281"/>
      <c r="L26" s="281"/>
      <c r="M26" s="281"/>
      <c r="N26" s="281"/>
    </row>
    <row r="27" spans="1:14" x14ac:dyDescent="0.2">
      <c r="A27" s="44">
        <f t="shared" si="1"/>
        <v>20</v>
      </c>
      <c r="C27" s="51"/>
      <c r="D27" s="51"/>
      <c r="E27" s="51"/>
      <c r="F27" s="51"/>
      <c r="G27" s="51"/>
      <c r="H27" s="52"/>
      <c r="I27" s="52"/>
      <c r="J27" s="51"/>
      <c r="K27" s="51"/>
      <c r="L27" s="51"/>
      <c r="M27" s="51"/>
      <c r="N27" s="51"/>
    </row>
    <row r="28" spans="1:14" ht="12" thickBot="1" x14ac:dyDescent="0.25">
      <c r="A28" s="44">
        <f t="shared" si="1"/>
        <v>21</v>
      </c>
      <c r="B28" s="43" t="s">
        <v>361</v>
      </c>
      <c r="C28" s="208">
        <f t="shared" ref="C28:D28" si="7">ROUND((C14*C26),2)</f>
        <v>208669.29</v>
      </c>
      <c r="D28" s="208">
        <f t="shared" si="7"/>
        <v>-26030.99</v>
      </c>
      <c r="E28" s="208">
        <f>ROUND((E14*E24),2)</f>
        <v>115282.22</v>
      </c>
      <c r="F28" s="208">
        <f t="shared" ref="F28:N28" si="8">ROUND((F14*F24),2)</f>
        <v>-38401.300000000003</v>
      </c>
      <c r="G28" s="208">
        <f t="shared" si="8"/>
        <v>-124911.84</v>
      </c>
      <c r="H28" s="208">
        <f t="shared" si="8"/>
        <v>-495773.88</v>
      </c>
      <c r="I28" s="208">
        <f t="shared" si="8"/>
        <v>-112955.68</v>
      </c>
      <c r="J28" s="283">
        <f t="shared" si="8"/>
        <v>-275692.74</v>
      </c>
      <c r="K28" s="208">
        <f t="shared" si="8"/>
        <v>-223416.99</v>
      </c>
      <c r="L28" s="208">
        <f t="shared" si="8"/>
        <v>-146156.82999999999</v>
      </c>
      <c r="M28" s="208">
        <f t="shared" si="8"/>
        <v>-43941.63</v>
      </c>
      <c r="N28" s="208">
        <f t="shared" si="8"/>
        <v>21869.31</v>
      </c>
    </row>
    <row r="29" spans="1:14" x14ac:dyDescent="0.2">
      <c r="A29" s="44">
        <f t="shared" si="1"/>
        <v>22</v>
      </c>
      <c r="H29" s="52"/>
      <c r="I29" s="52"/>
    </row>
    <row r="30" spans="1:14" ht="12" thickBot="1" x14ac:dyDescent="0.25">
      <c r="A30" s="44">
        <f t="shared" si="1"/>
        <v>23</v>
      </c>
      <c r="B30" s="43" t="s">
        <v>362</v>
      </c>
      <c r="C30" s="208">
        <f t="shared" ref="C30:D30" si="9">ROUND((C20*C26),2)</f>
        <v>179901.79</v>
      </c>
      <c r="D30" s="208">
        <f t="shared" si="9"/>
        <v>184776.37</v>
      </c>
      <c r="E30" s="285">
        <v>181137.17</v>
      </c>
      <c r="F30" s="286">
        <v>159318.81</v>
      </c>
      <c r="G30" s="286">
        <v>39635.760000000002</v>
      </c>
      <c r="H30" s="285">
        <v>8941.3799999999992</v>
      </c>
      <c r="I30" s="285">
        <v>-11126.17</v>
      </c>
      <c r="J30" s="283">
        <f t="shared" ref="J30:N30" si="10">ROUND((J20*J24),2)</f>
        <v>-7425.68</v>
      </c>
      <c r="K30" s="208">
        <f t="shared" si="10"/>
        <v>-7696.4</v>
      </c>
      <c r="L30" s="208">
        <f t="shared" si="10"/>
        <v>-9443.07</v>
      </c>
      <c r="M30" s="208">
        <f t="shared" si="10"/>
        <v>-10317.040000000001</v>
      </c>
      <c r="N30" s="208">
        <f t="shared" si="10"/>
        <v>-11210.33</v>
      </c>
    </row>
    <row r="31" spans="1:14" x14ac:dyDescent="0.2">
      <c r="A31" s="44">
        <f t="shared" si="1"/>
        <v>24</v>
      </c>
    </row>
    <row r="32" spans="1:14" s="199" customFormat="1" x14ac:dyDescent="0.2">
      <c r="A32" s="44">
        <f t="shared" si="1"/>
        <v>25</v>
      </c>
      <c r="B32" s="199" t="s">
        <v>366</v>
      </c>
    </row>
    <row r="33" spans="1:14" s="207" customFormat="1" x14ac:dyDescent="0.2">
      <c r="A33" s="44">
        <f t="shared" si="1"/>
        <v>26</v>
      </c>
      <c r="B33" s="207" t="s">
        <v>365</v>
      </c>
    </row>
    <row r="34" spans="1:14" x14ac:dyDescent="0.2">
      <c r="A34" s="153"/>
    </row>
    <row r="35" spans="1:14" x14ac:dyDescent="0.2">
      <c r="A35" s="44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x14ac:dyDescent="0.2">
      <c r="A36" s="44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x14ac:dyDescent="0.2">
      <c r="A37" s="44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x14ac:dyDescent="0.2">
      <c r="A38" s="44"/>
    </row>
    <row r="39" spans="1:14" x14ac:dyDescent="0.2">
      <c r="A39" s="44"/>
    </row>
    <row r="40" spans="1:14" x14ac:dyDescent="0.2">
      <c r="A40" s="44"/>
    </row>
    <row r="41" spans="1:14" x14ac:dyDescent="0.2">
      <c r="A41" s="44"/>
    </row>
    <row r="42" spans="1:14" x14ac:dyDescent="0.2">
      <c r="A42" s="44"/>
    </row>
    <row r="43" spans="1:14" x14ac:dyDescent="0.2">
      <c r="A43" s="44"/>
    </row>
    <row r="44" spans="1:14" x14ac:dyDescent="0.2">
      <c r="A44" s="44"/>
    </row>
    <row r="45" spans="1:14" x14ac:dyDescent="0.2">
      <c r="A45" s="44"/>
    </row>
    <row r="46" spans="1:14" x14ac:dyDescent="0.2">
      <c r="A46" s="44"/>
    </row>
    <row r="47" spans="1:14" x14ac:dyDescent="0.2">
      <c r="A47" s="44"/>
    </row>
    <row r="48" spans="1:14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  <row r="54" spans="1:1" x14ac:dyDescent="0.2">
      <c r="A54" s="44"/>
    </row>
    <row r="55" spans="1:1" x14ac:dyDescent="0.2">
      <c r="A55" s="44"/>
    </row>
    <row r="56" spans="1:1" x14ac:dyDescent="0.2">
      <c r="A56" s="44"/>
    </row>
    <row r="57" spans="1:1" x14ac:dyDescent="0.2">
      <c r="A57" s="44"/>
    </row>
    <row r="58" spans="1:1" x14ac:dyDescent="0.2">
      <c r="A58" s="44"/>
    </row>
    <row r="59" spans="1:1" x14ac:dyDescent="0.2">
      <c r="A59" s="44"/>
    </row>
    <row r="60" spans="1:1" x14ac:dyDescent="0.2">
      <c r="A60" s="44"/>
    </row>
    <row r="61" spans="1:1" x14ac:dyDescent="0.2">
      <c r="A61" s="44"/>
    </row>
    <row r="62" spans="1:1" x14ac:dyDescent="0.2">
      <c r="A62" s="44"/>
    </row>
    <row r="63" spans="1:1" x14ac:dyDescent="0.2">
      <c r="A63" s="44"/>
    </row>
    <row r="64" spans="1:1" x14ac:dyDescent="0.2">
      <c r="A64" s="44"/>
    </row>
    <row r="65" spans="1:1" x14ac:dyDescent="0.2">
      <c r="A65" s="44"/>
    </row>
    <row r="66" spans="1:1" x14ac:dyDescent="0.2">
      <c r="A66" s="44"/>
    </row>
    <row r="67" spans="1:1" x14ac:dyDescent="0.2">
      <c r="A67" s="44"/>
    </row>
    <row r="68" spans="1:1" x14ac:dyDescent="0.2">
      <c r="A68" s="44"/>
    </row>
    <row r="69" spans="1:1" x14ac:dyDescent="0.2">
      <c r="A69" s="44"/>
    </row>
    <row r="70" spans="1:1" x14ac:dyDescent="0.2">
      <c r="A70" s="44"/>
    </row>
    <row r="71" spans="1:1" x14ac:dyDescent="0.2">
      <c r="A71" s="44"/>
    </row>
    <row r="72" spans="1:1" x14ac:dyDescent="0.2">
      <c r="A72" s="44"/>
    </row>
    <row r="73" spans="1:1" x14ac:dyDescent="0.2">
      <c r="A73" s="44"/>
    </row>
    <row r="74" spans="1:1" x14ac:dyDescent="0.2">
      <c r="A74" s="44"/>
    </row>
    <row r="75" spans="1:1" x14ac:dyDescent="0.2">
      <c r="A75" s="44"/>
    </row>
    <row r="76" spans="1:1" x14ac:dyDescent="0.2">
      <c r="A76" s="44"/>
    </row>
    <row r="77" spans="1:1" x14ac:dyDescent="0.2">
      <c r="A77" s="44"/>
    </row>
    <row r="78" spans="1:1" x14ac:dyDescent="0.2">
      <c r="A78" s="44"/>
    </row>
  </sheetData>
  <printOptions horizontalCentered="1"/>
  <pageMargins left="0.45" right="0.45" top="0.75" bottom="0.75" header="0.3" footer="0.3"/>
  <pageSetup scale="76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R70"/>
  <sheetViews>
    <sheetView zoomScaleNormal="100" workbookViewId="0">
      <pane ySplit="7" topLeftCell="A8" activePane="bottomLeft" state="frozen"/>
      <selection pane="bottomLeft" activeCell="P24" sqref="P24"/>
    </sheetView>
  </sheetViews>
  <sheetFormatPr defaultRowHeight="11.25" x14ac:dyDescent="0.2"/>
  <cols>
    <col min="1" max="1" width="21.85546875" style="8" customWidth="1"/>
    <col min="2" max="3" width="10.7109375" style="8" bestFit="1" customWidth="1"/>
    <col min="4" max="9" width="9.85546875" style="8" bestFit="1" customWidth="1"/>
    <col min="10" max="15" width="10.7109375" style="8" bestFit="1" customWidth="1"/>
    <col min="16" max="16" width="12.7109375" style="8" bestFit="1" customWidth="1"/>
    <col min="17" max="18" width="14" style="8" bestFit="1" customWidth="1"/>
    <col min="19" max="19" width="4.7109375" style="8" bestFit="1" customWidth="1"/>
    <col min="20" max="256" width="9.140625" style="8"/>
    <col min="257" max="257" width="12.140625" style="8" customWidth="1"/>
    <col min="258" max="258" width="14.7109375" style="8" bestFit="1" customWidth="1"/>
    <col min="259" max="259" width="12.7109375" style="8" bestFit="1" customWidth="1"/>
    <col min="260" max="260" width="13.7109375" style="8" bestFit="1" customWidth="1"/>
    <col min="261" max="261" width="12.7109375" style="8" bestFit="1" customWidth="1"/>
    <col min="262" max="262" width="12.28515625" style="8" bestFit="1" customWidth="1"/>
    <col min="263" max="263" width="12.7109375" style="8" bestFit="1" customWidth="1"/>
    <col min="264" max="264" width="12.42578125" style="8" bestFit="1" customWidth="1"/>
    <col min="265" max="265" width="12.5703125" style="8" bestFit="1" customWidth="1"/>
    <col min="266" max="266" width="13.7109375" style="8" bestFit="1" customWidth="1"/>
    <col min="267" max="271" width="13.7109375" style="8" customWidth="1"/>
    <col min="272" max="272" width="16" style="8" customWidth="1"/>
    <col min="273" max="274" width="14" style="8" bestFit="1" customWidth="1"/>
    <col min="275" max="275" width="4.7109375" style="8" bestFit="1" customWidth="1"/>
    <col min="276" max="512" width="9.140625" style="8"/>
    <col min="513" max="513" width="12.140625" style="8" customWidth="1"/>
    <col min="514" max="514" width="14.7109375" style="8" bestFit="1" customWidth="1"/>
    <col min="515" max="515" width="12.7109375" style="8" bestFit="1" customWidth="1"/>
    <col min="516" max="516" width="13.7109375" style="8" bestFit="1" customWidth="1"/>
    <col min="517" max="517" width="12.7109375" style="8" bestFit="1" customWidth="1"/>
    <col min="518" max="518" width="12.28515625" style="8" bestFit="1" customWidth="1"/>
    <col min="519" max="519" width="12.7109375" style="8" bestFit="1" customWidth="1"/>
    <col min="520" max="520" width="12.42578125" style="8" bestFit="1" customWidth="1"/>
    <col min="521" max="521" width="12.5703125" style="8" bestFit="1" customWidth="1"/>
    <col min="522" max="522" width="13.7109375" style="8" bestFit="1" customWidth="1"/>
    <col min="523" max="527" width="13.7109375" style="8" customWidth="1"/>
    <col min="528" max="528" width="16" style="8" customWidth="1"/>
    <col min="529" max="530" width="14" style="8" bestFit="1" customWidth="1"/>
    <col min="531" max="531" width="4.7109375" style="8" bestFit="1" customWidth="1"/>
    <col min="532" max="768" width="9.140625" style="8"/>
    <col min="769" max="769" width="12.140625" style="8" customWidth="1"/>
    <col min="770" max="770" width="14.7109375" style="8" bestFit="1" customWidth="1"/>
    <col min="771" max="771" width="12.7109375" style="8" bestFit="1" customWidth="1"/>
    <col min="772" max="772" width="13.7109375" style="8" bestFit="1" customWidth="1"/>
    <col min="773" max="773" width="12.7109375" style="8" bestFit="1" customWidth="1"/>
    <col min="774" max="774" width="12.28515625" style="8" bestFit="1" customWidth="1"/>
    <col min="775" max="775" width="12.7109375" style="8" bestFit="1" customWidth="1"/>
    <col min="776" max="776" width="12.42578125" style="8" bestFit="1" customWidth="1"/>
    <col min="777" max="777" width="12.5703125" style="8" bestFit="1" customWidth="1"/>
    <col min="778" max="778" width="13.7109375" style="8" bestFit="1" customWidth="1"/>
    <col min="779" max="783" width="13.7109375" style="8" customWidth="1"/>
    <col min="784" max="784" width="16" style="8" customWidth="1"/>
    <col min="785" max="786" width="14" style="8" bestFit="1" customWidth="1"/>
    <col min="787" max="787" width="4.7109375" style="8" bestFit="1" customWidth="1"/>
    <col min="788" max="1024" width="9.140625" style="8"/>
    <col min="1025" max="1025" width="12.140625" style="8" customWidth="1"/>
    <col min="1026" max="1026" width="14.7109375" style="8" bestFit="1" customWidth="1"/>
    <col min="1027" max="1027" width="12.7109375" style="8" bestFit="1" customWidth="1"/>
    <col min="1028" max="1028" width="13.7109375" style="8" bestFit="1" customWidth="1"/>
    <col min="1029" max="1029" width="12.7109375" style="8" bestFit="1" customWidth="1"/>
    <col min="1030" max="1030" width="12.28515625" style="8" bestFit="1" customWidth="1"/>
    <col min="1031" max="1031" width="12.7109375" style="8" bestFit="1" customWidth="1"/>
    <col min="1032" max="1032" width="12.42578125" style="8" bestFit="1" customWidth="1"/>
    <col min="1033" max="1033" width="12.5703125" style="8" bestFit="1" customWidth="1"/>
    <col min="1034" max="1034" width="13.7109375" style="8" bestFit="1" customWidth="1"/>
    <col min="1035" max="1039" width="13.7109375" style="8" customWidth="1"/>
    <col min="1040" max="1040" width="16" style="8" customWidth="1"/>
    <col min="1041" max="1042" width="14" style="8" bestFit="1" customWidth="1"/>
    <col min="1043" max="1043" width="4.7109375" style="8" bestFit="1" customWidth="1"/>
    <col min="1044" max="1280" width="9.140625" style="8"/>
    <col min="1281" max="1281" width="12.140625" style="8" customWidth="1"/>
    <col min="1282" max="1282" width="14.7109375" style="8" bestFit="1" customWidth="1"/>
    <col min="1283" max="1283" width="12.7109375" style="8" bestFit="1" customWidth="1"/>
    <col min="1284" max="1284" width="13.7109375" style="8" bestFit="1" customWidth="1"/>
    <col min="1285" max="1285" width="12.7109375" style="8" bestFit="1" customWidth="1"/>
    <col min="1286" max="1286" width="12.28515625" style="8" bestFit="1" customWidth="1"/>
    <col min="1287" max="1287" width="12.7109375" style="8" bestFit="1" customWidth="1"/>
    <col min="1288" max="1288" width="12.42578125" style="8" bestFit="1" customWidth="1"/>
    <col min="1289" max="1289" width="12.5703125" style="8" bestFit="1" customWidth="1"/>
    <col min="1290" max="1290" width="13.7109375" style="8" bestFit="1" customWidth="1"/>
    <col min="1291" max="1295" width="13.7109375" style="8" customWidth="1"/>
    <col min="1296" max="1296" width="16" style="8" customWidth="1"/>
    <col min="1297" max="1298" width="14" style="8" bestFit="1" customWidth="1"/>
    <col min="1299" max="1299" width="4.7109375" style="8" bestFit="1" customWidth="1"/>
    <col min="1300" max="1536" width="9.140625" style="8"/>
    <col min="1537" max="1537" width="12.140625" style="8" customWidth="1"/>
    <col min="1538" max="1538" width="14.7109375" style="8" bestFit="1" customWidth="1"/>
    <col min="1539" max="1539" width="12.7109375" style="8" bestFit="1" customWidth="1"/>
    <col min="1540" max="1540" width="13.7109375" style="8" bestFit="1" customWidth="1"/>
    <col min="1541" max="1541" width="12.7109375" style="8" bestFit="1" customWidth="1"/>
    <col min="1542" max="1542" width="12.28515625" style="8" bestFit="1" customWidth="1"/>
    <col min="1543" max="1543" width="12.7109375" style="8" bestFit="1" customWidth="1"/>
    <col min="1544" max="1544" width="12.42578125" style="8" bestFit="1" customWidth="1"/>
    <col min="1545" max="1545" width="12.5703125" style="8" bestFit="1" customWidth="1"/>
    <col min="1546" max="1546" width="13.7109375" style="8" bestFit="1" customWidth="1"/>
    <col min="1547" max="1551" width="13.7109375" style="8" customWidth="1"/>
    <col min="1552" max="1552" width="16" style="8" customWidth="1"/>
    <col min="1553" max="1554" width="14" style="8" bestFit="1" customWidth="1"/>
    <col min="1555" max="1555" width="4.7109375" style="8" bestFit="1" customWidth="1"/>
    <col min="1556" max="1792" width="9.140625" style="8"/>
    <col min="1793" max="1793" width="12.140625" style="8" customWidth="1"/>
    <col min="1794" max="1794" width="14.7109375" style="8" bestFit="1" customWidth="1"/>
    <col min="1795" max="1795" width="12.7109375" style="8" bestFit="1" customWidth="1"/>
    <col min="1796" max="1796" width="13.7109375" style="8" bestFit="1" customWidth="1"/>
    <col min="1797" max="1797" width="12.7109375" style="8" bestFit="1" customWidth="1"/>
    <col min="1798" max="1798" width="12.28515625" style="8" bestFit="1" customWidth="1"/>
    <col min="1799" max="1799" width="12.7109375" style="8" bestFit="1" customWidth="1"/>
    <col min="1800" max="1800" width="12.42578125" style="8" bestFit="1" customWidth="1"/>
    <col min="1801" max="1801" width="12.5703125" style="8" bestFit="1" customWidth="1"/>
    <col min="1802" max="1802" width="13.7109375" style="8" bestFit="1" customWidth="1"/>
    <col min="1803" max="1807" width="13.7109375" style="8" customWidth="1"/>
    <col min="1808" max="1808" width="16" style="8" customWidth="1"/>
    <col min="1809" max="1810" width="14" style="8" bestFit="1" customWidth="1"/>
    <col min="1811" max="1811" width="4.7109375" style="8" bestFit="1" customWidth="1"/>
    <col min="1812" max="2048" width="9.140625" style="8"/>
    <col min="2049" max="2049" width="12.140625" style="8" customWidth="1"/>
    <col min="2050" max="2050" width="14.7109375" style="8" bestFit="1" customWidth="1"/>
    <col min="2051" max="2051" width="12.7109375" style="8" bestFit="1" customWidth="1"/>
    <col min="2052" max="2052" width="13.7109375" style="8" bestFit="1" customWidth="1"/>
    <col min="2053" max="2053" width="12.7109375" style="8" bestFit="1" customWidth="1"/>
    <col min="2054" max="2054" width="12.28515625" style="8" bestFit="1" customWidth="1"/>
    <col min="2055" max="2055" width="12.7109375" style="8" bestFit="1" customWidth="1"/>
    <col min="2056" max="2056" width="12.42578125" style="8" bestFit="1" customWidth="1"/>
    <col min="2057" max="2057" width="12.5703125" style="8" bestFit="1" customWidth="1"/>
    <col min="2058" max="2058" width="13.7109375" style="8" bestFit="1" customWidth="1"/>
    <col min="2059" max="2063" width="13.7109375" style="8" customWidth="1"/>
    <col min="2064" max="2064" width="16" style="8" customWidth="1"/>
    <col min="2065" max="2066" width="14" style="8" bestFit="1" customWidth="1"/>
    <col min="2067" max="2067" width="4.7109375" style="8" bestFit="1" customWidth="1"/>
    <col min="2068" max="2304" width="9.140625" style="8"/>
    <col min="2305" max="2305" width="12.140625" style="8" customWidth="1"/>
    <col min="2306" max="2306" width="14.7109375" style="8" bestFit="1" customWidth="1"/>
    <col min="2307" max="2307" width="12.7109375" style="8" bestFit="1" customWidth="1"/>
    <col min="2308" max="2308" width="13.7109375" style="8" bestFit="1" customWidth="1"/>
    <col min="2309" max="2309" width="12.7109375" style="8" bestFit="1" customWidth="1"/>
    <col min="2310" max="2310" width="12.28515625" style="8" bestFit="1" customWidth="1"/>
    <col min="2311" max="2311" width="12.7109375" style="8" bestFit="1" customWidth="1"/>
    <col min="2312" max="2312" width="12.42578125" style="8" bestFit="1" customWidth="1"/>
    <col min="2313" max="2313" width="12.5703125" style="8" bestFit="1" customWidth="1"/>
    <col min="2314" max="2314" width="13.7109375" style="8" bestFit="1" customWidth="1"/>
    <col min="2315" max="2319" width="13.7109375" style="8" customWidth="1"/>
    <col min="2320" max="2320" width="16" style="8" customWidth="1"/>
    <col min="2321" max="2322" width="14" style="8" bestFit="1" customWidth="1"/>
    <col min="2323" max="2323" width="4.7109375" style="8" bestFit="1" customWidth="1"/>
    <col min="2324" max="2560" width="9.140625" style="8"/>
    <col min="2561" max="2561" width="12.140625" style="8" customWidth="1"/>
    <col min="2562" max="2562" width="14.7109375" style="8" bestFit="1" customWidth="1"/>
    <col min="2563" max="2563" width="12.7109375" style="8" bestFit="1" customWidth="1"/>
    <col min="2564" max="2564" width="13.7109375" style="8" bestFit="1" customWidth="1"/>
    <col min="2565" max="2565" width="12.7109375" style="8" bestFit="1" customWidth="1"/>
    <col min="2566" max="2566" width="12.28515625" style="8" bestFit="1" customWidth="1"/>
    <col min="2567" max="2567" width="12.7109375" style="8" bestFit="1" customWidth="1"/>
    <col min="2568" max="2568" width="12.42578125" style="8" bestFit="1" customWidth="1"/>
    <col min="2569" max="2569" width="12.5703125" style="8" bestFit="1" customWidth="1"/>
    <col min="2570" max="2570" width="13.7109375" style="8" bestFit="1" customWidth="1"/>
    <col min="2571" max="2575" width="13.7109375" style="8" customWidth="1"/>
    <col min="2576" max="2576" width="16" style="8" customWidth="1"/>
    <col min="2577" max="2578" width="14" style="8" bestFit="1" customWidth="1"/>
    <col min="2579" max="2579" width="4.7109375" style="8" bestFit="1" customWidth="1"/>
    <col min="2580" max="2816" width="9.140625" style="8"/>
    <col min="2817" max="2817" width="12.140625" style="8" customWidth="1"/>
    <col min="2818" max="2818" width="14.7109375" style="8" bestFit="1" customWidth="1"/>
    <col min="2819" max="2819" width="12.7109375" style="8" bestFit="1" customWidth="1"/>
    <col min="2820" max="2820" width="13.7109375" style="8" bestFit="1" customWidth="1"/>
    <col min="2821" max="2821" width="12.7109375" style="8" bestFit="1" customWidth="1"/>
    <col min="2822" max="2822" width="12.28515625" style="8" bestFit="1" customWidth="1"/>
    <col min="2823" max="2823" width="12.7109375" style="8" bestFit="1" customWidth="1"/>
    <col min="2824" max="2824" width="12.42578125" style="8" bestFit="1" customWidth="1"/>
    <col min="2825" max="2825" width="12.5703125" style="8" bestFit="1" customWidth="1"/>
    <col min="2826" max="2826" width="13.7109375" style="8" bestFit="1" customWidth="1"/>
    <col min="2827" max="2831" width="13.7109375" style="8" customWidth="1"/>
    <col min="2832" max="2832" width="16" style="8" customWidth="1"/>
    <col min="2833" max="2834" width="14" style="8" bestFit="1" customWidth="1"/>
    <col min="2835" max="2835" width="4.7109375" style="8" bestFit="1" customWidth="1"/>
    <col min="2836" max="3072" width="9.140625" style="8"/>
    <col min="3073" max="3073" width="12.140625" style="8" customWidth="1"/>
    <col min="3074" max="3074" width="14.7109375" style="8" bestFit="1" customWidth="1"/>
    <col min="3075" max="3075" width="12.7109375" style="8" bestFit="1" customWidth="1"/>
    <col min="3076" max="3076" width="13.7109375" style="8" bestFit="1" customWidth="1"/>
    <col min="3077" max="3077" width="12.7109375" style="8" bestFit="1" customWidth="1"/>
    <col min="3078" max="3078" width="12.28515625" style="8" bestFit="1" customWidth="1"/>
    <col min="3079" max="3079" width="12.7109375" style="8" bestFit="1" customWidth="1"/>
    <col min="3080" max="3080" width="12.42578125" style="8" bestFit="1" customWidth="1"/>
    <col min="3081" max="3081" width="12.5703125" style="8" bestFit="1" customWidth="1"/>
    <col min="3082" max="3082" width="13.7109375" style="8" bestFit="1" customWidth="1"/>
    <col min="3083" max="3087" width="13.7109375" style="8" customWidth="1"/>
    <col min="3088" max="3088" width="16" style="8" customWidth="1"/>
    <col min="3089" max="3090" width="14" style="8" bestFit="1" customWidth="1"/>
    <col min="3091" max="3091" width="4.7109375" style="8" bestFit="1" customWidth="1"/>
    <col min="3092" max="3328" width="9.140625" style="8"/>
    <col min="3329" max="3329" width="12.140625" style="8" customWidth="1"/>
    <col min="3330" max="3330" width="14.7109375" style="8" bestFit="1" customWidth="1"/>
    <col min="3331" max="3331" width="12.7109375" style="8" bestFit="1" customWidth="1"/>
    <col min="3332" max="3332" width="13.7109375" style="8" bestFit="1" customWidth="1"/>
    <col min="3333" max="3333" width="12.7109375" style="8" bestFit="1" customWidth="1"/>
    <col min="3334" max="3334" width="12.28515625" style="8" bestFit="1" customWidth="1"/>
    <col min="3335" max="3335" width="12.7109375" style="8" bestFit="1" customWidth="1"/>
    <col min="3336" max="3336" width="12.42578125" style="8" bestFit="1" customWidth="1"/>
    <col min="3337" max="3337" width="12.5703125" style="8" bestFit="1" customWidth="1"/>
    <col min="3338" max="3338" width="13.7109375" style="8" bestFit="1" customWidth="1"/>
    <col min="3339" max="3343" width="13.7109375" style="8" customWidth="1"/>
    <col min="3344" max="3344" width="16" style="8" customWidth="1"/>
    <col min="3345" max="3346" width="14" style="8" bestFit="1" customWidth="1"/>
    <col min="3347" max="3347" width="4.7109375" style="8" bestFit="1" customWidth="1"/>
    <col min="3348" max="3584" width="9.140625" style="8"/>
    <col min="3585" max="3585" width="12.140625" style="8" customWidth="1"/>
    <col min="3586" max="3586" width="14.7109375" style="8" bestFit="1" customWidth="1"/>
    <col min="3587" max="3587" width="12.7109375" style="8" bestFit="1" customWidth="1"/>
    <col min="3588" max="3588" width="13.7109375" style="8" bestFit="1" customWidth="1"/>
    <col min="3589" max="3589" width="12.7109375" style="8" bestFit="1" customWidth="1"/>
    <col min="3590" max="3590" width="12.28515625" style="8" bestFit="1" customWidth="1"/>
    <col min="3591" max="3591" width="12.7109375" style="8" bestFit="1" customWidth="1"/>
    <col min="3592" max="3592" width="12.42578125" style="8" bestFit="1" customWidth="1"/>
    <col min="3593" max="3593" width="12.5703125" style="8" bestFit="1" customWidth="1"/>
    <col min="3594" max="3594" width="13.7109375" style="8" bestFit="1" customWidth="1"/>
    <col min="3595" max="3599" width="13.7109375" style="8" customWidth="1"/>
    <col min="3600" max="3600" width="16" style="8" customWidth="1"/>
    <col min="3601" max="3602" width="14" style="8" bestFit="1" customWidth="1"/>
    <col min="3603" max="3603" width="4.7109375" style="8" bestFit="1" customWidth="1"/>
    <col min="3604" max="3840" width="9.140625" style="8"/>
    <col min="3841" max="3841" width="12.140625" style="8" customWidth="1"/>
    <col min="3842" max="3842" width="14.7109375" style="8" bestFit="1" customWidth="1"/>
    <col min="3843" max="3843" width="12.7109375" style="8" bestFit="1" customWidth="1"/>
    <col min="3844" max="3844" width="13.7109375" style="8" bestFit="1" customWidth="1"/>
    <col min="3845" max="3845" width="12.7109375" style="8" bestFit="1" customWidth="1"/>
    <col min="3846" max="3846" width="12.28515625" style="8" bestFit="1" customWidth="1"/>
    <col min="3847" max="3847" width="12.7109375" style="8" bestFit="1" customWidth="1"/>
    <col min="3848" max="3848" width="12.42578125" style="8" bestFit="1" customWidth="1"/>
    <col min="3849" max="3849" width="12.5703125" style="8" bestFit="1" customWidth="1"/>
    <col min="3850" max="3850" width="13.7109375" style="8" bestFit="1" customWidth="1"/>
    <col min="3851" max="3855" width="13.7109375" style="8" customWidth="1"/>
    <col min="3856" max="3856" width="16" style="8" customWidth="1"/>
    <col min="3857" max="3858" width="14" style="8" bestFit="1" customWidth="1"/>
    <col min="3859" max="3859" width="4.7109375" style="8" bestFit="1" customWidth="1"/>
    <col min="3860" max="4096" width="9.140625" style="8"/>
    <col min="4097" max="4097" width="12.140625" style="8" customWidth="1"/>
    <col min="4098" max="4098" width="14.7109375" style="8" bestFit="1" customWidth="1"/>
    <col min="4099" max="4099" width="12.7109375" style="8" bestFit="1" customWidth="1"/>
    <col min="4100" max="4100" width="13.7109375" style="8" bestFit="1" customWidth="1"/>
    <col min="4101" max="4101" width="12.7109375" style="8" bestFit="1" customWidth="1"/>
    <col min="4102" max="4102" width="12.28515625" style="8" bestFit="1" customWidth="1"/>
    <col min="4103" max="4103" width="12.7109375" style="8" bestFit="1" customWidth="1"/>
    <col min="4104" max="4104" width="12.42578125" style="8" bestFit="1" customWidth="1"/>
    <col min="4105" max="4105" width="12.5703125" style="8" bestFit="1" customWidth="1"/>
    <col min="4106" max="4106" width="13.7109375" style="8" bestFit="1" customWidth="1"/>
    <col min="4107" max="4111" width="13.7109375" style="8" customWidth="1"/>
    <col min="4112" max="4112" width="16" style="8" customWidth="1"/>
    <col min="4113" max="4114" width="14" style="8" bestFit="1" customWidth="1"/>
    <col min="4115" max="4115" width="4.7109375" style="8" bestFit="1" customWidth="1"/>
    <col min="4116" max="4352" width="9.140625" style="8"/>
    <col min="4353" max="4353" width="12.140625" style="8" customWidth="1"/>
    <col min="4354" max="4354" width="14.7109375" style="8" bestFit="1" customWidth="1"/>
    <col min="4355" max="4355" width="12.7109375" style="8" bestFit="1" customWidth="1"/>
    <col min="4356" max="4356" width="13.7109375" style="8" bestFit="1" customWidth="1"/>
    <col min="4357" max="4357" width="12.7109375" style="8" bestFit="1" customWidth="1"/>
    <col min="4358" max="4358" width="12.28515625" style="8" bestFit="1" customWidth="1"/>
    <col min="4359" max="4359" width="12.7109375" style="8" bestFit="1" customWidth="1"/>
    <col min="4360" max="4360" width="12.42578125" style="8" bestFit="1" customWidth="1"/>
    <col min="4361" max="4361" width="12.5703125" style="8" bestFit="1" customWidth="1"/>
    <col min="4362" max="4362" width="13.7109375" style="8" bestFit="1" customWidth="1"/>
    <col min="4363" max="4367" width="13.7109375" style="8" customWidth="1"/>
    <col min="4368" max="4368" width="16" style="8" customWidth="1"/>
    <col min="4369" max="4370" width="14" style="8" bestFit="1" customWidth="1"/>
    <col min="4371" max="4371" width="4.7109375" style="8" bestFit="1" customWidth="1"/>
    <col min="4372" max="4608" width="9.140625" style="8"/>
    <col min="4609" max="4609" width="12.140625" style="8" customWidth="1"/>
    <col min="4610" max="4610" width="14.7109375" style="8" bestFit="1" customWidth="1"/>
    <col min="4611" max="4611" width="12.7109375" style="8" bestFit="1" customWidth="1"/>
    <col min="4612" max="4612" width="13.7109375" style="8" bestFit="1" customWidth="1"/>
    <col min="4613" max="4613" width="12.7109375" style="8" bestFit="1" customWidth="1"/>
    <col min="4614" max="4614" width="12.28515625" style="8" bestFit="1" customWidth="1"/>
    <col min="4615" max="4615" width="12.7109375" style="8" bestFit="1" customWidth="1"/>
    <col min="4616" max="4616" width="12.42578125" style="8" bestFit="1" customWidth="1"/>
    <col min="4617" max="4617" width="12.5703125" style="8" bestFit="1" customWidth="1"/>
    <col min="4618" max="4618" width="13.7109375" style="8" bestFit="1" customWidth="1"/>
    <col min="4619" max="4623" width="13.7109375" style="8" customWidth="1"/>
    <col min="4624" max="4624" width="16" style="8" customWidth="1"/>
    <col min="4625" max="4626" width="14" style="8" bestFit="1" customWidth="1"/>
    <col min="4627" max="4627" width="4.7109375" style="8" bestFit="1" customWidth="1"/>
    <col min="4628" max="4864" width="9.140625" style="8"/>
    <col min="4865" max="4865" width="12.140625" style="8" customWidth="1"/>
    <col min="4866" max="4866" width="14.7109375" style="8" bestFit="1" customWidth="1"/>
    <col min="4867" max="4867" width="12.7109375" style="8" bestFit="1" customWidth="1"/>
    <col min="4868" max="4868" width="13.7109375" style="8" bestFit="1" customWidth="1"/>
    <col min="4869" max="4869" width="12.7109375" style="8" bestFit="1" customWidth="1"/>
    <col min="4870" max="4870" width="12.28515625" style="8" bestFit="1" customWidth="1"/>
    <col min="4871" max="4871" width="12.7109375" style="8" bestFit="1" customWidth="1"/>
    <col min="4872" max="4872" width="12.42578125" style="8" bestFit="1" customWidth="1"/>
    <col min="4873" max="4873" width="12.5703125" style="8" bestFit="1" customWidth="1"/>
    <col min="4874" max="4874" width="13.7109375" style="8" bestFit="1" customWidth="1"/>
    <col min="4875" max="4879" width="13.7109375" style="8" customWidth="1"/>
    <col min="4880" max="4880" width="16" style="8" customWidth="1"/>
    <col min="4881" max="4882" width="14" style="8" bestFit="1" customWidth="1"/>
    <col min="4883" max="4883" width="4.7109375" style="8" bestFit="1" customWidth="1"/>
    <col min="4884" max="5120" width="9.140625" style="8"/>
    <col min="5121" max="5121" width="12.140625" style="8" customWidth="1"/>
    <col min="5122" max="5122" width="14.7109375" style="8" bestFit="1" customWidth="1"/>
    <col min="5123" max="5123" width="12.7109375" style="8" bestFit="1" customWidth="1"/>
    <col min="5124" max="5124" width="13.7109375" style="8" bestFit="1" customWidth="1"/>
    <col min="5125" max="5125" width="12.7109375" style="8" bestFit="1" customWidth="1"/>
    <col min="5126" max="5126" width="12.28515625" style="8" bestFit="1" customWidth="1"/>
    <col min="5127" max="5127" width="12.7109375" style="8" bestFit="1" customWidth="1"/>
    <col min="5128" max="5128" width="12.42578125" style="8" bestFit="1" customWidth="1"/>
    <col min="5129" max="5129" width="12.5703125" style="8" bestFit="1" customWidth="1"/>
    <col min="5130" max="5130" width="13.7109375" style="8" bestFit="1" customWidth="1"/>
    <col min="5131" max="5135" width="13.7109375" style="8" customWidth="1"/>
    <col min="5136" max="5136" width="16" style="8" customWidth="1"/>
    <col min="5137" max="5138" width="14" style="8" bestFit="1" customWidth="1"/>
    <col min="5139" max="5139" width="4.7109375" style="8" bestFit="1" customWidth="1"/>
    <col min="5140" max="5376" width="9.140625" style="8"/>
    <col min="5377" max="5377" width="12.140625" style="8" customWidth="1"/>
    <col min="5378" max="5378" width="14.7109375" style="8" bestFit="1" customWidth="1"/>
    <col min="5379" max="5379" width="12.7109375" style="8" bestFit="1" customWidth="1"/>
    <col min="5380" max="5380" width="13.7109375" style="8" bestFit="1" customWidth="1"/>
    <col min="5381" max="5381" width="12.7109375" style="8" bestFit="1" customWidth="1"/>
    <col min="5382" max="5382" width="12.28515625" style="8" bestFit="1" customWidth="1"/>
    <col min="5383" max="5383" width="12.7109375" style="8" bestFit="1" customWidth="1"/>
    <col min="5384" max="5384" width="12.42578125" style="8" bestFit="1" customWidth="1"/>
    <col min="5385" max="5385" width="12.5703125" style="8" bestFit="1" customWidth="1"/>
    <col min="5386" max="5386" width="13.7109375" style="8" bestFit="1" customWidth="1"/>
    <col min="5387" max="5391" width="13.7109375" style="8" customWidth="1"/>
    <col min="5392" max="5392" width="16" style="8" customWidth="1"/>
    <col min="5393" max="5394" width="14" style="8" bestFit="1" customWidth="1"/>
    <col min="5395" max="5395" width="4.7109375" style="8" bestFit="1" customWidth="1"/>
    <col min="5396" max="5632" width="9.140625" style="8"/>
    <col min="5633" max="5633" width="12.140625" style="8" customWidth="1"/>
    <col min="5634" max="5634" width="14.7109375" style="8" bestFit="1" customWidth="1"/>
    <col min="5635" max="5635" width="12.7109375" style="8" bestFit="1" customWidth="1"/>
    <col min="5636" max="5636" width="13.7109375" style="8" bestFit="1" customWidth="1"/>
    <col min="5637" max="5637" width="12.7109375" style="8" bestFit="1" customWidth="1"/>
    <col min="5638" max="5638" width="12.28515625" style="8" bestFit="1" customWidth="1"/>
    <col min="5639" max="5639" width="12.7109375" style="8" bestFit="1" customWidth="1"/>
    <col min="5640" max="5640" width="12.42578125" style="8" bestFit="1" customWidth="1"/>
    <col min="5641" max="5641" width="12.5703125" style="8" bestFit="1" customWidth="1"/>
    <col min="5642" max="5642" width="13.7109375" style="8" bestFit="1" customWidth="1"/>
    <col min="5643" max="5647" width="13.7109375" style="8" customWidth="1"/>
    <col min="5648" max="5648" width="16" style="8" customWidth="1"/>
    <col min="5649" max="5650" width="14" style="8" bestFit="1" customWidth="1"/>
    <col min="5651" max="5651" width="4.7109375" style="8" bestFit="1" customWidth="1"/>
    <col min="5652" max="5888" width="9.140625" style="8"/>
    <col min="5889" max="5889" width="12.140625" style="8" customWidth="1"/>
    <col min="5890" max="5890" width="14.7109375" style="8" bestFit="1" customWidth="1"/>
    <col min="5891" max="5891" width="12.7109375" style="8" bestFit="1" customWidth="1"/>
    <col min="5892" max="5892" width="13.7109375" style="8" bestFit="1" customWidth="1"/>
    <col min="5893" max="5893" width="12.7109375" style="8" bestFit="1" customWidth="1"/>
    <col min="5894" max="5894" width="12.28515625" style="8" bestFit="1" customWidth="1"/>
    <col min="5895" max="5895" width="12.7109375" style="8" bestFit="1" customWidth="1"/>
    <col min="5896" max="5896" width="12.42578125" style="8" bestFit="1" customWidth="1"/>
    <col min="5897" max="5897" width="12.5703125" style="8" bestFit="1" customWidth="1"/>
    <col min="5898" max="5898" width="13.7109375" style="8" bestFit="1" customWidth="1"/>
    <col min="5899" max="5903" width="13.7109375" style="8" customWidth="1"/>
    <col min="5904" max="5904" width="16" style="8" customWidth="1"/>
    <col min="5905" max="5906" width="14" style="8" bestFit="1" customWidth="1"/>
    <col min="5907" max="5907" width="4.7109375" style="8" bestFit="1" customWidth="1"/>
    <col min="5908" max="6144" width="9.140625" style="8"/>
    <col min="6145" max="6145" width="12.140625" style="8" customWidth="1"/>
    <col min="6146" max="6146" width="14.7109375" style="8" bestFit="1" customWidth="1"/>
    <col min="6147" max="6147" width="12.7109375" style="8" bestFit="1" customWidth="1"/>
    <col min="6148" max="6148" width="13.7109375" style="8" bestFit="1" customWidth="1"/>
    <col min="6149" max="6149" width="12.7109375" style="8" bestFit="1" customWidth="1"/>
    <col min="6150" max="6150" width="12.28515625" style="8" bestFit="1" customWidth="1"/>
    <col min="6151" max="6151" width="12.7109375" style="8" bestFit="1" customWidth="1"/>
    <col min="6152" max="6152" width="12.42578125" style="8" bestFit="1" customWidth="1"/>
    <col min="6153" max="6153" width="12.5703125" style="8" bestFit="1" customWidth="1"/>
    <col min="6154" max="6154" width="13.7109375" style="8" bestFit="1" customWidth="1"/>
    <col min="6155" max="6159" width="13.7109375" style="8" customWidth="1"/>
    <col min="6160" max="6160" width="16" style="8" customWidth="1"/>
    <col min="6161" max="6162" width="14" style="8" bestFit="1" customWidth="1"/>
    <col min="6163" max="6163" width="4.7109375" style="8" bestFit="1" customWidth="1"/>
    <col min="6164" max="6400" width="9.140625" style="8"/>
    <col min="6401" max="6401" width="12.140625" style="8" customWidth="1"/>
    <col min="6402" max="6402" width="14.7109375" style="8" bestFit="1" customWidth="1"/>
    <col min="6403" max="6403" width="12.7109375" style="8" bestFit="1" customWidth="1"/>
    <col min="6404" max="6404" width="13.7109375" style="8" bestFit="1" customWidth="1"/>
    <col min="6405" max="6405" width="12.7109375" style="8" bestFit="1" customWidth="1"/>
    <col min="6406" max="6406" width="12.28515625" style="8" bestFit="1" customWidth="1"/>
    <col min="6407" max="6407" width="12.7109375" style="8" bestFit="1" customWidth="1"/>
    <col min="6408" max="6408" width="12.42578125" style="8" bestFit="1" customWidth="1"/>
    <col min="6409" max="6409" width="12.5703125" style="8" bestFit="1" customWidth="1"/>
    <col min="6410" max="6410" width="13.7109375" style="8" bestFit="1" customWidth="1"/>
    <col min="6411" max="6415" width="13.7109375" style="8" customWidth="1"/>
    <col min="6416" max="6416" width="16" style="8" customWidth="1"/>
    <col min="6417" max="6418" width="14" style="8" bestFit="1" customWidth="1"/>
    <col min="6419" max="6419" width="4.7109375" style="8" bestFit="1" customWidth="1"/>
    <col min="6420" max="6656" width="9.140625" style="8"/>
    <col min="6657" max="6657" width="12.140625" style="8" customWidth="1"/>
    <col min="6658" max="6658" width="14.7109375" style="8" bestFit="1" customWidth="1"/>
    <col min="6659" max="6659" width="12.7109375" style="8" bestFit="1" customWidth="1"/>
    <col min="6660" max="6660" width="13.7109375" style="8" bestFit="1" customWidth="1"/>
    <col min="6661" max="6661" width="12.7109375" style="8" bestFit="1" customWidth="1"/>
    <col min="6662" max="6662" width="12.28515625" style="8" bestFit="1" customWidth="1"/>
    <col min="6663" max="6663" width="12.7109375" style="8" bestFit="1" customWidth="1"/>
    <col min="6664" max="6664" width="12.42578125" style="8" bestFit="1" customWidth="1"/>
    <col min="6665" max="6665" width="12.5703125" style="8" bestFit="1" customWidth="1"/>
    <col min="6666" max="6666" width="13.7109375" style="8" bestFit="1" customWidth="1"/>
    <col min="6667" max="6671" width="13.7109375" style="8" customWidth="1"/>
    <col min="6672" max="6672" width="16" style="8" customWidth="1"/>
    <col min="6673" max="6674" width="14" style="8" bestFit="1" customWidth="1"/>
    <col min="6675" max="6675" width="4.7109375" style="8" bestFit="1" customWidth="1"/>
    <col min="6676" max="6912" width="9.140625" style="8"/>
    <col min="6913" max="6913" width="12.140625" style="8" customWidth="1"/>
    <col min="6914" max="6914" width="14.7109375" style="8" bestFit="1" customWidth="1"/>
    <col min="6915" max="6915" width="12.7109375" style="8" bestFit="1" customWidth="1"/>
    <col min="6916" max="6916" width="13.7109375" style="8" bestFit="1" customWidth="1"/>
    <col min="6917" max="6917" width="12.7109375" style="8" bestFit="1" customWidth="1"/>
    <col min="6918" max="6918" width="12.28515625" style="8" bestFit="1" customWidth="1"/>
    <col min="6919" max="6919" width="12.7109375" style="8" bestFit="1" customWidth="1"/>
    <col min="6920" max="6920" width="12.42578125" style="8" bestFit="1" customWidth="1"/>
    <col min="6921" max="6921" width="12.5703125" style="8" bestFit="1" customWidth="1"/>
    <col min="6922" max="6922" width="13.7109375" style="8" bestFit="1" customWidth="1"/>
    <col min="6923" max="6927" width="13.7109375" style="8" customWidth="1"/>
    <col min="6928" max="6928" width="16" style="8" customWidth="1"/>
    <col min="6929" max="6930" width="14" style="8" bestFit="1" customWidth="1"/>
    <col min="6931" max="6931" width="4.7109375" style="8" bestFit="1" customWidth="1"/>
    <col min="6932" max="7168" width="9.140625" style="8"/>
    <col min="7169" max="7169" width="12.140625" style="8" customWidth="1"/>
    <col min="7170" max="7170" width="14.7109375" style="8" bestFit="1" customWidth="1"/>
    <col min="7171" max="7171" width="12.7109375" style="8" bestFit="1" customWidth="1"/>
    <col min="7172" max="7172" width="13.7109375" style="8" bestFit="1" customWidth="1"/>
    <col min="7173" max="7173" width="12.7109375" style="8" bestFit="1" customWidth="1"/>
    <col min="7174" max="7174" width="12.28515625" style="8" bestFit="1" customWidth="1"/>
    <col min="7175" max="7175" width="12.7109375" style="8" bestFit="1" customWidth="1"/>
    <col min="7176" max="7176" width="12.42578125" style="8" bestFit="1" customWidth="1"/>
    <col min="7177" max="7177" width="12.5703125" style="8" bestFit="1" customWidth="1"/>
    <col min="7178" max="7178" width="13.7109375" style="8" bestFit="1" customWidth="1"/>
    <col min="7179" max="7183" width="13.7109375" style="8" customWidth="1"/>
    <col min="7184" max="7184" width="16" style="8" customWidth="1"/>
    <col min="7185" max="7186" width="14" style="8" bestFit="1" customWidth="1"/>
    <col min="7187" max="7187" width="4.7109375" style="8" bestFit="1" customWidth="1"/>
    <col min="7188" max="7424" width="9.140625" style="8"/>
    <col min="7425" max="7425" width="12.140625" style="8" customWidth="1"/>
    <col min="7426" max="7426" width="14.7109375" style="8" bestFit="1" customWidth="1"/>
    <col min="7427" max="7427" width="12.7109375" style="8" bestFit="1" customWidth="1"/>
    <col min="7428" max="7428" width="13.7109375" style="8" bestFit="1" customWidth="1"/>
    <col min="7429" max="7429" width="12.7109375" style="8" bestFit="1" customWidth="1"/>
    <col min="7430" max="7430" width="12.28515625" style="8" bestFit="1" customWidth="1"/>
    <col min="7431" max="7431" width="12.7109375" style="8" bestFit="1" customWidth="1"/>
    <col min="7432" max="7432" width="12.42578125" style="8" bestFit="1" customWidth="1"/>
    <col min="7433" max="7433" width="12.5703125" style="8" bestFit="1" customWidth="1"/>
    <col min="7434" max="7434" width="13.7109375" style="8" bestFit="1" customWidth="1"/>
    <col min="7435" max="7439" width="13.7109375" style="8" customWidth="1"/>
    <col min="7440" max="7440" width="16" style="8" customWidth="1"/>
    <col min="7441" max="7442" width="14" style="8" bestFit="1" customWidth="1"/>
    <col min="7443" max="7443" width="4.7109375" style="8" bestFit="1" customWidth="1"/>
    <col min="7444" max="7680" width="9.140625" style="8"/>
    <col min="7681" max="7681" width="12.140625" style="8" customWidth="1"/>
    <col min="7682" max="7682" width="14.7109375" style="8" bestFit="1" customWidth="1"/>
    <col min="7683" max="7683" width="12.7109375" style="8" bestFit="1" customWidth="1"/>
    <col min="7684" max="7684" width="13.7109375" style="8" bestFit="1" customWidth="1"/>
    <col min="7685" max="7685" width="12.7109375" style="8" bestFit="1" customWidth="1"/>
    <col min="7686" max="7686" width="12.28515625" style="8" bestFit="1" customWidth="1"/>
    <col min="7687" max="7687" width="12.7109375" style="8" bestFit="1" customWidth="1"/>
    <col min="7688" max="7688" width="12.42578125" style="8" bestFit="1" customWidth="1"/>
    <col min="7689" max="7689" width="12.5703125" style="8" bestFit="1" customWidth="1"/>
    <col min="7690" max="7690" width="13.7109375" style="8" bestFit="1" customWidth="1"/>
    <col min="7691" max="7695" width="13.7109375" style="8" customWidth="1"/>
    <col min="7696" max="7696" width="16" style="8" customWidth="1"/>
    <col min="7697" max="7698" width="14" style="8" bestFit="1" customWidth="1"/>
    <col min="7699" max="7699" width="4.7109375" style="8" bestFit="1" customWidth="1"/>
    <col min="7700" max="7936" width="9.140625" style="8"/>
    <col min="7937" max="7937" width="12.140625" style="8" customWidth="1"/>
    <col min="7938" max="7938" width="14.7109375" style="8" bestFit="1" customWidth="1"/>
    <col min="7939" max="7939" width="12.7109375" style="8" bestFit="1" customWidth="1"/>
    <col min="7940" max="7940" width="13.7109375" style="8" bestFit="1" customWidth="1"/>
    <col min="7941" max="7941" width="12.7109375" style="8" bestFit="1" customWidth="1"/>
    <col min="7942" max="7942" width="12.28515625" style="8" bestFit="1" customWidth="1"/>
    <col min="7943" max="7943" width="12.7109375" style="8" bestFit="1" customWidth="1"/>
    <col min="7944" max="7944" width="12.42578125" style="8" bestFit="1" customWidth="1"/>
    <col min="7945" max="7945" width="12.5703125" style="8" bestFit="1" customWidth="1"/>
    <col min="7946" max="7946" width="13.7109375" style="8" bestFit="1" customWidth="1"/>
    <col min="7947" max="7951" width="13.7109375" style="8" customWidth="1"/>
    <col min="7952" max="7952" width="16" style="8" customWidth="1"/>
    <col min="7953" max="7954" width="14" style="8" bestFit="1" customWidth="1"/>
    <col min="7955" max="7955" width="4.7109375" style="8" bestFit="1" customWidth="1"/>
    <col min="7956" max="8192" width="9.140625" style="8"/>
    <col min="8193" max="8193" width="12.140625" style="8" customWidth="1"/>
    <col min="8194" max="8194" width="14.7109375" style="8" bestFit="1" customWidth="1"/>
    <col min="8195" max="8195" width="12.7109375" style="8" bestFit="1" customWidth="1"/>
    <col min="8196" max="8196" width="13.7109375" style="8" bestFit="1" customWidth="1"/>
    <col min="8197" max="8197" width="12.7109375" style="8" bestFit="1" customWidth="1"/>
    <col min="8198" max="8198" width="12.28515625" style="8" bestFit="1" customWidth="1"/>
    <col min="8199" max="8199" width="12.7109375" style="8" bestFit="1" customWidth="1"/>
    <col min="8200" max="8200" width="12.42578125" style="8" bestFit="1" customWidth="1"/>
    <col min="8201" max="8201" width="12.5703125" style="8" bestFit="1" customWidth="1"/>
    <col min="8202" max="8202" width="13.7109375" style="8" bestFit="1" customWidth="1"/>
    <col min="8203" max="8207" width="13.7109375" style="8" customWidth="1"/>
    <col min="8208" max="8208" width="16" style="8" customWidth="1"/>
    <col min="8209" max="8210" width="14" style="8" bestFit="1" customWidth="1"/>
    <col min="8211" max="8211" width="4.7109375" style="8" bestFit="1" customWidth="1"/>
    <col min="8212" max="8448" width="9.140625" style="8"/>
    <col min="8449" max="8449" width="12.140625" style="8" customWidth="1"/>
    <col min="8450" max="8450" width="14.7109375" style="8" bestFit="1" customWidth="1"/>
    <col min="8451" max="8451" width="12.7109375" style="8" bestFit="1" customWidth="1"/>
    <col min="8452" max="8452" width="13.7109375" style="8" bestFit="1" customWidth="1"/>
    <col min="8453" max="8453" width="12.7109375" style="8" bestFit="1" customWidth="1"/>
    <col min="8454" max="8454" width="12.28515625" style="8" bestFit="1" customWidth="1"/>
    <col min="8455" max="8455" width="12.7109375" style="8" bestFit="1" customWidth="1"/>
    <col min="8456" max="8456" width="12.42578125" style="8" bestFit="1" customWidth="1"/>
    <col min="8457" max="8457" width="12.5703125" style="8" bestFit="1" customWidth="1"/>
    <col min="8458" max="8458" width="13.7109375" style="8" bestFit="1" customWidth="1"/>
    <col min="8459" max="8463" width="13.7109375" style="8" customWidth="1"/>
    <col min="8464" max="8464" width="16" style="8" customWidth="1"/>
    <col min="8465" max="8466" width="14" style="8" bestFit="1" customWidth="1"/>
    <col min="8467" max="8467" width="4.7109375" style="8" bestFit="1" customWidth="1"/>
    <col min="8468" max="8704" width="9.140625" style="8"/>
    <col min="8705" max="8705" width="12.140625" style="8" customWidth="1"/>
    <col min="8706" max="8706" width="14.7109375" style="8" bestFit="1" customWidth="1"/>
    <col min="8707" max="8707" width="12.7109375" style="8" bestFit="1" customWidth="1"/>
    <col min="8708" max="8708" width="13.7109375" style="8" bestFit="1" customWidth="1"/>
    <col min="8709" max="8709" width="12.7109375" style="8" bestFit="1" customWidth="1"/>
    <col min="8710" max="8710" width="12.28515625" style="8" bestFit="1" customWidth="1"/>
    <col min="8711" max="8711" width="12.7109375" style="8" bestFit="1" customWidth="1"/>
    <col min="8712" max="8712" width="12.42578125" style="8" bestFit="1" customWidth="1"/>
    <col min="8713" max="8713" width="12.5703125" style="8" bestFit="1" customWidth="1"/>
    <col min="8714" max="8714" width="13.7109375" style="8" bestFit="1" customWidth="1"/>
    <col min="8715" max="8719" width="13.7109375" style="8" customWidth="1"/>
    <col min="8720" max="8720" width="16" style="8" customWidth="1"/>
    <col min="8721" max="8722" width="14" style="8" bestFit="1" customWidth="1"/>
    <col min="8723" max="8723" width="4.7109375" style="8" bestFit="1" customWidth="1"/>
    <col min="8724" max="8960" width="9.140625" style="8"/>
    <col min="8961" max="8961" width="12.140625" style="8" customWidth="1"/>
    <col min="8962" max="8962" width="14.7109375" style="8" bestFit="1" customWidth="1"/>
    <col min="8963" max="8963" width="12.7109375" style="8" bestFit="1" customWidth="1"/>
    <col min="8964" max="8964" width="13.7109375" style="8" bestFit="1" customWidth="1"/>
    <col min="8965" max="8965" width="12.7109375" style="8" bestFit="1" customWidth="1"/>
    <col min="8966" max="8966" width="12.28515625" style="8" bestFit="1" customWidth="1"/>
    <col min="8967" max="8967" width="12.7109375" style="8" bestFit="1" customWidth="1"/>
    <col min="8968" max="8968" width="12.42578125" style="8" bestFit="1" customWidth="1"/>
    <col min="8969" max="8969" width="12.5703125" style="8" bestFit="1" customWidth="1"/>
    <col min="8970" max="8970" width="13.7109375" style="8" bestFit="1" customWidth="1"/>
    <col min="8971" max="8975" width="13.7109375" style="8" customWidth="1"/>
    <col min="8976" max="8976" width="16" style="8" customWidth="1"/>
    <col min="8977" max="8978" width="14" style="8" bestFit="1" customWidth="1"/>
    <col min="8979" max="8979" width="4.7109375" style="8" bestFit="1" customWidth="1"/>
    <col min="8980" max="9216" width="9.140625" style="8"/>
    <col min="9217" max="9217" width="12.140625" style="8" customWidth="1"/>
    <col min="9218" max="9218" width="14.7109375" style="8" bestFit="1" customWidth="1"/>
    <col min="9219" max="9219" width="12.7109375" style="8" bestFit="1" customWidth="1"/>
    <col min="9220" max="9220" width="13.7109375" style="8" bestFit="1" customWidth="1"/>
    <col min="9221" max="9221" width="12.7109375" style="8" bestFit="1" customWidth="1"/>
    <col min="9222" max="9222" width="12.28515625" style="8" bestFit="1" customWidth="1"/>
    <col min="9223" max="9223" width="12.7109375" style="8" bestFit="1" customWidth="1"/>
    <col min="9224" max="9224" width="12.42578125" style="8" bestFit="1" customWidth="1"/>
    <col min="9225" max="9225" width="12.5703125" style="8" bestFit="1" customWidth="1"/>
    <col min="9226" max="9226" width="13.7109375" style="8" bestFit="1" customWidth="1"/>
    <col min="9227" max="9231" width="13.7109375" style="8" customWidth="1"/>
    <col min="9232" max="9232" width="16" style="8" customWidth="1"/>
    <col min="9233" max="9234" width="14" style="8" bestFit="1" customWidth="1"/>
    <col min="9235" max="9235" width="4.7109375" style="8" bestFit="1" customWidth="1"/>
    <col min="9236" max="9472" width="9.140625" style="8"/>
    <col min="9473" max="9473" width="12.140625" style="8" customWidth="1"/>
    <col min="9474" max="9474" width="14.7109375" style="8" bestFit="1" customWidth="1"/>
    <col min="9475" max="9475" width="12.7109375" style="8" bestFit="1" customWidth="1"/>
    <col min="9476" max="9476" width="13.7109375" style="8" bestFit="1" customWidth="1"/>
    <col min="9477" max="9477" width="12.7109375" style="8" bestFit="1" customWidth="1"/>
    <col min="9478" max="9478" width="12.28515625" style="8" bestFit="1" customWidth="1"/>
    <col min="9479" max="9479" width="12.7109375" style="8" bestFit="1" customWidth="1"/>
    <col min="9480" max="9480" width="12.42578125" style="8" bestFit="1" customWidth="1"/>
    <col min="9481" max="9481" width="12.5703125" style="8" bestFit="1" customWidth="1"/>
    <col min="9482" max="9482" width="13.7109375" style="8" bestFit="1" customWidth="1"/>
    <col min="9483" max="9487" width="13.7109375" style="8" customWidth="1"/>
    <col min="9488" max="9488" width="16" style="8" customWidth="1"/>
    <col min="9489" max="9490" width="14" style="8" bestFit="1" customWidth="1"/>
    <col min="9491" max="9491" width="4.7109375" style="8" bestFit="1" customWidth="1"/>
    <col min="9492" max="9728" width="9.140625" style="8"/>
    <col min="9729" max="9729" width="12.140625" style="8" customWidth="1"/>
    <col min="9730" max="9730" width="14.7109375" style="8" bestFit="1" customWidth="1"/>
    <col min="9731" max="9731" width="12.7109375" style="8" bestFit="1" customWidth="1"/>
    <col min="9732" max="9732" width="13.7109375" style="8" bestFit="1" customWidth="1"/>
    <col min="9733" max="9733" width="12.7109375" style="8" bestFit="1" customWidth="1"/>
    <col min="9734" max="9734" width="12.28515625" style="8" bestFit="1" customWidth="1"/>
    <col min="9735" max="9735" width="12.7109375" style="8" bestFit="1" customWidth="1"/>
    <col min="9736" max="9736" width="12.42578125" style="8" bestFit="1" customWidth="1"/>
    <col min="9737" max="9737" width="12.5703125" style="8" bestFit="1" customWidth="1"/>
    <col min="9738" max="9738" width="13.7109375" style="8" bestFit="1" customWidth="1"/>
    <col min="9739" max="9743" width="13.7109375" style="8" customWidth="1"/>
    <col min="9744" max="9744" width="16" style="8" customWidth="1"/>
    <col min="9745" max="9746" width="14" style="8" bestFit="1" customWidth="1"/>
    <col min="9747" max="9747" width="4.7109375" style="8" bestFit="1" customWidth="1"/>
    <col min="9748" max="9984" width="9.140625" style="8"/>
    <col min="9985" max="9985" width="12.140625" style="8" customWidth="1"/>
    <col min="9986" max="9986" width="14.7109375" style="8" bestFit="1" customWidth="1"/>
    <col min="9987" max="9987" width="12.7109375" style="8" bestFit="1" customWidth="1"/>
    <col min="9988" max="9988" width="13.7109375" style="8" bestFit="1" customWidth="1"/>
    <col min="9989" max="9989" width="12.7109375" style="8" bestFit="1" customWidth="1"/>
    <col min="9990" max="9990" width="12.28515625" style="8" bestFit="1" customWidth="1"/>
    <col min="9991" max="9991" width="12.7109375" style="8" bestFit="1" customWidth="1"/>
    <col min="9992" max="9992" width="12.42578125" style="8" bestFit="1" customWidth="1"/>
    <col min="9993" max="9993" width="12.5703125" style="8" bestFit="1" customWidth="1"/>
    <col min="9994" max="9994" width="13.7109375" style="8" bestFit="1" customWidth="1"/>
    <col min="9995" max="9999" width="13.7109375" style="8" customWidth="1"/>
    <col min="10000" max="10000" width="16" style="8" customWidth="1"/>
    <col min="10001" max="10002" width="14" style="8" bestFit="1" customWidth="1"/>
    <col min="10003" max="10003" width="4.7109375" style="8" bestFit="1" customWidth="1"/>
    <col min="10004" max="10240" width="9.140625" style="8"/>
    <col min="10241" max="10241" width="12.140625" style="8" customWidth="1"/>
    <col min="10242" max="10242" width="14.7109375" style="8" bestFit="1" customWidth="1"/>
    <col min="10243" max="10243" width="12.7109375" style="8" bestFit="1" customWidth="1"/>
    <col min="10244" max="10244" width="13.7109375" style="8" bestFit="1" customWidth="1"/>
    <col min="10245" max="10245" width="12.7109375" style="8" bestFit="1" customWidth="1"/>
    <col min="10246" max="10246" width="12.28515625" style="8" bestFit="1" customWidth="1"/>
    <col min="10247" max="10247" width="12.7109375" style="8" bestFit="1" customWidth="1"/>
    <col min="10248" max="10248" width="12.42578125" style="8" bestFit="1" customWidth="1"/>
    <col min="10249" max="10249" width="12.5703125" style="8" bestFit="1" customWidth="1"/>
    <col min="10250" max="10250" width="13.7109375" style="8" bestFit="1" customWidth="1"/>
    <col min="10251" max="10255" width="13.7109375" style="8" customWidth="1"/>
    <col min="10256" max="10256" width="16" style="8" customWidth="1"/>
    <col min="10257" max="10258" width="14" style="8" bestFit="1" customWidth="1"/>
    <col min="10259" max="10259" width="4.7109375" style="8" bestFit="1" customWidth="1"/>
    <col min="10260" max="10496" width="9.140625" style="8"/>
    <col min="10497" max="10497" width="12.140625" style="8" customWidth="1"/>
    <col min="10498" max="10498" width="14.7109375" style="8" bestFit="1" customWidth="1"/>
    <col min="10499" max="10499" width="12.7109375" style="8" bestFit="1" customWidth="1"/>
    <col min="10500" max="10500" width="13.7109375" style="8" bestFit="1" customWidth="1"/>
    <col min="10501" max="10501" width="12.7109375" style="8" bestFit="1" customWidth="1"/>
    <col min="10502" max="10502" width="12.28515625" style="8" bestFit="1" customWidth="1"/>
    <col min="10503" max="10503" width="12.7109375" style="8" bestFit="1" customWidth="1"/>
    <col min="10504" max="10504" width="12.42578125" style="8" bestFit="1" customWidth="1"/>
    <col min="10505" max="10505" width="12.5703125" style="8" bestFit="1" customWidth="1"/>
    <col min="10506" max="10506" width="13.7109375" style="8" bestFit="1" customWidth="1"/>
    <col min="10507" max="10511" width="13.7109375" style="8" customWidth="1"/>
    <col min="10512" max="10512" width="16" style="8" customWidth="1"/>
    <col min="10513" max="10514" width="14" style="8" bestFit="1" customWidth="1"/>
    <col min="10515" max="10515" width="4.7109375" style="8" bestFit="1" customWidth="1"/>
    <col min="10516" max="10752" width="9.140625" style="8"/>
    <col min="10753" max="10753" width="12.140625" style="8" customWidth="1"/>
    <col min="10754" max="10754" width="14.7109375" style="8" bestFit="1" customWidth="1"/>
    <col min="10755" max="10755" width="12.7109375" style="8" bestFit="1" customWidth="1"/>
    <col min="10756" max="10756" width="13.7109375" style="8" bestFit="1" customWidth="1"/>
    <col min="10757" max="10757" width="12.7109375" style="8" bestFit="1" customWidth="1"/>
    <col min="10758" max="10758" width="12.28515625" style="8" bestFit="1" customWidth="1"/>
    <col min="10759" max="10759" width="12.7109375" style="8" bestFit="1" customWidth="1"/>
    <col min="10760" max="10760" width="12.42578125" style="8" bestFit="1" customWidth="1"/>
    <col min="10761" max="10761" width="12.5703125" style="8" bestFit="1" customWidth="1"/>
    <col min="10762" max="10762" width="13.7109375" style="8" bestFit="1" customWidth="1"/>
    <col min="10763" max="10767" width="13.7109375" style="8" customWidth="1"/>
    <col min="10768" max="10768" width="16" style="8" customWidth="1"/>
    <col min="10769" max="10770" width="14" style="8" bestFit="1" customWidth="1"/>
    <col min="10771" max="10771" width="4.7109375" style="8" bestFit="1" customWidth="1"/>
    <col min="10772" max="11008" width="9.140625" style="8"/>
    <col min="11009" max="11009" width="12.140625" style="8" customWidth="1"/>
    <col min="11010" max="11010" width="14.7109375" style="8" bestFit="1" customWidth="1"/>
    <col min="11011" max="11011" width="12.7109375" style="8" bestFit="1" customWidth="1"/>
    <col min="11012" max="11012" width="13.7109375" style="8" bestFit="1" customWidth="1"/>
    <col min="11013" max="11013" width="12.7109375" style="8" bestFit="1" customWidth="1"/>
    <col min="11014" max="11014" width="12.28515625" style="8" bestFit="1" customWidth="1"/>
    <col min="11015" max="11015" width="12.7109375" style="8" bestFit="1" customWidth="1"/>
    <col min="11016" max="11016" width="12.42578125" style="8" bestFit="1" customWidth="1"/>
    <col min="11017" max="11017" width="12.5703125" style="8" bestFit="1" customWidth="1"/>
    <col min="11018" max="11018" width="13.7109375" style="8" bestFit="1" customWidth="1"/>
    <col min="11019" max="11023" width="13.7109375" style="8" customWidth="1"/>
    <col min="11024" max="11024" width="16" style="8" customWidth="1"/>
    <col min="11025" max="11026" width="14" style="8" bestFit="1" customWidth="1"/>
    <col min="11027" max="11027" width="4.7109375" style="8" bestFit="1" customWidth="1"/>
    <col min="11028" max="11264" width="9.140625" style="8"/>
    <col min="11265" max="11265" width="12.140625" style="8" customWidth="1"/>
    <col min="11266" max="11266" width="14.7109375" style="8" bestFit="1" customWidth="1"/>
    <col min="11267" max="11267" width="12.7109375" style="8" bestFit="1" customWidth="1"/>
    <col min="11268" max="11268" width="13.7109375" style="8" bestFit="1" customWidth="1"/>
    <col min="11269" max="11269" width="12.7109375" style="8" bestFit="1" customWidth="1"/>
    <col min="11270" max="11270" width="12.28515625" style="8" bestFit="1" customWidth="1"/>
    <col min="11271" max="11271" width="12.7109375" style="8" bestFit="1" customWidth="1"/>
    <col min="11272" max="11272" width="12.42578125" style="8" bestFit="1" customWidth="1"/>
    <col min="11273" max="11273" width="12.5703125" style="8" bestFit="1" customWidth="1"/>
    <col min="11274" max="11274" width="13.7109375" style="8" bestFit="1" customWidth="1"/>
    <col min="11275" max="11279" width="13.7109375" style="8" customWidth="1"/>
    <col min="11280" max="11280" width="16" style="8" customWidth="1"/>
    <col min="11281" max="11282" width="14" style="8" bestFit="1" customWidth="1"/>
    <col min="11283" max="11283" width="4.7109375" style="8" bestFit="1" customWidth="1"/>
    <col min="11284" max="11520" width="9.140625" style="8"/>
    <col min="11521" max="11521" width="12.140625" style="8" customWidth="1"/>
    <col min="11522" max="11522" width="14.7109375" style="8" bestFit="1" customWidth="1"/>
    <col min="11523" max="11523" width="12.7109375" style="8" bestFit="1" customWidth="1"/>
    <col min="11524" max="11524" width="13.7109375" style="8" bestFit="1" customWidth="1"/>
    <col min="11525" max="11525" width="12.7109375" style="8" bestFit="1" customWidth="1"/>
    <col min="11526" max="11526" width="12.28515625" style="8" bestFit="1" customWidth="1"/>
    <col min="11527" max="11527" width="12.7109375" style="8" bestFit="1" customWidth="1"/>
    <col min="11528" max="11528" width="12.42578125" style="8" bestFit="1" customWidth="1"/>
    <col min="11529" max="11529" width="12.5703125" style="8" bestFit="1" customWidth="1"/>
    <col min="11530" max="11530" width="13.7109375" style="8" bestFit="1" customWidth="1"/>
    <col min="11531" max="11535" width="13.7109375" style="8" customWidth="1"/>
    <col min="11536" max="11536" width="16" style="8" customWidth="1"/>
    <col min="11537" max="11538" width="14" style="8" bestFit="1" customWidth="1"/>
    <col min="11539" max="11539" width="4.7109375" style="8" bestFit="1" customWidth="1"/>
    <col min="11540" max="11776" width="9.140625" style="8"/>
    <col min="11777" max="11777" width="12.140625" style="8" customWidth="1"/>
    <col min="11778" max="11778" width="14.7109375" style="8" bestFit="1" customWidth="1"/>
    <col min="11779" max="11779" width="12.7109375" style="8" bestFit="1" customWidth="1"/>
    <col min="11780" max="11780" width="13.7109375" style="8" bestFit="1" customWidth="1"/>
    <col min="11781" max="11781" width="12.7109375" style="8" bestFit="1" customWidth="1"/>
    <col min="11782" max="11782" width="12.28515625" style="8" bestFit="1" customWidth="1"/>
    <col min="11783" max="11783" width="12.7109375" style="8" bestFit="1" customWidth="1"/>
    <col min="11784" max="11784" width="12.42578125" style="8" bestFit="1" customWidth="1"/>
    <col min="11785" max="11785" width="12.5703125" style="8" bestFit="1" customWidth="1"/>
    <col min="11786" max="11786" width="13.7109375" style="8" bestFit="1" customWidth="1"/>
    <col min="11787" max="11791" width="13.7109375" style="8" customWidth="1"/>
    <col min="11792" max="11792" width="16" style="8" customWidth="1"/>
    <col min="11793" max="11794" width="14" style="8" bestFit="1" customWidth="1"/>
    <col min="11795" max="11795" width="4.7109375" style="8" bestFit="1" customWidth="1"/>
    <col min="11796" max="12032" width="9.140625" style="8"/>
    <col min="12033" max="12033" width="12.140625" style="8" customWidth="1"/>
    <col min="12034" max="12034" width="14.7109375" style="8" bestFit="1" customWidth="1"/>
    <col min="12035" max="12035" width="12.7109375" style="8" bestFit="1" customWidth="1"/>
    <col min="12036" max="12036" width="13.7109375" style="8" bestFit="1" customWidth="1"/>
    <col min="12037" max="12037" width="12.7109375" style="8" bestFit="1" customWidth="1"/>
    <col min="12038" max="12038" width="12.28515625" style="8" bestFit="1" customWidth="1"/>
    <col min="12039" max="12039" width="12.7109375" style="8" bestFit="1" customWidth="1"/>
    <col min="12040" max="12040" width="12.42578125" style="8" bestFit="1" customWidth="1"/>
    <col min="12041" max="12041" width="12.5703125" style="8" bestFit="1" customWidth="1"/>
    <col min="12042" max="12042" width="13.7109375" style="8" bestFit="1" customWidth="1"/>
    <col min="12043" max="12047" width="13.7109375" style="8" customWidth="1"/>
    <col min="12048" max="12048" width="16" style="8" customWidth="1"/>
    <col min="12049" max="12050" width="14" style="8" bestFit="1" customWidth="1"/>
    <col min="12051" max="12051" width="4.7109375" style="8" bestFit="1" customWidth="1"/>
    <col min="12052" max="12288" width="9.140625" style="8"/>
    <col min="12289" max="12289" width="12.140625" style="8" customWidth="1"/>
    <col min="12290" max="12290" width="14.7109375" style="8" bestFit="1" customWidth="1"/>
    <col min="12291" max="12291" width="12.7109375" style="8" bestFit="1" customWidth="1"/>
    <col min="12292" max="12292" width="13.7109375" style="8" bestFit="1" customWidth="1"/>
    <col min="12293" max="12293" width="12.7109375" style="8" bestFit="1" customWidth="1"/>
    <col min="12294" max="12294" width="12.28515625" style="8" bestFit="1" customWidth="1"/>
    <col min="12295" max="12295" width="12.7109375" style="8" bestFit="1" customWidth="1"/>
    <col min="12296" max="12296" width="12.42578125" style="8" bestFit="1" customWidth="1"/>
    <col min="12297" max="12297" width="12.5703125" style="8" bestFit="1" customWidth="1"/>
    <col min="12298" max="12298" width="13.7109375" style="8" bestFit="1" customWidth="1"/>
    <col min="12299" max="12303" width="13.7109375" style="8" customWidth="1"/>
    <col min="12304" max="12304" width="16" style="8" customWidth="1"/>
    <col min="12305" max="12306" width="14" style="8" bestFit="1" customWidth="1"/>
    <col min="12307" max="12307" width="4.7109375" style="8" bestFit="1" customWidth="1"/>
    <col min="12308" max="12544" width="9.140625" style="8"/>
    <col min="12545" max="12545" width="12.140625" style="8" customWidth="1"/>
    <col min="12546" max="12546" width="14.7109375" style="8" bestFit="1" customWidth="1"/>
    <col min="12547" max="12547" width="12.7109375" style="8" bestFit="1" customWidth="1"/>
    <col min="12548" max="12548" width="13.7109375" style="8" bestFit="1" customWidth="1"/>
    <col min="12549" max="12549" width="12.7109375" style="8" bestFit="1" customWidth="1"/>
    <col min="12550" max="12550" width="12.28515625" style="8" bestFit="1" customWidth="1"/>
    <col min="12551" max="12551" width="12.7109375" style="8" bestFit="1" customWidth="1"/>
    <col min="12552" max="12552" width="12.42578125" style="8" bestFit="1" customWidth="1"/>
    <col min="12553" max="12553" width="12.5703125" style="8" bestFit="1" customWidth="1"/>
    <col min="12554" max="12554" width="13.7109375" style="8" bestFit="1" customWidth="1"/>
    <col min="12555" max="12559" width="13.7109375" style="8" customWidth="1"/>
    <col min="12560" max="12560" width="16" style="8" customWidth="1"/>
    <col min="12561" max="12562" width="14" style="8" bestFit="1" customWidth="1"/>
    <col min="12563" max="12563" width="4.7109375" style="8" bestFit="1" customWidth="1"/>
    <col min="12564" max="12800" width="9.140625" style="8"/>
    <col min="12801" max="12801" width="12.140625" style="8" customWidth="1"/>
    <col min="12802" max="12802" width="14.7109375" style="8" bestFit="1" customWidth="1"/>
    <col min="12803" max="12803" width="12.7109375" style="8" bestFit="1" customWidth="1"/>
    <col min="12804" max="12804" width="13.7109375" style="8" bestFit="1" customWidth="1"/>
    <col min="12805" max="12805" width="12.7109375" style="8" bestFit="1" customWidth="1"/>
    <col min="12806" max="12806" width="12.28515625" style="8" bestFit="1" customWidth="1"/>
    <col min="12807" max="12807" width="12.7109375" style="8" bestFit="1" customWidth="1"/>
    <col min="12808" max="12808" width="12.42578125" style="8" bestFit="1" customWidth="1"/>
    <col min="12809" max="12809" width="12.5703125" style="8" bestFit="1" customWidth="1"/>
    <col min="12810" max="12810" width="13.7109375" style="8" bestFit="1" customWidth="1"/>
    <col min="12811" max="12815" width="13.7109375" style="8" customWidth="1"/>
    <col min="12816" max="12816" width="16" style="8" customWidth="1"/>
    <col min="12817" max="12818" width="14" style="8" bestFit="1" customWidth="1"/>
    <col min="12819" max="12819" width="4.7109375" style="8" bestFit="1" customWidth="1"/>
    <col min="12820" max="13056" width="9.140625" style="8"/>
    <col min="13057" max="13057" width="12.140625" style="8" customWidth="1"/>
    <col min="13058" max="13058" width="14.7109375" style="8" bestFit="1" customWidth="1"/>
    <col min="13059" max="13059" width="12.7109375" style="8" bestFit="1" customWidth="1"/>
    <col min="13060" max="13060" width="13.7109375" style="8" bestFit="1" customWidth="1"/>
    <col min="13061" max="13061" width="12.7109375" style="8" bestFit="1" customWidth="1"/>
    <col min="13062" max="13062" width="12.28515625" style="8" bestFit="1" customWidth="1"/>
    <col min="13063" max="13063" width="12.7109375" style="8" bestFit="1" customWidth="1"/>
    <col min="13064" max="13064" width="12.42578125" style="8" bestFit="1" customWidth="1"/>
    <col min="13065" max="13065" width="12.5703125" style="8" bestFit="1" customWidth="1"/>
    <col min="13066" max="13066" width="13.7109375" style="8" bestFit="1" customWidth="1"/>
    <col min="13067" max="13071" width="13.7109375" style="8" customWidth="1"/>
    <col min="13072" max="13072" width="16" style="8" customWidth="1"/>
    <col min="13073" max="13074" width="14" style="8" bestFit="1" customWidth="1"/>
    <col min="13075" max="13075" width="4.7109375" style="8" bestFit="1" customWidth="1"/>
    <col min="13076" max="13312" width="9.140625" style="8"/>
    <col min="13313" max="13313" width="12.140625" style="8" customWidth="1"/>
    <col min="13314" max="13314" width="14.7109375" style="8" bestFit="1" customWidth="1"/>
    <col min="13315" max="13315" width="12.7109375" style="8" bestFit="1" customWidth="1"/>
    <col min="13316" max="13316" width="13.7109375" style="8" bestFit="1" customWidth="1"/>
    <col min="13317" max="13317" width="12.7109375" style="8" bestFit="1" customWidth="1"/>
    <col min="13318" max="13318" width="12.28515625" style="8" bestFit="1" customWidth="1"/>
    <col min="13319" max="13319" width="12.7109375" style="8" bestFit="1" customWidth="1"/>
    <col min="13320" max="13320" width="12.42578125" style="8" bestFit="1" customWidth="1"/>
    <col min="13321" max="13321" width="12.5703125" style="8" bestFit="1" customWidth="1"/>
    <col min="13322" max="13322" width="13.7109375" style="8" bestFit="1" customWidth="1"/>
    <col min="13323" max="13327" width="13.7109375" style="8" customWidth="1"/>
    <col min="13328" max="13328" width="16" style="8" customWidth="1"/>
    <col min="13329" max="13330" width="14" style="8" bestFit="1" customWidth="1"/>
    <col min="13331" max="13331" width="4.7109375" style="8" bestFit="1" customWidth="1"/>
    <col min="13332" max="13568" width="9.140625" style="8"/>
    <col min="13569" max="13569" width="12.140625" style="8" customWidth="1"/>
    <col min="13570" max="13570" width="14.7109375" style="8" bestFit="1" customWidth="1"/>
    <col min="13571" max="13571" width="12.7109375" style="8" bestFit="1" customWidth="1"/>
    <col min="13572" max="13572" width="13.7109375" style="8" bestFit="1" customWidth="1"/>
    <col min="13573" max="13573" width="12.7109375" style="8" bestFit="1" customWidth="1"/>
    <col min="13574" max="13574" width="12.28515625" style="8" bestFit="1" customWidth="1"/>
    <col min="13575" max="13575" width="12.7109375" style="8" bestFit="1" customWidth="1"/>
    <col min="13576" max="13576" width="12.42578125" style="8" bestFit="1" customWidth="1"/>
    <col min="13577" max="13577" width="12.5703125" style="8" bestFit="1" customWidth="1"/>
    <col min="13578" max="13578" width="13.7109375" style="8" bestFit="1" customWidth="1"/>
    <col min="13579" max="13583" width="13.7109375" style="8" customWidth="1"/>
    <col min="13584" max="13584" width="16" style="8" customWidth="1"/>
    <col min="13585" max="13586" width="14" style="8" bestFit="1" customWidth="1"/>
    <col min="13587" max="13587" width="4.7109375" style="8" bestFit="1" customWidth="1"/>
    <col min="13588" max="13824" width="9.140625" style="8"/>
    <col min="13825" max="13825" width="12.140625" style="8" customWidth="1"/>
    <col min="13826" max="13826" width="14.7109375" style="8" bestFit="1" customWidth="1"/>
    <col min="13827" max="13827" width="12.7109375" style="8" bestFit="1" customWidth="1"/>
    <col min="13828" max="13828" width="13.7109375" style="8" bestFit="1" customWidth="1"/>
    <col min="13829" max="13829" width="12.7109375" style="8" bestFit="1" customWidth="1"/>
    <col min="13830" max="13830" width="12.28515625" style="8" bestFit="1" customWidth="1"/>
    <col min="13831" max="13831" width="12.7109375" style="8" bestFit="1" customWidth="1"/>
    <col min="13832" max="13832" width="12.42578125" style="8" bestFit="1" customWidth="1"/>
    <col min="13833" max="13833" width="12.5703125" style="8" bestFit="1" customWidth="1"/>
    <col min="13834" max="13834" width="13.7109375" style="8" bestFit="1" customWidth="1"/>
    <col min="13835" max="13839" width="13.7109375" style="8" customWidth="1"/>
    <col min="13840" max="13840" width="16" style="8" customWidth="1"/>
    <col min="13841" max="13842" width="14" style="8" bestFit="1" customWidth="1"/>
    <col min="13843" max="13843" width="4.7109375" style="8" bestFit="1" customWidth="1"/>
    <col min="13844" max="14080" width="9.140625" style="8"/>
    <col min="14081" max="14081" width="12.140625" style="8" customWidth="1"/>
    <col min="14082" max="14082" width="14.7109375" style="8" bestFit="1" customWidth="1"/>
    <col min="14083" max="14083" width="12.7109375" style="8" bestFit="1" customWidth="1"/>
    <col min="14084" max="14084" width="13.7109375" style="8" bestFit="1" customWidth="1"/>
    <col min="14085" max="14085" width="12.7109375" style="8" bestFit="1" customWidth="1"/>
    <col min="14086" max="14086" width="12.28515625" style="8" bestFit="1" customWidth="1"/>
    <col min="14087" max="14087" width="12.7109375" style="8" bestFit="1" customWidth="1"/>
    <col min="14088" max="14088" width="12.42578125" style="8" bestFit="1" customWidth="1"/>
    <col min="14089" max="14089" width="12.5703125" style="8" bestFit="1" customWidth="1"/>
    <col min="14090" max="14090" width="13.7109375" style="8" bestFit="1" customWidth="1"/>
    <col min="14091" max="14095" width="13.7109375" style="8" customWidth="1"/>
    <col min="14096" max="14096" width="16" style="8" customWidth="1"/>
    <col min="14097" max="14098" width="14" style="8" bestFit="1" customWidth="1"/>
    <col min="14099" max="14099" width="4.7109375" style="8" bestFit="1" customWidth="1"/>
    <col min="14100" max="14336" width="9.140625" style="8"/>
    <col min="14337" max="14337" width="12.140625" style="8" customWidth="1"/>
    <col min="14338" max="14338" width="14.7109375" style="8" bestFit="1" customWidth="1"/>
    <col min="14339" max="14339" width="12.7109375" style="8" bestFit="1" customWidth="1"/>
    <col min="14340" max="14340" width="13.7109375" style="8" bestFit="1" customWidth="1"/>
    <col min="14341" max="14341" width="12.7109375" style="8" bestFit="1" customWidth="1"/>
    <col min="14342" max="14342" width="12.28515625" style="8" bestFit="1" customWidth="1"/>
    <col min="14343" max="14343" width="12.7109375" style="8" bestFit="1" customWidth="1"/>
    <col min="14344" max="14344" width="12.42578125" style="8" bestFit="1" customWidth="1"/>
    <col min="14345" max="14345" width="12.5703125" style="8" bestFit="1" customWidth="1"/>
    <col min="14346" max="14346" width="13.7109375" style="8" bestFit="1" customWidth="1"/>
    <col min="14347" max="14351" width="13.7109375" style="8" customWidth="1"/>
    <col min="14352" max="14352" width="16" style="8" customWidth="1"/>
    <col min="14353" max="14354" width="14" style="8" bestFit="1" customWidth="1"/>
    <col min="14355" max="14355" width="4.7109375" style="8" bestFit="1" customWidth="1"/>
    <col min="14356" max="14592" width="9.140625" style="8"/>
    <col min="14593" max="14593" width="12.140625" style="8" customWidth="1"/>
    <col min="14594" max="14594" width="14.7109375" style="8" bestFit="1" customWidth="1"/>
    <col min="14595" max="14595" width="12.7109375" style="8" bestFit="1" customWidth="1"/>
    <col min="14596" max="14596" width="13.7109375" style="8" bestFit="1" customWidth="1"/>
    <col min="14597" max="14597" width="12.7109375" style="8" bestFit="1" customWidth="1"/>
    <col min="14598" max="14598" width="12.28515625" style="8" bestFit="1" customWidth="1"/>
    <col min="14599" max="14599" width="12.7109375" style="8" bestFit="1" customWidth="1"/>
    <col min="14600" max="14600" width="12.42578125" style="8" bestFit="1" customWidth="1"/>
    <col min="14601" max="14601" width="12.5703125" style="8" bestFit="1" customWidth="1"/>
    <col min="14602" max="14602" width="13.7109375" style="8" bestFit="1" customWidth="1"/>
    <col min="14603" max="14607" width="13.7109375" style="8" customWidth="1"/>
    <col min="14608" max="14608" width="16" style="8" customWidth="1"/>
    <col min="14609" max="14610" width="14" style="8" bestFit="1" customWidth="1"/>
    <col min="14611" max="14611" width="4.7109375" style="8" bestFit="1" customWidth="1"/>
    <col min="14612" max="14848" width="9.140625" style="8"/>
    <col min="14849" max="14849" width="12.140625" style="8" customWidth="1"/>
    <col min="14850" max="14850" width="14.7109375" style="8" bestFit="1" customWidth="1"/>
    <col min="14851" max="14851" width="12.7109375" style="8" bestFit="1" customWidth="1"/>
    <col min="14852" max="14852" width="13.7109375" style="8" bestFit="1" customWidth="1"/>
    <col min="14853" max="14853" width="12.7109375" style="8" bestFit="1" customWidth="1"/>
    <col min="14854" max="14854" width="12.28515625" style="8" bestFit="1" customWidth="1"/>
    <col min="14855" max="14855" width="12.7109375" style="8" bestFit="1" customWidth="1"/>
    <col min="14856" max="14856" width="12.42578125" style="8" bestFit="1" customWidth="1"/>
    <col min="14857" max="14857" width="12.5703125" style="8" bestFit="1" customWidth="1"/>
    <col min="14858" max="14858" width="13.7109375" style="8" bestFit="1" customWidth="1"/>
    <col min="14859" max="14863" width="13.7109375" style="8" customWidth="1"/>
    <col min="14864" max="14864" width="16" style="8" customWidth="1"/>
    <col min="14865" max="14866" width="14" style="8" bestFit="1" customWidth="1"/>
    <col min="14867" max="14867" width="4.7109375" style="8" bestFit="1" customWidth="1"/>
    <col min="14868" max="15104" width="9.140625" style="8"/>
    <col min="15105" max="15105" width="12.140625" style="8" customWidth="1"/>
    <col min="15106" max="15106" width="14.7109375" style="8" bestFit="1" customWidth="1"/>
    <col min="15107" max="15107" width="12.7109375" style="8" bestFit="1" customWidth="1"/>
    <col min="15108" max="15108" width="13.7109375" style="8" bestFit="1" customWidth="1"/>
    <col min="15109" max="15109" width="12.7109375" style="8" bestFit="1" customWidth="1"/>
    <col min="15110" max="15110" width="12.28515625" style="8" bestFit="1" customWidth="1"/>
    <col min="15111" max="15111" width="12.7109375" style="8" bestFit="1" customWidth="1"/>
    <col min="15112" max="15112" width="12.42578125" style="8" bestFit="1" customWidth="1"/>
    <col min="15113" max="15113" width="12.5703125" style="8" bestFit="1" customWidth="1"/>
    <col min="15114" max="15114" width="13.7109375" style="8" bestFit="1" customWidth="1"/>
    <col min="15115" max="15119" width="13.7109375" style="8" customWidth="1"/>
    <col min="15120" max="15120" width="16" style="8" customWidth="1"/>
    <col min="15121" max="15122" width="14" style="8" bestFit="1" customWidth="1"/>
    <col min="15123" max="15123" width="4.7109375" style="8" bestFit="1" customWidth="1"/>
    <col min="15124" max="15360" width="9.140625" style="8"/>
    <col min="15361" max="15361" width="12.140625" style="8" customWidth="1"/>
    <col min="15362" max="15362" width="14.7109375" style="8" bestFit="1" customWidth="1"/>
    <col min="15363" max="15363" width="12.7109375" style="8" bestFit="1" customWidth="1"/>
    <col min="15364" max="15364" width="13.7109375" style="8" bestFit="1" customWidth="1"/>
    <col min="15365" max="15365" width="12.7109375" style="8" bestFit="1" customWidth="1"/>
    <col min="15366" max="15366" width="12.28515625" style="8" bestFit="1" customWidth="1"/>
    <col min="15367" max="15367" width="12.7109375" style="8" bestFit="1" customWidth="1"/>
    <col min="15368" max="15368" width="12.42578125" style="8" bestFit="1" customWidth="1"/>
    <col min="15369" max="15369" width="12.5703125" style="8" bestFit="1" customWidth="1"/>
    <col min="15370" max="15370" width="13.7109375" style="8" bestFit="1" customWidth="1"/>
    <col min="15371" max="15375" width="13.7109375" style="8" customWidth="1"/>
    <col min="15376" max="15376" width="16" style="8" customWidth="1"/>
    <col min="15377" max="15378" width="14" style="8" bestFit="1" customWidth="1"/>
    <col min="15379" max="15379" width="4.7109375" style="8" bestFit="1" customWidth="1"/>
    <col min="15380" max="15616" width="9.140625" style="8"/>
    <col min="15617" max="15617" width="12.140625" style="8" customWidth="1"/>
    <col min="15618" max="15618" width="14.7109375" style="8" bestFit="1" customWidth="1"/>
    <col min="15619" max="15619" width="12.7109375" style="8" bestFit="1" customWidth="1"/>
    <col min="15620" max="15620" width="13.7109375" style="8" bestFit="1" customWidth="1"/>
    <col min="15621" max="15621" width="12.7109375" style="8" bestFit="1" customWidth="1"/>
    <col min="15622" max="15622" width="12.28515625" style="8" bestFit="1" customWidth="1"/>
    <col min="15623" max="15623" width="12.7109375" style="8" bestFit="1" customWidth="1"/>
    <col min="15624" max="15624" width="12.42578125" style="8" bestFit="1" customWidth="1"/>
    <col min="15625" max="15625" width="12.5703125" style="8" bestFit="1" customWidth="1"/>
    <col min="15626" max="15626" width="13.7109375" style="8" bestFit="1" customWidth="1"/>
    <col min="15627" max="15631" width="13.7109375" style="8" customWidth="1"/>
    <col min="15632" max="15632" width="16" style="8" customWidth="1"/>
    <col min="15633" max="15634" width="14" style="8" bestFit="1" customWidth="1"/>
    <col min="15635" max="15635" width="4.7109375" style="8" bestFit="1" customWidth="1"/>
    <col min="15636" max="15872" width="9.140625" style="8"/>
    <col min="15873" max="15873" width="12.140625" style="8" customWidth="1"/>
    <col min="15874" max="15874" width="14.7109375" style="8" bestFit="1" customWidth="1"/>
    <col min="15875" max="15875" width="12.7109375" style="8" bestFit="1" customWidth="1"/>
    <col min="15876" max="15876" width="13.7109375" style="8" bestFit="1" customWidth="1"/>
    <col min="15877" max="15877" width="12.7109375" style="8" bestFit="1" customWidth="1"/>
    <col min="15878" max="15878" width="12.28515625" style="8" bestFit="1" customWidth="1"/>
    <col min="15879" max="15879" width="12.7109375" style="8" bestFit="1" customWidth="1"/>
    <col min="15880" max="15880" width="12.42578125" style="8" bestFit="1" customWidth="1"/>
    <col min="15881" max="15881" width="12.5703125" style="8" bestFit="1" customWidth="1"/>
    <col min="15882" max="15882" width="13.7109375" style="8" bestFit="1" customWidth="1"/>
    <col min="15883" max="15887" width="13.7109375" style="8" customWidth="1"/>
    <col min="15888" max="15888" width="16" style="8" customWidth="1"/>
    <col min="15889" max="15890" width="14" style="8" bestFit="1" customWidth="1"/>
    <col min="15891" max="15891" width="4.7109375" style="8" bestFit="1" customWidth="1"/>
    <col min="15892" max="16128" width="9.140625" style="8"/>
    <col min="16129" max="16129" width="12.140625" style="8" customWidth="1"/>
    <col min="16130" max="16130" width="14.7109375" style="8" bestFit="1" customWidth="1"/>
    <col min="16131" max="16131" width="12.7109375" style="8" bestFit="1" customWidth="1"/>
    <col min="16132" max="16132" width="13.7109375" style="8" bestFit="1" customWidth="1"/>
    <col min="16133" max="16133" width="12.7109375" style="8" bestFit="1" customWidth="1"/>
    <col min="16134" max="16134" width="12.28515625" style="8" bestFit="1" customWidth="1"/>
    <col min="16135" max="16135" width="12.7109375" style="8" bestFit="1" customWidth="1"/>
    <col min="16136" max="16136" width="12.42578125" style="8" bestFit="1" customWidth="1"/>
    <col min="16137" max="16137" width="12.5703125" style="8" bestFit="1" customWidth="1"/>
    <col min="16138" max="16138" width="13.7109375" style="8" bestFit="1" customWidth="1"/>
    <col min="16139" max="16143" width="13.7109375" style="8" customWidth="1"/>
    <col min="16144" max="16144" width="16" style="8" customWidth="1"/>
    <col min="16145" max="16146" width="14" style="8" bestFit="1" customWidth="1"/>
    <col min="16147" max="16147" width="4.7109375" style="8" bestFit="1" customWidth="1"/>
    <col min="16148" max="16384" width="9.140625" style="8"/>
  </cols>
  <sheetData>
    <row r="1" spans="1:18" ht="15.75" customHeight="1" x14ac:dyDescent="0.2">
      <c r="A1" s="431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5"/>
    </row>
    <row r="2" spans="1:18" x14ac:dyDescent="0.2">
      <c r="A2" s="433" t="str">
        <f>'Delivery Rate Change Calc'!A2:F2</f>
        <v>2020 Gas Decoupling Filing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154"/>
    </row>
    <row r="3" spans="1:18" x14ac:dyDescent="0.2">
      <c r="A3" s="431" t="s">
        <v>177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154"/>
    </row>
    <row r="4" spans="1:18" x14ac:dyDescent="0.2">
      <c r="A4" s="433" t="str">
        <f>'Delivery Rate Change Calc'!A4:F4</f>
        <v>Proposed Effective May 1, 2020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154"/>
    </row>
    <row r="5" spans="1:18" x14ac:dyDescent="0.2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8" x14ac:dyDescent="0.2">
      <c r="A6" s="94" t="s">
        <v>178</v>
      </c>
      <c r="B6" s="94"/>
      <c r="C6" s="94"/>
      <c r="I6" s="94"/>
      <c r="J6" s="94"/>
      <c r="P6" s="171" t="s">
        <v>431</v>
      </c>
      <c r="Q6" s="155"/>
    </row>
    <row r="7" spans="1:18" x14ac:dyDescent="0.2">
      <c r="A7" s="70" t="s">
        <v>179</v>
      </c>
      <c r="B7" s="417">
        <v>43921</v>
      </c>
      <c r="C7" s="418">
        <f t="shared" ref="C7:D7" si="0">EDATE(B7,1)</f>
        <v>43951</v>
      </c>
      <c r="D7" s="156">
        <f t="shared" si="0"/>
        <v>43981</v>
      </c>
      <c r="E7" s="156">
        <f>EDATE(D7,1)</f>
        <v>44012</v>
      </c>
      <c r="F7" s="156">
        <f t="shared" ref="F7:O7" si="1">EDATE(E7,1)</f>
        <v>44042</v>
      </c>
      <c r="G7" s="156">
        <f t="shared" si="1"/>
        <v>44073</v>
      </c>
      <c r="H7" s="156">
        <f t="shared" si="1"/>
        <v>44104</v>
      </c>
      <c r="I7" s="156">
        <f t="shared" si="1"/>
        <v>44134</v>
      </c>
      <c r="J7" s="156">
        <f t="shared" si="1"/>
        <v>44165</v>
      </c>
      <c r="K7" s="156">
        <f t="shared" si="1"/>
        <v>44195</v>
      </c>
      <c r="L7" s="156">
        <f t="shared" si="1"/>
        <v>44226</v>
      </c>
      <c r="M7" s="156">
        <f t="shared" si="1"/>
        <v>44255</v>
      </c>
      <c r="N7" s="156">
        <f t="shared" si="1"/>
        <v>44283</v>
      </c>
      <c r="O7" s="156">
        <f t="shared" si="1"/>
        <v>44314</v>
      </c>
      <c r="P7" s="70" t="s">
        <v>73</v>
      </c>
    </row>
    <row r="8" spans="1:18" x14ac:dyDescent="0.2">
      <c r="A8" s="97">
        <v>16</v>
      </c>
      <c r="B8" s="419">
        <v>691</v>
      </c>
      <c r="C8" s="419">
        <v>634</v>
      </c>
      <c r="D8" s="219">
        <v>547</v>
      </c>
      <c r="E8" s="219">
        <v>568</v>
      </c>
      <c r="F8" s="219">
        <v>722</v>
      </c>
      <c r="G8" s="219">
        <v>772</v>
      </c>
      <c r="H8" s="219">
        <v>938</v>
      </c>
      <c r="I8" s="219">
        <v>983</v>
      </c>
      <c r="J8" s="219">
        <v>833</v>
      </c>
      <c r="K8" s="219">
        <v>881</v>
      </c>
      <c r="L8" s="219">
        <v>791</v>
      </c>
      <c r="M8" s="219">
        <v>585</v>
      </c>
      <c r="N8" s="219">
        <v>688</v>
      </c>
      <c r="O8" s="219">
        <v>630</v>
      </c>
      <c r="P8" s="150">
        <f>SUM(D8:O8)</f>
        <v>8938</v>
      </c>
    </row>
    <row r="9" spans="1:18" x14ac:dyDescent="0.2">
      <c r="A9" s="155">
        <v>23</v>
      </c>
      <c r="B9" s="419">
        <v>70825946</v>
      </c>
      <c r="C9" s="419">
        <v>50936814</v>
      </c>
      <c r="D9" s="219">
        <v>30239481</v>
      </c>
      <c r="E9" s="219">
        <v>19650181</v>
      </c>
      <c r="F9" s="219">
        <v>13603679</v>
      </c>
      <c r="G9" s="219">
        <v>12609707</v>
      </c>
      <c r="H9" s="219">
        <v>18059370</v>
      </c>
      <c r="I9" s="219">
        <v>43107059</v>
      </c>
      <c r="J9" s="219">
        <v>77508480</v>
      </c>
      <c r="K9" s="219">
        <v>100995168</v>
      </c>
      <c r="L9" s="219">
        <v>94457524</v>
      </c>
      <c r="M9" s="219">
        <v>80460447</v>
      </c>
      <c r="N9" s="219">
        <v>71703960</v>
      </c>
      <c r="O9" s="219">
        <v>51601945</v>
      </c>
      <c r="P9" s="150">
        <f>SUM(D9:O9)</f>
        <v>613997001</v>
      </c>
      <c r="Q9" s="158"/>
      <c r="R9" s="159"/>
    </row>
    <row r="10" spans="1:18" x14ac:dyDescent="0.2">
      <c r="A10" s="155">
        <v>31</v>
      </c>
      <c r="B10" s="419">
        <v>26255643</v>
      </c>
      <c r="C10" s="419">
        <v>19735830</v>
      </c>
      <c r="D10" s="219">
        <v>13510430</v>
      </c>
      <c r="E10" s="219">
        <v>10184956</v>
      </c>
      <c r="F10" s="219">
        <v>8537822</v>
      </c>
      <c r="G10" s="219">
        <v>9007280</v>
      </c>
      <c r="H10" s="219">
        <v>10593088</v>
      </c>
      <c r="I10" s="219">
        <v>17530246</v>
      </c>
      <c r="J10" s="219">
        <v>27458935</v>
      </c>
      <c r="K10" s="219">
        <v>35067078</v>
      </c>
      <c r="L10" s="219">
        <v>33451740</v>
      </c>
      <c r="M10" s="219">
        <v>28704679</v>
      </c>
      <c r="N10" s="219">
        <v>26362628</v>
      </c>
      <c r="O10" s="219">
        <v>19810568</v>
      </c>
      <c r="P10" s="150">
        <f t="shared" ref="P10:P13" si="2">SUM(D10:O10)</f>
        <v>240219450</v>
      </c>
      <c r="Q10" s="158"/>
      <c r="R10" s="159"/>
    </row>
    <row r="11" spans="1:18" x14ac:dyDescent="0.2">
      <c r="A11" s="155" t="s">
        <v>72</v>
      </c>
      <c r="B11" s="419">
        <v>2198</v>
      </c>
      <c r="C11" s="419">
        <v>1674</v>
      </c>
      <c r="D11" s="219">
        <v>1318</v>
      </c>
      <c r="E11" s="219">
        <v>1074</v>
      </c>
      <c r="F11" s="219">
        <v>988</v>
      </c>
      <c r="G11" s="219">
        <v>1196</v>
      </c>
      <c r="H11" s="219">
        <v>1419</v>
      </c>
      <c r="I11" s="219">
        <v>1976</v>
      </c>
      <c r="J11" s="219">
        <v>2691</v>
      </c>
      <c r="K11" s="219">
        <v>3828</v>
      </c>
      <c r="L11" s="219">
        <v>2789</v>
      </c>
      <c r="M11" s="219">
        <v>2334</v>
      </c>
      <c r="N11" s="219">
        <v>2163</v>
      </c>
      <c r="O11" s="219">
        <v>1650</v>
      </c>
      <c r="P11" s="150">
        <f t="shared" si="2"/>
        <v>23426</v>
      </c>
      <c r="Q11" s="158"/>
      <c r="R11" s="159"/>
    </row>
    <row r="12" spans="1:18" x14ac:dyDescent="0.2">
      <c r="A12" s="155">
        <v>41</v>
      </c>
      <c r="B12" s="419">
        <v>6743125</v>
      </c>
      <c r="C12" s="419">
        <v>5686283</v>
      </c>
      <c r="D12" s="219">
        <v>4431574</v>
      </c>
      <c r="E12" s="219">
        <v>3879618</v>
      </c>
      <c r="F12" s="219">
        <v>3234618</v>
      </c>
      <c r="G12" s="219">
        <v>3199761</v>
      </c>
      <c r="H12" s="219">
        <v>3767734</v>
      </c>
      <c r="I12" s="219">
        <v>5689245</v>
      </c>
      <c r="J12" s="219">
        <v>7374436</v>
      </c>
      <c r="K12" s="219">
        <v>8250931</v>
      </c>
      <c r="L12" s="219">
        <v>7735041</v>
      </c>
      <c r="M12" s="219">
        <v>6950161</v>
      </c>
      <c r="N12" s="219">
        <v>6676729</v>
      </c>
      <c r="O12" s="219">
        <v>5626046</v>
      </c>
      <c r="P12" s="150">
        <f t="shared" si="2"/>
        <v>66815894</v>
      </c>
      <c r="Q12" s="158"/>
      <c r="R12" s="159"/>
    </row>
    <row r="13" spans="1:18" x14ac:dyDescent="0.2">
      <c r="A13" s="155" t="s">
        <v>76</v>
      </c>
      <c r="B13" s="419">
        <v>2160571</v>
      </c>
      <c r="C13" s="419">
        <v>1955977</v>
      </c>
      <c r="D13" s="219">
        <v>1902631</v>
      </c>
      <c r="E13" s="219">
        <v>1843449</v>
      </c>
      <c r="F13" s="219">
        <v>1673494</v>
      </c>
      <c r="G13" s="219">
        <v>1815027</v>
      </c>
      <c r="H13" s="219">
        <v>1816441</v>
      </c>
      <c r="I13" s="219">
        <v>1905205</v>
      </c>
      <c r="J13" s="219">
        <v>2168554</v>
      </c>
      <c r="K13" s="219">
        <v>2345275</v>
      </c>
      <c r="L13" s="219">
        <v>2280174</v>
      </c>
      <c r="M13" s="219">
        <v>2107959</v>
      </c>
      <c r="N13" s="219">
        <v>2237810</v>
      </c>
      <c r="O13" s="219">
        <v>2026202</v>
      </c>
      <c r="P13" s="150">
        <f t="shared" si="2"/>
        <v>24122221</v>
      </c>
      <c r="Q13" s="158"/>
      <c r="R13" s="159"/>
    </row>
    <row r="14" spans="1:18" x14ac:dyDescent="0.2">
      <c r="A14" s="155">
        <v>53</v>
      </c>
      <c r="B14" s="419">
        <v>0</v>
      </c>
      <c r="C14" s="419">
        <v>0</v>
      </c>
      <c r="D14" s="219">
        <v>0</v>
      </c>
      <c r="E14" s="219">
        <v>0</v>
      </c>
      <c r="F14" s="219">
        <v>0</v>
      </c>
      <c r="G14" s="219">
        <v>0</v>
      </c>
      <c r="H14" s="219">
        <v>0</v>
      </c>
      <c r="I14" s="219">
        <v>0</v>
      </c>
      <c r="J14" s="219">
        <v>0</v>
      </c>
      <c r="K14" s="219">
        <v>0</v>
      </c>
      <c r="L14" s="219">
        <v>0</v>
      </c>
      <c r="M14" s="219">
        <v>0</v>
      </c>
      <c r="N14" s="219">
        <v>0</v>
      </c>
      <c r="O14" s="219">
        <v>0</v>
      </c>
      <c r="P14" s="150">
        <f>SUM(D14:O14)</f>
        <v>0</v>
      </c>
      <c r="Q14" s="158"/>
      <c r="R14" s="159"/>
    </row>
    <row r="15" spans="1:18" x14ac:dyDescent="0.2">
      <c r="A15" s="155">
        <v>85</v>
      </c>
      <c r="B15" s="419">
        <v>1590134</v>
      </c>
      <c r="C15" s="419">
        <v>1387161</v>
      </c>
      <c r="D15" s="219">
        <v>1006267</v>
      </c>
      <c r="E15" s="219">
        <v>817698</v>
      </c>
      <c r="F15" s="219">
        <v>759958</v>
      </c>
      <c r="G15" s="219">
        <v>776099</v>
      </c>
      <c r="H15" s="219">
        <v>885782</v>
      </c>
      <c r="I15" s="219">
        <v>1127530</v>
      </c>
      <c r="J15" s="219">
        <v>1436976</v>
      </c>
      <c r="K15" s="219">
        <v>1674199</v>
      </c>
      <c r="L15" s="219">
        <v>1796945</v>
      </c>
      <c r="M15" s="219">
        <v>1642894</v>
      </c>
      <c r="N15" s="219">
        <v>1556518</v>
      </c>
      <c r="O15" s="219">
        <v>1358099</v>
      </c>
      <c r="P15" s="150">
        <f t="shared" ref="P15:P21" si="3">SUM(D15:O15)</f>
        <v>14838965</v>
      </c>
      <c r="Q15" s="158"/>
      <c r="R15" s="159"/>
    </row>
    <row r="16" spans="1:18" x14ac:dyDescent="0.2">
      <c r="A16" s="155" t="s">
        <v>127</v>
      </c>
      <c r="B16" s="419">
        <v>6983551</v>
      </c>
      <c r="C16" s="419">
        <v>7065671</v>
      </c>
      <c r="D16" s="219">
        <v>6540858</v>
      </c>
      <c r="E16" s="219">
        <v>6167214</v>
      </c>
      <c r="F16" s="219">
        <v>5711236</v>
      </c>
      <c r="G16" s="219">
        <v>6299449</v>
      </c>
      <c r="H16" s="219">
        <v>6282052</v>
      </c>
      <c r="I16" s="219">
        <v>6412424</v>
      </c>
      <c r="J16" s="219">
        <v>7142047</v>
      </c>
      <c r="K16" s="219">
        <v>6430515</v>
      </c>
      <c r="L16" s="219">
        <v>6778437</v>
      </c>
      <c r="M16" s="219">
        <v>6428153</v>
      </c>
      <c r="N16" s="219">
        <v>6883350</v>
      </c>
      <c r="O16" s="219">
        <v>6967989</v>
      </c>
      <c r="P16" s="150">
        <f t="shared" si="3"/>
        <v>78043724</v>
      </c>
      <c r="Q16" s="158"/>
      <c r="R16" s="159"/>
    </row>
    <row r="17" spans="1:18" x14ac:dyDescent="0.2">
      <c r="A17" s="155">
        <v>86</v>
      </c>
      <c r="B17" s="419">
        <v>939877</v>
      </c>
      <c r="C17" s="419">
        <v>840096</v>
      </c>
      <c r="D17" s="219">
        <v>590633</v>
      </c>
      <c r="E17" s="219">
        <v>416120</v>
      </c>
      <c r="F17" s="219">
        <v>228797</v>
      </c>
      <c r="G17" s="219">
        <v>160800</v>
      </c>
      <c r="H17" s="219">
        <v>225238</v>
      </c>
      <c r="I17" s="219">
        <v>534889</v>
      </c>
      <c r="J17" s="219">
        <v>729235</v>
      </c>
      <c r="K17" s="219">
        <v>1004936</v>
      </c>
      <c r="L17" s="219">
        <v>944841</v>
      </c>
      <c r="M17" s="219">
        <v>882671</v>
      </c>
      <c r="N17" s="219">
        <v>869939</v>
      </c>
      <c r="O17" s="219">
        <v>778012</v>
      </c>
      <c r="P17" s="150">
        <f t="shared" si="3"/>
        <v>7366111</v>
      </c>
      <c r="Q17" s="158"/>
      <c r="R17" s="159"/>
    </row>
    <row r="18" spans="1:18" x14ac:dyDescent="0.2">
      <c r="A18" s="155" t="s">
        <v>79</v>
      </c>
      <c r="B18" s="419">
        <v>25484</v>
      </c>
      <c r="C18" s="419">
        <v>19564</v>
      </c>
      <c r="D18" s="219">
        <v>15716</v>
      </c>
      <c r="E18" s="219">
        <v>16567</v>
      </c>
      <c r="F18" s="219">
        <v>12849</v>
      </c>
      <c r="G18" s="219">
        <v>12055</v>
      </c>
      <c r="H18" s="219">
        <v>7533</v>
      </c>
      <c r="I18" s="219">
        <v>11259</v>
      </c>
      <c r="J18" s="219">
        <v>25678</v>
      </c>
      <c r="K18" s="219">
        <v>25984</v>
      </c>
      <c r="L18" s="219">
        <v>26357</v>
      </c>
      <c r="M18" s="219">
        <v>24985</v>
      </c>
      <c r="N18" s="219">
        <v>25135</v>
      </c>
      <c r="O18" s="219">
        <v>19297</v>
      </c>
      <c r="P18" s="150">
        <f t="shared" si="3"/>
        <v>223415</v>
      </c>
      <c r="Q18" s="158"/>
      <c r="R18" s="159"/>
    </row>
    <row r="19" spans="1:18" x14ac:dyDescent="0.2">
      <c r="A19" s="155">
        <v>87</v>
      </c>
      <c r="B19" s="419">
        <v>2207398</v>
      </c>
      <c r="C19" s="419">
        <v>1649238</v>
      </c>
      <c r="D19" s="219">
        <v>1493313</v>
      </c>
      <c r="E19" s="219">
        <v>1203069</v>
      </c>
      <c r="F19" s="219">
        <v>1178052</v>
      </c>
      <c r="G19" s="219">
        <v>1166252</v>
      </c>
      <c r="H19" s="219">
        <v>1364390</v>
      </c>
      <c r="I19" s="219">
        <v>2282036</v>
      </c>
      <c r="J19" s="219">
        <v>2312808</v>
      </c>
      <c r="K19" s="219">
        <v>2774416</v>
      </c>
      <c r="L19" s="219">
        <v>2537741</v>
      </c>
      <c r="M19" s="219">
        <v>2202673</v>
      </c>
      <c r="N19" s="219">
        <v>2161010</v>
      </c>
      <c r="O19" s="219">
        <v>1616361</v>
      </c>
      <c r="P19" s="150">
        <f t="shared" si="3"/>
        <v>22292121</v>
      </c>
      <c r="Q19" s="158"/>
      <c r="R19" s="159"/>
    </row>
    <row r="20" spans="1:18" x14ac:dyDescent="0.2">
      <c r="A20" s="155" t="s">
        <v>129</v>
      </c>
      <c r="B20" s="419">
        <v>9420666</v>
      </c>
      <c r="C20" s="419">
        <v>8067654</v>
      </c>
      <c r="D20" s="219">
        <v>8505325</v>
      </c>
      <c r="E20" s="219">
        <v>7903478</v>
      </c>
      <c r="F20" s="219">
        <v>8411108</v>
      </c>
      <c r="G20" s="219">
        <v>8049630</v>
      </c>
      <c r="H20" s="219">
        <v>8115445</v>
      </c>
      <c r="I20" s="219">
        <v>8293331</v>
      </c>
      <c r="J20" s="219">
        <v>8044592</v>
      </c>
      <c r="K20" s="219">
        <v>8959742</v>
      </c>
      <c r="L20" s="219">
        <v>8955641</v>
      </c>
      <c r="M20" s="219">
        <v>8210473</v>
      </c>
      <c r="N20" s="219">
        <v>9287160</v>
      </c>
      <c r="O20" s="219">
        <v>7956602</v>
      </c>
      <c r="P20" s="150">
        <f t="shared" si="3"/>
        <v>100692527</v>
      </c>
      <c r="Q20" s="158"/>
      <c r="R20" s="159"/>
    </row>
    <row r="21" spans="1:18" x14ac:dyDescent="0.2">
      <c r="A21" s="155" t="s">
        <v>180</v>
      </c>
      <c r="B21" s="419">
        <v>3931033</v>
      </c>
      <c r="C21" s="419">
        <v>3059041</v>
      </c>
      <c r="D21" s="219">
        <v>2632073</v>
      </c>
      <c r="E21" s="219">
        <v>2155815</v>
      </c>
      <c r="F21" s="219">
        <v>1841842</v>
      </c>
      <c r="G21" s="219">
        <v>1896174</v>
      </c>
      <c r="H21" s="219">
        <v>1990400</v>
      </c>
      <c r="I21" s="219">
        <v>2526162</v>
      </c>
      <c r="J21" s="219">
        <v>3804431</v>
      </c>
      <c r="K21" s="219">
        <v>4203999</v>
      </c>
      <c r="L21" s="219">
        <v>4311490</v>
      </c>
      <c r="M21" s="219">
        <v>3874942</v>
      </c>
      <c r="N21" s="219">
        <v>3877190</v>
      </c>
      <c r="O21" s="219">
        <v>3017312</v>
      </c>
      <c r="P21" s="150">
        <f t="shared" si="3"/>
        <v>36131830</v>
      </c>
      <c r="Q21" s="158"/>
      <c r="R21" s="159"/>
    </row>
    <row r="22" spans="1:18" x14ac:dyDescent="0.2">
      <c r="A22" s="8" t="s">
        <v>73</v>
      </c>
      <c r="B22" s="420">
        <f>SUM(B8:B21)</f>
        <v>131086317</v>
      </c>
      <c r="C22" s="420">
        <f t="shared" ref="C22:O22" si="4">SUM(C8:C21)</f>
        <v>100405637</v>
      </c>
      <c r="D22" s="152">
        <f t="shared" si="4"/>
        <v>70870166</v>
      </c>
      <c r="E22" s="152">
        <f t="shared" si="4"/>
        <v>54239807</v>
      </c>
      <c r="F22" s="152">
        <f t="shared" si="4"/>
        <v>45195165</v>
      </c>
      <c r="G22" s="152">
        <f t="shared" si="4"/>
        <v>44994202</v>
      </c>
      <c r="H22" s="152">
        <f t="shared" si="4"/>
        <v>53109830</v>
      </c>
      <c r="I22" s="152">
        <f t="shared" si="4"/>
        <v>89422345</v>
      </c>
      <c r="J22" s="152">
        <f t="shared" si="4"/>
        <v>138009696</v>
      </c>
      <c r="K22" s="152">
        <f t="shared" si="4"/>
        <v>171736952</v>
      </c>
      <c r="L22" s="152">
        <f t="shared" si="4"/>
        <v>163279511</v>
      </c>
      <c r="M22" s="152">
        <f t="shared" si="4"/>
        <v>141492956</v>
      </c>
      <c r="N22" s="152">
        <f t="shared" si="4"/>
        <v>131644280</v>
      </c>
      <c r="O22" s="152">
        <f t="shared" si="4"/>
        <v>100780713</v>
      </c>
      <c r="P22" s="152">
        <f>SUM(P8:P21)</f>
        <v>1204775623</v>
      </c>
      <c r="Q22" s="158"/>
      <c r="R22" s="159"/>
    </row>
    <row r="23" spans="1:18" x14ac:dyDescent="0.2">
      <c r="A23" s="155"/>
      <c r="B23" s="155"/>
      <c r="C23" s="155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0"/>
      <c r="Q23" s="158"/>
      <c r="R23" s="159"/>
    </row>
    <row r="24" spans="1:18" x14ac:dyDescent="0.2">
      <c r="A24" s="160" t="s">
        <v>183</v>
      </c>
      <c r="B24" s="422">
        <f>SUM(B9,B14)</f>
        <v>70825946</v>
      </c>
      <c r="C24" s="422">
        <f t="shared" ref="C24:O24" si="5">SUM(C9,C14)</f>
        <v>50936814</v>
      </c>
      <c r="D24" s="150">
        <f t="shared" si="5"/>
        <v>30239481</v>
      </c>
      <c r="E24" s="150">
        <f t="shared" si="5"/>
        <v>19650181</v>
      </c>
      <c r="F24" s="150">
        <f t="shared" si="5"/>
        <v>13603679</v>
      </c>
      <c r="G24" s="150">
        <f t="shared" si="5"/>
        <v>12609707</v>
      </c>
      <c r="H24" s="150">
        <f t="shared" si="5"/>
        <v>18059370</v>
      </c>
      <c r="I24" s="150">
        <f t="shared" si="5"/>
        <v>43107059</v>
      </c>
      <c r="J24" s="150">
        <f t="shared" si="5"/>
        <v>77508480</v>
      </c>
      <c r="K24" s="150">
        <f t="shared" si="5"/>
        <v>100995168</v>
      </c>
      <c r="L24" s="150">
        <f t="shared" si="5"/>
        <v>94457524</v>
      </c>
      <c r="M24" s="150">
        <f t="shared" si="5"/>
        <v>80460447</v>
      </c>
      <c r="N24" s="150">
        <f t="shared" si="5"/>
        <v>71703960</v>
      </c>
      <c r="O24" s="150">
        <f t="shared" si="5"/>
        <v>51601945</v>
      </c>
      <c r="P24" s="150">
        <f>SUM(D24:O24)</f>
        <v>613997001</v>
      </c>
      <c r="Q24" s="158"/>
      <c r="R24" s="159"/>
    </row>
    <row r="25" spans="1:18" x14ac:dyDescent="0.2">
      <c r="A25" s="160" t="s">
        <v>184</v>
      </c>
      <c r="B25" s="422">
        <f>SUM(B10:B11)</f>
        <v>26257841</v>
      </c>
      <c r="C25" s="422">
        <f t="shared" ref="C25:O25" si="6">SUM(C10:C11)</f>
        <v>19737504</v>
      </c>
      <c r="D25" s="150">
        <f t="shared" si="6"/>
        <v>13511748</v>
      </c>
      <c r="E25" s="150">
        <f t="shared" si="6"/>
        <v>10186030</v>
      </c>
      <c r="F25" s="150">
        <f t="shared" si="6"/>
        <v>8538810</v>
      </c>
      <c r="G25" s="150">
        <f t="shared" si="6"/>
        <v>9008476</v>
      </c>
      <c r="H25" s="150">
        <f t="shared" si="6"/>
        <v>10594507</v>
      </c>
      <c r="I25" s="150">
        <f t="shared" si="6"/>
        <v>17532222</v>
      </c>
      <c r="J25" s="150">
        <f t="shared" si="6"/>
        <v>27461626</v>
      </c>
      <c r="K25" s="150">
        <f t="shared" si="6"/>
        <v>35070906</v>
      </c>
      <c r="L25" s="150">
        <f t="shared" si="6"/>
        <v>33454529</v>
      </c>
      <c r="M25" s="150">
        <f t="shared" si="6"/>
        <v>28707013</v>
      </c>
      <c r="N25" s="150">
        <f t="shared" si="6"/>
        <v>26364791</v>
      </c>
      <c r="O25" s="150">
        <f t="shared" si="6"/>
        <v>19812218</v>
      </c>
      <c r="P25" s="150">
        <f t="shared" ref="P25:P26" si="7">SUM(D25:O25)</f>
        <v>240242876</v>
      </c>
      <c r="Q25" s="161"/>
      <c r="R25" s="159"/>
    </row>
    <row r="26" spans="1:18" x14ac:dyDescent="0.2">
      <c r="A26" s="160" t="s">
        <v>185</v>
      </c>
      <c r="B26" s="423">
        <f>SUM(B12:B13,B17:B18)</f>
        <v>9869057</v>
      </c>
      <c r="C26" s="423">
        <f t="shared" ref="C26:O26" si="8">SUM(C12:C13,C17:C18)</f>
        <v>8501920</v>
      </c>
      <c r="D26" s="162">
        <f t="shared" si="8"/>
        <v>6940554</v>
      </c>
      <c r="E26" s="162">
        <f t="shared" si="8"/>
        <v>6155754</v>
      </c>
      <c r="F26" s="162">
        <f t="shared" si="8"/>
        <v>5149758</v>
      </c>
      <c r="G26" s="162">
        <f t="shared" si="8"/>
        <v>5187643</v>
      </c>
      <c r="H26" s="162">
        <f t="shared" si="8"/>
        <v>5816946</v>
      </c>
      <c r="I26" s="162">
        <f t="shared" si="8"/>
        <v>8140598</v>
      </c>
      <c r="J26" s="162">
        <f t="shared" si="8"/>
        <v>10297903</v>
      </c>
      <c r="K26" s="162">
        <f t="shared" si="8"/>
        <v>11627126</v>
      </c>
      <c r="L26" s="162">
        <f t="shared" si="8"/>
        <v>10986413</v>
      </c>
      <c r="M26" s="162">
        <f t="shared" si="8"/>
        <v>9965776</v>
      </c>
      <c r="N26" s="162">
        <f t="shared" si="8"/>
        <v>9809613</v>
      </c>
      <c r="O26" s="162">
        <f t="shared" si="8"/>
        <v>8449557</v>
      </c>
      <c r="P26" s="150">
        <f t="shared" si="7"/>
        <v>98527641</v>
      </c>
      <c r="Q26" s="161"/>
      <c r="R26" s="159"/>
    </row>
    <row r="27" spans="1:18" x14ac:dyDescent="0.2">
      <c r="A27" s="160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50"/>
      <c r="Q27" s="161"/>
      <c r="R27" s="159"/>
    </row>
    <row r="28" spans="1:18" x14ac:dyDescent="0.2">
      <c r="A28" s="160"/>
      <c r="B28" s="160"/>
      <c r="C28" s="16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</row>
    <row r="29" spans="1:18" x14ac:dyDescent="0.2">
      <c r="A29" s="94" t="s">
        <v>181</v>
      </c>
      <c r="B29" s="94"/>
      <c r="C29" s="94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 t="str">
        <f>P6</f>
        <v>12ME Apr 2021</v>
      </c>
    </row>
    <row r="30" spans="1:18" x14ac:dyDescent="0.2">
      <c r="A30" s="70" t="s">
        <v>179</v>
      </c>
      <c r="B30" s="418">
        <f t="shared" ref="B30:O30" si="9">B7</f>
        <v>43921</v>
      </c>
      <c r="C30" s="418">
        <f t="shared" si="9"/>
        <v>43951</v>
      </c>
      <c r="D30" s="156">
        <f t="shared" si="9"/>
        <v>43981</v>
      </c>
      <c r="E30" s="156">
        <f t="shared" si="9"/>
        <v>44012</v>
      </c>
      <c r="F30" s="156">
        <f t="shared" si="9"/>
        <v>44042</v>
      </c>
      <c r="G30" s="156">
        <f t="shared" si="9"/>
        <v>44073</v>
      </c>
      <c r="H30" s="156">
        <f t="shared" si="9"/>
        <v>44104</v>
      </c>
      <c r="I30" s="156">
        <f t="shared" si="9"/>
        <v>44134</v>
      </c>
      <c r="J30" s="156">
        <f t="shared" si="9"/>
        <v>44165</v>
      </c>
      <c r="K30" s="156">
        <f t="shared" si="9"/>
        <v>44195</v>
      </c>
      <c r="L30" s="156">
        <f t="shared" si="9"/>
        <v>44226</v>
      </c>
      <c r="M30" s="156">
        <f t="shared" si="9"/>
        <v>44255</v>
      </c>
      <c r="N30" s="156">
        <f t="shared" si="9"/>
        <v>44283</v>
      </c>
      <c r="O30" s="156">
        <f t="shared" si="9"/>
        <v>44314</v>
      </c>
      <c r="P30" s="163" t="s">
        <v>182</v>
      </c>
      <c r="Q30" s="164"/>
      <c r="R30" s="164"/>
    </row>
    <row r="31" spans="1:18" x14ac:dyDescent="0.2">
      <c r="A31" s="97">
        <v>16</v>
      </c>
      <c r="B31" s="419">
        <v>6</v>
      </c>
      <c r="C31" s="419">
        <v>6</v>
      </c>
      <c r="D31" s="219">
        <v>6</v>
      </c>
      <c r="E31" s="219">
        <v>6</v>
      </c>
      <c r="F31" s="219">
        <v>6</v>
      </c>
      <c r="G31" s="219">
        <v>6</v>
      </c>
      <c r="H31" s="219">
        <v>6</v>
      </c>
      <c r="I31" s="219">
        <v>6</v>
      </c>
      <c r="J31" s="219">
        <v>6</v>
      </c>
      <c r="K31" s="219">
        <v>6</v>
      </c>
      <c r="L31" s="219">
        <v>6</v>
      </c>
      <c r="M31" s="219">
        <v>6</v>
      </c>
      <c r="N31" s="219">
        <v>6</v>
      </c>
      <c r="O31" s="219">
        <v>6</v>
      </c>
      <c r="P31" s="165">
        <f>AVERAGE(D31:O31)</f>
        <v>6</v>
      </c>
      <c r="Q31" s="164"/>
      <c r="R31" s="164"/>
    </row>
    <row r="32" spans="1:18" x14ac:dyDescent="0.2">
      <c r="A32" s="155">
        <v>23</v>
      </c>
      <c r="B32" s="419">
        <v>789438</v>
      </c>
      <c r="C32" s="419">
        <v>789835</v>
      </c>
      <c r="D32" s="219">
        <v>790231</v>
      </c>
      <c r="E32" s="219">
        <v>790626</v>
      </c>
      <c r="F32" s="219">
        <v>790725</v>
      </c>
      <c r="G32" s="219">
        <v>791116</v>
      </c>
      <c r="H32" s="219">
        <v>791506</v>
      </c>
      <c r="I32" s="219">
        <v>793087</v>
      </c>
      <c r="J32" s="219">
        <v>795109</v>
      </c>
      <c r="K32" s="219">
        <v>796727</v>
      </c>
      <c r="L32" s="219">
        <v>798533</v>
      </c>
      <c r="M32" s="219">
        <v>799676</v>
      </c>
      <c r="N32" s="219">
        <v>800061</v>
      </c>
      <c r="O32" s="219">
        <v>800446</v>
      </c>
      <c r="P32" s="165">
        <f>AVERAGE(D32:O32)</f>
        <v>794820.25</v>
      </c>
    </row>
    <row r="33" spans="1:18" x14ac:dyDescent="0.2">
      <c r="A33" s="155">
        <v>31</v>
      </c>
      <c r="B33" s="419">
        <v>57574</v>
      </c>
      <c r="C33" s="419">
        <v>57534</v>
      </c>
      <c r="D33" s="219">
        <v>57490</v>
      </c>
      <c r="E33" s="219">
        <v>57437</v>
      </c>
      <c r="F33" s="219">
        <v>57389</v>
      </c>
      <c r="G33" s="219">
        <v>57342</v>
      </c>
      <c r="H33" s="219">
        <v>57321</v>
      </c>
      <c r="I33" s="219">
        <v>57383</v>
      </c>
      <c r="J33" s="219">
        <v>57535</v>
      </c>
      <c r="K33" s="219">
        <v>57666</v>
      </c>
      <c r="L33" s="219">
        <v>57741</v>
      </c>
      <c r="M33" s="219">
        <v>57787</v>
      </c>
      <c r="N33" s="219">
        <v>57795</v>
      </c>
      <c r="O33" s="219">
        <v>57738</v>
      </c>
      <c r="P33" s="165">
        <f t="shared" ref="P33:P44" si="10">AVERAGE(D33:O33)</f>
        <v>57552</v>
      </c>
      <c r="Q33" s="166"/>
      <c r="R33" s="166"/>
    </row>
    <row r="34" spans="1:18" x14ac:dyDescent="0.2">
      <c r="A34" s="155" t="s">
        <v>72</v>
      </c>
      <c r="B34" s="419">
        <v>2</v>
      </c>
      <c r="C34" s="419">
        <v>2</v>
      </c>
      <c r="D34" s="219">
        <v>2</v>
      </c>
      <c r="E34" s="219">
        <v>2</v>
      </c>
      <c r="F34" s="219">
        <v>2</v>
      </c>
      <c r="G34" s="219">
        <v>2</v>
      </c>
      <c r="H34" s="219">
        <v>2</v>
      </c>
      <c r="I34" s="219">
        <v>2</v>
      </c>
      <c r="J34" s="219">
        <v>2</v>
      </c>
      <c r="K34" s="219">
        <v>2</v>
      </c>
      <c r="L34" s="219">
        <v>2</v>
      </c>
      <c r="M34" s="219">
        <v>2</v>
      </c>
      <c r="N34" s="219">
        <v>2</v>
      </c>
      <c r="O34" s="219">
        <v>2</v>
      </c>
      <c r="P34" s="165">
        <f t="shared" si="10"/>
        <v>2</v>
      </c>
      <c r="Q34" s="166"/>
      <c r="R34" s="166"/>
    </row>
    <row r="35" spans="1:18" x14ac:dyDescent="0.2">
      <c r="A35" s="155">
        <v>41</v>
      </c>
      <c r="B35" s="419">
        <v>1351</v>
      </c>
      <c r="C35" s="419">
        <v>1342</v>
      </c>
      <c r="D35" s="219">
        <v>1336</v>
      </c>
      <c r="E35" s="219">
        <v>1339</v>
      </c>
      <c r="F35" s="219">
        <v>1336</v>
      </c>
      <c r="G35" s="219">
        <v>1331</v>
      </c>
      <c r="H35" s="219">
        <v>1339</v>
      </c>
      <c r="I35" s="219">
        <v>1343</v>
      </c>
      <c r="J35" s="219">
        <v>1343</v>
      </c>
      <c r="K35" s="219">
        <v>1341</v>
      </c>
      <c r="L35" s="219">
        <v>1349</v>
      </c>
      <c r="M35" s="219">
        <v>1343</v>
      </c>
      <c r="N35" s="219">
        <v>1345</v>
      </c>
      <c r="O35" s="219">
        <v>1335</v>
      </c>
      <c r="P35" s="165">
        <f t="shared" si="10"/>
        <v>1340</v>
      </c>
      <c r="Q35" s="83"/>
      <c r="R35" s="83"/>
    </row>
    <row r="36" spans="1:18" x14ac:dyDescent="0.2">
      <c r="A36" s="155" t="s">
        <v>76</v>
      </c>
      <c r="B36" s="419">
        <v>112</v>
      </c>
      <c r="C36" s="419">
        <v>112</v>
      </c>
      <c r="D36" s="219">
        <v>113</v>
      </c>
      <c r="E36" s="219">
        <v>113</v>
      </c>
      <c r="F36" s="219">
        <v>113</v>
      </c>
      <c r="G36" s="219">
        <v>114</v>
      </c>
      <c r="H36" s="219">
        <v>114</v>
      </c>
      <c r="I36" s="219">
        <v>114</v>
      </c>
      <c r="J36" s="219">
        <v>115</v>
      </c>
      <c r="K36" s="219">
        <v>115</v>
      </c>
      <c r="L36" s="219">
        <v>114</v>
      </c>
      <c r="M36" s="219">
        <v>114</v>
      </c>
      <c r="N36" s="219">
        <v>114</v>
      </c>
      <c r="O36" s="219">
        <v>114</v>
      </c>
      <c r="P36" s="165">
        <f t="shared" si="10"/>
        <v>113.91666666666667</v>
      </c>
      <c r="Q36" s="83"/>
      <c r="R36" s="83"/>
    </row>
    <row r="37" spans="1:18" x14ac:dyDescent="0.2">
      <c r="A37" s="155">
        <v>53</v>
      </c>
      <c r="B37" s="419">
        <v>0</v>
      </c>
      <c r="C37" s="419">
        <v>0</v>
      </c>
      <c r="D37" s="219">
        <v>0</v>
      </c>
      <c r="E37" s="219">
        <v>0</v>
      </c>
      <c r="F37" s="219">
        <v>0</v>
      </c>
      <c r="G37" s="219">
        <v>0</v>
      </c>
      <c r="H37" s="219">
        <v>0</v>
      </c>
      <c r="I37" s="219">
        <v>0</v>
      </c>
      <c r="J37" s="219">
        <v>0</v>
      </c>
      <c r="K37" s="219">
        <v>0</v>
      </c>
      <c r="L37" s="219">
        <v>0</v>
      </c>
      <c r="M37" s="219">
        <v>0</v>
      </c>
      <c r="N37" s="219">
        <v>0</v>
      </c>
      <c r="O37" s="219">
        <v>0</v>
      </c>
      <c r="P37" s="165">
        <f t="shared" si="10"/>
        <v>0</v>
      </c>
      <c r="Q37" s="83"/>
      <c r="R37" s="83"/>
    </row>
    <row r="38" spans="1:18" x14ac:dyDescent="0.2">
      <c r="A38" s="155">
        <v>85</v>
      </c>
      <c r="B38" s="419">
        <v>29</v>
      </c>
      <c r="C38" s="419">
        <v>29</v>
      </c>
      <c r="D38" s="219">
        <v>30</v>
      </c>
      <c r="E38" s="219">
        <v>30</v>
      </c>
      <c r="F38" s="219">
        <v>30</v>
      </c>
      <c r="G38" s="219">
        <v>30</v>
      </c>
      <c r="H38" s="219">
        <v>30</v>
      </c>
      <c r="I38" s="219">
        <v>30</v>
      </c>
      <c r="J38" s="219">
        <v>30</v>
      </c>
      <c r="K38" s="219">
        <v>30</v>
      </c>
      <c r="L38" s="219">
        <v>30</v>
      </c>
      <c r="M38" s="219">
        <v>30</v>
      </c>
      <c r="N38" s="219">
        <v>30</v>
      </c>
      <c r="O38" s="219">
        <v>30</v>
      </c>
      <c r="P38" s="165">
        <f t="shared" si="10"/>
        <v>30</v>
      </c>
      <c r="Q38" s="83"/>
      <c r="R38" s="83"/>
    </row>
    <row r="39" spans="1:18" x14ac:dyDescent="0.2">
      <c r="A39" s="155" t="s">
        <v>127</v>
      </c>
      <c r="B39" s="419">
        <v>97</v>
      </c>
      <c r="C39" s="419">
        <v>97</v>
      </c>
      <c r="D39" s="219">
        <v>97</v>
      </c>
      <c r="E39" s="219">
        <v>96</v>
      </c>
      <c r="F39" s="219">
        <v>96</v>
      </c>
      <c r="G39" s="219">
        <v>96</v>
      </c>
      <c r="H39" s="219">
        <v>96</v>
      </c>
      <c r="I39" s="219">
        <v>96</v>
      </c>
      <c r="J39" s="219">
        <v>95</v>
      </c>
      <c r="K39" s="219">
        <v>95</v>
      </c>
      <c r="L39" s="219">
        <v>96</v>
      </c>
      <c r="M39" s="219">
        <v>96</v>
      </c>
      <c r="N39" s="219">
        <v>96</v>
      </c>
      <c r="O39" s="219">
        <v>96</v>
      </c>
      <c r="P39" s="165">
        <f t="shared" si="10"/>
        <v>95.916666666666671</v>
      </c>
      <c r="Q39" s="83"/>
      <c r="R39" s="83"/>
    </row>
    <row r="40" spans="1:18" x14ac:dyDescent="0.2">
      <c r="A40" s="155">
        <v>86</v>
      </c>
      <c r="B40" s="419">
        <v>207</v>
      </c>
      <c r="C40" s="419">
        <v>206</v>
      </c>
      <c r="D40" s="219">
        <v>205</v>
      </c>
      <c r="E40" s="219">
        <v>205</v>
      </c>
      <c r="F40" s="219">
        <v>204</v>
      </c>
      <c r="G40" s="219">
        <v>203</v>
      </c>
      <c r="H40" s="219">
        <v>203</v>
      </c>
      <c r="I40" s="219">
        <v>202</v>
      </c>
      <c r="J40" s="219">
        <v>202</v>
      </c>
      <c r="K40" s="219">
        <v>201</v>
      </c>
      <c r="L40" s="219">
        <v>201</v>
      </c>
      <c r="M40" s="219">
        <v>200</v>
      </c>
      <c r="N40" s="219">
        <v>200</v>
      </c>
      <c r="O40" s="219">
        <v>199</v>
      </c>
      <c r="P40" s="165">
        <f t="shared" si="10"/>
        <v>202.08333333333334</v>
      </c>
      <c r="Q40" s="83"/>
      <c r="R40" s="83"/>
    </row>
    <row r="41" spans="1:18" x14ac:dyDescent="0.2">
      <c r="A41" s="155" t="s">
        <v>79</v>
      </c>
      <c r="B41" s="419">
        <v>2</v>
      </c>
      <c r="C41" s="419">
        <v>2</v>
      </c>
      <c r="D41" s="219">
        <v>2</v>
      </c>
      <c r="E41" s="219">
        <v>2</v>
      </c>
      <c r="F41" s="219">
        <v>2</v>
      </c>
      <c r="G41" s="219">
        <v>2</v>
      </c>
      <c r="H41" s="219">
        <v>2</v>
      </c>
      <c r="I41" s="219">
        <v>2</v>
      </c>
      <c r="J41" s="219">
        <v>2</v>
      </c>
      <c r="K41" s="219">
        <v>2</v>
      </c>
      <c r="L41" s="219">
        <v>2</v>
      </c>
      <c r="M41" s="219">
        <v>2</v>
      </c>
      <c r="N41" s="219">
        <v>2</v>
      </c>
      <c r="O41" s="219">
        <v>2</v>
      </c>
      <c r="P41" s="165">
        <f t="shared" si="10"/>
        <v>2</v>
      </c>
      <c r="Q41" s="83"/>
      <c r="R41" s="83"/>
    </row>
    <row r="42" spans="1:18" x14ac:dyDescent="0.2">
      <c r="A42" s="155">
        <v>87</v>
      </c>
      <c r="B42" s="419">
        <v>5</v>
      </c>
      <c r="C42" s="419">
        <v>5</v>
      </c>
      <c r="D42" s="219">
        <v>5</v>
      </c>
      <c r="E42" s="219">
        <v>5</v>
      </c>
      <c r="F42" s="219">
        <v>5</v>
      </c>
      <c r="G42" s="219">
        <v>5</v>
      </c>
      <c r="H42" s="219">
        <v>5</v>
      </c>
      <c r="I42" s="219">
        <v>5</v>
      </c>
      <c r="J42" s="219">
        <v>5</v>
      </c>
      <c r="K42" s="219">
        <v>5</v>
      </c>
      <c r="L42" s="219">
        <v>5</v>
      </c>
      <c r="M42" s="219">
        <v>5</v>
      </c>
      <c r="N42" s="219">
        <v>5</v>
      </c>
      <c r="O42" s="219">
        <v>5</v>
      </c>
      <c r="P42" s="165">
        <f t="shared" si="10"/>
        <v>5</v>
      </c>
      <c r="Q42" s="83"/>
      <c r="R42" s="83"/>
    </row>
    <row r="43" spans="1:18" x14ac:dyDescent="0.2">
      <c r="A43" s="155" t="s">
        <v>129</v>
      </c>
      <c r="B43" s="419">
        <v>10</v>
      </c>
      <c r="C43" s="419">
        <v>10</v>
      </c>
      <c r="D43" s="219">
        <v>10</v>
      </c>
      <c r="E43" s="219">
        <v>10</v>
      </c>
      <c r="F43" s="219">
        <v>10</v>
      </c>
      <c r="G43" s="219">
        <v>10</v>
      </c>
      <c r="H43" s="219">
        <v>10</v>
      </c>
      <c r="I43" s="219">
        <v>10</v>
      </c>
      <c r="J43" s="219">
        <v>10</v>
      </c>
      <c r="K43" s="219">
        <v>10</v>
      </c>
      <c r="L43" s="219">
        <v>10</v>
      </c>
      <c r="M43" s="219">
        <v>10</v>
      </c>
      <c r="N43" s="219">
        <v>10</v>
      </c>
      <c r="O43" s="219">
        <v>10</v>
      </c>
      <c r="P43" s="165">
        <f t="shared" si="10"/>
        <v>10</v>
      </c>
      <c r="Q43" s="83"/>
      <c r="R43" s="83"/>
    </row>
    <row r="44" spans="1:18" x14ac:dyDescent="0.2">
      <c r="A44" s="155" t="s">
        <v>180</v>
      </c>
      <c r="B44" s="419">
        <v>10</v>
      </c>
      <c r="C44" s="419">
        <v>10</v>
      </c>
      <c r="D44" s="219">
        <v>10</v>
      </c>
      <c r="E44" s="219">
        <v>10</v>
      </c>
      <c r="F44" s="219">
        <v>10</v>
      </c>
      <c r="G44" s="219">
        <v>10</v>
      </c>
      <c r="H44" s="219">
        <v>10</v>
      </c>
      <c r="I44" s="219">
        <v>10</v>
      </c>
      <c r="J44" s="219">
        <v>10</v>
      </c>
      <c r="K44" s="219">
        <v>10</v>
      </c>
      <c r="L44" s="219">
        <v>10</v>
      </c>
      <c r="M44" s="219">
        <v>10</v>
      </c>
      <c r="N44" s="219">
        <v>10</v>
      </c>
      <c r="O44" s="219">
        <v>10</v>
      </c>
      <c r="P44" s="165">
        <f t="shared" si="10"/>
        <v>10</v>
      </c>
      <c r="Q44" s="83"/>
      <c r="R44" s="83"/>
    </row>
    <row r="45" spans="1:18" x14ac:dyDescent="0.2">
      <c r="A45" s="160"/>
      <c r="B45" s="421"/>
      <c r="C45" s="421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65"/>
      <c r="Q45" s="83"/>
      <c r="R45" s="83"/>
    </row>
    <row r="46" spans="1:18" x14ac:dyDescent="0.2">
      <c r="A46" s="160" t="s">
        <v>183</v>
      </c>
      <c r="B46" s="422">
        <f>SUM(B32,B37)</f>
        <v>789438</v>
      </c>
      <c r="C46" s="422">
        <f t="shared" ref="C46:O46" si="11">SUM(C32,C37)</f>
        <v>789835</v>
      </c>
      <c r="D46" s="150">
        <f t="shared" si="11"/>
        <v>790231</v>
      </c>
      <c r="E46" s="150">
        <f t="shared" si="11"/>
        <v>790626</v>
      </c>
      <c r="F46" s="150">
        <f t="shared" si="11"/>
        <v>790725</v>
      </c>
      <c r="G46" s="150">
        <f t="shared" si="11"/>
        <v>791116</v>
      </c>
      <c r="H46" s="150">
        <f t="shared" si="11"/>
        <v>791506</v>
      </c>
      <c r="I46" s="150">
        <f t="shared" si="11"/>
        <v>793087</v>
      </c>
      <c r="J46" s="150">
        <f t="shared" si="11"/>
        <v>795109</v>
      </c>
      <c r="K46" s="150">
        <f t="shared" si="11"/>
        <v>796727</v>
      </c>
      <c r="L46" s="150">
        <f t="shared" si="11"/>
        <v>798533</v>
      </c>
      <c r="M46" s="150">
        <f t="shared" si="11"/>
        <v>799676</v>
      </c>
      <c r="N46" s="150">
        <f t="shared" si="11"/>
        <v>800061</v>
      </c>
      <c r="O46" s="150">
        <f t="shared" si="11"/>
        <v>800446</v>
      </c>
      <c r="P46" s="165">
        <f t="shared" ref="P46:P48" si="12">AVERAGE(D46:O46)</f>
        <v>794820.25</v>
      </c>
      <c r="Q46" s="161"/>
      <c r="R46" s="161"/>
    </row>
    <row r="47" spans="1:18" x14ac:dyDescent="0.2">
      <c r="A47" s="160" t="s">
        <v>184</v>
      </c>
      <c r="B47" s="422">
        <f>SUM(B33:B34)</f>
        <v>57576</v>
      </c>
      <c r="C47" s="422">
        <f t="shared" ref="C47:O47" si="13">SUM(C33:C34)</f>
        <v>57536</v>
      </c>
      <c r="D47" s="150">
        <f t="shared" si="13"/>
        <v>57492</v>
      </c>
      <c r="E47" s="150">
        <f t="shared" si="13"/>
        <v>57439</v>
      </c>
      <c r="F47" s="150">
        <f t="shared" si="13"/>
        <v>57391</v>
      </c>
      <c r="G47" s="150">
        <f t="shared" si="13"/>
        <v>57344</v>
      </c>
      <c r="H47" s="150">
        <f t="shared" si="13"/>
        <v>57323</v>
      </c>
      <c r="I47" s="150">
        <f t="shared" si="13"/>
        <v>57385</v>
      </c>
      <c r="J47" s="150">
        <f t="shared" si="13"/>
        <v>57537</v>
      </c>
      <c r="K47" s="150">
        <f t="shared" si="13"/>
        <v>57668</v>
      </c>
      <c r="L47" s="150">
        <f t="shared" si="13"/>
        <v>57743</v>
      </c>
      <c r="M47" s="150">
        <f t="shared" si="13"/>
        <v>57789</v>
      </c>
      <c r="N47" s="150">
        <f t="shared" si="13"/>
        <v>57797</v>
      </c>
      <c r="O47" s="150">
        <f t="shared" si="13"/>
        <v>57740</v>
      </c>
      <c r="P47" s="165">
        <f t="shared" si="12"/>
        <v>57554</v>
      </c>
    </row>
    <row r="48" spans="1:18" x14ac:dyDescent="0.2">
      <c r="A48" s="160" t="s">
        <v>185</v>
      </c>
      <c r="B48" s="422">
        <f>SUM(B35:B36,B40:B41)</f>
        <v>1672</v>
      </c>
      <c r="C48" s="422">
        <f t="shared" ref="C48:O48" si="14">SUM(C35:C36,C40:C41)</f>
        <v>1662</v>
      </c>
      <c r="D48" s="150">
        <f t="shared" si="14"/>
        <v>1656</v>
      </c>
      <c r="E48" s="150">
        <f t="shared" si="14"/>
        <v>1659</v>
      </c>
      <c r="F48" s="150">
        <f t="shared" si="14"/>
        <v>1655</v>
      </c>
      <c r="G48" s="150">
        <f t="shared" si="14"/>
        <v>1650</v>
      </c>
      <c r="H48" s="150">
        <f t="shared" si="14"/>
        <v>1658</v>
      </c>
      <c r="I48" s="150">
        <f t="shared" si="14"/>
        <v>1661</v>
      </c>
      <c r="J48" s="150">
        <f t="shared" si="14"/>
        <v>1662</v>
      </c>
      <c r="K48" s="150">
        <f t="shared" si="14"/>
        <v>1659</v>
      </c>
      <c r="L48" s="150">
        <f t="shared" si="14"/>
        <v>1666</v>
      </c>
      <c r="M48" s="150">
        <f t="shared" si="14"/>
        <v>1659</v>
      </c>
      <c r="N48" s="150">
        <f t="shared" si="14"/>
        <v>1661</v>
      </c>
      <c r="O48" s="150">
        <f t="shared" si="14"/>
        <v>1650</v>
      </c>
      <c r="P48" s="165">
        <f t="shared" si="12"/>
        <v>1658</v>
      </c>
    </row>
    <row r="49" spans="1:17" x14ac:dyDescent="0.2">
      <c r="A49" s="43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46"/>
    </row>
    <row r="50" spans="1:17" x14ac:dyDescent="0.2">
      <c r="A50" s="8" t="s">
        <v>432</v>
      </c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</row>
    <row r="53" spans="1:17" x14ac:dyDescent="0.2">
      <c r="D53" s="167"/>
      <c r="E53" s="167"/>
      <c r="F53" s="167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</row>
    <row r="56" spans="1:17" x14ac:dyDescent="0.2">
      <c r="D56" s="168"/>
      <c r="E56" s="168"/>
      <c r="F56" s="168"/>
    </row>
    <row r="57" spans="1:17" x14ac:dyDescent="0.2">
      <c r="A57" s="155"/>
      <c r="B57" s="155"/>
      <c r="C57" s="15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</row>
    <row r="58" spans="1:17" x14ac:dyDescent="0.2">
      <c r="A58" s="155"/>
      <c r="B58" s="155"/>
      <c r="C58" s="155"/>
      <c r="D58" s="169"/>
      <c r="E58" s="169"/>
      <c r="F58" s="169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</row>
    <row r="59" spans="1:17" x14ac:dyDescent="0.2"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</row>
    <row r="60" spans="1:17" x14ac:dyDescent="0.2">
      <c r="A60" s="155"/>
      <c r="B60" s="155"/>
      <c r="C60" s="155"/>
      <c r="D60" s="170"/>
      <c r="E60" s="170"/>
      <c r="F60" s="170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</row>
    <row r="61" spans="1:17" x14ac:dyDescent="0.2">
      <c r="A61" s="155"/>
      <c r="B61" s="155"/>
      <c r="C61" s="155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</row>
    <row r="62" spans="1:17" x14ac:dyDescent="0.2">
      <c r="A62" s="155"/>
      <c r="B62" s="155"/>
      <c r="C62" s="155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</row>
    <row r="63" spans="1:17" x14ac:dyDescent="0.2">
      <c r="A63" s="155"/>
      <c r="B63" s="155"/>
      <c r="C63" s="155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</row>
    <row r="64" spans="1:17" x14ac:dyDescent="0.2">
      <c r="A64" s="155"/>
      <c r="B64" s="155"/>
      <c r="C64" s="155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</row>
    <row r="65" spans="1:17" x14ac:dyDescent="0.2">
      <c r="A65" s="155"/>
      <c r="B65" s="155"/>
      <c r="C65" s="155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</row>
    <row r="66" spans="1:17" x14ac:dyDescent="0.2">
      <c r="A66" s="155"/>
      <c r="B66" s="155"/>
      <c r="C66" s="155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</row>
    <row r="67" spans="1:17" x14ac:dyDescent="0.2"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</row>
    <row r="69" spans="1:17" x14ac:dyDescent="0.2"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</row>
    <row r="70" spans="1:17" x14ac:dyDescent="0.2"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66" orientation="landscape" blackAndWhite="1" r:id="rId1"/>
  <headerFooter>
    <oddFooter>&amp;R&amp;F
&amp;A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E29"/>
  <sheetViews>
    <sheetView workbookViewId="0">
      <selection activeCell="F11" sqref="F11"/>
    </sheetView>
  </sheetViews>
  <sheetFormatPr defaultColWidth="9.140625" defaultRowHeight="11.25" x14ac:dyDescent="0.2"/>
  <cols>
    <col min="1" max="1" width="5.5703125" style="90" bestFit="1" customWidth="1"/>
    <col min="2" max="2" width="35.85546875" style="90" customWidth="1"/>
    <col min="3" max="3" width="27.7109375" style="90" bestFit="1" customWidth="1"/>
    <col min="4" max="4" width="11.5703125" style="90" bestFit="1" customWidth="1"/>
    <col min="5" max="16384" width="9.140625" style="90"/>
  </cols>
  <sheetData>
    <row r="1" spans="1:5" x14ac:dyDescent="0.2">
      <c r="A1" s="431" t="s">
        <v>0</v>
      </c>
      <c r="B1" s="431"/>
      <c r="C1" s="431"/>
      <c r="D1" s="431"/>
      <c r="E1" s="43"/>
    </row>
    <row r="2" spans="1:5" x14ac:dyDescent="0.2">
      <c r="A2" s="433" t="str">
        <f>'Delivery Rate Change Calc'!A2:F2</f>
        <v>2020 Gas Decoupling Filing</v>
      </c>
      <c r="B2" s="433"/>
      <c r="C2" s="433"/>
      <c r="D2" s="433"/>
      <c r="E2" s="43"/>
    </row>
    <row r="3" spans="1:5" x14ac:dyDescent="0.2">
      <c r="A3" s="431" t="s">
        <v>341</v>
      </c>
      <c r="B3" s="431"/>
      <c r="C3" s="431"/>
      <c r="D3" s="431"/>
      <c r="E3" s="43"/>
    </row>
    <row r="4" spans="1:5" x14ac:dyDescent="0.2">
      <c r="A4" s="433" t="str">
        <f>'Delivery Rate Change Calc'!A4:F4</f>
        <v>Proposed Effective May 1, 2020</v>
      </c>
      <c r="B4" s="433"/>
      <c r="C4" s="433"/>
      <c r="D4" s="433"/>
      <c r="E4" s="43"/>
    </row>
    <row r="5" spans="1:5" x14ac:dyDescent="0.2">
      <c r="A5" s="431"/>
      <c r="B5" s="431"/>
      <c r="C5" s="431"/>
      <c r="D5" s="431"/>
      <c r="E5" s="43"/>
    </row>
    <row r="6" spans="1:5" x14ac:dyDescent="0.2">
      <c r="A6" s="43"/>
      <c r="B6" s="43"/>
      <c r="C6" s="43"/>
      <c r="D6" s="210"/>
      <c r="E6" s="43"/>
    </row>
    <row r="7" spans="1:5" ht="22.5" x14ac:dyDescent="0.2">
      <c r="A7" s="67" t="s">
        <v>80</v>
      </c>
      <c r="B7" s="42"/>
      <c r="C7" s="67" t="s">
        <v>393</v>
      </c>
      <c r="D7" s="211" t="s">
        <v>430</v>
      </c>
      <c r="E7" s="43"/>
    </row>
    <row r="8" spans="1:5" x14ac:dyDescent="0.2">
      <c r="A8" s="43"/>
      <c r="B8" s="44" t="s">
        <v>9</v>
      </c>
      <c r="C8" s="44"/>
      <c r="D8" s="139" t="s">
        <v>10</v>
      </c>
      <c r="E8" s="43"/>
    </row>
    <row r="9" spans="1:5" x14ac:dyDescent="0.2">
      <c r="A9" s="44"/>
      <c r="B9" s="45"/>
      <c r="C9" s="45"/>
      <c r="D9" s="43"/>
      <c r="E9" s="43"/>
    </row>
    <row r="10" spans="1:5" x14ac:dyDescent="0.2">
      <c r="A10" s="44">
        <v>1</v>
      </c>
      <c r="B10" s="212" t="s">
        <v>81</v>
      </c>
      <c r="C10" s="212"/>
      <c r="D10" s="43"/>
      <c r="E10" s="43"/>
    </row>
    <row r="11" spans="1:5" x14ac:dyDescent="0.2">
      <c r="A11" s="44">
        <v>2</v>
      </c>
      <c r="B11" s="43" t="s">
        <v>82</v>
      </c>
      <c r="C11" s="43" t="s">
        <v>394</v>
      </c>
      <c r="D11" s="213">
        <f>'Sch23&amp;53 Deferral Calc'!O8</f>
        <v>782413.33333333337</v>
      </c>
      <c r="E11" s="43"/>
    </row>
    <row r="12" spans="1:5" x14ac:dyDescent="0.2">
      <c r="A12" s="44">
        <v>3</v>
      </c>
      <c r="B12" s="43" t="s">
        <v>391</v>
      </c>
      <c r="C12" s="43" t="s">
        <v>394</v>
      </c>
      <c r="D12" s="213">
        <f>'Sch31&amp;31T Deferral Calc'!O8</f>
        <v>57090.333333333336</v>
      </c>
      <c r="E12" s="43"/>
    </row>
    <row r="13" spans="1:5" x14ac:dyDescent="0.2">
      <c r="A13" s="44">
        <v>4</v>
      </c>
      <c r="B13" s="43" t="s">
        <v>392</v>
      </c>
      <c r="C13" s="43" t="s">
        <v>394</v>
      </c>
      <c r="D13" s="213">
        <f>'Sch 41&amp;86 Deferral Calc'!O8</f>
        <v>1637.5</v>
      </c>
      <c r="E13" s="43"/>
    </row>
    <row r="14" spans="1:5" x14ac:dyDescent="0.2">
      <c r="A14" s="44">
        <v>5</v>
      </c>
      <c r="B14" s="43"/>
      <c r="C14" s="43"/>
      <c r="D14" s="213"/>
      <c r="E14" s="43"/>
    </row>
    <row r="15" spans="1:5" x14ac:dyDescent="0.2">
      <c r="A15" s="44">
        <v>6</v>
      </c>
      <c r="B15" s="214" t="s">
        <v>83</v>
      </c>
      <c r="C15" s="214"/>
      <c r="D15" s="43"/>
      <c r="E15" s="43"/>
    </row>
    <row r="16" spans="1:5" x14ac:dyDescent="0.2">
      <c r="A16" s="44">
        <v>7</v>
      </c>
      <c r="B16" s="43" t="s">
        <v>82</v>
      </c>
      <c r="C16" s="43" t="s">
        <v>395</v>
      </c>
      <c r="D16" s="215">
        <v>425.40449277405304</v>
      </c>
      <c r="E16" s="43"/>
    </row>
    <row r="17" spans="1:5" x14ac:dyDescent="0.2">
      <c r="A17" s="44">
        <v>8</v>
      </c>
      <c r="B17" s="43" t="s">
        <v>391</v>
      </c>
      <c r="C17" s="43" t="s">
        <v>395</v>
      </c>
      <c r="D17" s="215">
        <v>1706.0740526809582</v>
      </c>
      <c r="E17" s="43"/>
    </row>
    <row r="18" spans="1:5" x14ac:dyDescent="0.2">
      <c r="A18" s="44">
        <v>9</v>
      </c>
      <c r="B18" s="43" t="s">
        <v>392</v>
      </c>
      <c r="C18" s="43" t="s">
        <v>395</v>
      </c>
      <c r="D18" s="215">
        <v>12811.515339633785</v>
      </c>
      <c r="E18" s="43"/>
    </row>
    <row r="19" spans="1:5" x14ac:dyDescent="0.2">
      <c r="A19" s="44">
        <v>10</v>
      </c>
      <c r="B19" s="43"/>
      <c r="C19" s="43"/>
      <c r="D19" s="43"/>
      <c r="E19" s="43"/>
    </row>
    <row r="20" spans="1:5" x14ac:dyDescent="0.2">
      <c r="A20" s="44">
        <v>11</v>
      </c>
      <c r="B20" s="214" t="s">
        <v>84</v>
      </c>
      <c r="C20" s="214"/>
      <c r="D20" s="43"/>
      <c r="E20" s="43"/>
    </row>
    <row r="21" spans="1:5" x14ac:dyDescent="0.2">
      <c r="A21" s="44">
        <v>12</v>
      </c>
      <c r="B21" s="43" t="s">
        <v>82</v>
      </c>
      <c r="C21" s="43"/>
      <c r="D21" s="52">
        <f>ROUND(D11*D16,0)</f>
        <v>332842147</v>
      </c>
      <c r="E21" s="43"/>
    </row>
    <row r="22" spans="1:5" x14ac:dyDescent="0.2">
      <c r="A22" s="44">
        <v>13</v>
      </c>
      <c r="B22" s="43" t="s">
        <v>391</v>
      </c>
      <c r="C22" s="43"/>
      <c r="D22" s="52">
        <f>ROUND(D12*D17,0)</f>
        <v>97400336</v>
      </c>
      <c r="E22" s="43"/>
    </row>
    <row r="23" spans="1:5" x14ac:dyDescent="0.2">
      <c r="A23" s="44">
        <v>14</v>
      </c>
      <c r="B23" s="43" t="s">
        <v>392</v>
      </c>
      <c r="C23" s="43"/>
      <c r="D23" s="52">
        <f>ROUND(D13*D18,0)</f>
        <v>20978856</v>
      </c>
      <c r="E23" s="43"/>
    </row>
    <row r="24" spans="1:5" x14ac:dyDescent="0.2">
      <c r="A24" s="44"/>
      <c r="B24" s="43"/>
      <c r="C24" s="43"/>
      <c r="D24" s="52"/>
      <c r="E24" s="43"/>
    </row>
    <row r="25" spans="1:5" x14ac:dyDescent="0.2">
      <c r="B25" s="43" t="s">
        <v>85</v>
      </c>
      <c r="C25" s="43"/>
      <c r="D25" s="43"/>
      <c r="E25" s="43"/>
    </row>
    <row r="26" spans="1:5" x14ac:dyDescent="0.2">
      <c r="A26" s="43"/>
      <c r="B26" s="43"/>
      <c r="C26" s="43"/>
      <c r="D26" s="43"/>
      <c r="E26" s="43"/>
    </row>
    <row r="27" spans="1:5" x14ac:dyDescent="0.2">
      <c r="A27" s="43"/>
      <c r="B27" s="43"/>
      <c r="C27" s="43"/>
      <c r="D27" s="43"/>
      <c r="E27" s="43"/>
    </row>
    <row r="28" spans="1:5" x14ac:dyDescent="0.2">
      <c r="A28" s="43"/>
      <c r="B28" s="43"/>
      <c r="C28" s="43"/>
      <c r="D28" s="43"/>
      <c r="E28" s="43"/>
    </row>
    <row r="29" spans="1:5" x14ac:dyDescent="0.2">
      <c r="A29" s="43"/>
      <c r="B29" s="43"/>
      <c r="C29" s="43"/>
      <c r="D29" s="43"/>
      <c r="E29" s="43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M57"/>
  <sheetViews>
    <sheetView zoomScaleNormal="100" workbookViewId="0">
      <pane ySplit="8" topLeftCell="A9" activePane="bottomLeft" state="frozen"/>
      <selection activeCell="B35" sqref="B35"/>
      <selection pane="bottomLeft" activeCell="E49" sqref="E49"/>
    </sheetView>
  </sheetViews>
  <sheetFormatPr defaultColWidth="9.140625" defaultRowHeight="11.25" x14ac:dyDescent="0.2"/>
  <cols>
    <col min="1" max="1" width="5.5703125" style="8" bestFit="1" customWidth="1"/>
    <col min="2" max="2" width="3.28515625" style="8" customWidth="1"/>
    <col min="3" max="3" width="41.5703125" style="83" customWidth="1"/>
    <col min="4" max="4" width="6.5703125" style="83" bestFit="1" customWidth="1"/>
    <col min="5" max="5" width="16.140625" style="83" bestFit="1" customWidth="1"/>
    <col min="6" max="16384" width="9.140625" style="8"/>
  </cols>
  <sheetData>
    <row r="1" spans="1:13" x14ac:dyDescent="0.2">
      <c r="A1" s="431" t="s">
        <v>0</v>
      </c>
      <c r="B1" s="431"/>
      <c r="C1" s="431"/>
      <c r="D1" s="431"/>
      <c r="E1" s="431"/>
      <c r="F1" s="93"/>
      <c r="G1" s="93"/>
      <c r="H1" s="93"/>
      <c r="I1" s="93"/>
      <c r="J1" s="93"/>
    </row>
    <row r="2" spans="1:13" x14ac:dyDescent="0.2">
      <c r="A2" s="433" t="str">
        <f>'Delivery Rate Change Calc'!A2:F2</f>
        <v>2020 Gas Decoupling Filing</v>
      </c>
      <c r="B2" s="433"/>
      <c r="C2" s="433"/>
      <c r="D2" s="433"/>
      <c r="E2" s="433"/>
      <c r="F2" s="93"/>
      <c r="G2" s="93"/>
      <c r="H2" s="93"/>
      <c r="I2" s="93"/>
      <c r="J2" s="93"/>
    </row>
    <row r="3" spans="1:13" x14ac:dyDescent="0.2">
      <c r="A3" s="434" t="s">
        <v>344</v>
      </c>
      <c r="B3" s="434"/>
      <c r="C3" s="434"/>
      <c r="D3" s="434"/>
      <c r="E3" s="434"/>
      <c r="F3" s="93"/>
      <c r="G3" s="93"/>
      <c r="H3" s="93"/>
      <c r="I3" s="93"/>
      <c r="J3" s="93"/>
    </row>
    <row r="4" spans="1:13" x14ac:dyDescent="0.2">
      <c r="A4" s="433" t="str">
        <f>'Delivery Rate Change Calc'!A4:F4</f>
        <v>Proposed Effective May 1, 2020</v>
      </c>
      <c r="B4" s="433"/>
      <c r="C4" s="433"/>
      <c r="D4" s="433"/>
      <c r="E4" s="433"/>
      <c r="F4" s="5"/>
      <c r="G4" s="5"/>
      <c r="H4" s="5"/>
      <c r="I4" s="5"/>
      <c r="J4" s="5"/>
      <c r="K4" s="94"/>
      <c r="L4" s="94"/>
      <c r="M4" s="94"/>
    </row>
    <row r="5" spans="1:13" x14ac:dyDescent="0.2">
      <c r="B5" s="95"/>
      <c r="C5" s="95"/>
      <c r="D5" s="95"/>
      <c r="E5" s="95"/>
      <c r="F5" s="5"/>
      <c r="G5" s="5"/>
      <c r="H5" s="5"/>
      <c r="I5" s="5"/>
      <c r="J5" s="5"/>
      <c r="K5" s="94"/>
      <c r="L5" s="94"/>
      <c r="M5" s="94"/>
    </row>
    <row r="6" spans="1:13" x14ac:dyDescent="0.2">
      <c r="A6" s="94"/>
      <c r="B6" s="96"/>
      <c r="C6" s="96"/>
      <c r="D6" s="96"/>
      <c r="E6" s="326" t="s">
        <v>116</v>
      </c>
      <c r="F6" s="5"/>
      <c r="G6" s="5"/>
      <c r="H6" s="5"/>
      <c r="I6" s="5"/>
      <c r="J6" s="5"/>
      <c r="K6" s="94"/>
      <c r="L6" s="94"/>
      <c r="M6" s="94"/>
    </row>
    <row r="7" spans="1:13" x14ac:dyDescent="0.2">
      <c r="A7" s="356" t="s">
        <v>2</v>
      </c>
      <c r="B7" s="94"/>
      <c r="C7" s="326"/>
      <c r="D7" s="326"/>
      <c r="E7" s="326" t="s">
        <v>117</v>
      </c>
      <c r="F7" s="93"/>
      <c r="G7" s="93"/>
      <c r="H7" s="93"/>
      <c r="I7" s="93"/>
      <c r="J7" s="93"/>
    </row>
    <row r="8" spans="1:13" x14ac:dyDescent="0.2">
      <c r="A8" s="67" t="s">
        <v>4</v>
      </c>
      <c r="B8" s="395"/>
      <c r="C8" s="325"/>
      <c r="D8" s="325" t="s">
        <v>97</v>
      </c>
      <c r="E8" s="325" t="s">
        <v>118</v>
      </c>
      <c r="F8" s="93"/>
      <c r="G8" s="93"/>
      <c r="H8" s="93"/>
      <c r="I8" s="93"/>
      <c r="J8" s="93"/>
    </row>
    <row r="9" spans="1:13" x14ac:dyDescent="0.2">
      <c r="A9" s="71"/>
      <c r="B9" s="83"/>
      <c r="C9" s="97" t="s">
        <v>9</v>
      </c>
      <c r="D9" s="97" t="s">
        <v>10</v>
      </c>
      <c r="E9" s="44" t="s">
        <v>11</v>
      </c>
      <c r="F9" s="93"/>
      <c r="G9" s="93"/>
      <c r="H9" s="93"/>
      <c r="I9" s="93"/>
      <c r="J9" s="93"/>
    </row>
    <row r="10" spans="1:13" x14ac:dyDescent="0.2">
      <c r="A10" s="44">
        <v>1</v>
      </c>
      <c r="B10" s="92" t="s">
        <v>119</v>
      </c>
      <c r="C10" s="7"/>
      <c r="D10" s="97"/>
      <c r="E10" s="44"/>
      <c r="F10" s="93"/>
      <c r="G10" s="93"/>
      <c r="H10" s="93"/>
      <c r="I10" s="93"/>
      <c r="J10" s="93"/>
    </row>
    <row r="11" spans="1:13" x14ac:dyDescent="0.2">
      <c r="A11" s="44">
        <f>A10+1</f>
        <v>2</v>
      </c>
      <c r="B11" s="7"/>
      <c r="C11" s="72" t="s">
        <v>105</v>
      </c>
      <c r="D11" s="83" t="s">
        <v>48</v>
      </c>
      <c r="E11" s="98">
        <f>'Delivery Rate Change Calc'!D26</f>
        <v>1.2319999999999999E-2</v>
      </c>
      <c r="F11" s="93"/>
      <c r="G11" s="93"/>
      <c r="H11" s="93"/>
      <c r="I11" s="93"/>
      <c r="J11" s="93"/>
    </row>
    <row r="12" spans="1:13" x14ac:dyDescent="0.2">
      <c r="A12" s="44">
        <f t="shared" ref="A12:A56" si="0">A11+1</f>
        <v>3</v>
      </c>
      <c r="B12" s="7"/>
      <c r="C12" s="8"/>
      <c r="E12" s="98"/>
      <c r="F12" s="93"/>
      <c r="G12" s="93"/>
      <c r="H12" s="93"/>
      <c r="I12" s="93"/>
      <c r="J12" s="93"/>
    </row>
    <row r="13" spans="1:13" x14ac:dyDescent="0.2">
      <c r="A13" s="44">
        <f t="shared" si="0"/>
        <v>4</v>
      </c>
      <c r="B13" s="80" t="s">
        <v>120</v>
      </c>
      <c r="C13" s="7"/>
      <c r="E13" s="98"/>
      <c r="F13" s="93"/>
      <c r="G13" s="93"/>
      <c r="H13" s="93"/>
      <c r="I13" s="93"/>
      <c r="J13" s="93"/>
    </row>
    <row r="14" spans="1:13" x14ac:dyDescent="0.2">
      <c r="A14" s="44">
        <f t="shared" si="0"/>
        <v>5</v>
      </c>
      <c r="C14" s="72" t="s">
        <v>105</v>
      </c>
      <c r="D14" s="83" t="s">
        <v>48</v>
      </c>
      <c r="E14" s="98">
        <f>'Delivery Rate Change Calc'!D26</f>
        <v>1.2319999999999999E-2</v>
      </c>
      <c r="F14" s="93"/>
      <c r="G14" s="93"/>
      <c r="H14" s="93"/>
      <c r="I14" s="93"/>
      <c r="J14" s="93"/>
    </row>
    <row r="15" spans="1:13" x14ac:dyDescent="0.2">
      <c r="A15" s="44">
        <f t="shared" si="0"/>
        <v>6</v>
      </c>
      <c r="C15" s="8"/>
      <c r="D15" s="97"/>
      <c r="E15" s="98"/>
      <c r="F15" s="93"/>
      <c r="G15" s="93"/>
      <c r="H15" s="93"/>
      <c r="I15" s="93"/>
      <c r="J15" s="93"/>
    </row>
    <row r="16" spans="1:13" x14ac:dyDescent="0.2">
      <c r="A16" s="44">
        <f t="shared" si="0"/>
        <v>7</v>
      </c>
      <c r="B16" s="80" t="s">
        <v>104</v>
      </c>
      <c r="C16" s="8"/>
      <c r="D16" s="87"/>
      <c r="E16" s="98"/>
    </row>
    <row r="17" spans="1:5" x14ac:dyDescent="0.2">
      <c r="A17" s="44">
        <f t="shared" si="0"/>
        <v>8</v>
      </c>
      <c r="C17" s="83" t="s">
        <v>105</v>
      </c>
      <c r="D17" s="83" t="s">
        <v>48</v>
      </c>
      <c r="E17" s="98">
        <f>'RateDev (31,31T,41,41T,86,86T)'!K12</f>
        <v>-7.1700000000000097E-3</v>
      </c>
    </row>
    <row r="18" spans="1:5" x14ac:dyDescent="0.2">
      <c r="A18" s="44">
        <f t="shared" si="0"/>
        <v>9</v>
      </c>
      <c r="E18" s="98"/>
    </row>
    <row r="19" spans="1:5" x14ac:dyDescent="0.2">
      <c r="A19" s="44">
        <f t="shared" si="0"/>
        <v>10</v>
      </c>
      <c r="C19" s="83" t="s">
        <v>106</v>
      </c>
      <c r="D19" s="83" t="s">
        <v>48</v>
      </c>
      <c r="E19" s="98">
        <f>'RateDev (31,31T,41,41T,86,86T)'!K14</f>
        <v>-2.1000000000000012E-4</v>
      </c>
    </row>
    <row r="20" spans="1:5" x14ac:dyDescent="0.2">
      <c r="A20" s="44">
        <f t="shared" si="0"/>
        <v>11</v>
      </c>
      <c r="E20" s="98"/>
    </row>
    <row r="21" spans="1:5" x14ac:dyDescent="0.2">
      <c r="A21" s="44">
        <f t="shared" si="0"/>
        <v>12</v>
      </c>
      <c r="B21" s="80" t="s">
        <v>107</v>
      </c>
      <c r="C21" s="8"/>
      <c r="D21" s="87"/>
      <c r="E21" s="98"/>
    </row>
    <row r="22" spans="1:5" x14ac:dyDescent="0.2">
      <c r="A22" s="44">
        <f t="shared" si="0"/>
        <v>13</v>
      </c>
      <c r="B22" s="83"/>
      <c r="C22" s="83" t="s">
        <v>105</v>
      </c>
      <c r="D22" s="83" t="s">
        <v>48</v>
      </c>
      <c r="E22" s="98">
        <f>'RateDev (31,31T,41,41T,86,86T)'!K17</f>
        <v>-7.0200000000000262E-3</v>
      </c>
    </row>
    <row r="23" spans="1:5" x14ac:dyDescent="0.2">
      <c r="A23" s="44">
        <f t="shared" si="0"/>
        <v>14</v>
      </c>
      <c r="B23" s="83"/>
      <c r="E23" s="98"/>
    </row>
    <row r="24" spans="1:5" x14ac:dyDescent="0.2">
      <c r="A24" s="44">
        <f t="shared" si="0"/>
        <v>15</v>
      </c>
      <c r="B24" s="80" t="s">
        <v>108</v>
      </c>
      <c r="C24" s="8"/>
      <c r="D24" s="87"/>
      <c r="E24" s="98"/>
    </row>
    <row r="25" spans="1:5" x14ac:dyDescent="0.2">
      <c r="A25" s="44">
        <f t="shared" si="0"/>
        <v>16</v>
      </c>
      <c r="C25" s="83" t="s">
        <v>109</v>
      </c>
      <c r="D25" s="83" t="s">
        <v>48</v>
      </c>
      <c r="E25" s="244">
        <f>'RateDev (31,31T,41,41T,86,86T)'!K20</f>
        <v>-9.000000000000008E-2</v>
      </c>
    </row>
    <row r="26" spans="1:5" x14ac:dyDescent="0.2">
      <c r="A26" s="44">
        <f t="shared" si="0"/>
        <v>17</v>
      </c>
      <c r="E26" s="98"/>
    </row>
    <row r="27" spans="1:5" x14ac:dyDescent="0.2">
      <c r="A27" s="44">
        <f t="shared" si="0"/>
        <v>18</v>
      </c>
      <c r="C27" s="83" t="s">
        <v>110</v>
      </c>
      <c r="E27" s="98"/>
    </row>
    <row r="28" spans="1:5" x14ac:dyDescent="0.2">
      <c r="A28" s="44">
        <f t="shared" si="0"/>
        <v>19</v>
      </c>
      <c r="C28" s="90" t="s">
        <v>449</v>
      </c>
      <c r="D28" s="83" t="s">
        <v>48</v>
      </c>
      <c r="E28" s="98">
        <f>'RateDev (31,31T,41,41T,86,86T)'!K23</f>
        <v>0</v>
      </c>
    </row>
    <row r="29" spans="1:5" x14ac:dyDescent="0.2">
      <c r="A29" s="44">
        <f t="shared" si="0"/>
        <v>20</v>
      </c>
      <c r="C29" s="90" t="s">
        <v>148</v>
      </c>
      <c r="D29" s="83" t="s">
        <v>48</v>
      </c>
      <c r="E29" s="98">
        <f>'RateDev (31,31T,41,41T,86,86T)'!K24</f>
        <v>-9.6799999999999942E-3</v>
      </c>
    </row>
    <row r="30" spans="1:5" x14ac:dyDescent="0.2">
      <c r="A30" s="44">
        <f t="shared" si="0"/>
        <v>21</v>
      </c>
      <c r="C30" s="90" t="s">
        <v>149</v>
      </c>
      <c r="D30" s="83" t="s">
        <v>48</v>
      </c>
      <c r="E30" s="98">
        <f>'RateDev (31,31T,41,41T,86,86T)'!K25</f>
        <v>-7.7900000000000053E-3</v>
      </c>
    </row>
    <row r="31" spans="1:5" x14ac:dyDescent="0.2">
      <c r="A31" s="44">
        <f t="shared" si="0"/>
        <v>22</v>
      </c>
      <c r="E31" s="98"/>
    </row>
    <row r="32" spans="1:5" x14ac:dyDescent="0.2">
      <c r="A32" s="44">
        <f t="shared" si="0"/>
        <v>23</v>
      </c>
      <c r="C32" s="83" t="s">
        <v>106</v>
      </c>
      <c r="D32" s="83" t="s">
        <v>48</v>
      </c>
      <c r="E32" s="98">
        <f>'RateDev (31,31T,41,41T,86,86T)'!K27</f>
        <v>-4.6000000000000034E-4</v>
      </c>
    </row>
    <row r="33" spans="1:5" x14ac:dyDescent="0.2">
      <c r="A33" s="44">
        <f t="shared" si="0"/>
        <v>24</v>
      </c>
      <c r="C33" s="87"/>
      <c r="D33" s="87"/>
      <c r="E33" s="98"/>
    </row>
    <row r="34" spans="1:5" x14ac:dyDescent="0.2">
      <c r="A34" s="44">
        <f t="shared" si="0"/>
        <v>25</v>
      </c>
      <c r="B34" s="80" t="s">
        <v>111</v>
      </c>
      <c r="C34" s="8"/>
      <c r="D34" s="87"/>
      <c r="E34" s="98"/>
    </row>
    <row r="35" spans="1:5" x14ac:dyDescent="0.2">
      <c r="A35" s="44">
        <f t="shared" si="0"/>
        <v>26</v>
      </c>
      <c r="B35" s="83"/>
      <c r="C35" s="83" t="s">
        <v>109</v>
      </c>
      <c r="D35" s="83" t="s">
        <v>48</v>
      </c>
      <c r="E35" s="244">
        <f>'RateDev (31,31T,41,41T,86,86T)'!K30</f>
        <v>-8.9999999999999858E-2</v>
      </c>
    </row>
    <row r="36" spans="1:5" x14ac:dyDescent="0.2">
      <c r="A36" s="44">
        <f t="shared" si="0"/>
        <v>27</v>
      </c>
      <c r="B36" s="83"/>
      <c r="E36" s="98"/>
    </row>
    <row r="37" spans="1:5" x14ac:dyDescent="0.2">
      <c r="A37" s="44">
        <f t="shared" si="0"/>
        <v>28</v>
      </c>
      <c r="B37" s="83"/>
      <c r="C37" s="83" t="s">
        <v>110</v>
      </c>
      <c r="E37" s="98"/>
    </row>
    <row r="38" spans="1:5" x14ac:dyDescent="0.2">
      <c r="A38" s="44">
        <f t="shared" si="0"/>
        <v>29</v>
      </c>
      <c r="B38" s="83"/>
      <c r="C38" s="90" t="s">
        <v>449</v>
      </c>
      <c r="D38" s="83" t="s">
        <v>48</v>
      </c>
      <c r="E38" s="98">
        <f>'RateDev (31,31T,41,41T,86,86T)'!K33</f>
        <v>0</v>
      </c>
    </row>
    <row r="39" spans="1:5" x14ac:dyDescent="0.2">
      <c r="A39" s="44">
        <f t="shared" si="0"/>
        <v>30</v>
      </c>
      <c r="B39" s="83"/>
      <c r="C39" s="90" t="s">
        <v>148</v>
      </c>
      <c r="D39" s="83" t="s">
        <v>48</v>
      </c>
      <c r="E39" s="98">
        <f>'RateDev (31,31T,41,41T,86,86T)'!K34</f>
        <v>-9.3500000000000111E-3</v>
      </c>
    </row>
    <row r="40" spans="1:5" x14ac:dyDescent="0.2">
      <c r="A40" s="44">
        <f t="shared" si="0"/>
        <v>31</v>
      </c>
      <c r="B40" s="83"/>
      <c r="C40" s="90" t="s">
        <v>149</v>
      </c>
      <c r="D40" s="83" t="s">
        <v>48</v>
      </c>
      <c r="E40" s="98">
        <f>'RateDev (31,31T,41,41T,86,86T)'!K35</f>
        <v>-7.4800000000000005E-3</v>
      </c>
    </row>
    <row r="41" spans="1:5" x14ac:dyDescent="0.2">
      <c r="A41" s="44">
        <f t="shared" si="0"/>
        <v>32</v>
      </c>
      <c r="B41" s="83"/>
      <c r="E41" s="98"/>
    </row>
    <row r="42" spans="1:5" x14ac:dyDescent="0.2">
      <c r="A42" s="44">
        <f t="shared" si="0"/>
        <v>33</v>
      </c>
      <c r="B42" s="80" t="s">
        <v>112</v>
      </c>
      <c r="C42" s="8"/>
      <c r="D42" s="87"/>
      <c r="E42" s="98"/>
    </row>
    <row r="43" spans="1:5" x14ac:dyDescent="0.2">
      <c r="A43" s="44">
        <f t="shared" si="0"/>
        <v>34</v>
      </c>
      <c r="C43" s="83" t="s">
        <v>109</v>
      </c>
      <c r="D43" s="83" t="s">
        <v>48</v>
      </c>
      <c r="E43" s="244">
        <f>'RateDev (31,31T,41,41T,86,86T)'!K38</f>
        <v>-9.000000000000008E-2</v>
      </c>
    </row>
    <row r="44" spans="1:5" x14ac:dyDescent="0.2">
      <c r="A44" s="44">
        <f t="shared" si="0"/>
        <v>35</v>
      </c>
      <c r="E44" s="98"/>
    </row>
    <row r="45" spans="1:5" x14ac:dyDescent="0.2">
      <c r="A45" s="44">
        <f t="shared" si="0"/>
        <v>36</v>
      </c>
      <c r="C45" s="83" t="s">
        <v>110</v>
      </c>
      <c r="E45" s="98"/>
    </row>
    <row r="46" spans="1:5" x14ac:dyDescent="0.2">
      <c r="A46" s="44">
        <f t="shared" si="0"/>
        <v>37</v>
      </c>
      <c r="C46" s="83" t="s">
        <v>113</v>
      </c>
      <c r="D46" s="83" t="s">
        <v>48</v>
      </c>
      <c r="E46" s="98">
        <f>'RateDev (31,31T,41,41T,86,86T)'!K41</f>
        <v>-1.4520000000000005E-2</v>
      </c>
    </row>
    <row r="47" spans="1:5" x14ac:dyDescent="0.2">
      <c r="A47" s="44">
        <f t="shared" si="0"/>
        <v>38</v>
      </c>
      <c r="C47" s="83" t="s">
        <v>114</v>
      </c>
      <c r="D47" s="83" t="s">
        <v>48</v>
      </c>
      <c r="E47" s="98">
        <f>'RateDev (31,31T,41,41T,86,86T)'!K42</f>
        <v>-1.0290000000000021E-2</v>
      </c>
    </row>
    <row r="48" spans="1:5" x14ac:dyDescent="0.2">
      <c r="A48" s="44">
        <f t="shared" si="0"/>
        <v>39</v>
      </c>
      <c r="E48" s="98"/>
    </row>
    <row r="49" spans="1:5" x14ac:dyDescent="0.2">
      <c r="A49" s="44">
        <f t="shared" si="0"/>
        <v>40</v>
      </c>
      <c r="C49" s="83" t="s">
        <v>106</v>
      </c>
      <c r="D49" s="83" t="s">
        <v>48</v>
      </c>
      <c r="E49" s="98">
        <f>'RateDev (31,31T,41,41T,86,86T)'!K44</f>
        <v>-6.8000000000000005E-4</v>
      </c>
    </row>
    <row r="50" spans="1:5" x14ac:dyDescent="0.2">
      <c r="A50" s="44">
        <f t="shared" si="0"/>
        <v>41</v>
      </c>
      <c r="C50" s="87"/>
      <c r="D50" s="87"/>
      <c r="E50" s="98"/>
    </row>
    <row r="51" spans="1:5" x14ac:dyDescent="0.2">
      <c r="A51" s="44">
        <f t="shared" si="0"/>
        <v>42</v>
      </c>
      <c r="B51" s="80" t="s">
        <v>115</v>
      </c>
      <c r="C51" s="8"/>
      <c r="D51" s="87"/>
      <c r="E51" s="98"/>
    </row>
    <row r="52" spans="1:5" x14ac:dyDescent="0.2">
      <c r="A52" s="44">
        <f t="shared" si="0"/>
        <v>43</v>
      </c>
      <c r="B52" s="83"/>
      <c r="C52" s="83" t="s">
        <v>109</v>
      </c>
      <c r="D52" s="83" t="s">
        <v>48</v>
      </c>
      <c r="E52" s="244">
        <f>'RateDev (31,31T,41,41T,86,86T)'!K47</f>
        <v>-9.000000000000008E-2</v>
      </c>
    </row>
    <row r="53" spans="1:5" x14ac:dyDescent="0.2">
      <c r="A53" s="44">
        <f t="shared" si="0"/>
        <v>44</v>
      </c>
      <c r="B53" s="83"/>
      <c r="E53" s="98"/>
    </row>
    <row r="54" spans="1:5" x14ac:dyDescent="0.2">
      <c r="A54" s="44">
        <f t="shared" si="0"/>
        <v>45</v>
      </c>
      <c r="B54" s="83"/>
      <c r="C54" s="83" t="s">
        <v>110</v>
      </c>
      <c r="E54" s="98"/>
    </row>
    <row r="55" spans="1:5" x14ac:dyDescent="0.2">
      <c r="A55" s="44">
        <f t="shared" si="0"/>
        <v>46</v>
      </c>
      <c r="B55" s="83"/>
      <c r="C55" s="83" t="s">
        <v>113</v>
      </c>
      <c r="D55" s="83" t="s">
        <v>48</v>
      </c>
      <c r="E55" s="98">
        <f>'RateDev (31,31T,41,41T,86,86T)'!K50</f>
        <v>-1.4030000000000015E-2</v>
      </c>
    </row>
    <row r="56" spans="1:5" x14ac:dyDescent="0.2">
      <c r="A56" s="44">
        <f t="shared" si="0"/>
        <v>47</v>
      </c>
      <c r="B56" s="83"/>
      <c r="C56" s="83" t="s">
        <v>114</v>
      </c>
      <c r="D56" s="83" t="s">
        <v>48</v>
      </c>
      <c r="E56" s="98">
        <f>'RateDev (31,31T,41,41T,86,86T)'!K51</f>
        <v>-9.9500000000000144E-3</v>
      </c>
    </row>
    <row r="57" spans="1:5" x14ac:dyDescent="0.2">
      <c r="A57" s="44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86" orientation="landscape" blackAndWhite="1" r:id="rId1"/>
  <headerFooter>
    <oddFooter>&amp;R&amp;F
&amp;A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B1:AN335"/>
  <sheetViews>
    <sheetView zoomScaleNormal="100" workbookViewId="0">
      <pane ySplit="6" topLeftCell="A7" activePane="bottomLeft" state="frozen"/>
      <selection activeCell="Q47" sqref="A1:Q47"/>
      <selection pane="bottomLeft" activeCell="B3" sqref="B3:P3"/>
    </sheetView>
  </sheetViews>
  <sheetFormatPr defaultColWidth="9.140625" defaultRowHeight="11.25" x14ac:dyDescent="0.2"/>
  <cols>
    <col min="1" max="1" width="2.28515625" style="7" customWidth="1"/>
    <col min="2" max="2" width="34.140625" style="7" customWidth="1"/>
    <col min="3" max="3" width="7.28515625" style="7" bestFit="1" customWidth="1"/>
    <col min="4" max="9" width="10.28515625" style="7" bestFit="1" customWidth="1"/>
    <col min="10" max="11" width="8.7109375" style="7" bestFit="1" customWidth="1"/>
    <col min="12" max="15" width="10.28515625" style="7" bestFit="1" customWidth="1"/>
    <col min="16" max="16" width="10.85546875" style="7" bestFit="1" customWidth="1"/>
    <col min="17" max="17" width="12.7109375" style="7" customWidth="1"/>
    <col min="18" max="18" width="10.7109375" style="7" bestFit="1" customWidth="1"/>
    <col min="19" max="16384" width="9.140625" style="7"/>
  </cols>
  <sheetData>
    <row r="1" spans="2:19" x14ac:dyDescent="0.2">
      <c r="B1" s="435" t="s">
        <v>0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266"/>
    </row>
    <row r="2" spans="2:19" x14ac:dyDescent="0.2">
      <c r="B2" s="435" t="s">
        <v>425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266"/>
    </row>
    <row r="3" spans="2:19" x14ac:dyDescent="0.2">
      <c r="B3" s="445" t="s">
        <v>428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266"/>
    </row>
    <row r="4" spans="2:19" x14ac:dyDescent="0.2">
      <c r="B4" s="63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</row>
    <row r="5" spans="2:19" x14ac:dyDescent="0.2">
      <c r="B5" s="63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</row>
    <row r="6" spans="2:19" s="4" customFormat="1" x14ac:dyDescent="0.2">
      <c r="B6" s="323" t="s">
        <v>46</v>
      </c>
      <c r="C6" s="323" t="s">
        <v>254</v>
      </c>
      <c r="D6" s="324">
        <v>43466</v>
      </c>
      <c r="E6" s="324">
        <v>43497</v>
      </c>
      <c r="F6" s="324">
        <v>43525</v>
      </c>
      <c r="G6" s="324">
        <v>43556</v>
      </c>
      <c r="H6" s="324">
        <v>43586</v>
      </c>
      <c r="I6" s="324">
        <v>43617</v>
      </c>
      <c r="J6" s="324">
        <v>43647</v>
      </c>
      <c r="K6" s="324">
        <v>43678</v>
      </c>
      <c r="L6" s="324">
        <v>43709</v>
      </c>
      <c r="M6" s="324">
        <v>43739</v>
      </c>
      <c r="N6" s="324">
        <v>43770</v>
      </c>
      <c r="O6" s="324">
        <v>43800</v>
      </c>
      <c r="P6" s="325" t="s">
        <v>73</v>
      </c>
      <c r="Q6" s="326"/>
    </row>
    <row r="7" spans="2:19" x14ac:dyDescent="0.2">
      <c r="B7" s="4" t="s">
        <v>255</v>
      </c>
      <c r="C7" s="172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</row>
    <row r="8" spans="2:19" s="8" customFormat="1" x14ac:dyDescent="0.2">
      <c r="B8" s="8" t="s">
        <v>256</v>
      </c>
      <c r="C8" s="174">
        <v>16</v>
      </c>
      <c r="D8" s="213">
        <v>910.1</v>
      </c>
      <c r="E8" s="213">
        <v>735.3</v>
      </c>
      <c r="F8" s="213">
        <v>756.19999999999993</v>
      </c>
      <c r="G8" s="213">
        <v>758.1</v>
      </c>
      <c r="H8" s="213">
        <v>1159</v>
      </c>
      <c r="I8" s="213">
        <v>427.5</v>
      </c>
      <c r="J8" s="213">
        <v>750.5</v>
      </c>
      <c r="K8" s="213">
        <v>779</v>
      </c>
      <c r="L8" s="213">
        <v>750.5</v>
      </c>
      <c r="M8" s="213">
        <v>760</v>
      </c>
      <c r="N8" s="213">
        <v>759.05049999999994</v>
      </c>
      <c r="O8" s="213">
        <v>722.31650000000002</v>
      </c>
      <c r="P8" s="175">
        <f>SUM(D8:O8)</f>
        <v>9267.5670000000009</v>
      </c>
      <c r="Q8" s="175"/>
      <c r="S8" s="175"/>
    </row>
    <row r="9" spans="2:19" s="8" customFormat="1" x14ac:dyDescent="0.2">
      <c r="B9" s="8" t="s">
        <v>68</v>
      </c>
      <c r="C9" s="8">
        <v>23</v>
      </c>
      <c r="D9" s="213">
        <v>86365525.951352641</v>
      </c>
      <c r="E9" s="213">
        <v>104049723.91895247</v>
      </c>
      <c r="F9" s="213">
        <v>73579826.006170139</v>
      </c>
      <c r="G9" s="213">
        <v>45329405.570679627</v>
      </c>
      <c r="H9" s="213">
        <v>24610633.304136805</v>
      </c>
      <c r="I9" s="213">
        <v>17655472.54762454</v>
      </c>
      <c r="J9" s="213">
        <v>13907677.966402467</v>
      </c>
      <c r="K9" s="213">
        <v>12929912.320068486</v>
      </c>
      <c r="L9" s="213">
        <v>18292618.929006856</v>
      </c>
      <c r="M9" s="213">
        <v>53312402.499214396</v>
      </c>
      <c r="N9" s="213">
        <v>68864722.13700439</v>
      </c>
      <c r="O9" s="213">
        <v>86406580.379400849</v>
      </c>
      <c r="P9" s="175">
        <f t="shared" ref="P9:P33" si="0">SUM(D9:O9)</f>
        <v>605304501.53001368</v>
      </c>
      <c r="Q9" s="175"/>
      <c r="R9" s="176"/>
    </row>
    <row r="10" spans="2:19" s="8" customFormat="1" x14ac:dyDescent="0.2">
      <c r="B10" s="8" t="s">
        <v>257</v>
      </c>
      <c r="C10" s="8">
        <v>53</v>
      </c>
      <c r="D10" s="213">
        <v>0</v>
      </c>
      <c r="E10" s="213">
        <v>0</v>
      </c>
      <c r="F10" s="213">
        <v>0</v>
      </c>
      <c r="G10" s="213">
        <v>0</v>
      </c>
      <c r="H10" s="213">
        <v>0</v>
      </c>
      <c r="I10" s="213">
        <v>0</v>
      </c>
      <c r="J10" s="213">
        <v>0</v>
      </c>
      <c r="K10" s="213">
        <v>0</v>
      </c>
      <c r="L10" s="213">
        <v>0</v>
      </c>
      <c r="M10" s="213">
        <v>0</v>
      </c>
      <c r="N10" s="213">
        <v>0</v>
      </c>
      <c r="O10" s="213">
        <v>0</v>
      </c>
      <c r="P10" s="175">
        <f t="shared" si="0"/>
        <v>0</v>
      </c>
      <c r="Q10" s="175"/>
      <c r="R10" s="176"/>
    </row>
    <row r="11" spans="2:19" s="8" customFormat="1" x14ac:dyDescent="0.2">
      <c r="B11" s="8" t="s">
        <v>258</v>
      </c>
      <c r="C11" s="8">
        <v>31</v>
      </c>
      <c r="D11" s="213">
        <v>27686375.040289201</v>
      </c>
      <c r="E11" s="213">
        <v>33736383.134500101</v>
      </c>
      <c r="F11" s="213">
        <v>26012088.740394015</v>
      </c>
      <c r="G11" s="213">
        <v>17056852.884160385</v>
      </c>
      <c r="H11" s="213">
        <v>12182909.409445543</v>
      </c>
      <c r="I11" s="213">
        <v>9306727.0237671677</v>
      </c>
      <c r="J11" s="213">
        <v>8323394.8818865214</v>
      </c>
      <c r="K11" s="213">
        <v>8240825.9669891959</v>
      </c>
      <c r="L11" s="213">
        <v>9252243.3089527655</v>
      </c>
      <c r="M11" s="213">
        <v>19401142.666929089</v>
      </c>
      <c r="N11" s="213">
        <v>19889119.162412316</v>
      </c>
      <c r="O11" s="213">
        <v>30613118.471776109</v>
      </c>
      <c r="P11" s="175">
        <f t="shared" si="0"/>
        <v>221701180.69150242</v>
      </c>
      <c r="Q11" s="175"/>
    </row>
    <row r="12" spans="2:19" s="8" customFormat="1" x14ac:dyDescent="0.2">
      <c r="B12" s="8" t="s">
        <v>259</v>
      </c>
      <c r="C12" s="8">
        <v>41</v>
      </c>
      <c r="D12" s="213">
        <v>6014497.2104631681</v>
      </c>
      <c r="E12" s="213">
        <v>7320910.9351613037</v>
      </c>
      <c r="F12" s="213">
        <v>5991746.7236823272</v>
      </c>
      <c r="G12" s="213">
        <v>4898980.1531650946</v>
      </c>
      <c r="H12" s="213">
        <v>4306689.1026878767</v>
      </c>
      <c r="I12" s="213">
        <v>2547669.6949090385</v>
      </c>
      <c r="J12" s="213">
        <v>2440428.5243217871</v>
      </c>
      <c r="K12" s="213">
        <v>2273773.3845689241</v>
      </c>
      <c r="L12" s="213">
        <v>2742789.5486471765</v>
      </c>
      <c r="M12" s="213">
        <v>4852391.2560945796</v>
      </c>
      <c r="N12" s="213">
        <v>5396314.8650751859</v>
      </c>
      <c r="O12" s="213">
        <v>7151353.6919762893</v>
      </c>
      <c r="P12" s="175">
        <f t="shared" si="0"/>
        <v>55937545.090752751</v>
      </c>
      <c r="Q12" s="175"/>
      <c r="R12" s="177"/>
    </row>
    <row r="13" spans="2:19" s="8" customFormat="1" x14ac:dyDescent="0.2">
      <c r="B13" s="8" t="s">
        <v>260</v>
      </c>
      <c r="C13" s="8">
        <v>50</v>
      </c>
      <c r="D13" s="213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175">
        <f t="shared" si="0"/>
        <v>0</v>
      </c>
      <c r="Q13" s="175"/>
    </row>
    <row r="14" spans="2:19" s="8" customFormat="1" x14ac:dyDescent="0.2">
      <c r="B14" s="8" t="s">
        <v>261</v>
      </c>
      <c r="C14" s="8">
        <v>85</v>
      </c>
      <c r="D14" s="213">
        <v>2483124.5690000001</v>
      </c>
      <c r="E14" s="213">
        <v>73591.820499999681</v>
      </c>
      <c r="F14" s="213">
        <v>1866792.5984999998</v>
      </c>
      <c r="G14" s="213">
        <v>643500.8862500001</v>
      </c>
      <c r="H14" s="213">
        <v>1172258.2217499998</v>
      </c>
      <c r="I14" s="213">
        <v>823645.0830000001</v>
      </c>
      <c r="J14" s="213">
        <v>645544.18150000006</v>
      </c>
      <c r="K14" s="213">
        <v>702711.99599999993</v>
      </c>
      <c r="L14" s="213">
        <v>450119.86950000003</v>
      </c>
      <c r="M14" s="213">
        <v>1815393.5019999999</v>
      </c>
      <c r="N14" s="213">
        <v>778749.04599999997</v>
      </c>
      <c r="O14" s="213">
        <v>1770292.476</v>
      </c>
      <c r="P14" s="175">
        <f t="shared" si="0"/>
        <v>13225724.25</v>
      </c>
      <c r="Q14" s="175"/>
    </row>
    <row r="15" spans="2:19" s="8" customFormat="1" x14ac:dyDescent="0.2">
      <c r="B15" s="8" t="s">
        <v>262</v>
      </c>
      <c r="C15" s="8">
        <v>86</v>
      </c>
      <c r="D15" s="213">
        <v>1343698.2587244327</v>
      </c>
      <c r="E15" s="213">
        <v>1154311.2004389015</v>
      </c>
      <c r="F15" s="213">
        <v>1113814.148189869</v>
      </c>
      <c r="G15" s="213">
        <v>671042.16710463353</v>
      </c>
      <c r="H15" s="213">
        <v>461144.3400557384</v>
      </c>
      <c r="I15" s="213">
        <v>565186.69117559993</v>
      </c>
      <c r="J15" s="213">
        <v>338391.50339239591</v>
      </c>
      <c r="K15" s="213">
        <v>-134869.59293023043</v>
      </c>
      <c r="L15" s="213">
        <v>446425.85570986348</v>
      </c>
      <c r="M15" s="213">
        <v>601423.4175403323</v>
      </c>
      <c r="N15" s="213">
        <v>1118970.4852117379</v>
      </c>
      <c r="O15" s="213">
        <v>499759.92298105068</v>
      </c>
      <c r="P15" s="175">
        <f t="shared" si="0"/>
        <v>8179298.3975943243</v>
      </c>
      <c r="Q15" s="175"/>
    </row>
    <row r="16" spans="2:19" s="8" customFormat="1" x14ac:dyDescent="0.2">
      <c r="B16" s="8" t="s">
        <v>263</v>
      </c>
      <c r="C16" s="8">
        <v>87</v>
      </c>
      <c r="D16" s="213">
        <v>2945806.202</v>
      </c>
      <c r="E16" s="213">
        <v>1340265.9005000002</v>
      </c>
      <c r="F16" s="213">
        <v>2388103.5619999999</v>
      </c>
      <c r="G16" s="213">
        <v>1858142.6695000001</v>
      </c>
      <c r="H16" s="213">
        <v>2230705.55975</v>
      </c>
      <c r="I16" s="213">
        <v>1570650.4422500001</v>
      </c>
      <c r="J16" s="213">
        <v>1230746.9491559998</v>
      </c>
      <c r="K16" s="213">
        <v>1676042.7718440001</v>
      </c>
      <c r="L16" s="213">
        <v>952070.94099999988</v>
      </c>
      <c r="M16" s="213">
        <v>1988245.2819999999</v>
      </c>
      <c r="N16" s="213">
        <v>1463869.2080000001</v>
      </c>
      <c r="O16" s="213">
        <v>2891175.33</v>
      </c>
      <c r="P16" s="175">
        <f t="shared" si="0"/>
        <v>22535824.818000004</v>
      </c>
      <c r="Q16" s="175"/>
    </row>
    <row r="17" spans="2:18" s="8" customFormat="1" x14ac:dyDescent="0.2">
      <c r="B17" s="8" t="s">
        <v>264</v>
      </c>
      <c r="C17" s="8">
        <v>31</v>
      </c>
      <c r="D17" s="213">
        <v>956412.02331155655</v>
      </c>
      <c r="E17" s="213">
        <v>2191149.7766924948</v>
      </c>
      <c r="F17" s="213">
        <v>1754707.6027963385</v>
      </c>
      <c r="G17" s="213">
        <v>1224215.7832504753</v>
      </c>
      <c r="H17" s="213">
        <v>680707.79361748113</v>
      </c>
      <c r="I17" s="213">
        <v>287184.07613718987</v>
      </c>
      <c r="J17" s="213">
        <v>371126.58772015839</v>
      </c>
      <c r="K17" s="213">
        <v>447622.34564292227</v>
      </c>
      <c r="L17" s="213">
        <v>2157770.9982741345</v>
      </c>
      <c r="M17" s="213">
        <v>-595919.23635725374</v>
      </c>
      <c r="N17" s="213">
        <v>1541263.4568340187</v>
      </c>
      <c r="O17" s="213">
        <v>2051778.576753614</v>
      </c>
      <c r="P17" s="175">
        <f t="shared" si="0"/>
        <v>13068019.78467313</v>
      </c>
      <c r="Q17" s="175"/>
    </row>
    <row r="18" spans="2:18" s="8" customFormat="1" x14ac:dyDescent="0.2">
      <c r="B18" s="8" t="s">
        <v>265</v>
      </c>
      <c r="C18" s="8">
        <v>41</v>
      </c>
      <c r="D18" s="213">
        <v>961663.36399999994</v>
      </c>
      <c r="E18" s="213">
        <v>811765.85699999996</v>
      </c>
      <c r="F18" s="213">
        <v>710211.70946500008</v>
      </c>
      <c r="G18" s="213">
        <v>869183.259035</v>
      </c>
      <c r="H18" s="213">
        <v>824084.56491421198</v>
      </c>
      <c r="I18" s="213">
        <v>657980.30945058819</v>
      </c>
      <c r="J18" s="213">
        <v>650378.77248999989</v>
      </c>
      <c r="K18" s="213">
        <v>737231.61644070537</v>
      </c>
      <c r="L18" s="213">
        <v>659729.80128747062</v>
      </c>
      <c r="M18" s="213">
        <v>930278.06309331208</v>
      </c>
      <c r="N18" s="213">
        <v>1152343.5366432921</v>
      </c>
      <c r="O18" s="213">
        <v>881914.44327921991</v>
      </c>
      <c r="P18" s="175">
        <f t="shared" si="0"/>
        <v>9846765.2970987987</v>
      </c>
      <c r="Q18" s="175"/>
    </row>
    <row r="19" spans="2:18" s="8" customFormat="1" x14ac:dyDescent="0.2">
      <c r="B19" s="8" t="s">
        <v>266</v>
      </c>
      <c r="C19" s="8">
        <v>85</v>
      </c>
      <c r="D19" s="213">
        <v>144359.23600000003</v>
      </c>
      <c r="E19" s="213">
        <v>57327.470499999967</v>
      </c>
      <c r="F19" s="213">
        <v>156154.57650000002</v>
      </c>
      <c r="G19" s="213">
        <v>62638.152249999999</v>
      </c>
      <c r="H19" s="213">
        <v>189994.26309412898</v>
      </c>
      <c r="I19" s="213">
        <v>20791.926711849002</v>
      </c>
      <c r="J19" s="213">
        <v>72373.533269340987</v>
      </c>
      <c r="K19" s="213">
        <v>141990.42767468101</v>
      </c>
      <c r="L19" s="213">
        <v>128990.121530976</v>
      </c>
      <c r="M19" s="213">
        <v>118945.946725852</v>
      </c>
      <c r="N19" s="213">
        <v>128030.01704260097</v>
      </c>
      <c r="O19" s="213">
        <v>47705.618994288016</v>
      </c>
      <c r="P19" s="175">
        <f t="shared" si="0"/>
        <v>1269301.2902937171</v>
      </c>
      <c r="Q19" s="175"/>
    </row>
    <row r="20" spans="2:18" s="8" customFormat="1" x14ac:dyDescent="0.2">
      <c r="B20" s="8" t="s">
        <v>267</v>
      </c>
      <c r="C20" s="8">
        <v>86</v>
      </c>
      <c r="D20" s="213">
        <v>-263819.83700000006</v>
      </c>
      <c r="E20" s="213">
        <v>25121.289000000001</v>
      </c>
      <c r="F20" s="213">
        <v>21661.561000000002</v>
      </c>
      <c r="G20" s="213">
        <v>14272.241000000002</v>
      </c>
      <c r="H20" s="213">
        <v>11609.106000000002</v>
      </c>
      <c r="I20" s="213">
        <v>6272.7069999999985</v>
      </c>
      <c r="J20" s="213">
        <v>7863.2060000000001</v>
      </c>
      <c r="K20" s="213">
        <v>7414.4429999999993</v>
      </c>
      <c r="L20" s="213">
        <v>10615.537</v>
      </c>
      <c r="M20" s="213">
        <v>18472.912</v>
      </c>
      <c r="N20" s="213">
        <v>17832.550000000003</v>
      </c>
      <c r="O20" s="213">
        <v>87963.4</v>
      </c>
      <c r="P20" s="175">
        <f t="shared" si="0"/>
        <v>-34720.885000000053</v>
      </c>
      <c r="Q20" s="175"/>
    </row>
    <row r="21" spans="2:18" s="8" customFormat="1" x14ac:dyDescent="0.2">
      <c r="B21" s="8" t="s">
        <v>268</v>
      </c>
      <c r="C21" s="8">
        <v>87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175">
        <f t="shared" si="0"/>
        <v>0</v>
      </c>
      <c r="Q21" s="175"/>
    </row>
    <row r="22" spans="2:18" s="8" customFormat="1" x14ac:dyDescent="0.2">
      <c r="B22" s="8" t="s">
        <v>269</v>
      </c>
      <c r="C22" s="174" t="s">
        <v>72</v>
      </c>
      <c r="D22" s="213">
        <v>2637.119999999999</v>
      </c>
      <c r="E22" s="213">
        <v>2507.1749999999997</v>
      </c>
      <c r="F22" s="213">
        <v>1656.8650000000002</v>
      </c>
      <c r="G22" s="213">
        <v>3688.93</v>
      </c>
      <c r="H22" s="213">
        <v>1550.6200000000003</v>
      </c>
      <c r="I22" s="213">
        <v>-948.3900000000001</v>
      </c>
      <c r="J22" s="213">
        <v>1073.69</v>
      </c>
      <c r="K22" s="213">
        <v>43132.139999999992</v>
      </c>
      <c r="L22" s="213">
        <v>-39337.74</v>
      </c>
      <c r="M22" s="213">
        <v>3133.5300000000007</v>
      </c>
      <c r="N22" s="213">
        <v>3541.1899999999991</v>
      </c>
      <c r="O22" s="213">
        <v>3541.19</v>
      </c>
      <c r="P22" s="175">
        <f t="shared" si="0"/>
        <v>26176.319999999992</v>
      </c>
      <c r="Q22" s="175"/>
    </row>
    <row r="23" spans="2:18" s="8" customFormat="1" x14ac:dyDescent="0.2">
      <c r="B23" s="8" t="s">
        <v>270</v>
      </c>
      <c r="C23" s="174" t="s">
        <v>76</v>
      </c>
      <c r="D23" s="213">
        <v>1625797.5600000003</v>
      </c>
      <c r="E23" s="213">
        <v>1092057.8850000002</v>
      </c>
      <c r="F23" s="213">
        <v>1352193.9949999999</v>
      </c>
      <c r="G23" s="213">
        <v>1690197.09</v>
      </c>
      <c r="H23" s="213">
        <v>877167.46</v>
      </c>
      <c r="I23" s="213">
        <v>1172161.92</v>
      </c>
      <c r="J23" s="213">
        <v>477698.81</v>
      </c>
      <c r="K23" s="213">
        <v>1603515.6800000004</v>
      </c>
      <c r="L23" s="213">
        <v>1267604.6299999999</v>
      </c>
      <c r="M23" s="213">
        <v>1349378.2999999998</v>
      </c>
      <c r="N23" s="213">
        <v>1470729.0800000003</v>
      </c>
      <c r="O23" s="213">
        <v>1455859.17</v>
      </c>
      <c r="P23" s="175">
        <f t="shared" si="0"/>
        <v>15434361.580000002</v>
      </c>
      <c r="Q23" s="175"/>
    </row>
    <row r="24" spans="2:18" s="8" customFormat="1" x14ac:dyDescent="0.2">
      <c r="B24" s="8" t="s">
        <v>271</v>
      </c>
      <c r="C24" s="174" t="s">
        <v>127</v>
      </c>
      <c r="D24" s="213">
        <v>2198451.1399999997</v>
      </c>
      <c r="E24" s="213">
        <v>2050127.593333333</v>
      </c>
      <c r="F24" s="213">
        <v>2077429.8666666669</v>
      </c>
      <c r="G24" s="213">
        <v>1863638.8599999999</v>
      </c>
      <c r="H24" s="213">
        <v>1760083.05</v>
      </c>
      <c r="I24" s="213">
        <v>1342540.4999999998</v>
      </c>
      <c r="J24" s="213">
        <v>1700288.0400000003</v>
      </c>
      <c r="K24" s="213">
        <v>1601100.1999999997</v>
      </c>
      <c r="L24" s="213">
        <v>1508743.7499999998</v>
      </c>
      <c r="M24" s="213">
        <v>1723136.48</v>
      </c>
      <c r="N24" s="213">
        <v>1659560.19</v>
      </c>
      <c r="O24" s="213">
        <v>1770037.8900000001</v>
      </c>
      <c r="P24" s="175">
        <f t="shared" si="0"/>
        <v>21255137.560000002</v>
      </c>
      <c r="Q24" s="175"/>
    </row>
    <row r="25" spans="2:18" s="8" customFormat="1" x14ac:dyDescent="0.2">
      <c r="B25" s="8" t="s">
        <v>271</v>
      </c>
      <c r="C25" s="174" t="s">
        <v>79</v>
      </c>
      <c r="D25" s="213">
        <v>0</v>
      </c>
      <c r="E25" s="213">
        <v>0</v>
      </c>
      <c r="F25" s="213">
        <v>20713.419999999998</v>
      </c>
      <c r="G25" s="213">
        <v>817.69</v>
      </c>
      <c r="H25" s="213">
        <v>793.44</v>
      </c>
      <c r="I25" s="213">
        <v>815.76</v>
      </c>
      <c r="J25" s="213">
        <v>790.32</v>
      </c>
      <c r="K25" s="213">
        <v>818.88</v>
      </c>
      <c r="L25" s="213">
        <v>17574.28</v>
      </c>
      <c r="M25" s="213">
        <v>18930.669999999998</v>
      </c>
      <c r="N25" s="213">
        <v>23692.91</v>
      </c>
      <c r="O25" s="213">
        <v>23988.11</v>
      </c>
      <c r="P25" s="175">
        <f t="shared" si="0"/>
        <v>108935.48</v>
      </c>
      <c r="Q25" s="175"/>
    </row>
    <row r="26" spans="2:18" s="8" customFormat="1" x14ac:dyDescent="0.2">
      <c r="B26" s="8" t="s">
        <v>272</v>
      </c>
      <c r="C26" s="174" t="s">
        <v>129</v>
      </c>
      <c r="D26" s="213">
        <v>1925147.8899999994</v>
      </c>
      <c r="E26" s="213">
        <v>1863753.3299999998</v>
      </c>
      <c r="F26" s="213">
        <v>2049205.6700000002</v>
      </c>
      <c r="G26" s="213">
        <v>1492885.88</v>
      </c>
      <c r="H26" s="213">
        <v>1256087.1600000001</v>
      </c>
      <c r="I26" s="213">
        <v>1122618.4799999997</v>
      </c>
      <c r="J26" s="213">
        <v>1122643.92</v>
      </c>
      <c r="K26" s="213">
        <v>1053639.06</v>
      </c>
      <c r="L26" s="213">
        <v>1083956.9300000002</v>
      </c>
      <c r="M26" s="213">
        <v>1640903.02</v>
      </c>
      <c r="N26" s="213">
        <v>1604159.9399999997</v>
      </c>
      <c r="O26" s="213">
        <v>1665901.85</v>
      </c>
      <c r="P26" s="175">
        <f t="shared" si="0"/>
        <v>17880903.129999999</v>
      </c>
      <c r="Q26" s="267"/>
    </row>
    <row r="27" spans="2:18" s="8" customFormat="1" x14ac:dyDescent="0.2">
      <c r="B27" s="8" t="s">
        <v>273</v>
      </c>
      <c r="C27" s="174" t="s">
        <v>76</v>
      </c>
      <c r="D27" s="213">
        <v>583776.34000000008</v>
      </c>
      <c r="E27" s="213">
        <v>459092.37166666659</v>
      </c>
      <c r="F27" s="213">
        <v>984109.84833333339</v>
      </c>
      <c r="G27" s="213">
        <v>514846.11</v>
      </c>
      <c r="H27" s="213">
        <v>542704.98</v>
      </c>
      <c r="I27" s="213">
        <v>529826.44999999995</v>
      </c>
      <c r="J27" s="213">
        <v>542590.30999999994</v>
      </c>
      <c r="K27" s="213">
        <v>595930.8600000001</v>
      </c>
      <c r="L27" s="213">
        <v>394726.9</v>
      </c>
      <c r="M27" s="213">
        <v>458000.64999999985</v>
      </c>
      <c r="N27" s="213">
        <v>540822.9600000002</v>
      </c>
      <c r="O27" s="213">
        <v>494185.43</v>
      </c>
      <c r="P27" s="175">
        <f t="shared" si="0"/>
        <v>6640613.209999999</v>
      </c>
      <c r="Q27" s="175"/>
    </row>
    <row r="28" spans="2:18" s="8" customFormat="1" x14ac:dyDescent="0.2">
      <c r="B28" s="7" t="s">
        <v>274</v>
      </c>
      <c r="C28" s="178" t="s">
        <v>127</v>
      </c>
      <c r="D28" s="213">
        <v>4475211.4899999993</v>
      </c>
      <c r="E28" s="213">
        <v>4143051.1716666664</v>
      </c>
      <c r="F28" s="213">
        <v>4496678.0283333333</v>
      </c>
      <c r="G28" s="213">
        <v>4522908.42</v>
      </c>
      <c r="H28" s="213">
        <v>5249043.9149999991</v>
      </c>
      <c r="I28" s="213">
        <v>3906725.0200000005</v>
      </c>
      <c r="J28" s="213">
        <v>4016395.99</v>
      </c>
      <c r="K28" s="213">
        <v>4283024.09</v>
      </c>
      <c r="L28" s="213">
        <v>4210133.74</v>
      </c>
      <c r="M28" s="213">
        <v>4373150.87</v>
      </c>
      <c r="N28" s="213">
        <v>3949704.0200000005</v>
      </c>
      <c r="O28" s="213">
        <v>4042673.5799999991</v>
      </c>
      <c r="P28" s="175">
        <f t="shared" si="0"/>
        <v>51668700.335000001</v>
      </c>
      <c r="Q28" s="175"/>
    </row>
    <row r="29" spans="2:18" s="8" customFormat="1" x14ac:dyDescent="0.2">
      <c r="B29" s="8" t="s">
        <v>275</v>
      </c>
      <c r="C29" s="178" t="s">
        <v>79</v>
      </c>
      <c r="D29" s="213">
        <v>36598.430000000008</v>
      </c>
      <c r="E29" s="213">
        <v>17552.478333333322</v>
      </c>
      <c r="F29" s="213">
        <v>43057.591666666667</v>
      </c>
      <c r="G29" s="213">
        <v>27991.760000000002</v>
      </c>
      <c r="H29" s="213">
        <v>20238.459999999992</v>
      </c>
      <c r="I29" s="213">
        <v>15176.800000000007</v>
      </c>
      <c r="J29" s="213">
        <v>15176.800000000001</v>
      </c>
      <c r="K29" s="213">
        <v>20062.41</v>
      </c>
      <c r="L29" s="213">
        <v>17924.07</v>
      </c>
      <c r="M29" s="213">
        <v>33321.94</v>
      </c>
      <c r="N29" s="213">
        <v>29416.82</v>
      </c>
      <c r="O29" s="213">
        <v>29416.82</v>
      </c>
      <c r="P29" s="175">
        <f t="shared" si="0"/>
        <v>305934.38</v>
      </c>
      <c r="Q29" s="175"/>
    </row>
    <row r="30" spans="2:18" s="8" customFormat="1" x14ac:dyDescent="0.2">
      <c r="B30" s="7" t="s">
        <v>276</v>
      </c>
      <c r="C30" s="178" t="s">
        <v>129</v>
      </c>
      <c r="D30" s="213">
        <v>6298080.9699999997</v>
      </c>
      <c r="E30" s="213">
        <v>6995747.2600000007</v>
      </c>
      <c r="F30" s="213">
        <v>5306993.71</v>
      </c>
      <c r="G30" s="213">
        <v>5219895.9399999995</v>
      </c>
      <c r="H30" s="213">
        <v>6016194.3199999994</v>
      </c>
      <c r="I30" s="213">
        <v>6887726.1400000006</v>
      </c>
      <c r="J30" s="213">
        <v>6887726.1399999997</v>
      </c>
      <c r="K30" s="213">
        <v>7262712.7399999993</v>
      </c>
      <c r="L30" s="213">
        <v>7223558.2000000011</v>
      </c>
      <c r="M30" s="213">
        <v>5924475.2199999988</v>
      </c>
      <c r="N30" s="213">
        <v>6781257.7999999998</v>
      </c>
      <c r="O30" s="213">
        <v>6849261.0700000003</v>
      </c>
      <c r="P30" s="175">
        <f t="shared" si="0"/>
        <v>77653629.51000002</v>
      </c>
      <c r="Q30" s="175"/>
    </row>
    <row r="31" spans="2:18" s="83" customFormat="1" x14ac:dyDescent="0.2">
      <c r="B31" s="83" t="s">
        <v>277</v>
      </c>
      <c r="C31" s="320" t="s">
        <v>278</v>
      </c>
      <c r="D31" s="275">
        <v>4053020.53</v>
      </c>
      <c r="E31" s="275">
        <v>2369269.62</v>
      </c>
      <c r="F31" s="275">
        <v>6156415.4399999995</v>
      </c>
      <c r="G31" s="275">
        <v>2759262.5</v>
      </c>
      <c r="H31" s="213">
        <v>2673413.52</v>
      </c>
      <c r="I31" s="213">
        <v>1229088.4900000002</v>
      </c>
      <c r="J31" s="213">
        <v>3086420.13</v>
      </c>
      <c r="K31" s="275">
        <v>1691221.48</v>
      </c>
      <c r="L31" s="275">
        <v>1885991.25</v>
      </c>
      <c r="M31" s="275">
        <v>3618813.0600000005</v>
      </c>
      <c r="N31" s="275">
        <v>3590736.1599999997</v>
      </c>
      <c r="O31" s="275">
        <v>3568939.84</v>
      </c>
      <c r="P31" s="179">
        <f t="shared" si="0"/>
        <v>36682592.020000003</v>
      </c>
      <c r="Q31" s="88"/>
    </row>
    <row r="32" spans="2:18" s="8" customFormat="1" x14ac:dyDescent="0.2">
      <c r="B32" s="8" t="s">
        <v>279</v>
      </c>
      <c r="D32" s="180">
        <f t="shared" ref="D32:F32" si="1">SUM(D8:D31)</f>
        <v>149837273.58814102</v>
      </c>
      <c r="E32" s="180">
        <f t="shared" si="1"/>
        <v>169754445.48824522</v>
      </c>
      <c r="F32" s="180">
        <f t="shared" si="1"/>
        <v>136084317.86369768</v>
      </c>
      <c r="G32" s="180">
        <f t="shared" ref="G32:O32" si="2">SUM(G8:G31)</f>
        <v>90725125.046395227</v>
      </c>
      <c r="H32" s="180">
        <f t="shared" si="2"/>
        <v>65069171.590451784</v>
      </c>
      <c r="I32" s="180">
        <f t="shared" si="2"/>
        <v>49647739.172025971</v>
      </c>
      <c r="J32" s="180">
        <f t="shared" si="2"/>
        <v>45839480.756138667</v>
      </c>
      <c r="K32" s="180">
        <f t="shared" si="2"/>
        <v>45178592.219298676</v>
      </c>
      <c r="L32" s="180">
        <f t="shared" si="2"/>
        <v>52665001.420909248</v>
      </c>
      <c r="M32" s="180">
        <f t="shared" si="2"/>
        <v>101586780.04924029</v>
      </c>
      <c r="N32" s="180">
        <f t="shared" si="2"/>
        <v>120005594.58472353</v>
      </c>
      <c r="O32" s="180">
        <f t="shared" si="2"/>
        <v>152306169.57766142</v>
      </c>
      <c r="P32" s="175">
        <f t="shared" si="0"/>
        <v>1178699691.3569288</v>
      </c>
      <c r="Q32" s="88"/>
      <c r="R32" s="175"/>
    </row>
    <row r="33" spans="2:40" s="8" customFormat="1" x14ac:dyDescent="0.2">
      <c r="B33" s="8" t="s">
        <v>280</v>
      </c>
      <c r="D33" s="88">
        <f>SUM(D22:D31)</f>
        <v>21198721.469999999</v>
      </c>
      <c r="E33" s="88">
        <f t="shared" ref="E33:O33" si="3">SUM(E22:E31)</f>
        <v>18993158.885000002</v>
      </c>
      <c r="F33" s="88">
        <f t="shared" si="3"/>
        <v>22488454.435000002</v>
      </c>
      <c r="G33" s="88">
        <f t="shared" si="3"/>
        <v>18096133.18</v>
      </c>
      <c r="H33" s="88">
        <f t="shared" si="3"/>
        <v>18397276.925000001</v>
      </c>
      <c r="I33" s="88">
        <f t="shared" si="3"/>
        <v>16205731.17</v>
      </c>
      <c r="J33" s="88">
        <f t="shared" si="3"/>
        <v>17850804.149999999</v>
      </c>
      <c r="K33" s="88">
        <f t="shared" si="3"/>
        <v>18155157.539999999</v>
      </c>
      <c r="L33" s="88">
        <f t="shared" si="3"/>
        <v>17570876.010000002</v>
      </c>
      <c r="M33" s="88">
        <f t="shared" si="3"/>
        <v>19143243.739999998</v>
      </c>
      <c r="N33" s="88">
        <f t="shared" si="3"/>
        <v>19653621.07</v>
      </c>
      <c r="O33" s="88">
        <f t="shared" si="3"/>
        <v>19903804.949999999</v>
      </c>
      <c r="P33" s="175">
        <f t="shared" si="0"/>
        <v>227656983.52499998</v>
      </c>
      <c r="Q33" s="175"/>
    </row>
    <row r="34" spans="2:40" x14ac:dyDescent="0.2">
      <c r="C34" s="178"/>
      <c r="D34" s="181"/>
      <c r="E34" s="181"/>
      <c r="F34" s="181"/>
      <c r="G34" s="181"/>
      <c r="H34" s="145"/>
      <c r="I34" s="145"/>
      <c r="J34" s="145"/>
      <c r="K34" s="181"/>
      <c r="L34" s="181"/>
      <c r="M34" s="181"/>
      <c r="N34" s="181"/>
      <c r="O34" s="181"/>
      <c r="P34" s="175"/>
      <c r="Q34" s="181"/>
    </row>
    <row r="35" spans="2:40" x14ac:dyDescent="0.2">
      <c r="B35" s="4" t="s">
        <v>281</v>
      </c>
      <c r="C35" s="172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40" x14ac:dyDescent="0.2">
      <c r="B36" s="8" t="s">
        <v>256</v>
      </c>
      <c r="C36" s="174">
        <v>16</v>
      </c>
      <c r="D36" s="213">
        <v>7</v>
      </c>
      <c r="E36" s="213">
        <v>9</v>
      </c>
      <c r="F36" s="213">
        <v>7</v>
      </c>
      <c r="G36" s="213">
        <v>7</v>
      </c>
      <c r="H36" s="213">
        <v>7</v>
      </c>
      <c r="I36" s="213">
        <v>7</v>
      </c>
      <c r="J36" s="213">
        <v>8</v>
      </c>
      <c r="K36" s="213">
        <v>8</v>
      </c>
      <c r="L36" s="213">
        <v>8</v>
      </c>
      <c r="M36" s="213">
        <v>7</v>
      </c>
      <c r="N36" s="213">
        <v>7</v>
      </c>
      <c r="O36" s="213">
        <v>6</v>
      </c>
      <c r="P36" s="175">
        <f>SUM(D36:O36)</f>
        <v>88</v>
      </c>
      <c r="Q36" s="150"/>
      <c r="R36" s="8"/>
      <c r="S36" s="150"/>
      <c r="T36" s="150"/>
      <c r="U36" s="8"/>
      <c r="V36" s="8"/>
      <c r="W36" s="150"/>
      <c r="X36" s="150"/>
      <c r="Y36" s="150"/>
      <c r="Z36" s="150"/>
      <c r="AA36" s="150"/>
      <c r="AB36" s="8"/>
      <c r="AC36" s="150"/>
      <c r="AD36" s="150"/>
      <c r="AE36" s="11"/>
      <c r="AF36" s="150"/>
      <c r="AG36" s="150"/>
      <c r="AH36" s="150"/>
      <c r="AI36" s="150"/>
      <c r="AJ36" s="150"/>
      <c r="AK36" s="150"/>
      <c r="AL36" s="150"/>
      <c r="AM36" s="150"/>
      <c r="AN36" s="150"/>
    </row>
    <row r="37" spans="2:40" s="8" customFormat="1" x14ac:dyDescent="0.2">
      <c r="B37" s="8" t="s">
        <v>68</v>
      </c>
      <c r="C37" s="8">
        <v>23</v>
      </c>
      <c r="D37" s="213">
        <v>779200</v>
      </c>
      <c r="E37" s="213">
        <v>779972</v>
      </c>
      <c r="F37" s="213">
        <v>780592</v>
      </c>
      <c r="G37" s="213">
        <v>781015</v>
      </c>
      <c r="H37" s="213">
        <v>781452</v>
      </c>
      <c r="I37" s="213">
        <v>781442</v>
      </c>
      <c r="J37" s="213">
        <v>781419</v>
      </c>
      <c r="K37" s="213">
        <v>782149</v>
      </c>
      <c r="L37" s="213">
        <v>782889</v>
      </c>
      <c r="M37" s="213">
        <v>784715</v>
      </c>
      <c r="N37" s="213">
        <v>786446</v>
      </c>
      <c r="O37" s="213">
        <v>787581</v>
      </c>
      <c r="P37" s="175">
        <f t="shared" ref="P37:P63" si="4">SUM(D37:O37)</f>
        <v>9388872</v>
      </c>
      <c r="Q37" s="175"/>
      <c r="R37" s="7"/>
    </row>
    <row r="38" spans="2:40" s="8" customFormat="1" x14ac:dyDescent="0.2">
      <c r="B38" s="8" t="s">
        <v>257</v>
      </c>
      <c r="C38" s="8">
        <v>53</v>
      </c>
      <c r="D38" s="213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175">
        <f t="shared" si="4"/>
        <v>0</v>
      </c>
      <c r="Q38" s="175"/>
      <c r="R38" s="7"/>
    </row>
    <row r="39" spans="2:40" s="8" customFormat="1" x14ac:dyDescent="0.2">
      <c r="B39" s="8" t="s">
        <v>282</v>
      </c>
      <c r="C39" s="8">
        <v>61</v>
      </c>
      <c r="D39" s="213">
        <v>0</v>
      </c>
      <c r="E39" s="213">
        <v>0</v>
      </c>
      <c r="F39" s="213">
        <v>0</v>
      </c>
      <c r="G39" s="213">
        <v>0</v>
      </c>
      <c r="H39" s="213">
        <v>0</v>
      </c>
      <c r="I39" s="213">
        <v>0</v>
      </c>
      <c r="J39" s="213">
        <v>0</v>
      </c>
      <c r="K39" s="213">
        <v>0</v>
      </c>
      <c r="L39" s="213">
        <v>0</v>
      </c>
      <c r="M39" s="213">
        <v>0</v>
      </c>
      <c r="N39" s="213">
        <v>0</v>
      </c>
      <c r="O39" s="213">
        <v>0</v>
      </c>
      <c r="P39" s="175">
        <f t="shared" si="4"/>
        <v>0</v>
      </c>
      <c r="Q39" s="175"/>
      <c r="R39" s="7"/>
    </row>
    <row r="40" spans="2:40" s="8" customFormat="1" x14ac:dyDescent="0.2">
      <c r="B40" s="8" t="s">
        <v>283</v>
      </c>
      <c r="C40" s="8">
        <v>31</v>
      </c>
      <c r="D40" s="213">
        <v>54782</v>
      </c>
      <c r="E40" s="213">
        <v>54854</v>
      </c>
      <c r="F40" s="213">
        <v>54914</v>
      </c>
      <c r="G40" s="213">
        <v>54873</v>
      </c>
      <c r="H40" s="213">
        <v>54874</v>
      </c>
      <c r="I40" s="213">
        <v>54805</v>
      </c>
      <c r="J40" s="213">
        <v>54795</v>
      </c>
      <c r="K40" s="213">
        <v>54734</v>
      </c>
      <c r="L40" s="213">
        <v>54736</v>
      </c>
      <c r="M40" s="213">
        <v>54833</v>
      </c>
      <c r="N40" s="213">
        <v>55004</v>
      </c>
      <c r="O40" s="213">
        <v>55083</v>
      </c>
      <c r="P40" s="175">
        <f t="shared" si="4"/>
        <v>658287</v>
      </c>
      <c r="Q40" s="175"/>
      <c r="R40" s="7"/>
    </row>
    <row r="41" spans="2:40" s="8" customFormat="1" x14ac:dyDescent="0.2">
      <c r="B41" s="8" t="s">
        <v>284</v>
      </c>
      <c r="C41" s="8">
        <v>41</v>
      </c>
      <c r="D41" s="213">
        <v>1249</v>
      </c>
      <c r="E41" s="213">
        <v>1244</v>
      </c>
      <c r="F41" s="213">
        <v>1253</v>
      </c>
      <c r="G41" s="213">
        <v>1254</v>
      </c>
      <c r="H41" s="213">
        <v>1255</v>
      </c>
      <c r="I41" s="213">
        <v>1254</v>
      </c>
      <c r="J41" s="213">
        <v>1259</v>
      </c>
      <c r="K41" s="213">
        <v>1262</v>
      </c>
      <c r="L41" s="213">
        <v>1264</v>
      </c>
      <c r="M41" s="213">
        <v>1259</v>
      </c>
      <c r="N41" s="213">
        <v>1258</v>
      </c>
      <c r="O41" s="213">
        <v>1257</v>
      </c>
      <c r="P41" s="175">
        <f t="shared" si="4"/>
        <v>15068</v>
      </c>
      <c r="Q41" s="175"/>
      <c r="R41" s="7"/>
    </row>
    <row r="42" spans="2:40" s="8" customFormat="1" x14ac:dyDescent="0.2">
      <c r="B42" s="8" t="s">
        <v>260</v>
      </c>
      <c r="C42" s="8">
        <v>50</v>
      </c>
      <c r="D42" s="213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0</v>
      </c>
      <c r="P42" s="175">
        <f t="shared" si="4"/>
        <v>0</v>
      </c>
      <c r="Q42" s="175"/>
      <c r="R42" s="7"/>
    </row>
    <row r="43" spans="2:40" s="8" customFormat="1" x14ac:dyDescent="0.2">
      <c r="B43" s="8" t="s">
        <v>285</v>
      </c>
      <c r="C43" s="8">
        <v>61</v>
      </c>
      <c r="D43" s="213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175">
        <f t="shared" si="4"/>
        <v>0</v>
      </c>
      <c r="Q43" s="175"/>
      <c r="R43" s="7"/>
    </row>
    <row r="44" spans="2:40" s="8" customFormat="1" x14ac:dyDescent="0.2">
      <c r="B44" s="8" t="s">
        <v>261</v>
      </c>
      <c r="C44" s="8">
        <v>85</v>
      </c>
      <c r="D44" s="213">
        <v>23</v>
      </c>
      <c r="E44" s="213">
        <v>23</v>
      </c>
      <c r="F44" s="213">
        <v>23</v>
      </c>
      <c r="G44" s="213">
        <v>23</v>
      </c>
      <c r="H44" s="213">
        <v>23</v>
      </c>
      <c r="I44" s="213">
        <v>23</v>
      </c>
      <c r="J44" s="213">
        <v>23</v>
      </c>
      <c r="K44" s="213">
        <v>23</v>
      </c>
      <c r="L44" s="213">
        <v>23</v>
      </c>
      <c r="M44" s="213">
        <v>24</v>
      </c>
      <c r="N44" s="213">
        <v>24</v>
      </c>
      <c r="O44" s="213">
        <v>24</v>
      </c>
      <c r="P44" s="175">
        <f t="shared" si="4"/>
        <v>279</v>
      </c>
      <c r="Q44" s="175"/>
      <c r="R44" s="7"/>
    </row>
    <row r="45" spans="2:40" s="8" customFormat="1" x14ac:dyDescent="0.2">
      <c r="B45" s="8" t="s">
        <v>262</v>
      </c>
      <c r="C45" s="8">
        <v>86</v>
      </c>
      <c r="D45" s="213">
        <v>212</v>
      </c>
      <c r="E45" s="213">
        <v>212</v>
      </c>
      <c r="F45" s="213">
        <v>209</v>
      </c>
      <c r="G45" s="213">
        <v>208</v>
      </c>
      <c r="H45" s="213">
        <v>208</v>
      </c>
      <c r="I45" s="213">
        <v>208</v>
      </c>
      <c r="J45" s="213">
        <v>204</v>
      </c>
      <c r="K45" s="213">
        <v>197</v>
      </c>
      <c r="L45" s="213">
        <v>195</v>
      </c>
      <c r="M45" s="213">
        <v>175</v>
      </c>
      <c r="N45" s="213">
        <v>174</v>
      </c>
      <c r="O45" s="213">
        <v>155</v>
      </c>
      <c r="P45" s="175">
        <f t="shared" si="4"/>
        <v>2357</v>
      </c>
      <c r="Q45" s="175"/>
      <c r="R45" s="7"/>
    </row>
    <row r="46" spans="2:40" s="8" customFormat="1" x14ac:dyDescent="0.2">
      <c r="B46" s="8" t="s">
        <v>286</v>
      </c>
      <c r="C46" s="8">
        <v>87</v>
      </c>
      <c r="D46" s="213">
        <v>5</v>
      </c>
      <c r="E46" s="213">
        <v>5</v>
      </c>
      <c r="F46" s="213">
        <v>5</v>
      </c>
      <c r="G46" s="213">
        <v>5</v>
      </c>
      <c r="H46" s="213">
        <v>5</v>
      </c>
      <c r="I46" s="213">
        <v>5</v>
      </c>
      <c r="J46" s="213">
        <v>5</v>
      </c>
      <c r="K46" s="213">
        <v>5</v>
      </c>
      <c r="L46" s="213">
        <v>5</v>
      </c>
      <c r="M46" s="213">
        <v>5</v>
      </c>
      <c r="N46" s="213">
        <v>5</v>
      </c>
      <c r="O46" s="213">
        <v>5</v>
      </c>
      <c r="P46" s="175">
        <f t="shared" si="4"/>
        <v>60</v>
      </c>
      <c r="Q46" s="175"/>
      <c r="R46" s="7"/>
    </row>
    <row r="47" spans="2:40" s="8" customFormat="1" x14ac:dyDescent="0.2">
      <c r="B47" s="8" t="s">
        <v>264</v>
      </c>
      <c r="C47" s="8">
        <v>31</v>
      </c>
      <c r="D47" s="213">
        <v>2229</v>
      </c>
      <c r="E47" s="213">
        <v>2239</v>
      </c>
      <c r="F47" s="213">
        <v>2238</v>
      </c>
      <c r="G47" s="213">
        <v>2237</v>
      </c>
      <c r="H47" s="213">
        <v>2233</v>
      </c>
      <c r="I47" s="213">
        <v>2221</v>
      </c>
      <c r="J47" s="213">
        <v>2227</v>
      </c>
      <c r="K47" s="213">
        <v>2229</v>
      </c>
      <c r="L47" s="213">
        <v>2225</v>
      </c>
      <c r="M47" s="213">
        <v>2228</v>
      </c>
      <c r="N47" s="213">
        <v>2237</v>
      </c>
      <c r="O47" s="213">
        <v>2230</v>
      </c>
      <c r="P47" s="175">
        <f t="shared" si="4"/>
        <v>26773</v>
      </c>
      <c r="Q47" s="175"/>
      <c r="R47" s="7"/>
    </row>
    <row r="48" spans="2:40" s="8" customFormat="1" x14ac:dyDescent="0.2">
      <c r="B48" s="8" t="s">
        <v>265</v>
      </c>
      <c r="C48" s="8">
        <v>41</v>
      </c>
      <c r="D48" s="213">
        <v>73</v>
      </c>
      <c r="E48" s="213">
        <v>73</v>
      </c>
      <c r="F48" s="213">
        <v>73</v>
      </c>
      <c r="G48" s="213">
        <v>73</v>
      </c>
      <c r="H48" s="213">
        <v>73</v>
      </c>
      <c r="I48" s="213">
        <v>73</v>
      </c>
      <c r="J48" s="213">
        <v>74</v>
      </c>
      <c r="K48" s="213">
        <v>74</v>
      </c>
      <c r="L48" s="213">
        <v>73</v>
      </c>
      <c r="M48" s="213">
        <v>74</v>
      </c>
      <c r="N48" s="213">
        <v>73</v>
      </c>
      <c r="O48" s="213">
        <v>72</v>
      </c>
      <c r="P48" s="175">
        <f t="shared" si="4"/>
        <v>878</v>
      </c>
      <c r="Q48" s="175"/>
      <c r="R48" s="7"/>
      <c r="S48" s="175"/>
      <c r="T48" s="321"/>
    </row>
    <row r="49" spans="2:19" s="8" customFormat="1" x14ac:dyDescent="0.2">
      <c r="B49" s="8" t="s">
        <v>287</v>
      </c>
      <c r="C49" s="8">
        <v>61</v>
      </c>
      <c r="D49" s="213">
        <v>0</v>
      </c>
      <c r="E49" s="213">
        <v>0</v>
      </c>
      <c r="F49" s="213">
        <v>0</v>
      </c>
      <c r="G49" s="213">
        <v>0</v>
      </c>
      <c r="H49" s="213">
        <v>0</v>
      </c>
      <c r="I49" s="213">
        <v>0</v>
      </c>
      <c r="J49" s="213">
        <v>0</v>
      </c>
      <c r="K49" s="213">
        <v>0</v>
      </c>
      <c r="L49" s="213">
        <v>0</v>
      </c>
      <c r="M49" s="213">
        <v>0</v>
      </c>
      <c r="N49" s="213">
        <v>0</v>
      </c>
      <c r="O49" s="213">
        <v>0</v>
      </c>
      <c r="P49" s="175">
        <f t="shared" si="4"/>
        <v>0</v>
      </c>
      <c r="Q49" s="175"/>
      <c r="R49" s="7"/>
      <c r="S49" s="175"/>
    </row>
    <row r="50" spans="2:19" s="8" customFormat="1" x14ac:dyDescent="0.2">
      <c r="B50" s="8" t="s">
        <v>266</v>
      </c>
      <c r="C50" s="8">
        <v>85</v>
      </c>
      <c r="D50" s="213">
        <v>4</v>
      </c>
      <c r="E50" s="213">
        <v>4</v>
      </c>
      <c r="F50" s="213">
        <v>4</v>
      </c>
      <c r="G50" s="213">
        <v>4</v>
      </c>
      <c r="H50" s="213">
        <v>4</v>
      </c>
      <c r="I50" s="213">
        <v>4</v>
      </c>
      <c r="J50" s="213">
        <v>4</v>
      </c>
      <c r="K50" s="213">
        <v>4</v>
      </c>
      <c r="L50" s="213">
        <v>4</v>
      </c>
      <c r="M50" s="213">
        <v>4</v>
      </c>
      <c r="N50" s="213">
        <v>4</v>
      </c>
      <c r="O50" s="213">
        <v>4</v>
      </c>
      <c r="P50" s="175">
        <f t="shared" si="4"/>
        <v>48</v>
      </c>
      <c r="Q50" s="175"/>
      <c r="R50" s="7"/>
    </row>
    <row r="51" spans="2:19" s="8" customFormat="1" x14ac:dyDescent="0.2">
      <c r="B51" s="8" t="s">
        <v>267</v>
      </c>
      <c r="C51" s="8">
        <v>86</v>
      </c>
      <c r="D51" s="213">
        <v>6</v>
      </c>
      <c r="E51" s="213">
        <v>6</v>
      </c>
      <c r="F51" s="213">
        <v>6</v>
      </c>
      <c r="G51" s="213">
        <v>6</v>
      </c>
      <c r="H51" s="213">
        <v>6</v>
      </c>
      <c r="I51" s="213">
        <v>5</v>
      </c>
      <c r="J51" s="213">
        <v>5</v>
      </c>
      <c r="K51" s="213">
        <v>5</v>
      </c>
      <c r="L51" s="213">
        <v>5</v>
      </c>
      <c r="M51" s="213">
        <v>4</v>
      </c>
      <c r="N51" s="213">
        <v>4</v>
      </c>
      <c r="O51" s="213">
        <v>4</v>
      </c>
      <c r="P51" s="175">
        <f t="shared" si="4"/>
        <v>62</v>
      </c>
      <c r="Q51" s="175"/>
      <c r="R51" s="7"/>
    </row>
    <row r="52" spans="2:19" s="8" customFormat="1" x14ac:dyDescent="0.2">
      <c r="B52" s="8" t="s">
        <v>268</v>
      </c>
      <c r="C52" s="8">
        <v>87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213">
        <v>0</v>
      </c>
      <c r="P52" s="175">
        <f t="shared" si="4"/>
        <v>0</v>
      </c>
      <c r="Q52" s="175"/>
      <c r="R52" s="7"/>
    </row>
    <row r="53" spans="2:19" s="8" customFormat="1" x14ac:dyDescent="0.2">
      <c r="B53" s="7" t="s">
        <v>269</v>
      </c>
      <c r="C53" s="174" t="s">
        <v>72</v>
      </c>
      <c r="D53" s="213">
        <v>2</v>
      </c>
      <c r="E53" s="213">
        <v>2</v>
      </c>
      <c r="F53" s="213">
        <v>2</v>
      </c>
      <c r="G53" s="213">
        <v>2</v>
      </c>
      <c r="H53" s="213">
        <v>2</v>
      </c>
      <c r="I53" s="213">
        <v>2</v>
      </c>
      <c r="J53" s="213">
        <v>2</v>
      </c>
      <c r="K53" s="213">
        <v>2</v>
      </c>
      <c r="L53" s="213">
        <v>2</v>
      </c>
      <c r="M53" s="213">
        <v>2</v>
      </c>
      <c r="N53" s="213">
        <v>2</v>
      </c>
      <c r="O53" s="213">
        <v>2</v>
      </c>
      <c r="P53" s="175">
        <f t="shared" si="4"/>
        <v>24</v>
      </c>
      <c r="Q53" s="175"/>
      <c r="R53" s="7"/>
    </row>
    <row r="54" spans="2:19" s="8" customFormat="1" x14ac:dyDescent="0.2">
      <c r="B54" s="7" t="s">
        <v>270</v>
      </c>
      <c r="C54" s="178" t="s">
        <v>76</v>
      </c>
      <c r="D54" s="213">
        <v>82</v>
      </c>
      <c r="E54" s="213">
        <v>82</v>
      </c>
      <c r="F54" s="213">
        <v>82</v>
      </c>
      <c r="G54" s="213">
        <v>81</v>
      </c>
      <c r="H54" s="213">
        <v>81</v>
      </c>
      <c r="I54" s="213">
        <v>81</v>
      </c>
      <c r="J54" s="213">
        <v>81</v>
      </c>
      <c r="K54" s="213">
        <v>83</v>
      </c>
      <c r="L54" s="213">
        <v>83</v>
      </c>
      <c r="M54" s="213">
        <v>83</v>
      </c>
      <c r="N54" s="213">
        <v>83</v>
      </c>
      <c r="O54" s="213">
        <v>83</v>
      </c>
      <c r="P54" s="175">
        <f t="shared" si="4"/>
        <v>985</v>
      </c>
      <c r="Q54" s="175"/>
      <c r="R54" s="7"/>
    </row>
    <row r="55" spans="2:19" s="8" customFormat="1" x14ac:dyDescent="0.2">
      <c r="B55" s="7" t="s">
        <v>271</v>
      </c>
      <c r="C55" s="178" t="s">
        <v>127</v>
      </c>
      <c r="D55" s="213">
        <v>33</v>
      </c>
      <c r="E55" s="213">
        <v>33</v>
      </c>
      <c r="F55" s="213">
        <v>33</v>
      </c>
      <c r="G55" s="213">
        <v>33</v>
      </c>
      <c r="H55" s="213">
        <v>33</v>
      </c>
      <c r="I55" s="213">
        <v>33</v>
      </c>
      <c r="J55" s="213">
        <v>33</v>
      </c>
      <c r="K55" s="213">
        <v>31</v>
      </c>
      <c r="L55" s="213">
        <v>31</v>
      </c>
      <c r="M55" s="213">
        <v>30</v>
      </c>
      <c r="N55" s="213">
        <v>30</v>
      </c>
      <c r="O55" s="213">
        <v>30</v>
      </c>
      <c r="P55" s="175">
        <f t="shared" si="4"/>
        <v>383</v>
      </c>
      <c r="Q55" s="175"/>
      <c r="R55" s="7"/>
    </row>
    <row r="56" spans="2:19" s="8" customFormat="1" x14ac:dyDescent="0.2">
      <c r="B56" s="8" t="s">
        <v>389</v>
      </c>
      <c r="C56" s="178" t="s">
        <v>79</v>
      </c>
      <c r="D56" s="213">
        <v>1</v>
      </c>
      <c r="E56" s="213">
        <v>1</v>
      </c>
      <c r="F56" s="213">
        <v>1</v>
      </c>
      <c r="G56" s="213">
        <v>1</v>
      </c>
      <c r="H56" s="213">
        <v>1</v>
      </c>
      <c r="I56" s="213">
        <v>1</v>
      </c>
      <c r="J56" s="213">
        <v>1</v>
      </c>
      <c r="K56" s="213">
        <v>1</v>
      </c>
      <c r="L56" s="213">
        <v>1</v>
      </c>
      <c r="M56" s="213">
        <v>1</v>
      </c>
      <c r="N56" s="213">
        <v>1</v>
      </c>
      <c r="O56" s="213">
        <v>1</v>
      </c>
      <c r="P56" s="175">
        <f t="shared" si="4"/>
        <v>12</v>
      </c>
      <c r="Q56" s="175"/>
      <c r="R56" s="7"/>
    </row>
    <row r="57" spans="2:19" s="8" customFormat="1" x14ac:dyDescent="0.2">
      <c r="B57" s="7" t="s">
        <v>272</v>
      </c>
      <c r="C57" s="178" t="s">
        <v>129</v>
      </c>
      <c r="D57" s="213">
        <v>3</v>
      </c>
      <c r="E57" s="213">
        <v>3</v>
      </c>
      <c r="F57" s="213">
        <v>3</v>
      </c>
      <c r="G57" s="213">
        <v>3</v>
      </c>
      <c r="H57" s="213">
        <v>3</v>
      </c>
      <c r="I57" s="213">
        <v>3</v>
      </c>
      <c r="J57" s="213">
        <v>3</v>
      </c>
      <c r="K57" s="213">
        <v>3</v>
      </c>
      <c r="L57" s="213">
        <v>3</v>
      </c>
      <c r="M57" s="213">
        <v>3</v>
      </c>
      <c r="N57" s="213">
        <v>3</v>
      </c>
      <c r="O57" s="213">
        <v>3</v>
      </c>
      <c r="P57" s="175">
        <f t="shared" si="4"/>
        <v>36</v>
      </c>
      <c r="Q57" s="175"/>
      <c r="R57" s="7"/>
    </row>
    <row r="58" spans="2:19" s="8" customFormat="1" x14ac:dyDescent="0.2">
      <c r="B58" s="7" t="s">
        <v>390</v>
      </c>
      <c r="C58" s="174" t="s">
        <v>72</v>
      </c>
      <c r="D58" s="213">
        <v>0</v>
      </c>
      <c r="E58" s="213">
        <v>0</v>
      </c>
      <c r="F58" s="213">
        <v>0</v>
      </c>
      <c r="G58" s="213">
        <v>0</v>
      </c>
      <c r="H58" s="213">
        <v>0</v>
      </c>
      <c r="I58" s="213">
        <v>0</v>
      </c>
      <c r="J58" s="213">
        <v>0</v>
      </c>
      <c r="K58" s="213">
        <v>0</v>
      </c>
      <c r="L58" s="213">
        <v>0</v>
      </c>
      <c r="M58" s="213">
        <v>0</v>
      </c>
      <c r="N58" s="213">
        <v>0</v>
      </c>
      <c r="O58" s="213">
        <v>0</v>
      </c>
      <c r="P58" s="175">
        <f t="shared" si="4"/>
        <v>0</v>
      </c>
      <c r="Q58" s="175"/>
      <c r="R58" s="7"/>
    </row>
    <row r="59" spans="2:19" s="8" customFormat="1" x14ac:dyDescent="0.2">
      <c r="B59" s="7" t="s">
        <v>273</v>
      </c>
      <c r="C59" s="178" t="s">
        <v>76</v>
      </c>
      <c r="D59" s="213">
        <v>24</v>
      </c>
      <c r="E59" s="213">
        <v>24</v>
      </c>
      <c r="F59" s="213">
        <v>23</v>
      </c>
      <c r="G59" s="213">
        <v>23</v>
      </c>
      <c r="H59" s="213">
        <v>23</v>
      </c>
      <c r="I59" s="213">
        <v>23</v>
      </c>
      <c r="J59" s="213">
        <v>21</v>
      </c>
      <c r="K59" s="213">
        <v>21</v>
      </c>
      <c r="L59" s="213">
        <v>21</v>
      </c>
      <c r="M59" s="213">
        <v>21</v>
      </c>
      <c r="N59" s="213">
        <v>21</v>
      </c>
      <c r="O59" s="213">
        <v>21</v>
      </c>
      <c r="P59" s="175">
        <f t="shared" si="4"/>
        <v>266</v>
      </c>
      <c r="Q59" s="175"/>
      <c r="R59" s="7"/>
    </row>
    <row r="60" spans="2:19" s="8" customFormat="1" x14ac:dyDescent="0.2">
      <c r="B60" s="7" t="s">
        <v>274</v>
      </c>
      <c r="C60" s="178" t="s">
        <v>127</v>
      </c>
      <c r="D60" s="213">
        <v>70</v>
      </c>
      <c r="E60" s="213">
        <v>70</v>
      </c>
      <c r="F60" s="213">
        <v>70</v>
      </c>
      <c r="G60" s="213">
        <v>69</v>
      </c>
      <c r="H60" s="213">
        <v>69</v>
      </c>
      <c r="I60" s="213">
        <v>69</v>
      </c>
      <c r="J60" s="213">
        <v>69</v>
      </c>
      <c r="K60" s="213">
        <v>68</v>
      </c>
      <c r="L60" s="213">
        <v>68</v>
      </c>
      <c r="M60" s="213">
        <v>68</v>
      </c>
      <c r="N60" s="213">
        <v>67</v>
      </c>
      <c r="O60" s="213">
        <v>67</v>
      </c>
      <c r="P60" s="175">
        <f t="shared" si="4"/>
        <v>824</v>
      </c>
      <c r="Q60" s="175"/>
      <c r="R60" s="7"/>
    </row>
    <row r="61" spans="2:19" s="8" customFormat="1" x14ac:dyDescent="0.2">
      <c r="B61" s="8" t="s">
        <v>275</v>
      </c>
      <c r="C61" s="178" t="s">
        <v>79</v>
      </c>
      <c r="D61" s="213">
        <v>2</v>
      </c>
      <c r="E61" s="213">
        <v>2</v>
      </c>
      <c r="F61" s="213">
        <v>2</v>
      </c>
      <c r="G61" s="213">
        <v>2</v>
      </c>
      <c r="H61" s="213">
        <v>2</v>
      </c>
      <c r="I61" s="213">
        <v>2</v>
      </c>
      <c r="J61" s="213">
        <v>2</v>
      </c>
      <c r="K61" s="213">
        <v>2</v>
      </c>
      <c r="L61" s="213">
        <v>2</v>
      </c>
      <c r="M61" s="213">
        <v>2</v>
      </c>
      <c r="N61" s="213">
        <v>2</v>
      </c>
      <c r="O61" s="213">
        <v>2</v>
      </c>
      <c r="P61" s="175">
        <f t="shared" si="4"/>
        <v>24</v>
      </c>
      <c r="Q61" s="175"/>
      <c r="R61" s="7"/>
    </row>
    <row r="62" spans="2:19" s="8" customFormat="1" x14ac:dyDescent="0.2">
      <c r="B62" s="7" t="s">
        <v>276</v>
      </c>
      <c r="C62" s="178" t="s">
        <v>129</v>
      </c>
      <c r="D62" s="213">
        <v>7</v>
      </c>
      <c r="E62" s="213">
        <v>7</v>
      </c>
      <c r="F62" s="213">
        <v>7</v>
      </c>
      <c r="G62" s="213">
        <v>7</v>
      </c>
      <c r="H62" s="213">
        <v>7</v>
      </c>
      <c r="I62" s="213">
        <v>7</v>
      </c>
      <c r="J62" s="213">
        <v>7</v>
      </c>
      <c r="K62" s="213">
        <v>7</v>
      </c>
      <c r="L62" s="213">
        <v>7</v>
      </c>
      <c r="M62" s="213">
        <v>7</v>
      </c>
      <c r="N62" s="213">
        <v>7</v>
      </c>
      <c r="O62" s="213">
        <v>7</v>
      </c>
      <c r="P62" s="175">
        <f t="shared" si="4"/>
        <v>84</v>
      </c>
      <c r="Q62" s="175"/>
      <c r="R62" s="7"/>
    </row>
    <row r="63" spans="2:19" s="83" customFormat="1" x14ac:dyDescent="0.2">
      <c r="B63" s="83" t="s">
        <v>277</v>
      </c>
      <c r="C63" s="320" t="s">
        <v>278</v>
      </c>
      <c r="D63" s="275">
        <v>10</v>
      </c>
      <c r="E63" s="275">
        <v>10</v>
      </c>
      <c r="F63" s="275">
        <v>10</v>
      </c>
      <c r="G63" s="275">
        <v>10</v>
      </c>
      <c r="H63" s="275">
        <v>10</v>
      </c>
      <c r="I63" s="275">
        <v>10</v>
      </c>
      <c r="J63" s="275">
        <v>10</v>
      </c>
      <c r="K63" s="275">
        <v>10</v>
      </c>
      <c r="L63" s="275">
        <v>10</v>
      </c>
      <c r="M63" s="275">
        <v>10</v>
      </c>
      <c r="N63" s="275">
        <v>10</v>
      </c>
      <c r="O63" s="275">
        <v>10</v>
      </c>
      <c r="P63" s="175">
        <f t="shared" si="4"/>
        <v>120</v>
      </c>
      <c r="Q63" s="88"/>
      <c r="R63" s="7"/>
    </row>
    <row r="64" spans="2:19" s="8" customFormat="1" x14ac:dyDescent="0.2">
      <c r="B64" s="8" t="s">
        <v>73</v>
      </c>
      <c r="D64" s="180">
        <f>SUM(D36:D63)</f>
        <v>838024</v>
      </c>
      <c r="E64" s="180">
        <f t="shared" ref="E64:O64" si="5">SUM(E36:E63)</f>
        <v>838875</v>
      </c>
      <c r="F64" s="180">
        <f t="shared" si="5"/>
        <v>839557</v>
      </c>
      <c r="G64" s="180">
        <f t="shared" si="5"/>
        <v>839936</v>
      </c>
      <c r="H64" s="180">
        <f t="shared" si="5"/>
        <v>840371</v>
      </c>
      <c r="I64" s="180">
        <f t="shared" si="5"/>
        <v>840278</v>
      </c>
      <c r="J64" s="180">
        <f t="shared" si="5"/>
        <v>840252</v>
      </c>
      <c r="K64" s="180">
        <f t="shared" si="5"/>
        <v>840918</v>
      </c>
      <c r="L64" s="180">
        <f t="shared" si="5"/>
        <v>841655</v>
      </c>
      <c r="M64" s="180">
        <f t="shared" si="5"/>
        <v>843555</v>
      </c>
      <c r="N64" s="180">
        <f t="shared" si="5"/>
        <v>845462</v>
      </c>
      <c r="O64" s="180">
        <f t="shared" si="5"/>
        <v>846647</v>
      </c>
      <c r="P64" s="180">
        <f>SUM(D64:O64)</f>
        <v>10095530</v>
      </c>
      <c r="Q64" s="88"/>
    </row>
    <row r="65" spans="2:17" s="8" customFormat="1" x14ac:dyDescent="0.2">
      <c r="C65" s="174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</row>
    <row r="66" spans="2:17" x14ac:dyDescent="0.2">
      <c r="B66" s="4" t="s">
        <v>288</v>
      </c>
      <c r="C66" s="178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7" t="s">
        <v>68</v>
      </c>
      <c r="C67" s="178">
        <v>23</v>
      </c>
      <c r="D67" s="276">
        <v>110.83871400327598</v>
      </c>
      <c r="E67" s="276">
        <v>133.40187073247816</v>
      </c>
      <c r="F67" s="276">
        <v>94.261568151057318</v>
      </c>
      <c r="G67" s="276">
        <v>58.03909729093504</v>
      </c>
      <c r="H67" s="276">
        <v>31.493467678292212</v>
      </c>
      <c r="I67" s="276">
        <v>22.593452294123608</v>
      </c>
      <c r="J67" s="276">
        <v>17.797977738450776</v>
      </c>
      <c r="K67" s="276">
        <v>16.531264912527519</v>
      </c>
      <c r="L67" s="276">
        <v>23.365533209697489</v>
      </c>
      <c r="M67" s="276">
        <v>67.938554123744794</v>
      </c>
      <c r="N67" s="276">
        <v>87.564463595726082</v>
      </c>
      <c r="O67" s="276">
        <v>109.7113571548842</v>
      </c>
      <c r="P67" s="181">
        <f>SUM(D67:O67)</f>
        <v>773.53732088519337</v>
      </c>
      <c r="Q67" s="181"/>
    </row>
    <row r="68" spans="2:17" x14ac:dyDescent="0.2">
      <c r="B68" s="8" t="s">
        <v>258</v>
      </c>
      <c r="C68" s="8">
        <v>31</v>
      </c>
      <c r="D68" s="276">
        <v>505.39182651763718</v>
      </c>
      <c r="E68" s="276">
        <v>615.02138648959237</v>
      </c>
      <c r="F68" s="276">
        <v>473.6877433877338</v>
      </c>
      <c r="G68" s="276">
        <v>310.84236116414968</v>
      </c>
      <c r="H68" s="276">
        <v>222.01606242383539</v>
      </c>
      <c r="I68" s="276">
        <v>169.81529100934529</v>
      </c>
      <c r="J68" s="276">
        <v>151.90062746393872</v>
      </c>
      <c r="K68" s="276">
        <v>150.56136892953549</v>
      </c>
      <c r="L68" s="276">
        <v>169.03396866692424</v>
      </c>
      <c r="M68" s="276">
        <v>353.82238190376393</v>
      </c>
      <c r="N68" s="276">
        <v>361.59405065835784</v>
      </c>
      <c r="O68" s="276">
        <v>555.76345645255537</v>
      </c>
      <c r="P68" s="181">
        <f t="shared" ref="P68:P78" si="6">SUM(D68:O68)</f>
        <v>4039.4505250673701</v>
      </c>
      <c r="Q68" s="181"/>
    </row>
    <row r="69" spans="2:17" s="8" customFormat="1" x14ac:dyDescent="0.2">
      <c r="B69" s="8" t="s">
        <v>259</v>
      </c>
      <c r="C69" s="8">
        <v>41</v>
      </c>
      <c r="D69" s="213">
        <v>4815.4501284733133</v>
      </c>
      <c r="E69" s="213">
        <v>5884.9766359817559</v>
      </c>
      <c r="F69" s="213">
        <v>4781.920769100022</v>
      </c>
      <c r="G69" s="213">
        <v>3906.6827377712079</v>
      </c>
      <c r="H69" s="213">
        <v>3431.6247830182283</v>
      </c>
      <c r="I69" s="213">
        <v>2031.6345254458042</v>
      </c>
      <c r="J69" s="213">
        <v>1938.3864371102359</v>
      </c>
      <c r="K69" s="213">
        <v>1801.7221747772774</v>
      </c>
      <c r="L69" s="213">
        <v>2169.9284403854244</v>
      </c>
      <c r="M69" s="213">
        <v>3854.1630310520886</v>
      </c>
      <c r="N69" s="213">
        <v>4289.5984619039637</v>
      </c>
      <c r="O69" s="213">
        <v>5689.2233030837624</v>
      </c>
      <c r="P69" s="181">
        <f t="shared" si="6"/>
        <v>44595.311428103079</v>
      </c>
      <c r="Q69" s="181"/>
    </row>
    <row r="70" spans="2:17" s="8" customFormat="1" x14ac:dyDescent="0.2">
      <c r="B70" s="8" t="s">
        <v>265</v>
      </c>
      <c r="C70" s="8">
        <v>41</v>
      </c>
      <c r="D70" s="213">
        <v>13173.470739726026</v>
      </c>
      <c r="E70" s="213">
        <v>11120.080232876711</v>
      </c>
      <c r="F70" s="213">
        <v>9728.9275269178088</v>
      </c>
      <c r="G70" s="213">
        <v>11906.619986780823</v>
      </c>
      <c r="H70" s="213">
        <v>11288.829656359068</v>
      </c>
      <c r="I70" s="213">
        <v>9013.4288965834003</v>
      </c>
      <c r="J70" s="213">
        <v>8788.9023309459444</v>
      </c>
      <c r="K70" s="213">
        <v>9962.5894113608829</v>
      </c>
      <c r="L70" s="213">
        <v>9037.3945381845297</v>
      </c>
      <c r="M70" s="213">
        <v>12571.325176936651</v>
      </c>
      <c r="N70" s="213">
        <v>15785.52789922318</v>
      </c>
      <c r="O70" s="213">
        <v>12248.811712211387</v>
      </c>
      <c r="P70" s="181">
        <f t="shared" si="6"/>
        <v>134625.90810810641</v>
      </c>
      <c r="Q70" s="181"/>
    </row>
    <row r="71" spans="2:17" x14ac:dyDescent="0.2">
      <c r="B71" s="7" t="s">
        <v>270</v>
      </c>
      <c r="C71" s="178" t="s">
        <v>76</v>
      </c>
      <c r="D71" s="276">
        <v>19826.799512195124</v>
      </c>
      <c r="E71" s="276">
        <v>13317.779085365857</v>
      </c>
      <c r="F71" s="276">
        <v>16490.170670731706</v>
      </c>
      <c r="G71" s="276">
        <v>20866.63074074074</v>
      </c>
      <c r="H71" s="276">
        <v>10829.227901234568</v>
      </c>
      <c r="I71" s="276">
        <v>14471.134814814814</v>
      </c>
      <c r="J71" s="276">
        <v>5897.516172839506</v>
      </c>
      <c r="K71" s="276">
        <v>19319.466024096389</v>
      </c>
      <c r="L71" s="276">
        <v>15272.344939759036</v>
      </c>
      <c r="M71" s="276">
        <v>16257.569879518071</v>
      </c>
      <c r="N71" s="276">
        <v>17719.627469879521</v>
      </c>
      <c r="O71" s="276">
        <v>17540.471927710842</v>
      </c>
      <c r="P71" s="181">
        <f t="shared" si="6"/>
        <v>187808.73913888616</v>
      </c>
      <c r="Q71" s="181"/>
    </row>
    <row r="72" spans="2:17" x14ac:dyDescent="0.2">
      <c r="B72" s="7" t="s">
        <v>271</v>
      </c>
      <c r="C72" s="178" t="s">
        <v>127</v>
      </c>
      <c r="D72" s="276">
        <v>66619.731515151507</v>
      </c>
      <c r="E72" s="276">
        <v>62125.078585858573</v>
      </c>
      <c r="F72" s="276">
        <v>62952.420202020206</v>
      </c>
      <c r="G72" s="276">
        <v>56473.904848484846</v>
      </c>
      <c r="H72" s="276">
        <v>53335.85</v>
      </c>
      <c r="I72" s="276">
        <v>40683.045454545449</v>
      </c>
      <c r="J72" s="276">
        <v>51523.880000000005</v>
      </c>
      <c r="K72" s="276">
        <v>51648.393548387088</v>
      </c>
      <c r="L72" s="276">
        <v>48669.153225806447</v>
      </c>
      <c r="M72" s="276">
        <v>57437.882666666665</v>
      </c>
      <c r="N72" s="276">
        <v>55318.672999999995</v>
      </c>
      <c r="O72" s="276">
        <v>59001.263000000006</v>
      </c>
      <c r="P72" s="181">
        <f t="shared" si="6"/>
        <v>665789.2760469208</v>
      </c>
      <c r="Q72" s="181"/>
    </row>
    <row r="73" spans="2:17" x14ac:dyDescent="0.2">
      <c r="B73" s="7" t="s">
        <v>272</v>
      </c>
      <c r="C73" s="178" t="s">
        <v>129</v>
      </c>
      <c r="D73" s="276">
        <v>641715.96333333314</v>
      </c>
      <c r="E73" s="276">
        <v>621251.11</v>
      </c>
      <c r="F73" s="276">
        <v>683068.55666666676</v>
      </c>
      <c r="G73" s="276">
        <v>497628.62666666665</v>
      </c>
      <c r="H73" s="276">
        <v>418695.72000000003</v>
      </c>
      <c r="I73" s="276">
        <v>374206.15999999992</v>
      </c>
      <c r="J73" s="276">
        <v>374214.63999999996</v>
      </c>
      <c r="K73" s="276">
        <v>351213.02</v>
      </c>
      <c r="L73" s="276">
        <v>361318.97666666674</v>
      </c>
      <c r="M73" s="276">
        <v>546967.67333333334</v>
      </c>
      <c r="N73" s="276">
        <v>534719.97999999986</v>
      </c>
      <c r="O73" s="276">
        <v>555300.6166666667</v>
      </c>
      <c r="P73" s="181">
        <f t="shared" si="6"/>
        <v>5960301.043333333</v>
      </c>
      <c r="Q73" s="181"/>
    </row>
    <row r="74" spans="2:17" x14ac:dyDescent="0.2">
      <c r="B74" s="7" t="s">
        <v>261</v>
      </c>
      <c r="C74" s="7">
        <v>85</v>
      </c>
      <c r="D74" s="276">
        <v>107961.9377826087</v>
      </c>
      <c r="E74" s="276">
        <v>3199.6443695652038</v>
      </c>
      <c r="F74" s="276">
        <v>81164.895586956511</v>
      </c>
      <c r="G74" s="276">
        <v>27978.299402173918</v>
      </c>
      <c r="H74" s="276">
        <v>50967.74877173912</v>
      </c>
      <c r="I74" s="276">
        <v>35810.655782608701</v>
      </c>
      <c r="J74" s="276">
        <v>28067.138326086959</v>
      </c>
      <c r="K74" s="276">
        <v>30552.695478260866</v>
      </c>
      <c r="L74" s="276">
        <v>19570.429108695655</v>
      </c>
      <c r="M74" s="276">
        <v>75641.395916666661</v>
      </c>
      <c r="N74" s="276">
        <v>32447.876916666664</v>
      </c>
      <c r="O74" s="276">
        <v>73762.186499999996</v>
      </c>
      <c r="P74" s="181">
        <f t="shared" si="6"/>
        <v>567124.90394202899</v>
      </c>
      <c r="Q74" s="181"/>
    </row>
    <row r="75" spans="2:17" x14ac:dyDescent="0.2">
      <c r="B75" s="7" t="s">
        <v>262</v>
      </c>
      <c r="C75" s="7">
        <v>86</v>
      </c>
      <c r="D75" s="276">
        <v>6338.1993336058149</v>
      </c>
      <c r="E75" s="276">
        <v>5444.8641530136865</v>
      </c>
      <c r="F75" s="276">
        <v>5329.2542975591823</v>
      </c>
      <c r="G75" s="276">
        <v>3226.1642649261225</v>
      </c>
      <c r="H75" s="276">
        <v>2217.0400964218193</v>
      </c>
      <c r="I75" s="276">
        <v>2717.2437075749995</v>
      </c>
      <c r="J75" s="276">
        <v>1658.7818793744898</v>
      </c>
      <c r="K75" s="276">
        <v>-684.61722299609357</v>
      </c>
      <c r="L75" s="276">
        <v>2289.3633626146843</v>
      </c>
      <c r="M75" s="276">
        <v>3436.7052430876133</v>
      </c>
      <c r="N75" s="276">
        <v>6430.8648575387233</v>
      </c>
      <c r="O75" s="276">
        <v>3224.2575676196816</v>
      </c>
      <c r="P75" s="181">
        <f t="shared" si="6"/>
        <v>41628.121540340719</v>
      </c>
      <c r="Q75" s="181"/>
    </row>
    <row r="76" spans="2:17" x14ac:dyDescent="0.2">
      <c r="B76" s="8" t="s">
        <v>286</v>
      </c>
      <c r="C76" s="8">
        <v>87</v>
      </c>
      <c r="D76" s="276">
        <v>589161.24040000001</v>
      </c>
      <c r="E76" s="276">
        <v>268053.18010000006</v>
      </c>
      <c r="F76" s="276">
        <v>477620.71239999996</v>
      </c>
      <c r="G76" s="276">
        <v>371628.53390000004</v>
      </c>
      <c r="H76" s="276">
        <v>446141.11194999999</v>
      </c>
      <c r="I76" s="276">
        <v>314130.08845000004</v>
      </c>
      <c r="J76" s="276">
        <v>246149.38983119995</v>
      </c>
      <c r="K76" s="276">
        <v>335208.55436880002</v>
      </c>
      <c r="L76" s="276">
        <v>190414.18819999998</v>
      </c>
      <c r="M76" s="276">
        <v>397649.0564</v>
      </c>
      <c r="N76" s="276">
        <v>292773.84160000004</v>
      </c>
      <c r="O76" s="276">
        <v>578235.06599999999</v>
      </c>
      <c r="P76" s="181">
        <f t="shared" si="6"/>
        <v>4507164.9635999994</v>
      </c>
      <c r="Q76" s="181"/>
    </row>
    <row r="77" spans="2:17" x14ac:dyDescent="0.2">
      <c r="B77" s="7" t="s">
        <v>264</v>
      </c>
      <c r="C77" s="7">
        <v>31</v>
      </c>
      <c r="D77" s="276">
        <v>429.07672647445338</v>
      </c>
      <c r="E77" s="276">
        <v>978.62875243077031</v>
      </c>
      <c r="F77" s="276">
        <v>784.05165451132189</v>
      </c>
      <c r="G77" s="276">
        <v>547.2578378410708</v>
      </c>
      <c r="H77" s="276">
        <v>304.84003296797187</v>
      </c>
      <c r="I77" s="276">
        <v>129.30395143502471</v>
      </c>
      <c r="J77" s="276">
        <v>166.64866983392832</v>
      </c>
      <c r="K77" s="276">
        <v>200.81756197529037</v>
      </c>
      <c r="L77" s="276">
        <v>969.7847183254537</v>
      </c>
      <c r="M77" s="276">
        <v>-267.46823893952143</v>
      </c>
      <c r="N77" s="276">
        <v>688.98679339920375</v>
      </c>
      <c r="O77" s="276">
        <v>920.08007926171035</v>
      </c>
      <c r="P77" s="181">
        <f t="shared" si="6"/>
        <v>5852.008539516678</v>
      </c>
      <c r="Q77" s="181"/>
    </row>
    <row r="78" spans="2:17" x14ac:dyDescent="0.2">
      <c r="B78" s="8" t="s">
        <v>277</v>
      </c>
      <c r="C78" s="174" t="s">
        <v>278</v>
      </c>
      <c r="D78" s="213">
        <v>405302.05299999996</v>
      </c>
      <c r="E78" s="213">
        <v>236926.962</v>
      </c>
      <c r="F78" s="213">
        <v>615641.54399999999</v>
      </c>
      <c r="G78" s="213">
        <v>275926.25</v>
      </c>
      <c r="H78" s="213">
        <v>267341.35200000001</v>
      </c>
      <c r="I78" s="213">
        <v>122908.84900000002</v>
      </c>
      <c r="J78" s="213">
        <v>308642.01299999998</v>
      </c>
      <c r="K78" s="213">
        <v>169122.14799999999</v>
      </c>
      <c r="L78" s="213">
        <v>188599.125</v>
      </c>
      <c r="M78" s="213">
        <v>361881.30600000004</v>
      </c>
      <c r="N78" s="213">
        <v>359073.61599999998</v>
      </c>
      <c r="O78" s="213">
        <v>356893.984</v>
      </c>
      <c r="P78" s="175">
        <f t="shared" si="6"/>
        <v>3668259.2019999996</v>
      </c>
      <c r="Q78" s="181"/>
    </row>
    <row r="79" spans="2:17" x14ac:dyDescent="0.2">
      <c r="C79" s="178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4" t="s">
        <v>289</v>
      </c>
      <c r="C80" s="178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23" s="8" customFormat="1" x14ac:dyDescent="0.2">
      <c r="B81" s="8" t="s">
        <v>290</v>
      </c>
      <c r="C81" s="174"/>
      <c r="D81" s="182">
        <v>625.58333333333303</v>
      </c>
      <c r="E81" s="182">
        <v>794.79166666666697</v>
      </c>
      <c r="F81" s="182">
        <v>541.29999999999995</v>
      </c>
      <c r="G81" s="182">
        <v>391.91666666666703</v>
      </c>
      <c r="H81" s="182">
        <v>179.916666666667</v>
      </c>
      <c r="I81" s="182">
        <v>114</v>
      </c>
      <c r="J81" s="182">
        <v>24.2916666666667</v>
      </c>
      <c r="K81" s="182">
        <v>8.2083333333333393</v>
      </c>
      <c r="L81" s="182">
        <v>115.708333333333</v>
      </c>
      <c r="M81" s="182">
        <v>445.29166666666703</v>
      </c>
      <c r="N81" s="182">
        <v>560.95833333333303</v>
      </c>
      <c r="O81" s="182">
        <v>634.20833333333303</v>
      </c>
      <c r="P81" s="175">
        <f>SUM(D81:O81)</f>
        <v>4436.1750000000002</v>
      </c>
      <c r="Q81" s="175"/>
    </row>
    <row r="82" spans="2:23" s="8" customFormat="1" x14ac:dyDescent="0.2">
      <c r="B82" s="8" t="s">
        <v>291</v>
      </c>
      <c r="C82" s="174"/>
      <c r="D82" s="182">
        <v>723.21388888888896</v>
      </c>
      <c r="E82" s="182">
        <v>616.98611111111097</v>
      </c>
      <c r="F82" s="182">
        <v>592.16805555555595</v>
      </c>
      <c r="G82" s="182">
        <v>450.14722222222201</v>
      </c>
      <c r="H82" s="182">
        <v>296.66111111111098</v>
      </c>
      <c r="I82" s="182">
        <v>162.50833333333301</v>
      </c>
      <c r="J82" s="182">
        <v>57.0138888888889</v>
      </c>
      <c r="K82" s="182">
        <v>47.509722222222202</v>
      </c>
      <c r="L82" s="182">
        <v>136.759722222222</v>
      </c>
      <c r="M82" s="182">
        <v>386.027777777778</v>
      </c>
      <c r="N82" s="182">
        <v>583.59097222222204</v>
      </c>
      <c r="O82" s="182">
        <v>747.57777777777801</v>
      </c>
      <c r="P82" s="175">
        <f>SUM(D82:O82)</f>
        <v>4800.1645833333332</v>
      </c>
      <c r="Q82" s="175"/>
    </row>
    <row r="83" spans="2:23" s="8" customFormat="1" x14ac:dyDescent="0.2">
      <c r="B83" s="8" t="s">
        <v>292</v>
      </c>
      <c r="C83" s="174"/>
      <c r="D83" s="180">
        <f t="shared" ref="D83:P83" si="7">D81-D82</f>
        <v>-97.630555555555929</v>
      </c>
      <c r="E83" s="180">
        <f t="shared" si="7"/>
        <v>177.805555555556</v>
      </c>
      <c r="F83" s="180">
        <f t="shared" si="7"/>
        <v>-50.868055555555998</v>
      </c>
      <c r="G83" s="180">
        <f t="shared" si="7"/>
        <v>-58.230555555554986</v>
      </c>
      <c r="H83" s="180">
        <f t="shared" si="7"/>
        <v>-116.74444444444399</v>
      </c>
      <c r="I83" s="180">
        <f t="shared" si="7"/>
        <v>-48.508333333333013</v>
      </c>
      <c r="J83" s="180">
        <f t="shared" si="7"/>
        <v>-32.7222222222222</v>
      </c>
      <c r="K83" s="180">
        <f t="shared" si="7"/>
        <v>-39.301388888888866</v>
      </c>
      <c r="L83" s="180">
        <f t="shared" si="7"/>
        <v>-21.051388888888994</v>
      </c>
      <c r="M83" s="180">
        <f t="shared" si="7"/>
        <v>59.263888888889028</v>
      </c>
      <c r="N83" s="180">
        <f t="shared" si="7"/>
        <v>-22.632638888889005</v>
      </c>
      <c r="O83" s="180">
        <f t="shared" si="7"/>
        <v>-113.36944444444498</v>
      </c>
      <c r="P83" s="180">
        <f t="shared" si="7"/>
        <v>-363.98958333333303</v>
      </c>
      <c r="Q83" s="78"/>
    </row>
    <row r="84" spans="2:23" x14ac:dyDescent="0.2">
      <c r="C84" s="178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23" x14ac:dyDescent="0.2">
      <c r="B85" s="4" t="s">
        <v>293</v>
      </c>
      <c r="C85" s="178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23" s="8" customFormat="1" x14ac:dyDescent="0.2">
      <c r="B86" s="7" t="s">
        <v>68</v>
      </c>
      <c r="C86" s="174">
        <v>23</v>
      </c>
      <c r="D86" s="277">
        <v>0.14319999999999999</v>
      </c>
      <c r="E86" s="277">
        <v>0.134711</v>
      </c>
      <c r="F86" s="277">
        <v>0.12664400000000001</v>
      </c>
      <c r="G86" s="277">
        <v>9.8774000000000001E-2</v>
      </c>
      <c r="H86" s="277">
        <v>7.7201000000000006E-2</v>
      </c>
      <c r="I86" s="277">
        <v>4.8404000000000003E-2</v>
      </c>
      <c r="J86" s="277">
        <v>0</v>
      </c>
      <c r="K86" s="277">
        <v>0</v>
      </c>
      <c r="L86" s="277">
        <v>6.3587000000000005E-2</v>
      </c>
      <c r="M86" s="277">
        <v>0.1031</v>
      </c>
      <c r="N86" s="277">
        <v>0.13189500000000001</v>
      </c>
      <c r="O86" s="277">
        <v>0.14072100000000001</v>
      </c>
      <c r="P86" s="175"/>
      <c r="Q86" s="175"/>
      <c r="R86" s="183"/>
      <c r="S86" s="183"/>
      <c r="T86" s="183"/>
      <c r="U86" s="183"/>
      <c r="V86" s="183"/>
      <c r="W86" s="183"/>
    </row>
    <row r="87" spans="2:23" s="8" customFormat="1" x14ac:dyDescent="0.2">
      <c r="B87" s="8" t="s">
        <v>258</v>
      </c>
      <c r="C87" s="8">
        <v>31</v>
      </c>
      <c r="D87" s="277">
        <v>0.53276500000000004</v>
      </c>
      <c r="E87" s="277">
        <v>0.48094999999999999</v>
      </c>
      <c r="F87" s="277">
        <v>0.45114799999999999</v>
      </c>
      <c r="G87" s="277">
        <v>0.31682500000000002</v>
      </c>
      <c r="H87" s="277">
        <v>0.202926</v>
      </c>
      <c r="I87" s="277">
        <v>0</v>
      </c>
      <c r="J87" s="277">
        <v>0</v>
      </c>
      <c r="K87" s="277">
        <v>0</v>
      </c>
      <c r="L87" s="277">
        <v>0</v>
      </c>
      <c r="M87" s="277">
        <v>0.28191100000000002</v>
      </c>
      <c r="N87" s="277">
        <v>0.439083</v>
      </c>
      <c r="O87" s="277">
        <v>0.51620600000000005</v>
      </c>
      <c r="P87" s="175"/>
      <c r="Q87" s="175"/>
      <c r="R87" s="183"/>
      <c r="S87" s="183"/>
      <c r="T87" s="183"/>
      <c r="U87" s="183"/>
      <c r="V87" s="183"/>
      <c r="W87" s="183"/>
    </row>
    <row r="88" spans="2:23" s="8" customFormat="1" x14ac:dyDescent="0.2">
      <c r="B88" s="8" t="s">
        <v>259</v>
      </c>
      <c r="C88" s="8">
        <v>41</v>
      </c>
      <c r="D88" s="277">
        <v>4.513147</v>
      </c>
      <c r="E88" s="277">
        <v>4.1698409999999999</v>
      </c>
      <c r="F88" s="277">
        <v>4.368843</v>
      </c>
      <c r="G88" s="277">
        <v>3.4701390000000001</v>
      </c>
      <c r="H88" s="277">
        <v>3.2037770000000001</v>
      </c>
      <c r="I88" s="277">
        <v>2.401713</v>
      </c>
      <c r="J88" s="277">
        <v>0</v>
      </c>
      <c r="K88" s="277">
        <v>0</v>
      </c>
      <c r="L88" s="277">
        <v>2.0022950000000002</v>
      </c>
      <c r="M88" s="277">
        <v>3.3544079999999998</v>
      </c>
      <c r="N88" s="277">
        <v>4.0087200000000003</v>
      </c>
      <c r="O88" s="277">
        <v>4.354209</v>
      </c>
      <c r="P88" s="175"/>
      <c r="Q88" s="175"/>
      <c r="R88" s="183"/>
      <c r="S88" s="183"/>
      <c r="T88" s="183"/>
      <c r="U88" s="183"/>
      <c r="V88" s="183"/>
      <c r="W88" s="183"/>
    </row>
    <row r="89" spans="2:23" s="8" customFormat="1" x14ac:dyDescent="0.2">
      <c r="B89" s="7" t="s">
        <v>270</v>
      </c>
      <c r="C89" s="178" t="s">
        <v>76</v>
      </c>
      <c r="D89" s="277">
        <v>6.2669540000000001</v>
      </c>
      <c r="E89" s="277">
        <v>5.409268</v>
      </c>
      <c r="F89" s="277">
        <v>6.4687659999999996</v>
      </c>
      <c r="G89" s="277">
        <v>4.3157059999999996</v>
      </c>
      <c r="H89" s="277">
        <v>3.110636</v>
      </c>
      <c r="I89" s="277">
        <v>0</v>
      </c>
      <c r="J89" s="277">
        <v>0</v>
      </c>
      <c r="K89" s="277">
        <v>0</v>
      </c>
      <c r="L89" s="277">
        <v>0</v>
      </c>
      <c r="M89" s="277">
        <v>4.9746170000000003</v>
      </c>
      <c r="N89" s="277">
        <v>5.1269749999999998</v>
      </c>
      <c r="O89" s="277">
        <v>6.0059620000000002</v>
      </c>
      <c r="P89" s="175"/>
      <c r="Q89" s="175"/>
      <c r="R89" s="183"/>
      <c r="S89" s="183"/>
      <c r="T89" s="183"/>
      <c r="U89" s="183"/>
      <c r="V89" s="183"/>
      <c r="W89" s="183"/>
    </row>
    <row r="90" spans="2:23" s="8" customFormat="1" x14ac:dyDescent="0.2">
      <c r="B90" s="7" t="s">
        <v>271</v>
      </c>
      <c r="C90" s="178" t="s">
        <v>127</v>
      </c>
      <c r="D90" s="277">
        <v>25.500910000000001</v>
      </c>
      <c r="E90" s="277">
        <v>16.812010000000001</v>
      </c>
      <c r="F90" s="277">
        <v>23.186679999999999</v>
      </c>
      <c r="G90" s="277">
        <v>16.804320000000001</v>
      </c>
      <c r="H90" s="277">
        <v>18.232589999999998</v>
      </c>
      <c r="I90" s="277">
        <v>14.79834</v>
      </c>
      <c r="J90" s="277">
        <v>0</v>
      </c>
      <c r="K90" s="277">
        <v>0</v>
      </c>
      <c r="L90" s="277">
        <v>0</v>
      </c>
      <c r="M90" s="277">
        <v>19.891279999999998</v>
      </c>
      <c r="N90" s="277">
        <v>20.367989999999999</v>
      </c>
      <c r="O90" s="277">
        <v>24.61317</v>
      </c>
      <c r="P90" s="175"/>
      <c r="Q90" s="175"/>
      <c r="R90" s="183"/>
      <c r="S90" s="183"/>
      <c r="T90" s="183"/>
      <c r="U90" s="183"/>
      <c r="V90" s="183"/>
      <c r="W90" s="183"/>
    </row>
    <row r="91" spans="2:23" s="8" customFormat="1" x14ac:dyDescent="0.2">
      <c r="B91" s="7" t="s">
        <v>272</v>
      </c>
      <c r="C91" s="178" t="s">
        <v>129</v>
      </c>
      <c r="D91" s="277">
        <v>499.12670000000003</v>
      </c>
      <c r="E91" s="277">
        <v>426.04660000000001</v>
      </c>
      <c r="F91" s="277">
        <v>444.41379999999998</v>
      </c>
      <c r="G91" s="277">
        <v>368.11040000000003</v>
      </c>
      <c r="H91" s="277">
        <v>375.50869999999998</v>
      </c>
      <c r="I91" s="277">
        <v>256.69540000000001</v>
      </c>
      <c r="J91" s="277">
        <v>0</v>
      </c>
      <c r="K91" s="277">
        <v>0</v>
      </c>
      <c r="L91" s="277">
        <v>0</v>
      </c>
      <c r="M91" s="277">
        <v>297.80180000000001</v>
      </c>
      <c r="N91" s="277">
        <v>396.5224</v>
      </c>
      <c r="O91" s="277">
        <v>485.76560000000001</v>
      </c>
      <c r="P91" s="175"/>
      <c r="Q91" s="175"/>
      <c r="R91" s="183"/>
      <c r="S91" s="183"/>
      <c r="T91" s="183"/>
      <c r="U91" s="183"/>
      <c r="V91" s="183"/>
      <c r="W91" s="183"/>
    </row>
    <row r="92" spans="2:23" s="8" customFormat="1" x14ac:dyDescent="0.2">
      <c r="B92" s="8" t="s">
        <v>261</v>
      </c>
      <c r="C92" s="8">
        <v>85</v>
      </c>
      <c r="D92" s="277">
        <v>55.548569999999998</v>
      </c>
      <c r="E92" s="277">
        <v>51.165570000000002</v>
      </c>
      <c r="F92" s="277">
        <v>55.315429999999999</v>
      </c>
      <c r="G92" s="277">
        <v>47.385849999999998</v>
      </c>
      <c r="H92" s="277">
        <v>40.491059999999997</v>
      </c>
      <c r="I92" s="277">
        <v>0</v>
      </c>
      <c r="J92" s="277">
        <v>0</v>
      </c>
      <c r="K92" s="277">
        <v>0</v>
      </c>
      <c r="L92" s="277">
        <v>0</v>
      </c>
      <c r="M92" s="277">
        <v>41.116570000000003</v>
      </c>
      <c r="N92" s="277">
        <v>47.659599999999998</v>
      </c>
      <c r="O92" s="277">
        <v>53.545400000000001</v>
      </c>
      <c r="P92" s="175"/>
      <c r="Q92" s="175"/>
      <c r="R92" s="183"/>
      <c r="S92" s="183"/>
      <c r="T92" s="183"/>
      <c r="U92" s="183"/>
      <c r="V92" s="183"/>
      <c r="W92" s="183"/>
    </row>
    <row r="93" spans="2:23" s="8" customFormat="1" x14ac:dyDescent="0.2">
      <c r="B93" s="8" t="s">
        <v>262</v>
      </c>
      <c r="C93" s="8">
        <v>86</v>
      </c>
      <c r="D93" s="277">
        <v>6.386247</v>
      </c>
      <c r="E93" s="277">
        <v>6.2606390000000003</v>
      </c>
      <c r="F93" s="277">
        <v>6.5224190000000002</v>
      </c>
      <c r="G93" s="277">
        <v>5.7746690000000003</v>
      </c>
      <c r="H93" s="277">
        <v>5.5679299999999996</v>
      </c>
      <c r="I93" s="277">
        <v>4.0024290000000002</v>
      </c>
      <c r="J93" s="277">
        <v>0</v>
      </c>
      <c r="K93" s="277">
        <v>0</v>
      </c>
      <c r="L93" s="277">
        <v>3.916474</v>
      </c>
      <c r="M93" s="277">
        <v>5.5456979999999998</v>
      </c>
      <c r="N93" s="277">
        <v>6.0227940000000002</v>
      </c>
      <c r="O93" s="277">
        <v>6.0997450000000004</v>
      </c>
      <c r="P93" s="175"/>
      <c r="Q93" s="175"/>
      <c r="R93" s="183"/>
      <c r="S93" s="183"/>
      <c r="T93" s="183"/>
      <c r="U93" s="183"/>
      <c r="V93" s="183"/>
      <c r="W93" s="183"/>
    </row>
    <row r="94" spans="2:23" s="8" customFormat="1" x14ac:dyDescent="0.2">
      <c r="B94" s="8" t="s">
        <v>286</v>
      </c>
      <c r="C94" s="8">
        <v>87</v>
      </c>
      <c r="D94" s="277">
        <v>366.12209999999999</v>
      </c>
      <c r="E94" s="277">
        <v>318.452</v>
      </c>
      <c r="F94" s="277">
        <v>334.81</v>
      </c>
      <c r="G94" s="277">
        <v>293.6979</v>
      </c>
      <c r="H94" s="277">
        <v>235.58369999999999</v>
      </c>
      <c r="I94" s="277">
        <v>0</v>
      </c>
      <c r="J94" s="277">
        <v>0</v>
      </c>
      <c r="K94" s="277">
        <v>0</v>
      </c>
      <c r="L94" s="277">
        <v>0</v>
      </c>
      <c r="M94" s="277">
        <v>254.46559999999999</v>
      </c>
      <c r="N94" s="277">
        <v>313.17070000000001</v>
      </c>
      <c r="O94" s="277">
        <v>356.74259999999998</v>
      </c>
      <c r="P94" s="175"/>
      <c r="Q94" s="175"/>
      <c r="R94" s="184"/>
      <c r="S94" s="184"/>
      <c r="T94" s="183"/>
      <c r="U94" s="183"/>
      <c r="V94" s="183"/>
      <c r="W94" s="183"/>
    </row>
    <row r="95" spans="2:23" s="8" customFormat="1" x14ac:dyDescent="0.2">
      <c r="B95" s="8" t="s">
        <v>264</v>
      </c>
      <c r="C95" s="8">
        <v>31</v>
      </c>
      <c r="D95" s="277">
        <v>1.0367550000000001</v>
      </c>
      <c r="E95" s="277">
        <v>0.96956600000000004</v>
      </c>
      <c r="F95" s="277">
        <v>0.89316799999999996</v>
      </c>
      <c r="G95" s="277">
        <v>0.64079200000000003</v>
      </c>
      <c r="H95" s="277">
        <v>0.46638400000000002</v>
      </c>
      <c r="I95" s="277">
        <v>0.25909100000000002</v>
      </c>
      <c r="J95" s="277">
        <v>0</v>
      </c>
      <c r="K95" s="277">
        <v>0</v>
      </c>
      <c r="L95" s="277">
        <v>0.39397700000000002</v>
      </c>
      <c r="M95" s="277">
        <v>0.63172300000000003</v>
      </c>
      <c r="N95" s="277">
        <v>0.85933199999999998</v>
      </c>
      <c r="O95" s="277">
        <v>0.98885800000000001</v>
      </c>
      <c r="P95" s="175"/>
      <c r="Q95" s="175"/>
      <c r="R95" s="183"/>
      <c r="S95" s="183"/>
      <c r="T95" s="183"/>
      <c r="U95" s="183"/>
      <c r="V95" s="183"/>
      <c r="W95" s="183"/>
    </row>
    <row r="96" spans="2:23" s="8" customFormat="1" x14ac:dyDescent="0.2">
      <c r="B96" s="8" t="s">
        <v>265</v>
      </c>
      <c r="C96" s="8">
        <v>41</v>
      </c>
      <c r="D96" s="277">
        <v>4.9232189999999996</v>
      </c>
      <c r="E96" s="277">
        <v>3.9059729999999999</v>
      </c>
      <c r="F96" s="277">
        <v>5.3453270000000002</v>
      </c>
      <c r="G96" s="277">
        <v>3.9974249999999998</v>
      </c>
      <c r="H96" s="277">
        <v>3.0654370000000002</v>
      </c>
      <c r="I96" s="277">
        <v>0</v>
      </c>
      <c r="J96" s="277">
        <v>0</v>
      </c>
      <c r="K96" s="277">
        <v>0</v>
      </c>
      <c r="L96" s="277">
        <v>0</v>
      </c>
      <c r="M96" s="277">
        <v>4.9178059999999997</v>
      </c>
      <c r="N96" s="277">
        <v>4.2948389999999996</v>
      </c>
      <c r="O96" s="277">
        <v>4.3138329999999998</v>
      </c>
      <c r="P96" s="175"/>
      <c r="Q96" s="175"/>
      <c r="R96" s="183"/>
      <c r="S96" s="183"/>
      <c r="T96" s="183"/>
      <c r="U96" s="183"/>
      <c r="V96" s="183"/>
      <c r="W96" s="183"/>
    </row>
    <row r="97" spans="2:23" s="83" customFormat="1" x14ac:dyDescent="0.2">
      <c r="B97" s="322"/>
      <c r="C97" s="320" t="s">
        <v>278</v>
      </c>
      <c r="D97" s="278">
        <v>143.06899999999999</v>
      </c>
      <c r="E97" s="278">
        <v>0</v>
      </c>
      <c r="F97" s="278">
        <v>59.305709999999998</v>
      </c>
      <c r="G97" s="278">
        <v>0</v>
      </c>
      <c r="H97" s="278">
        <v>0</v>
      </c>
      <c r="I97" s="278">
        <v>0</v>
      </c>
      <c r="J97" s="277">
        <v>0</v>
      </c>
      <c r="K97" s="277">
        <v>0</v>
      </c>
      <c r="L97" s="278">
        <v>0</v>
      </c>
      <c r="M97" s="278">
        <v>153.22470000000001</v>
      </c>
      <c r="N97" s="278">
        <v>175.99039999999999</v>
      </c>
      <c r="O97" s="278">
        <v>170.4641</v>
      </c>
      <c r="P97" s="88"/>
      <c r="Q97" s="88"/>
      <c r="R97" s="185"/>
      <c r="S97" s="185"/>
      <c r="T97" s="186"/>
      <c r="U97" s="186"/>
      <c r="V97" s="186"/>
      <c r="W97" s="186"/>
    </row>
    <row r="98" spans="2:23" x14ac:dyDescent="0.2">
      <c r="C98" s="178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23" x14ac:dyDescent="0.2">
      <c r="B99" s="4" t="s">
        <v>294</v>
      </c>
      <c r="C99" s="178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23" x14ac:dyDescent="0.2">
      <c r="B100" s="7" t="s">
        <v>68</v>
      </c>
      <c r="C100" s="178">
        <v>23</v>
      </c>
      <c r="D100" s="181">
        <f>IF(D67=0,0,D67+D86*(-D$83))</f>
        <v>124.81940955883159</v>
      </c>
      <c r="E100" s="181">
        <f t="shared" ref="E100:O102" si="8">IF(E67=0,0,E67+E86*(-E$83))</f>
        <v>109.44950653803366</v>
      </c>
      <c r="F100" s="181">
        <f t="shared" si="8"/>
        <v>100.70370217883516</v>
      </c>
      <c r="G100" s="181">
        <f t="shared" si="8"/>
        <v>63.790762185379428</v>
      </c>
      <c r="H100" s="181">
        <f t="shared" si="8"/>
        <v>40.506255533847735</v>
      </c>
      <c r="I100" s="181">
        <f t="shared" si="8"/>
        <v>24.941449660790258</v>
      </c>
      <c r="J100" s="181">
        <f t="shared" si="8"/>
        <v>17.797977738450776</v>
      </c>
      <c r="K100" s="181">
        <f t="shared" si="8"/>
        <v>16.531264912527519</v>
      </c>
      <c r="L100" s="181">
        <f t="shared" si="8"/>
        <v>24.704127874975274</v>
      </c>
      <c r="M100" s="181">
        <f t="shared" si="8"/>
        <v>61.828447179300333</v>
      </c>
      <c r="N100" s="181">
        <f t="shared" si="8"/>
        <v>90.5495955019761</v>
      </c>
      <c r="O100" s="181">
        <f t="shared" si="8"/>
        <v>125.66481874655094</v>
      </c>
      <c r="P100" s="181">
        <f>SUM(D100:O100)</f>
        <v>801.28731760949893</v>
      </c>
      <c r="Q100" s="181"/>
    </row>
    <row r="101" spans="2:23" x14ac:dyDescent="0.2">
      <c r="B101" s="8" t="s">
        <v>258</v>
      </c>
      <c r="C101" s="178">
        <v>31</v>
      </c>
      <c r="D101" s="181">
        <f>IF(D68=0,0,D68+D87*(-D$83))</f>
        <v>557.40596944819299</v>
      </c>
      <c r="E101" s="181">
        <f t="shared" si="8"/>
        <v>529.50580454514773</v>
      </c>
      <c r="F101" s="181">
        <f t="shared" si="8"/>
        <v>496.63676491551178</v>
      </c>
      <c r="G101" s="181">
        <f t="shared" si="8"/>
        <v>329.29125692803837</v>
      </c>
      <c r="H101" s="181">
        <f t="shared" si="8"/>
        <v>245.70654555716862</v>
      </c>
      <c r="I101" s="181">
        <f t="shared" si="8"/>
        <v>169.81529100934529</v>
      </c>
      <c r="J101" s="181">
        <f t="shared" si="8"/>
        <v>151.90062746393872</v>
      </c>
      <c r="K101" s="181">
        <f t="shared" si="8"/>
        <v>150.56136892953549</v>
      </c>
      <c r="L101" s="181">
        <f t="shared" si="8"/>
        <v>169.03396866692424</v>
      </c>
      <c r="M101" s="181">
        <f t="shared" si="8"/>
        <v>337.11523972320833</v>
      </c>
      <c r="N101" s="181">
        <f t="shared" si="8"/>
        <v>371.53165763960789</v>
      </c>
      <c r="O101" s="181">
        <f t="shared" si="8"/>
        <v>614.28544389144452</v>
      </c>
      <c r="P101" s="181">
        <f t="shared" ref="P101:P111" si="9">SUM(D101:O101)</f>
        <v>4122.7899387180641</v>
      </c>
      <c r="Q101" s="181"/>
    </row>
    <row r="102" spans="2:23" x14ac:dyDescent="0.2">
      <c r="B102" s="8" t="s">
        <v>259</v>
      </c>
      <c r="C102" s="8">
        <v>41</v>
      </c>
      <c r="D102" s="181">
        <f>IF(D69=0,0,D69+D88*(-D$83))</f>
        <v>5256.0711773872035</v>
      </c>
      <c r="E102" s="181">
        <f t="shared" si="8"/>
        <v>5143.5557403984203</v>
      </c>
      <c r="F102" s="181">
        <f t="shared" si="8"/>
        <v>5004.1553175375238</v>
      </c>
      <c r="G102" s="181">
        <f t="shared" si="8"/>
        <v>4108.7508595962063</v>
      </c>
      <c r="H102" s="181">
        <f t="shared" si="8"/>
        <v>3805.6479490071156</v>
      </c>
      <c r="I102" s="181">
        <f t="shared" si="8"/>
        <v>2148.1376202208035</v>
      </c>
      <c r="J102" s="181">
        <f t="shared" si="8"/>
        <v>1938.3864371102359</v>
      </c>
      <c r="K102" s="181">
        <f t="shared" si="8"/>
        <v>1801.7221747772774</v>
      </c>
      <c r="L102" s="181">
        <f t="shared" si="8"/>
        <v>2212.0795311007023</v>
      </c>
      <c r="M102" s="181">
        <f t="shared" si="8"/>
        <v>3655.3677680520882</v>
      </c>
      <c r="N102" s="181">
        <f t="shared" si="8"/>
        <v>4380.3263740706307</v>
      </c>
      <c r="O102" s="181">
        <f t="shared" si="8"/>
        <v>6182.8575584087648</v>
      </c>
      <c r="P102" s="181">
        <f t="shared" si="9"/>
        <v>45637.058507666974</v>
      </c>
      <c r="Q102" s="181"/>
    </row>
    <row r="103" spans="2:23" x14ac:dyDescent="0.2">
      <c r="B103" s="7" t="s">
        <v>270</v>
      </c>
      <c r="C103" s="178" t="s">
        <v>76</v>
      </c>
      <c r="D103" s="181">
        <f t="shared" ref="D103:O109" si="10">IF(D71=0,0,D71+D89*(-D$83))</f>
        <v>20438.64571285624</v>
      </c>
      <c r="E103" s="181">
        <f t="shared" si="10"/>
        <v>12355.981183476966</v>
      </c>
      <c r="F103" s="181">
        <f t="shared" si="10"/>
        <v>16819.224218995598</v>
      </c>
      <c r="G103" s="181">
        <f t="shared" si="10"/>
        <v>21117.936698735182</v>
      </c>
      <c r="H103" s="181">
        <f t="shared" si="10"/>
        <v>11192.377372923456</v>
      </c>
      <c r="I103" s="181">
        <f t="shared" si="10"/>
        <v>14471.134814814814</v>
      </c>
      <c r="J103" s="181">
        <f t="shared" si="10"/>
        <v>5897.516172839506</v>
      </c>
      <c r="K103" s="181">
        <f t="shared" si="10"/>
        <v>19319.466024096389</v>
      </c>
      <c r="L103" s="181">
        <f t="shared" si="10"/>
        <v>15272.344939759036</v>
      </c>
      <c r="M103" s="181">
        <f t="shared" si="10"/>
        <v>15962.754730365292</v>
      </c>
      <c r="N103" s="181">
        <f t="shared" si="10"/>
        <v>17835.664443646881</v>
      </c>
      <c r="O103" s="181">
        <f t="shared" si="10"/>
        <v>18221.36450300529</v>
      </c>
      <c r="P103" s="181">
        <f t="shared" si="9"/>
        <v>188904.41081551462</v>
      </c>
      <c r="Q103" s="181"/>
    </row>
    <row r="104" spans="2:23" x14ac:dyDescent="0.2">
      <c r="B104" s="7" t="s">
        <v>271</v>
      </c>
      <c r="C104" s="178" t="s">
        <v>127</v>
      </c>
      <c r="D104" s="181">
        <f t="shared" si="10"/>
        <v>69109.399525623739</v>
      </c>
      <c r="E104" s="181">
        <f t="shared" si="10"/>
        <v>59135.809807803009</v>
      </c>
      <c r="F104" s="181">
        <f t="shared" si="10"/>
        <v>64131.881528409103</v>
      </c>
      <c r="G104" s="181">
        <f t="shared" si="10"/>
        <v>57452.429737818173</v>
      </c>
      <c r="H104" s="181">
        <f t="shared" si="10"/>
        <v>55464.403590333321</v>
      </c>
      <c r="I104" s="181">
        <f t="shared" si="10"/>
        <v>41400.888264045447</v>
      </c>
      <c r="J104" s="181">
        <f t="shared" si="10"/>
        <v>51523.880000000005</v>
      </c>
      <c r="K104" s="181">
        <f t="shared" si="10"/>
        <v>51648.393548387088</v>
      </c>
      <c r="L104" s="181">
        <f t="shared" si="10"/>
        <v>48669.153225806447</v>
      </c>
      <c r="M104" s="181">
        <f t="shared" si="10"/>
        <v>56259.048058888882</v>
      </c>
      <c r="N104" s="181">
        <f t="shared" si="10"/>
        <v>55779.654362562498</v>
      </c>
      <c r="O104" s="181">
        <f t="shared" si="10"/>
        <v>61791.644408916683</v>
      </c>
      <c r="P104" s="181">
        <f t="shared" si="9"/>
        <v>672366.5860585944</v>
      </c>
      <c r="Q104" s="181"/>
    </row>
    <row r="105" spans="2:23" x14ac:dyDescent="0.2">
      <c r="B105" s="7" t="s">
        <v>272</v>
      </c>
      <c r="C105" s="178" t="s">
        <v>129</v>
      </c>
      <c r="D105" s="181">
        <f t="shared" si="10"/>
        <v>690445.98034694442</v>
      </c>
      <c r="E105" s="181">
        <f t="shared" si="10"/>
        <v>545497.65759444423</v>
      </c>
      <c r="F105" s="181">
        <f t="shared" si="10"/>
        <v>705675.02253472246</v>
      </c>
      <c r="G105" s="181">
        <f t="shared" si="10"/>
        <v>519063.89976444421</v>
      </c>
      <c r="H105" s="181">
        <f t="shared" si="10"/>
        <v>462534.27456555539</v>
      </c>
      <c r="I105" s="181">
        <f t="shared" si="10"/>
        <v>386658.02602833317</v>
      </c>
      <c r="J105" s="181">
        <f t="shared" si="10"/>
        <v>374214.63999999996</v>
      </c>
      <c r="K105" s="181">
        <f t="shared" si="10"/>
        <v>351213.02</v>
      </c>
      <c r="L105" s="181">
        <f t="shared" si="10"/>
        <v>361318.97666666674</v>
      </c>
      <c r="M105" s="181">
        <f t="shared" si="10"/>
        <v>529318.78054722224</v>
      </c>
      <c r="N105" s="181">
        <f t="shared" si="10"/>
        <v>543694.32829055551</v>
      </c>
      <c r="O105" s="181">
        <f t="shared" si="10"/>
        <v>610371.59286888922</v>
      </c>
      <c r="P105" s="181">
        <f t="shared" si="9"/>
        <v>6080006.1992077772</v>
      </c>
      <c r="Q105" s="181"/>
    </row>
    <row r="106" spans="2:23" x14ac:dyDescent="0.2">
      <c r="B106" s="7" t="s">
        <v>261</v>
      </c>
      <c r="C106" s="7">
        <v>85</v>
      </c>
      <c r="D106" s="181">
        <f t="shared" si="10"/>
        <v>113385.17553202539</v>
      </c>
      <c r="E106" s="181">
        <f t="shared" si="10"/>
        <v>-5897.878229601487</v>
      </c>
      <c r="F106" s="181">
        <f t="shared" si="10"/>
        <v>83978.683953275977</v>
      </c>
      <c r="G106" s="181">
        <f t="shared" si="10"/>
        <v>30737.603773146111</v>
      </c>
      <c r="H106" s="181">
        <f t="shared" si="10"/>
        <v>55694.855076405765</v>
      </c>
      <c r="I106" s="181">
        <f t="shared" si="10"/>
        <v>35810.655782608701</v>
      </c>
      <c r="J106" s="181">
        <f t="shared" si="10"/>
        <v>28067.138326086959</v>
      </c>
      <c r="K106" s="181">
        <f t="shared" si="10"/>
        <v>30552.695478260866</v>
      </c>
      <c r="L106" s="181">
        <f t="shared" si="10"/>
        <v>19570.429108695655</v>
      </c>
      <c r="M106" s="181">
        <f t="shared" si="10"/>
        <v>73204.668080694435</v>
      </c>
      <c r="N106" s="181">
        <f t="shared" si="10"/>
        <v>33526.539433055557</v>
      </c>
      <c r="O106" s="181">
        <f t="shared" si="10"/>
        <v>79832.598750555582</v>
      </c>
      <c r="P106" s="181">
        <f t="shared" si="9"/>
        <v>578463.1650652095</v>
      </c>
      <c r="Q106" s="181"/>
    </row>
    <row r="107" spans="2:23" x14ac:dyDescent="0.2">
      <c r="B107" s="7" t="s">
        <v>262</v>
      </c>
      <c r="C107" s="7">
        <v>86</v>
      </c>
      <c r="D107" s="181">
        <f t="shared" si="10"/>
        <v>6961.6921761308176</v>
      </c>
      <c r="E107" s="181">
        <f t="shared" si="10"/>
        <v>4331.6877574859063</v>
      </c>
      <c r="F107" s="181">
        <f t="shared" si="10"/>
        <v>5661.0370696077962</v>
      </c>
      <c r="G107" s="181">
        <f t="shared" si="10"/>
        <v>3562.4264489455636</v>
      </c>
      <c r="H107" s="181">
        <f t="shared" si="10"/>
        <v>2867.064990977372</v>
      </c>
      <c r="I107" s="181">
        <f t="shared" si="10"/>
        <v>2911.3948676499981</v>
      </c>
      <c r="J107" s="181">
        <f t="shared" si="10"/>
        <v>1658.7818793744898</v>
      </c>
      <c r="K107" s="181">
        <f t="shared" si="10"/>
        <v>-684.61722299609357</v>
      </c>
      <c r="L107" s="181">
        <f t="shared" si="10"/>
        <v>2371.8105798619072</v>
      </c>
      <c r="M107" s="181">
        <f t="shared" si="10"/>
        <v>3108.0456130042794</v>
      </c>
      <c r="N107" s="181">
        <f t="shared" si="10"/>
        <v>6567.1765792428905</v>
      </c>
      <c r="O107" s="181">
        <f t="shared" si="10"/>
        <v>3915.7822695224627</v>
      </c>
      <c r="P107" s="181">
        <f t="shared" si="9"/>
        <v>43232.283008807382</v>
      </c>
      <c r="Q107" s="181"/>
    </row>
    <row r="108" spans="2:23" x14ac:dyDescent="0.2">
      <c r="B108" s="8" t="s">
        <v>286</v>
      </c>
      <c r="C108" s="8">
        <v>87</v>
      </c>
      <c r="D108" s="181">
        <f t="shared" si="10"/>
        <v>624905.94442416681</v>
      </c>
      <c r="E108" s="181">
        <f t="shared" si="10"/>
        <v>211430.64532222215</v>
      </c>
      <c r="F108" s="181">
        <f t="shared" si="10"/>
        <v>494651.84608055564</v>
      </c>
      <c r="G108" s="181">
        <f t="shared" si="10"/>
        <v>388730.72578249988</v>
      </c>
      <c r="H108" s="181">
        <f t="shared" si="10"/>
        <v>473644.20012666658</v>
      </c>
      <c r="I108" s="181">
        <f t="shared" si="10"/>
        <v>314130.08845000004</v>
      </c>
      <c r="J108" s="181">
        <f t="shared" si="10"/>
        <v>246149.38983119995</v>
      </c>
      <c r="K108" s="181">
        <f t="shared" si="10"/>
        <v>335208.55436880002</v>
      </c>
      <c r="L108" s="181">
        <f t="shared" si="10"/>
        <v>190414.18819999998</v>
      </c>
      <c r="M108" s="181">
        <f t="shared" si="10"/>
        <v>382568.4353555555</v>
      </c>
      <c r="N108" s="181">
        <f t="shared" si="10"/>
        <v>299861.72096368065</v>
      </c>
      <c r="O108" s="181">
        <f t="shared" si="10"/>
        <v>618678.77637166681</v>
      </c>
      <c r="P108" s="181">
        <f t="shared" si="9"/>
        <v>4580374.5152770141</v>
      </c>
      <c r="Q108" s="181"/>
    </row>
    <row r="109" spans="2:23" x14ac:dyDescent="0.2">
      <c r="B109" s="7" t="s">
        <v>264</v>
      </c>
      <c r="C109" s="7">
        <v>31</v>
      </c>
      <c r="D109" s="181">
        <f t="shared" si="10"/>
        <v>530.29569309945373</v>
      </c>
      <c r="E109" s="181">
        <f t="shared" si="10"/>
        <v>806.23453115299208</v>
      </c>
      <c r="F109" s="181">
        <f t="shared" si="10"/>
        <v>829.4853739557667</v>
      </c>
      <c r="G109" s="181">
        <f t="shared" si="10"/>
        <v>584.57151199662599</v>
      </c>
      <c r="H109" s="181">
        <f t="shared" si="10"/>
        <v>359.28777394574945</v>
      </c>
      <c r="I109" s="181">
        <f t="shared" si="10"/>
        <v>141.87202402669129</v>
      </c>
      <c r="J109" s="181">
        <f t="shared" si="10"/>
        <v>166.64866983392832</v>
      </c>
      <c r="K109" s="181">
        <f t="shared" si="10"/>
        <v>200.81756197529037</v>
      </c>
      <c r="L109" s="181">
        <f t="shared" si="10"/>
        <v>978.07848136573148</v>
      </c>
      <c r="M109" s="181">
        <f t="shared" si="10"/>
        <v>-304.90660062007709</v>
      </c>
      <c r="N109" s="181">
        <f t="shared" si="10"/>
        <v>708.43574424087046</v>
      </c>
      <c r="O109" s="181">
        <f t="shared" si="10"/>
        <v>1032.1863613561554</v>
      </c>
      <c r="P109" s="181">
        <f t="shared" si="9"/>
        <v>6033.0071263291784</v>
      </c>
      <c r="Q109" s="181"/>
    </row>
    <row r="110" spans="2:23" x14ac:dyDescent="0.2">
      <c r="B110" s="8" t="s">
        <v>265</v>
      </c>
      <c r="C110" s="8">
        <v>41</v>
      </c>
      <c r="D110" s="175">
        <f>IF(D70=0,0,D70+D96*(-D$83))</f>
        <v>13654.127345817695</v>
      </c>
      <c r="E110" s="175">
        <f t="shared" ref="E110:O110" si="11">IF(E70=0,0,E70+E96*(-E$83))</f>
        <v>10425.57653362671</v>
      </c>
      <c r="F110" s="175">
        <f t="shared" si="11"/>
        <v>10000.833917716422</v>
      </c>
      <c r="G110" s="175">
        <f t="shared" si="11"/>
        <v>12139.392265322487</v>
      </c>
      <c r="H110" s="175">
        <f t="shared" si="11"/>
        <v>11646.702395903512</v>
      </c>
      <c r="I110" s="175">
        <f t="shared" si="11"/>
        <v>9013.4288965834003</v>
      </c>
      <c r="J110" s="175">
        <f t="shared" si="11"/>
        <v>8788.9023309459444</v>
      </c>
      <c r="K110" s="175">
        <f t="shared" si="11"/>
        <v>9962.5894113608829</v>
      </c>
      <c r="L110" s="175">
        <f t="shared" si="11"/>
        <v>9037.3945381845297</v>
      </c>
      <c r="M110" s="175">
        <f t="shared" si="11"/>
        <v>12279.876868575539</v>
      </c>
      <c r="N110" s="175">
        <f t="shared" si="11"/>
        <v>15882.731439396097</v>
      </c>
      <c r="O110" s="175">
        <f t="shared" si="11"/>
        <v>12737.868562847501</v>
      </c>
      <c r="P110" s="175">
        <f t="shared" si="9"/>
        <v>135569.42450628072</v>
      </c>
      <c r="Q110" s="175"/>
    </row>
    <row r="111" spans="2:23" x14ac:dyDescent="0.2">
      <c r="B111" s="8" t="s">
        <v>277</v>
      </c>
      <c r="C111" s="174" t="s">
        <v>278</v>
      </c>
      <c r="D111" s="175">
        <f>IF(D78=0,0,D78+D97*(-D$83))</f>
        <v>419269.95895277779</v>
      </c>
      <c r="E111" s="175">
        <f t="shared" ref="E111:O111" si="12">IF(E78=0,0,E78+E97*(-E$83))</f>
        <v>236926.962</v>
      </c>
      <c r="F111" s="175">
        <f t="shared" si="12"/>
        <v>618658.31015104172</v>
      </c>
      <c r="G111" s="175">
        <f t="shared" si="12"/>
        <v>275926.25</v>
      </c>
      <c r="H111" s="175">
        <f t="shared" si="12"/>
        <v>267341.35200000001</v>
      </c>
      <c r="I111" s="175">
        <f t="shared" si="12"/>
        <v>122908.84900000002</v>
      </c>
      <c r="J111" s="175">
        <f t="shared" si="12"/>
        <v>308642.01299999998</v>
      </c>
      <c r="K111" s="175">
        <f t="shared" si="12"/>
        <v>169122.14799999999</v>
      </c>
      <c r="L111" s="175">
        <f t="shared" si="12"/>
        <v>188599.125</v>
      </c>
      <c r="M111" s="175">
        <f t="shared" si="12"/>
        <v>352800.6144041667</v>
      </c>
      <c r="N111" s="175">
        <f t="shared" si="12"/>
        <v>363056.7431711111</v>
      </c>
      <c r="O111" s="175">
        <f t="shared" si="12"/>
        <v>376219.40431472228</v>
      </c>
      <c r="P111" s="175">
        <f t="shared" si="9"/>
        <v>3699471.7299938197</v>
      </c>
      <c r="Q111" s="175"/>
    </row>
    <row r="112" spans="2:23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75"/>
    </row>
    <row r="113" spans="2:17" x14ac:dyDescent="0.2">
      <c r="B113" s="94" t="s">
        <v>295</v>
      </c>
      <c r="C113" s="174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2:17" x14ac:dyDescent="0.2">
      <c r="B114" s="8" t="s">
        <v>68</v>
      </c>
      <c r="C114" s="174">
        <v>23</v>
      </c>
      <c r="D114" s="175">
        <f>D100*D37</f>
        <v>97259283.928241581</v>
      </c>
      <c r="E114" s="175">
        <f t="shared" ref="E114:O114" si="13">E100*E37</f>
        <v>85367550.513483196</v>
      </c>
      <c r="F114" s="175">
        <f t="shared" si="13"/>
        <v>78608504.291181296</v>
      </c>
      <c r="G114" s="175">
        <f t="shared" si="13"/>
        <v>49821542.128214113</v>
      </c>
      <c r="H114" s="175">
        <f t="shared" si="13"/>
        <v>31653694.399436381</v>
      </c>
      <c r="I114" s="175">
        <f t="shared" si="13"/>
        <v>19490296.30582726</v>
      </c>
      <c r="J114" s="175">
        <f t="shared" si="13"/>
        <v>13907677.966402467</v>
      </c>
      <c r="K114" s="175">
        <f t="shared" si="13"/>
        <v>12929912.320068486</v>
      </c>
      <c r="L114" s="175">
        <f t="shared" si="13"/>
        <v>19340589.967911519</v>
      </c>
      <c r="M114" s="175">
        <f t="shared" si="13"/>
        <v>48517709.928304665</v>
      </c>
      <c r="N114" s="175">
        <f t="shared" si="13"/>
        <v>71212367.18414709</v>
      </c>
      <c r="O114" s="175">
        <f t="shared" si="13"/>
        <v>98971223.613227338</v>
      </c>
      <c r="P114" s="175">
        <f>SUM(D114:O114)</f>
        <v>627080352.54644537</v>
      </c>
      <c r="Q114" s="175"/>
    </row>
    <row r="115" spans="2:17" x14ac:dyDescent="0.2">
      <c r="B115" s="8" t="s">
        <v>258</v>
      </c>
      <c r="C115" s="174">
        <v>31</v>
      </c>
      <c r="D115" s="175">
        <f>D101*D40</f>
        <v>30535813.818310909</v>
      </c>
      <c r="E115" s="175">
        <f t="shared" ref="E115:O116" si="14">E101*E40</f>
        <v>29045511.402519532</v>
      </c>
      <c r="F115" s="175">
        <f t="shared" si="14"/>
        <v>27272311.308570415</v>
      </c>
      <c r="G115" s="175">
        <f t="shared" si="14"/>
        <v>18069199.141412251</v>
      </c>
      <c r="H115" s="175">
        <f t="shared" si="14"/>
        <v>13482900.980904071</v>
      </c>
      <c r="I115" s="175">
        <f t="shared" si="14"/>
        <v>9306727.0237671677</v>
      </c>
      <c r="J115" s="175">
        <f t="shared" si="14"/>
        <v>8323394.8818865223</v>
      </c>
      <c r="K115" s="175">
        <f t="shared" si="14"/>
        <v>8240825.9669891959</v>
      </c>
      <c r="L115" s="175">
        <f t="shared" si="14"/>
        <v>9252243.3089527655</v>
      </c>
      <c r="M115" s="175">
        <f t="shared" si="14"/>
        <v>18485039.939742684</v>
      </c>
      <c r="N115" s="175">
        <f t="shared" si="14"/>
        <v>20435727.296808992</v>
      </c>
      <c r="O115" s="175">
        <f t="shared" si="14"/>
        <v>33836685.105872437</v>
      </c>
      <c r="P115" s="175">
        <f t="shared" ref="P115:P126" si="15">SUM(D115:O115)</f>
        <v>226286380.17573696</v>
      </c>
      <c r="Q115" s="175"/>
    </row>
    <row r="116" spans="2:17" x14ac:dyDescent="0.2">
      <c r="B116" s="8" t="s">
        <v>259</v>
      </c>
      <c r="C116" s="8">
        <v>41</v>
      </c>
      <c r="D116" s="175">
        <f>D102*D41</f>
        <v>6564832.9005566174</v>
      </c>
      <c r="E116" s="175">
        <f t="shared" si="14"/>
        <v>6398583.3410556344</v>
      </c>
      <c r="F116" s="175">
        <f t="shared" si="14"/>
        <v>6270206.6128745172</v>
      </c>
      <c r="G116" s="175">
        <f t="shared" si="14"/>
        <v>5152373.577933643</v>
      </c>
      <c r="H116" s="175">
        <f t="shared" si="14"/>
        <v>4776088.1760039302</v>
      </c>
      <c r="I116" s="175">
        <f t="shared" si="14"/>
        <v>2693764.5757568874</v>
      </c>
      <c r="J116" s="175">
        <f t="shared" si="14"/>
        <v>2440428.5243217871</v>
      </c>
      <c r="K116" s="175">
        <f t="shared" si="14"/>
        <v>2273773.3845689241</v>
      </c>
      <c r="L116" s="175">
        <f t="shared" si="14"/>
        <v>2796068.5273112878</v>
      </c>
      <c r="M116" s="175">
        <f t="shared" si="14"/>
        <v>4602108.0199775789</v>
      </c>
      <c r="N116" s="175">
        <f t="shared" si="14"/>
        <v>5510450.5785808535</v>
      </c>
      <c r="O116" s="175">
        <f t="shared" si="14"/>
        <v>7771851.9509198172</v>
      </c>
      <c r="P116" s="175">
        <f t="shared" si="15"/>
        <v>57250530.169861481</v>
      </c>
      <c r="Q116" s="175"/>
    </row>
    <row r="117" spans="2:17" x14ac:dyDescent="0.2">
      <c r="B117" s="8" t="s">
        <v>270</v>
      </c>
      <c r="C117" s="174" t="s">
        <v>76</v>
      </c>
      <c r="D117" s="175">
        <f>D103*D54</f>
        <v>1675968.9484542117</v>
      </c>
      <c r="E117" s="175">
        <f t="shared" ref="E117:O118" si="16">E103*E54</f>
        <v>1013190.4570451112</v>
      </c>
      <c r="F117" s="175">
        <f t="shared" si="16"/>
        <v>1379176.385957639</v>
      </c>
      <c r="G117" s="175">
        <f t="shared" si="16"/>
        <v>1710552.8725975498</v>
      </c>
      <c r="H117" s="175">
        <f t="shared" si="16"/>
        <v>906582.56720679998</v>
      </c>
      <c r="I117" s="175">
        <f t="shared" si="16"/>
        <v>1172161.92</v>
      </c>
      <c r="J117" s="175">
        <f t="shared" si="16"/>
        <v>477698.81</v>
      </c>
      <c r="K117" s="175">
        <f t="shared" si="16"/>
        <v>1603515.6800000004</v>
      </c>
      <c r="L117" s="175">
        <f t="shared" si="16"/>
        <v>1267604.6299999999</v>
      </c>
      <c r="M117" s="175">
        <f t="shared" si="16"/>
        <v>1324908.6426203193</v>
      </c>
      <c r="N117" s="175">
        <f t="shared" si="16"/>
        <v>1480360.1488226911</v>
      </c>
      <c r="O117" s="175">
        <f t="shared" si="16"/>
        <v>1512373.253749439</v>
      </c>
      <c r="P117" s="175">
        <f t="shared" ref="P117:P118" si="17">P103*P59</f>
        <v>50248573.27692689</v>
      </c>
      <c r="Q117" s="175"/>
    </row>
    <row r="118" spans="2:17" x14ac:dyDescent="0.2">
      <c r="B118" s="8" t="s">
        <v>271</v>
      </c>
      <c r="C118" s="174" t="s">
        <v>127</v>
      </c>
      <c r="D118" s="175">
        <f>D104*D55</f>
        <v>2280610.1843455834</v>
      </c>
      <c r="E118" s="175">
        <f t="shared" si="16"/>
        <v>1951481.7236574993</v>
      </c>
      <c r="F118" s="175">
        <f t="shared" si="16"/>
        <v>2116352.0904375003</v>
      </c>
      <c r="G118" s="175">
        <f t="shared" si="16"/>
        <v>1895930.1813479997</v>
      </c>
      <c r="H118" s="175">
        <f t="shared" si="16"/>
        <v>1830325.3184809997</v>
      </c>
      <c r="I118" s="175">
        <f t="shared" si="16"/>
        <v>1366229.3127134996</v>
      </c>
      <c r="J118" s="175">
        <f t="shared" si="16"/>
        <v>1700288.04</v>
      </c>
      <c r="K118" s="175">
        <f t="shared" si="16"/>
        <v>1601100.1999999997</v>
      </c>
      <c r="L118" s="175">
        <f t="shared" si="16"/>
        <v>1508743.7499999998</v>
      </c>
      <c r="M118" s="175">
        <f t="shared" si="16"/>
        <v>1687771.4417666665</v>
      </c>
      <c r="N118" s="175">
        <f t="shared" si="16"/>
        <v>1673389.630876875</v>
      </c>
      <c r="O118" s="175">
        <f t="shared" si="16"/>
        <v>1853749.3322675005</v>
      </c>
      <c r="P118" s="175">
        <f t="shared" si="17"/>
        <v>554030066.91228175</v>
      </c>
      <c r="Q118" s="175"/>
    </row>
    <row r="119" spans="2:17" x14ac:dyDescent="0.2">
      <c r="B119" s="8" t="s">
        <v>272</v>
      </c>
      <c r="C119" s="174" t="s">
        <v>129</v>
      </c>
      <c r="D119" s="175">
        <f>D105*D57</f>
        <v>2071337.9410408332</v>
      </c>
      <c r="E119" s="175">
        <f t="shared" ref="E119:O119" si="18">E105*E57</f>
        <v>1636492.9727833327</v>
      </c>
      <c r="F119" s="175">
        <f t="shared" si="18"/>
        <v>2117025.0676041674</v>
      </c>
      <c r="G119" s="175">
        <f t="shared" si="18"/>
        <v>1557191.6992933326</v>
      </c>
      <c r="H119" s="175">
        <f t="shared" si="18"/>
        <v>1387602.8236966662</v>
      </c>
      <c r="I119" s="175">
        <f t="shared" si="18"/>
        <v>1159974.0780849995</v>
      </c>
      <c r="J119" s="175">
        <f t="shared" si="18"/>
        <v>1122643.92</v>
      </c>
      <c r="K119" s="175">
        <f t="shared" si="18"/>
        <v>1053639.06</v>
      </c>
      <c r="L119" s="175">
        <f t="shared" si="18"/>
        <v>1083956.9300000002</v>
      </c>
      <c r="M119" s="175">
        <f t="shared" si="18"/>
        <v>1587956.3416416668</v>
      </c>
      <c r="N119" s="175">
        <f t="shared" si="18"/>
        <v>1631082.9848716664</v>
      </c>
      <c r="O119" s="175">
        <f t="shared" si="18"/>
        <v>1831114.7786066676</v>
      </c>
      <c r="P119" s="175">
        <f t="shared" si="15"/>
        <v>18240018.597623333</v>
      </c>
      <c r="Q119" s="175"/>
    </row>
    <row r="120" spans="2:17" x14ac:dyDescent="0.2">
      <c r="B120" s="8" t="s">
        <v>261</v>
      </c>
      <c r="C120" s="8">
        <v>85</v>
      </c>
      <c r="D120" s="175">
        <f>D106*D44</f>
        <v>2607859.0372365839</v>
      </c>
      <c r="E120" s="175">
        <f t="shared" ref="E120:O124" si="19">E106*E44</f>
        <v>-135651.1992808342</v>
      </c>
      <c r="F120" s="175">
        <f t="shared" si="19"/>
        <v>1931509.7309253474</v>
      </c>
      <c r="G120" s="175">
        <f t="shared" si="19"/>
        <v>706964.8867823605</v>
      </c>
      <c r="H120" s="175">
        <f t="shared" si="19"/>
        <v>1280981.6667573326</v>
      </c>
      <c r="I120" s="175">
        <f t="shared" si="19"/>
        <v>823645.0830000001</v>
      </c>
      <c r="J120" s="175">
        <f t="shared" si="19"/>
        <v>645544.18150000006</v>
      </c>
      <c r="K120" s="175">
        <f t="shared" si="19"/>
        <v>702711.99599999993</v>
      </c>
      <c r="L120" s="175">
        <f t="shared" si="19"/>
        <v>450119.86950000003</v>
      </c>
      <c r="M120" s="175">
        <f t="shared" si="19"/>
        <v>1756912.0339366663</v>
      </c>
      <c r="N120" s="175">
        <f t="shared" si="19"/>
        <v>804636.94639333338</v>
      </c>
      <c r="O120" s="175">
        <f t="shared" si="19"/>
        <v>1915982.3700133339</v>
      </c>
      <c r="P120" s="175">
        <f t="shared" si="15"/>
        <v>13491216.602764124</v>
      </c>
      <c r="Q120" s="175"/>
    </row>
    <row r="121" spans="2:17" x14ac:dyDescent="0.2">
      <c r="B121" s="8" t="s">
        <v>262</v>
      </c>
      <c r="C121" s="8">
        <v>86</v>
      </c>
      <c r="D121" s="175">
        <f>D107*D45</f>
        <v>1475878.7413397334</v>
      </c>
      <c r="E121" s="175">
        <f t="shared" si="19"/>
        <v>918317.80458701216</v>
      </c>
      <c r="F121" s="175">
        <f t="shared" si="19"/>
        <v>1183156.7475480293</v>
      </c>
      <c r="G121" s="175">
        <f t="shared" si="19"/>
        <v>740984.70138067729</v>
      </c>
      <c r="H121" s="175">
        <f>H107*H45</f>
        <v>596349.51812329341</v>
      </c>
      <c r="I121" s="175">
        <f t="shared" si="19"/>
        <v>605570.13247119961</v>
      </c>
      <c r="J121" s="175">
        <f t="shared" si="19"/>
        <v>338391.50339239591</v>
      </c>
      <c r="K121" s="175">
        <f t="shared" si="19"/>
        <v>-134869.59293023043</v>
      </c>
      <c r="L121" s="175">
        <f t="shared" si="19"/>
        <v>462503.06307307188</v>
      </c>
      <c r="M121" s="175">
        <f t="shared" si="19"/>
        <v>543907.98227574886</v>
      </c>
      <c r="N121" s="175">
        <f t="shared" si="19"/>
        <v>1142688.724788263</v>
      </c>
      <c r="O121" s="175">
        <f t="shared" si="19"/>
        <v>606946.25177598174</v>
      </c>
      <c r="P121" s="175">
        <f t="shared" si="15"/>
        <v>8479825.5778251756</v>
      </c>
      <c r="Q121" s="175"/>
    </row>
    <row r="122" spans="2:17" x14ac:dyDescent="0.2">
      <c r="B122" s="8" t="s">
        <v>286</v>
      </c>
      <c r="C122" s="8">
        <v>87</v>
      </c>
      <c r="D122" s="175">
        <f>D108*D46</f>
        <v>3124529.722120834</v>
      </c>
      <c r="E122" s="175">
        <f t="shared" si="19"/>
        <v>1057153.2266111108</v>
      </c>
      <c r="F122" s="175">
        <f t="shared" si="19"/>
        <v>2473259.2304027784</v>
      </c>
      <c r="G122" s="175">
        <f t="shared" si="19"/>
        <v>1943653.6289124994</v>
      </c>
      <c r="H122" s="175">
        <f t="shared" si="19"/>
        <v>2368221.0006333329</v>
      </c>
      <c r="I122" s="175">
        <f t="shared" si="19"/>
        <v>1570650.4422500003</v>
      </c>
      <c r="J122" s="175">
        <f t="shared" si="19"/>
        <v>1230746.9491559998</v>
      </c>
      <c r="K122" s="175">
        <f t="shared" si="19"/>
        <v>1676042.7718440001</v>
      </c>
      <c r="L122" s="175">
        <f t="shared" si="19"/>
        <v>952070.94099999988</v>
      </c>
      <c r="M122" s="175">
        <f t="shared" si="19"/>
        <v>1912842.1767777775</v>
      </c>
      <c r="N122" s="175">
        <f t="shared" si="19"/>
        <v>1499308.6048184033</v>
      </c>
      <c r="O122" s="175">
        <f t="shared" si="19"/>
        <v>3093393.8818583339</v>
      </c>
      <c r="P122" s="175">
        <f t="shared" si="15"/>
        <v>22901872.57638507</v>
      </c>
      <c r="Q122" s="175"/>
    </row>
    <row r="123" spans="2:17" x14ac:dyDescent="0.2">
      <c r="B123" s="8" t="s">
        <v>264</v>
      </c>
      <c r="C123" s="8">
        <v>31</v>
      </c>
      <c r="D123" s="175">
        <f>D109*D47</f>
        <v>1182029.0999186824</v>
      </c>
      <c r="E123" s="175">
        <f t="shared" si="19"/>
        <v>1805159.1152515493</v>
      </c>
      <c r="F123" s="175">
        <f t="shared" si="19"/>
        <v>1856388.2669130058</v>
      </c>
      <c r="G123" s="175">
        <f t="shared" si="19"/>
        <v>1307686.4723364522</v>
      </c>
      <c r="H123" s="175">
        <f t="shared" si="19"/>
        <v>802289.59922085854</v>
      </c>
      <c r="I123" s="175">
        <f t="shared" si="19"/>
        <v>315097.76536328136</v>
      </c>
      <c r="J123" s="175">
        <f t="shared" si="19"/>
        <v>371126.58772015839</v>
      </c>
      <c r="K123" s="175">
        <f t="shared" si="19"/>
        <v>447622.34564292227</v>
      </c>
      <c r="L123" s="175">
        <f t="shared" si="19"/>
        <v>2176224.6210387526</v>
      </c>
      <c r="M123" s="175">
        <f t="shared" si="19"/>
        <v>-679331.90618153173</v>
      </c>
      <c r="N123" s="175">
        <f t="shared" si="19"/>
        <v>1584770.7598668272</v>
      </c>
      <c r="O123" s="175">
        <f t="shared" si="19"/>
        <v>2301775.5858242265</v>
      </c>
      <c r="P123" s="175">
        <f t="shared" si="15"/>
        <v>13470838.312915189</v>
      </c>
      <c r="Q123" s="175"/>
    </row>
    <row r="124" spans="2:17" x14ac:dyDescent="0.2">
      <c r="B124" s="8" t="s">
        <v>265</v>
      </c>
      <c r="C124" s="8">
        <v>41</v>
      </c>
      <c r="D124" s="175">
        <f>D110*D48</f>
        <v>996751.29624469171</v>
      </c>
      <c r="E124" s="175">
        <f t="shared" si="19"/>
        <v>761067.08695474989</v>
      </c>
      <c r="F124" s="175">
        <f t="shared" si="19"/>
        <v>730060.87599329883</v>
      </c>
      <c r="G124" s="175">
        <f t="shared" si="19"/>
        <v>886175.63536854158</v>
      </c>
      <c r="H124" s="175">
        <f t="shared" si="19"/>
        <v>850209.27490095643</v>
      </c>
      <c r="I124" s="175">
        <f t="shared" si="19"/>
        <v>657980.30945058819</v>
      </c>
      <c r="J124" s="175">
        <f t="shared" si="19"/>
        <v>650378.77248999989</v>
      </c>
      <c r="K124" s="175">
        <f t="shared" si="19"/>
        <v>737231.61644070537</v>
      </c>
      <c r="L124" s="175">
        <f t="shared" si="19"/>
        <v>659729.80128747062</v>
      </c>
      <c r="M124" s="175">
        <f t="shared" si="19"/>
        <v>908710.8882745899</v>
      </c>
      <c r="N124" s="175">
        <f t="shared" si="19"/>
        <v>1159439.3950759151</v>
      </c>
      <c r="O124" s="175">
        <f t="shared" si="19"/>
        <v>917126.53652502014</v>
      </c>
      <c r="P124" s="175">
        <f t="shared" si="15"/>
        <v>9914861.4890065268</v>
      </c>
      <c r="Q124" s="175"/>
    </row>
    <row r="125" spans="2:17" x14ac:dyDescent="0.2">
      <c r="B125" s="8" t="s">
        <v>277</v>
      </c>
      <c r="C125" s="174" t="s">
        <v>278</v>
      </c>
      <c r="D125" s="175">
        <f>D111*D63</f>
        <v>4192699.5895277779</v>
      </c>
      <c r="E125" s="175">
        <f t="shared" ref="E125:O125" si="20">E111*E63</f>
        <v>2369269.62</v>
      </c>
      <c r="F125" s="175">
        <f t="shared" si="20"/>
        <v>6186583.1015104167</v>
      </c>
      <c r="G125" s="175">
        <f t="shared" si="20"/>
        <v>2759262.5</v>
      </c>
      <c r="H125" s="175">
        <f t="shared" si="20"/>
        <v>2673413.52</v>
      </c>
      <c r="I125" s="175">
        <f t="shared" si="20"/>
        <v>1229088.4900000002</v>
      </c>
      <c r="J125" s="175">
        <f t="shared" si="20"/>
        <v>3086420.13</v>
      </c>
      <c r="K125" s="175">
        <f t="shared" si="20"/>
        <v>1691221.48</v>
      </c>
      <c r="L125" s="175">
        <f t="shared" si="20"/>
        <v>1885991.25</v>
      </c>
      <c r="M125" s="175">
        <f t="shared" si="20"/>
        <v>3528006.1440416668</v>
      </c>
      <c r="N125" s="175">
        <f t="shared" si="20"/>
        <v>3630567.4317111112</v>
      </c>
      <c r="O125" s="175">
        <f t="shared" si="20"/>
        <v>3762194.0431472231</v>
      </c>
      <c r="P125" s="179">
        <f t="shared" si="15"/>
        <v>36994717.299938194</v>
      </c>
      <c r="Q125" s="175"/>
    </row>
    <row r="126" spans="2:17" x14ac:dyDescent="0.2">
      <c r="B126" s="8" t="s">
        <v>296</v>
      </c>
      <c r="C126" s="174"/>
      <c r="D126" s="180">
        <f t="shared" ref="D126:O126" si="21">SUM(D114:D125)</f>
        <v>153967595.20733804</v>
      </c>
      <c r="E126" s="180">
        <f t="shared" si="21"/>
        <v>132188126.06466788</v>
      </c>
      <c r="F126" s="180">
        <f t="shared" si="21"/>
        <v>132124533.70991844</v>
      </c>
      <c r="G126" s="180">
        <f t="shared" si="21"/>
        <v>86551517.425579399</v>
      </c>
      <c r="H126" s="180">
        <f t="shared" si="21"/>
        <v>62608658.845364623</v>
      </c>
      <c r="I126" s="180">
        <f t="shared" si="21"/>
        <v>40391185.438684873</v>
      </c>
      <c r="J126" s="180">
        <f t="shared" si="21"/>
        <v>34294740.266869329</v>
      </c>
      <c r="K126" s="180">
        <f t="shared" si="21"/>
        <v>32822727.228623997</v>
      </c>
      <c r="L126" s="180">
        <f t="shared" si="21"/>
        <v>41835846.66007486</v>
      </c>
      <c r="M126" s="180">
        <f t="shared" si="21"/>
        <v>84176541.633178517</v>
      </c>
      <c r="N126" s="180">
        <f t="shared" si="21"/>
        <v>111764789.68676202</v>
      </c>
      <c r="O126" s="180">
        <f t="shared" si="21"/>
        <v>158374416.70378727</v>
      </c>
      <c r="P126" s="175">
        <f t="shared" si="15"/>
        <v>1071100678.8708489</v>
      </c>
      <c r="Q126" s="88"/>
    </row>
    <row r="127" spans="2:17" x14ac:dyDescent="0.2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75"/>
    </row>
    <row r="128" spans="2:17" s="8" customFormat="1" x14ac:dyDescent="0.2">
      <c r="B128" s="94" t="s">
        <v>297</v>
      </c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s="8" customFormat="1" x14ac:dyDescent="0.2">
      <c r="B129" s="7" t="s">
        <v>68</v>
      </c>
      <c r="C129" s="174">
        <v>23</v>
      </c>
      <c r="D129" s="175">
        <f>D114-D9</f>
        <v>10893757.97688894</v>
      </c>
      <c r="E129" s="175">
        <f t="shared" ref="E129:O129" si="22">E114-E9</f>
        <v>-18682173.405469269</v>
      </c>
      <c r="F129" s="175">
        <f t="shared" si="22"/>
        <v>5028678.2850111574</v>
      </c>
      <c r="G129" s="175">
        <f t="shared" si="22"/>
        <v>4492136.5575344861</v>
      </c>
      <c r="H129" s="175">
        <f t="shared" si="22"/>
        <v>7043061.0952995755</v>
      </c>
      <c r="I129" s="175">
        <f t="shared" si="22"/>
        <v>1834823.7582027204</v>
      </c>
      <c r="J129" s="175">
        <f t="shared" si="22"/>
        <v>0</v>
      </c>
      <c r="K129" s="175">
        <f t="shared" si="22"/>
        <v>0</v>
      </c>
      <c r="L129" s="175">
        <f t="shared" si="22"/>
        <v>1047971.0389046632</v>
      </c>
      <c r="M129" s="175">
        <f t="shared" si="22"/>
        <v>-4794692.5709097311</v>
      </c>
      <c r="N129" s="175">
        <f t="shared" si="22"/>
        <v>2347645.0471426994</v>
      </c>
      <c r="O129" s="175">
        <f t="shared" si="22"/>
        <v>12564643.233826488</v>
      </c>
      <c r="P129" s="175">
        <f>SUM(D129:O129)</f>
        <v>21775851.01643173</v>
      </c>
      <c r="Q129" s="175"/>
    </row>
    <row r="130" spans="2:17" s="8" customFormat="1" x14ac:dyDescent="0.2">
      <c r="B130" s="8" t="s">
        <v>258</v>
      </c>
      <c r="C130" s="178">
        <v>31</v>
      </c>
      <c r="D130" s="175">
        <f>D115-D11</f>
        <v>2849438.7780217081</v>
      </c>
      <c r="E130" s="175">
        <f t="shared" ref="E130:O131" si="23">E115-E11</f>
        <v>-4690871.7319805697</v>
      </c>
      <c r="F130" s="175">
        <f t="shared" si="23"/>
        <v>1260222.5681763999</v>
      </c>
      <c r="G130" s="175">
        <f t="shared" si="23"/>
        <v>1012346.2572518662</v>
      </c>
      <c r="H130" s="175">
        <f t="shared" si="23"/>
        <v>1299991.5714585278</v>
      </c>
      <c r="I130" s="175">
        <f t="shared" si="23"/>
        <v>0</v>
      </c>
      <c r="J130" s="175">
        <f t="shared" si="23"/>
        <v>0</v>
      </c>
      <c r="K130" s="175">
        <f t="shared" si="23"/>
        <v>0</v>
      </c>
      <c r="L130" s="175">
        <f t="shared" si="23"/>
        <v>0</v>
      </c>
      <c r="M130" s="175">
        <f t="shared" si="23"/>
        <v>-916102.72718640417</v>
      </c>
      <c r="N130" s="175">
        <f t="shared" si="23"/>
        <v>546608.13439667597</v>
      </c>
      <c r="O130" s="175">
        <f t="shared" si="23"/>
        <v>3223566.6340963282</v>
      </c>
      <c r="P130" s="175">
        <f t="shared" ref="P130:P141" si="24">SUM(D130:O130)</f>
        <v>4585199.4842345323</v>
      </c>
      <c r="Q130" s="175"/>
    </row>
    <row r="131" spans="2:17" s="8" customFormat="1" x14ac:dyDescent="0.2">
      <c r="B131" s="8" t="s">
        <v>259</v>
      </c>
      <c r="C131" s="8">
        <v>41</v>
      </c>
      <c r="D131" s="175">
        <f>D116-D12</f>
        <v>550335.69009344932</v>
      </c>
      <c r="E131" s="175">
        <f t="shared" si="23"/>
        <v>-922327.5941056693</v>
      </c>
      <c r="F131" s="175">
        <f t="shared" si="23"/>
        <v>278459.88919219002</v>
      </c>
      <c r="G131" s="175">
        <f t="shared" si="23"/>
        <v>253393.42476854846</v>
      </c>
      <c r="H131" s="175">
        <f t="shared" si="23"/>
        <v>469399.07331605349</v>
      </c>
      <c r="I131" s="175">
        <f t="shared" si="23"/>
        <v>146094.88084784895</v>
      </c>
      <c r="J131" s="175">
        <f t="shared" si="23"/>
        <v>0</v>
      </c>
      <c r="K131" s="175">
        <f t="shared" si="23"/>
        <v>0</v>
      </c>
      <c r="L131" s="175">
        <f t="shared" si="23"/>
        <v>53278.978664111346</v>
      </c>
      <c r="M131" s="175">
        <f t="shared" si="23"/>
        <v>-250283.23611700069</v>
      </c>
      <c r="N131" s="175">
        <f t="shared" si="23"/>
        <v>114135.71350566763</v>
      </c>
      <c r="O131" s="175">
        <f t="shared" si="23"/>
        <v>620498.25894352794</v>
      </c>
      <c r="P131" s="175">
        <f t="shared" si="24"/>
        <v>1312985.0791087272</v>
      </c>
      <c r="Q131" s="175"/>
    </row>
    <row r="132" spans="2:17" s="8" customFormat="1" x14ac:dyDescent="0.2">
      <c r="B132" s="7" t="s">
        <v>270</v>
      </c>
      <c r="C132" s="178" t="s">
        <v>76</v>
      </c>
      <c r="D132" s="175">
        <f>D117-D23</f>
        <v>50171.38845421141</v>
      </c>
      <c r="E132" s="175">
        <f t="shared" ref="E132:O133" si="25">E117-E23</f>
        <v>-78867.427954889019</v>
      </c>
      <c r="F132" s="175">
        <f t="shared" si="25"/>
        <v>26982.390957639087</v>
      </c>
      <c r="G132" s="175">
        <f t="shared" si="25"/>
        <v>20355.782597549725</v>
      </c>
      <c r="H132" s="175">
        <f t="shared" si="25"/>
        <v>29415.107206800021</v>
      </c>
      <c r="I132" s="175">
        <f t="shared" si="25"/>
        <v>0</v>
      </c>
      <c r="J132" s="175">
        <f t="shared" si="25"/>
        <v>0</v>
      </c>
      <c r="K132" s="175">
        <f t="shared" si="25"/>
        <v>0</v>
      </c>
      <c r="L132" s="175">
        <f t="shared" si="25"/>
        <v>0</v>
      </c>
      <c r="M132" s="175">
        <f t="shared" si="25"/>
        <v>-24469.657379680546</v>
      </c>
      <c r="N132" s="175">
        <f t="shared" si="25"/>
        <v>9631.0688226907514</v>
      </c>
      <c r="O132" s="175">
        <f t="shared" si="25"/>
        <v>56514.083749439102</v>
      </c>
      <c r="P132" s="175">
        <f t="shared" si="24"/>
        <v>89732.736453760532</v>
      </c>
      <c r="Q132" s="175"/>
    </row>
    <row r="133" spans="2:17" s="8" customFormat="1" x14ac:dyDescent="0.2">
      <c r="B133" s="7" t="s">
        <v>271</v>
      </c>
      <c r="C133" s="178" t="s">
        <v>127</v>
      </c>
      <c r="D133" s="175">
        <f>D118-D24</f>
        <v>82159.044345583767</v>
      </c>
      <c r="E133" s="175">
        <f t="shared" si="25"/>
        <v>-98645.869675833732</v>
      </c>
      <c r="F133" s="175">
        <f t="shared" si="25"/>
        <v>38922.223770833341</v>
      </c>
      <c r="G133" s="175">
        <f t="shared" si="25"/>
        <v>32291.321347999852</v>
      </c>
      <c r="H133" s="175">
        <f t="shared" si="25"/>
        <v>70242.268480999628</v>
      </c>
      <c r="I133" s="175">
        <f t="shared" si="25"/>
        <v>23688.812713499879</v>
      </c>
      <c r="J133" s="175">
        <f t="shared" si="25"/>
        <v>0</v>
      </c>
      <c r="K133" s="175">
        <f t="shared" si="25"/>
        <v>0</v>
      </c>
      <c r="L133" s="175">
        <f t="shared" si="25"/>
        <v>0</v>
      </c>
      <c r="M133" s="175">
        <f t="shared" si="25"/>
        <v>-35365.0382333335</v>
      </c>
      <c r="N133" s="175">
        <f t="shared" si="25"/>
        <v>13829.440876875073</v>
      </c>
      <c r="O133" s="175">
        <f t="shared" si="25"/>
        <v>83711.44226750033</v>
      </c>
      <c r="P133" s="175">
        <f t="shared" si="24"/>
        <v>210833.64589412464</v>
      </c>
      <c r="Q133" s="175"/>
    </row>
    <row r="134" spans="2:17" s="8" customFormat="1" x14ac:dyDescent="0.2">
      <c r="B134" s="7" t="s">
        <v>272</v>
      </c>
      <c r="C134" s="178" t="s">
        <v>129</v>
      </c>
      <c r="D134" s="175">
        <f>D119-D26</f>
        <v>146190.05104083382</v>
      </c>
      <c r="E134" s="175">
        <f t="shared" ref="E134:O134" si="26">E119-E26</f>
        <v>-227260.35721666715</v>
      </c>
      <c r="F134" s="175">
        <f t="shared" si="26"/>
        <v>67819.397604167229</v>
      </c>
      <c r="G134" s="175">
        <f t="shared" si="26"/>
        <v>64305.819293332752</v>
      </c>
      <c r="H134" s="175">
        <f t="shared" si="26"/>
        <v>131515.66369666602</v>
      </c>
      <c r="I134" s="175">
        <f t="shared" si="26"/>
        <v>37355.598084999714</v>
      </c>
      <c r="J134" s="175">
        <f t="shared" si="26"/>
        <v>0</v>
      </c>
      <c r="K134" s="175">
        <f t="shared" si="26"/>
        <v>0</v>
      </c>
      <c r="L134" s="175">
        <f t="shared" si="26"/>
        <v>0</v>
      </c>
      <c r="M134" s="175">
        <f t="shared" si="26"/>
        <v>-52946.678358333185</v>
      </c>
      <c r="N134" s="175">
        <f t="shared" si="26"/>
        <v>26923.044871666702</v>
      </c>
      <c r="O134" s="175">
        <f t="shared" si="26"/>
        <v>165212.92860666756</v>
      </c>
      <c r="P134" s="175">
        <f t="shared" si="24"/>
        <v>359115.46762333345</v>
      </c>
      <c r="Q134" s="175"/>
    </row>
    <row r="135" spans="2:17" s="8" customFormat="1" x14ac:dyDescent="0.2">
      <c r="B135" s="8" t="s">
        <v>261</v>
      </c>
      <c r="C135" s="8">
        <v>85</v>
      </c>
      <c r="D135" s="175">
        <f>D120-D14</f>
        <v>124734.46823658375</v>
      </c>
      <c r="E135" s="175">
        <f t="shared" ref="E135:O139" si="27">E120-E14</f>
        <v>-209243.01978083389</v>
      </c>
      <c r="F135" s="175">
        <f t="shared" si="27"/>
        <v>64717.132425347576</v>
      </c>
      <c r="G135" s="175">
        <f t="shared" si="27"/>
        <v>63464.000532360398</v>
      </c>
      <c r="H135" s="175">
        <f t="shared" si="27"/>
        <v>108723.44500733283</v>
      </c>
      <c r="I135" s="175">
        <f t="shared" si="27"/>
        <v>0</v>
      </c>
      <c r="J135" s="175">
        <f t="shared" si="27"/>
        <v>0</v>
      </c>
      <c r="K135" s="175">
        <f t="shared" si="27"/>
        <v>0</v>
      </c>
      <c r="L135" s="175">
        <f t="shared" si="27"/>
        <v>0</v>
      </c>
      <c r="M135" s="175">
        <f t="shared" si="27"/>
        <v>-58481.468063333537</v>
      </c>
      <c r="N135" s="175">
        <f t="shared" si="27"/>
        <v>25887.900393333402</v>
      </c>
      <c r="O135" s="175">
        <f t="shared" si="27"/>
        <v>145689.89401333383</v>
      </c>
      <c r="P135" s="175">
        <f t="shared" si="24"/>
        <v>265492.3527641244</v>
      </c>
      <c r="Q135" s="175"/>
    </row>
    <row r="136" spans="2:17" s="8" customFormat="1" x14ac:dyDescent="0.2">
      <c r="B136" s="8" t="s">
        <v>262</v>
      </c>
      <c r="C136" s="8">
        <v>86</v>
      </c>
      <c r="D136" s="175">
        <f>D121-D15</f>
        <v>132180.48261530069</v>
      </c>
      <c r="E136" s="175">
        <f t="shared" si="27"/>
        <v>-235993.39585188939</v>
      </c>
      <c r="F136" s="175">
        <f t="shared" si="27"/>
        <v>69342.599358160282</v>
      </c>
      <c r="G136" s="175">
        <f t="shared" si="27"/>
        <v>69942.534276043763</v>
      </c>
      <c r="H136" s="175">
        <f t="shared" si="27"/>
        <v>135205.17806755501</v>
      </c>
      <c r="I136" s="175">
        <f t="shared" si="27"/>
        <v>40383.441295599681</v>
      </c>
      <c r="J136" s="175">
        <f t="shared" si="27"/>
        <v>0</v>
      </c>
      <c r="K136" s="175">
        <f t="shared" si="27"/>
        <v>0</v>
      </c>
      <c r="L136" s="175">
        <f t="shared" si="27"/>
        <v>16077.207363208407</v>
      </c>
      <c r="M136" s="175">
        <f t="shared" si="27"/>
        <v>-57515.435264583444</v>
      </c>
      <c r="N136" s="175">
        <f t="shared" si="27"/>
        <v>23718.239576525055</v>
      </c>
      <c r="O136" s="175">
        <f t="shared" si="27"/>
        <v>107186.32879493106</v>
      </c>
      <c r="P136" s="175">
        <f t="shared" si="24"/>
        <v>300527.18023085111</v>
      </c>
      <c r="Q136" s="175"/>
    </row>
    <row r="137" spans="2:17" s="8" customFormat="1" x14ac:dyDescent="0.2">
      <c r="B137" s="8" t="s">
        <v>286</v>
      </c>
      <c r="C137" s="8">
        <v>87</v>
      </c>
      <c r="D137" s="175">
        <f>D122-D16</f>
        <v>178723.520120834</v>
      </c>
      <c r="E137" s="175">
        <f t="shared" si="27"/>
        <v>-283112.67388888937</v>
      </c>
      <c r="F137" s="175">
        <f t="shared" si="27"/>
        <v>85155.66840277845</v>
      </c>
      <c r="G137" s="175">
        <f t="shared" si="27"/>
        <v>85510.959412499331</v>
      </c>
      <c r="H137" s="175">
        <f t="shared" si="27"/>
        <v>137515.44088333286</v>
      </c>
      <c r="I137" s="175">
        <f t="shared" si="27"/>
        <v>0</v>
      </c>
      <c r="J137" s="175">
        <f t="shared" si="27"/>
        <v>0</v>
      </c>
      <c r="K137" s="175">
        <f t="shared" si="27"/>
        <v>0</v>
      </c>
      <c r="L137" s="175">
        <f t="shared" si="27"/>
        <v>0</v>
      </c>
      <c r="M137" s="175">
        <f t="shared" si="27"/>
        <v>-75403.105222222395</v>
      </c>
      <c r="N137" s="175">
        <f t="shared" si="27"/>
        <v>35439.396818403155</v>
      </c>
      <c r="O137" s="175">
        <f t="shared" si="27"/>
        <v>202218.55185833387</v>
      </c>
      <c r="P137" s="175">
        <f t="shared" si="24"/>
        <v>366047.7583850699</v>
      </c>
      <c r="Q137" s="175"/>
    </row>
    <row r="138" spans="2:17" s="8" customFormat="1" x14ac:dyDescent="0.2">
      <c r="B138" s="8" t="s">
        <v>264</v>
      </c>
      <c r="C138" s="8">
        <v>31</v>
      </c>
      <c r="D138" s="175">
        <f>D123-D17</f>
        <v>225617.07660712581</v>
      </c>
      <c r="E138" s="175">
        <f t="shared" si="27"/>
        <v>-385990.66144094546</v>
      </c>
      <c r="F138" s="175">
        <f t="shared" si="27"/>
        <v>101680.66411666735</v>
      </c>
      <c r="G138" s="175">
        <f t="shared" si="27"/>
        <v>83470.689085976919</v>
      </c>
      <c r="H138" s="175">
        <f t="shared" si="27"/>
        <v>121581.8056033774</v>
      </c>
      <c r="I138" s="175">
        <f t="shared" si="27"/>
        <v>27913.68922609149</v>
      </c>
      <c r="J138" s="175">
        <f t="shared" si="27"/>
        <v>0</v>
      </c>
      <c r="K138" s="175">
        <f t="shared" si="27"/>
        <v>0</v>
      </c>
      <c r="L138" s="175">
        <f t="shared" si="27"/>
        <v>18453.622764618136</v>
      </c>
      <c r="M138" s="175">
        <f t="shared" si="27"/>
        <v>-83412.669824277982</v>
      </c>
      <c r="N138" s="175">
        <f t="shared" si="27"/>
        <v>43507.303032808471</v>
      </c>
      <c r="O138" s="175">
        <f t="shared" si="27"/>
        <v>249997.00907061249</v>
      </c>
      <c r="P138" s="175">
        <f t="shared" si="24"/>
        <v>402818.52824205463</v>
      </c>
      <c r="Q138" s="175"/>
    </row>
    <row r="139" spans="2:17" s="8" customFormat="1" x14ac:dyDescent="0.2">
      <c r="B139" s="8" t="s">
        <v>265</v>
      </c>
      <c r="C139" s="8">
        <v>41</v>
      </c>
      <c r="D139" s="175">
        <f>D124-D18</f>
        <v>35087.932244691765</v>
      </c>
      <c r="E139" s="175">
        <f t="shared" si="27"/>
        <v>-50698.770045250072</v>
      </c>
      <c r="F139" s="175">
        <f t="shared" si="27"/>
        <v>19849.166528298752</v>
      </c>
      <c r="G139" s="175">
        <f t="shared" si="27"/>
        <v>16992.376333541586</v>
      </c>
      <c r="H139" s="175">
        <f t="shared" si="27"/>
        <v>26124.709986744449</v>
      </c>
      <c r="I139" s="175">
        <f t="shared" si="27"/>
        <v>0</v>
      </c>
      <c r="J139" s="175">
        <f t="shared" si="27"/>
        <v>0</v>
      </c>
      <c r="K139" s="175">
        <f t="shared" si="27"/>
        <v>0</v>
      </c>
      <c r="L139" s="175">
        <f t="shared" si="27"/>
        <v>0</v>
      </c>
      <c r="M139" s="175">
        <f t="shared" si="27"/>
        <v>-21567.174818722182</v>
      </c>
      <c r="N139" s="175">
        <f t="shared" si="27"/>
        <v>7095.8584326230921</v>
      </c>
      <c r="O139" s="175">
        <f t="shared" si="27"/>
        <v>35212.093245800235</v>
      </c>
      <c r="P139" s="175">
        <f t="shared" si="24"/>
        <v>68096.191907727625</v>
      </c>
      <c r="Q139" s="175"/>
    </row>
    <row r="140" spans="2:17" s="8" customFormat="1" x14ac:dyDescent="0.2">
      <c r="B140" s="8" t="s">
        <v>277</v>
      </c>
      <c r="C140" s="174" t="s">
        <v>278</v>
      </c>
      <c r="D140" s="175">
        <f>D125-D31</f>
        <v>139679.05952777807</v>
      </c>
      <c r="E140" s="175">
        <f t="shared" ref="E140:O140" si="28">E125-E31</f>
        <v>0</v>
      </c>
      <c r="F140" s="175">
        <f t="shared" si="28"/>
        <v>30167.661510417238</v>
      </c>
      <c r="G140" s="175">
        <f t="shared" si="28"/>
        <v>0</v>
      </c>
      <c r="H140" s="175">
        <f t="shared" si="28"/>
        <v>0</v>
      </c>
      <c r="I140" s="175">
        <f t="shared" si="28"/>
        <v>0</v>
      </c>
      <c r="J140" s="175">
        <f t="shared" si="28"/>
        <v>0</v>
      </c>
      <c r="K140" s="175">
        <f t="shared" si="28"/>
        <v>0</v>
      </c>
      <c r="L140" s="175">
        <f t="shared" si="28"/>
        <v>0</v>
      </c>
      <c r="M140" s="175">
        <f t="shared" si="28"/>
        <v>-90806.91595833376</v>
      </c>
      <c r="N140" s="175">
        <f t="shared" si="28"/>
        <v>39831.271711111534</v>
      </c>
      <c r="O140" s="175">
        <f t="shared" si="28"/>
        <v>193254.20314722322</v>
      </c>
      <c r="P140" s="175">
        <f t="shared" si="24"/>
        <v>312125.2799381963</v>
      </c>
      <c r="Q140" s="175"/>
    </row>
    <row r="141" spans="2:17" s="8" customFormat="1" x14ac:dyDescent="0.2">
      <c r="B141" s="8" t="s">
        <v>298</v>
      </c>
      <c r="C141" s="174"/>
      <c r="D141" s="180">
        <f t="shared" ref="D141:O141" si="29">SUM(D129:D140)</f>
        <v>15408075.468197044</v>
      </c>
      <c r="E141" s="180">
        <f t="shared" si="29"/>
        <v>-25865184.907410704</v>
      </c>
      <c r="F141" s="180">
        <f t="shared" si="29"/>
        <v>7071997.6470540566</v>
      </c>
      <c r="G141" s="180">
        <f t="shared" si="29"/>
        <v>6194209.7224342059</v>
      </c>
      <c r="H141" s="180">
        <f t="shared" si="29"/>
        <v>9572775.3590069655</v>
      </c>
      <c r="I141" s="180">
        <f t="shared" si="29"/>
        <v>2110260.1803707602</v>
      </c>
      <c r="J141" s="180">
        <f t="shared" si="29"/>
        <v>0</v>
      </c>
      <c r="K141" s="180">
        <f t="shared" si="29"/>
        <v>0</v>
      </c>
      <c r="L141" s="180">
        <f t="shared" si="29"/>
        <v>1135780.8476966009</v>
      </c>
      <c r="M141" s="180">
        <f t="shared" si="29"/>
        <v>-6461046.6773359561</v>
      </c>
      <c r="N141" s="180">
        <f t="shared" si="29"/>
        <v>3234252.4195810803</v>
      </c>
      <c r="O141" s="180">
        <f t="shared" si="29"/>
        <v>17647704.661620185</v>
      </c>
      <c r="P141" s="175">
        <f t="shared" si="24"/>
        <v>30048824.721214235</v>
      </c>
      <c r="Q141" s="88"/>
    </row>
    <row r="142" spans="2:17" s="8" customFormat="1" x14ac:dyDescent="0.2">
      <c r="B142" s="8" t="s">
        <v>299</v>
      </c>
      <c r="C142" s="174"/>
      <c r="D142" s="78">
        <f t="shared" ref="D142:I142" si="30">IFERROR(D141/D32,0)</f>
        <v>0.10283205973534564</v>
      </c>
      <c r="E142" s="78">
        <f t="shared" si="30"/>
        <v>-0.1523682330263437</v>
      </c>
      <c r="F142" s="78">
        <f t="shared" si="30"/>
        <v>5.196776350187083E-2</v>
      </c>
      <c r="G142" s="78">
        <f t="shared" si="30"/>
        <v>6.8274468833926613E-2</v>
      </c>
      <c r="H142" s="78">
        <f t="shared" si="30"/>
        <v>0.14711690843796865</v>
      </c>
      <c r="I142" s="78">
        <f t="shared" si="30"/>
        <v>4.250465812871871E-2</v>
      </c>
      <c r="J142" s="78">
        <f>IFERROR(J141/J32,0)</f>
        <v>0</v>
      </c>
      <c r="K142" s="78">
        <f t="shared" ref="K142:P142" si="31">IFERROR(K141/K32,0)</f>
        <v>0</v>
      </c>
      <c r="L142" s="78">
        <f t="shared" si="31"/>
        <v>2.1566141024457832E-2</v>
      </c>
      <c r="M142" s="78">
        <f t="shared" si="31"/>
        <v>-6.3601254751890074E-2</v>
      </c>
      <c r="N142" s="78">
        <f t="shared" si="31"/>
        <v>2.6950847006534429E-2</v>
      </c>
      <c r="O142" s="78">
        <f t="shared" si="31"/>
        <v>0.11586992641569625</v>
      </c>
      <c r="P142" s="78">
        <f t="shared" si="31"/>
        <v>2.5493198090704324E-2</v>
      </c>
      <c r="Q142" s="188"/>
    </row>
    <row r="143" spans="2:17" s="8" customFormat="1" x14ac:dyDescent="0.2">
      <c r="C143" s="174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2:17" s="8" customFormat="1" x14ac:dyDescent="0.2">
      <c r="B144" s="94" t="s">
        <v>300</v>
      </c>
      <c r="C144" s="174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2:18" s="8" customFormat="1" x14ac:dyDescent="0.2">
      <c r="B145" s="8" t="s">
        <v>301</v>
      </c>
      <c r="C145" s="174"/>
      <c r="D145" s="182">
        <v>16535577.684705704</v>
      </c>
      <c r="E145" s="182">
        <v>-30081355.687617242</v>
      </c>
      <c r="F145" s="182">
        <v>6293018.956315726</v>
      </c>
      <c r="G145" s="182">
        <v>6496653.6911270469</v>
      </c>
      <c r="H145" s="182">
        <v>8083133.6384513676</v>
      </c>
      <c r="I145" s="182">
        <v>2223829.4070519283</v>
      </c>
      <c r="J145" s="182">
        <v>0</v>
      </c>
      <c r="K145" s="182">
        <v>0</v>
      </c>
      <c r="L145" s="182">
        <v>1076027.2021749988</v>
      </c>
      <c r="M145" s="182">
        <v>-6337756.2194593698</v>
      </c>
      <c r="N145" s="182">
        <v>2969730.0961266756</v>
      </c>
      <c r="O145" s="182">
        <v>18330955.128473043</v>
      </c>
      <c r="P145" s="175">
        <f>SUM(D145:O145)</f>
        <v>25589813.897349879</v>
      </c>
      <c r="Q145" s="175"/>
    </row>
    <row r="146" spans="2:18" s="8" customFormat="1" x14ac:dyDescent="0.2">
      <c r="B146" s="8" t="s">
        <v>124</v>
      </c>
      <c r="C146" s="174"/>
      <c r="D146" s="182">
        <v>50396.322659375146</v>
      </c>
      <c r="E146" s="182">
        <v>-165703.35605694447</v>
      </c>
      <c r="F146" s="182">
        <v>37677.876004645601</v>
      </c>
      <c r="G146" s="182">
        <v>28327.455437933095</v>
      </c>
      <c r="H146" s="182">
        <v>0</v>
      </c>
      <c r="I146" s="182">
        <v>0</v>
      </c>
      <c r="J146" s="182">
        <v>0</v>
      </c>
      <c r="K146" s="182">
        <v>0</v>
      </c>
      <c r="L146" s="182">
        <v>0</v>
      </c>
      <c r="M146" s="182">
        <v>0</v>
      </c>
      <c r="N146" s="182">
        <v>0</v>
      </c>
      <c r="O146" s="182">
        <v>0</v>
      </c>
      <c r="P146" s="175">
        <f>SUM(D146:O146)</f>
        <v>-49301.701954990625</v>
      </c>
      <c r="Q146" s="175"/>
    </row>
    <row r="147" spans="2:18" s="8" customFormat="1" x14ac:dyDescent="0.2">
      <c r="B147" s="8" t="s">
        <v>302</v>
      </c>
      <c r="C147" s="174"/>
      <c r="D147" s="182">
        <v>744201.94089150056</v>
      </c>
      <c r="E147" s="182">
        <v>-1302621.0686774962</v>
      </c>
      <c r="F147" s="182">
        <v>215406.92082631961</v>
      </c>
      <c r="G147" s="182">
        <v>315614.28118091822</v>
      </c>
      <c r="H147" s="182">
        <v>493661.36900208145</v>
      </c>
      <c r="I147" s="182">
        <v>0</v>
      </c>
      <c r="J147" s="182">
        <v>0</v>
      </c>
      <c r="K147" s="182">
        <v>0</v>
      </c>
      <c r="L147" s="182">
        <v>0</v>
      </c>
      <c r="M147" s="182">
        <v>-278150.08721133694</v>
      </c>
      <c r="N147" s="182">
        <v>126381.71566250175</v>
      </c>
      <c r="O147" s="182">
        <v>416025.16473799944</v>
      </c>
      <c r="P147" s="175">
        <f>SUM(D147:O147)</f>
        <v>730520.23641248792</v>
      </c>
      <c r="Q147" s="175"/>
    </row>
    <row r="148" spans="2:18" s="8" customFormat="1" x14ac:dyDescent="0.2">
      <c r="B148" s="8" t="s">
        <v>298</v>
      </c>
      <c r="C148" s="174"/>
      <c r="D148" s="180">
        <f t="shared" ref="D148:P148" si="32">SUM(D145:D147)</f>
        <v>17330175.948256582</v>
      </c>
      <c r="E148" s="180">
        <f t="shared" si="32"/>
        <v>-31549680.112351682</v>
      </c>
      <c r="F148" s="180">
        <f t="shared" si="32"/>
        <v>6546103.7531466912</v>
      </c>
      <c r="G148" s="180">
        <f t="shared" si="32"/>
        <v>6840595.4277458983</v>
      </c>
      <c r="H148" s="180">
        <f t="shared" si="32"/>
        <v>8576795.0074534491</v>
      </c>
      <c r="I148" s="180">
        <f t="shared" si="32"/>
        <v>2223829.4070519283</v>
      </c>
      <c r="J148" s="180">
        <f t="shared" si="32"/>
        <v>0</v>
      </c>
      <c r="K148" s="180">
        <f t="shared" si="32"/>
        <v>0</v>
      </c>
      <c r="L148" s="180">
        <f t="shared" si="32"/>
        <v>1076027.2021749988</v>
      </c>
      <c r="M148" s="180">
        <f t="shared" si="32"/>
        <v>-6615906.3066707067</v>
      </c>
      <c r="N148" s="180">
        <f t="shared" si="32"/>
        <v>3096111.8117891774</v>
      </c>
      <c r="O148" s="180">
        <f>SUM(O145:O147)</f>
        <v>18746980.293211043</v>
      </c>
      <c r="P148" s="180">
        <f t="shared" si="32"/>
        <v>26271032.431807376</v>
      </c>
      <c r="Q148" s="88"/>
    </row>
    <row r="149" spans="2:18" s="8" customFormat="1" x14ac:dyDescent="0.2">
      <c r="C149" s="174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2:18" s="8" customFormat="1" x14ac:dyDescent="0.2">
      <c r="B150" s="94" t="s">
        <v>303</v>
      </c>
      <c r="C150" s="174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2:18" s="8" customFormat="1" x14ac:dyDescent="0.2">
      <c r="B151" s="8" t="s">
        <v>68</v>
      </c>
      <c r="C151" s="174">
        <v>23</v>
      </c>
      <c r="D151" s="175">
        <f>ROUND(IF(SUM(D$129:D$131,D$138:D$139)&lt;&gt;0,D$145*D129/SUM(D$129:D$131,D$138:D$139),0),0)</f>
        <v>12376779</v>
      </c>
      <c r="E151" s="175">
        <f t="shared" ref="E151:O153" si="33">ROUND(IF(SUM(E$129:E$131,E$138:E$139)&lt;&gt;0,E$145*E129/SUM(E$129:E$131,E$138:E$139),0),0)</f>
        <v>-22722938</v>
      </c>
      <c r="F151" s="175">
        <f t="shared" si="33"/>
        <v>4731064</v>
      </c>
      <c r="G151" s="175">
        <f t="shared" si="33"/>
        <v>4981592</v>
      </c>
      <c r="H151" s="175">
        <f>ROUND(IF(SUM(H$129:H$131,H$138:H$139)&lt;&gt;0,H$145*H129/SUM(H$129:H$131,H$138:H$139),0),0)</f>
        <v>6353683</v>
      </c>
      <c r="I151" s="175">
        <f t="shared" si="33"/>
        <v>2031197</v>
      </c>
      <c r="J151" s="175">
        <f t="shared" si="33"/>
        <v>0</v>
      </c>
      <c r="K151" s="175">
        <f t="shared" si="33"/>
        <v>0</v>
      </c>
      <c r="L151" s="175">
        <f t="shared" si="33"/>
        <v>1007093</v>
      </c>
      <c r="M151" s="175">
        <f t="shared" si="33"/>
        <v>-5009446</v>
      </c>
      <c r="N151" s="175">
        <f t="shared" si="33"/>
        <v>2279140</v>
      </c>
      <c r="O151" s="175">
        <f t="shared" si="33"/>
        <v>13796757</v>
      </c>
      <c r="P151" s="175">
        <f t="shared" ref="P151:P162" si="34">SUM(D151:O151)</f>
        <v>19824921</v>
      </c>
      <c r="Q151" s="175"/>
      <c r="R151" s="176"/>
    </row>
    <row r="152" spans="2:18" s="8" customFormat="1" x14ac:dyDescent="0.2">
      <c r="B152" s="8" t="s">
        <v>258</v>
      </c>
      <c r="C152" s="174">
        <v>31</v>
      </c>
      <c r="D152" s="175">
        <f>ROUND(IF(SUM(D$129:D$131,D$138:D$139)&lt;&gt;0,D$145*D130/SUM(D$129:D$131,D$138:D$139),0),0)</f>
        <v>3237347</v>
      </c>
      <c r="E152" s="175">
        <f t="shared" si="33"/>
        <v>-5705460</v>
      </c>
      <c r="F152" s="175">
        <f t="shared" si="33"/>
        <v>1185638</v>
      </c>
      <c r="G152" s="175">
        <f t="shared" si="33"/>
        <v>1122650</v>
      </c>
      <c r="H152" s="175">
        <f>ROUND(IF(SUM(H$129:H$131,H$138:H$139)&lt;&gt;0,H$145*H130/SUM(H$129:H$131,H$138:H$139),0),0)</f>
        <v>1172748</v>
      </c>
      <c r="I152" s="175">
        <f t="shared" si="33"/>
        <v>0</v>
      </c>
      <c r="J152" s="175">
        <f t="shared" si="33"/>
        <v>0</v>
      </c>
      <c r="K152" s="175">
        <f t="shared" si="33"/>
        <v>0</v>
      </c>
      <c r="L152" s="175">
        <f t="shared" si="33"/>
        <v>0</v>
      </c>
      <c r="M152" s="175">
        <f t="shared" si="33"/>
        <v>-957135</v>
      </c>
      <c r="N152" s="175">
        <f t="shared" si="33"/>
        <v>530658</v>
      </c>
      <c r="O152" s="175">
        <f t="shared" si="33"/>
        <v>3539676</v>
      </c>
      <c r="P152" s="175">
        <f t="shared" si="34"/>
        <v>4126122</v>
      </c>
      <c r="Q152" s="175"/>
    </row>
    <row r="153" spans="2:18" s="8" customFormat="1" x14ac:dyDescent="0.2">
      <c r="B153" s="8" t="s">
        <v>259</v>
      </c>
      <c r="C153" s="8">
        <v>41</v>
      </c>
      <c r="D153" s="175">
        <f>ROUND(IF(SUM(D$129:D$131,D$138:D$139)&lt;&gt;0,D$145*D131/SUM(D$129:D$131,D$138:D$139),0),0)</f>
        <v>625256</v>
      </c>
      <c r="E153" s="175">
        <f t="shared" si="33"/>
        <v>-1121818</v>
      </c>
      <c r="F153" s="175">
        <f t="shared" si="33"/>
        <v>261980</v>
      </c>
      <c r="G153" s="175">
        <f t="shared" si="33"/>
        <v>281003</v>
      </c>
      <c r="H153" s="175">
        <f>ROUND(IF(SUM(H$129:H$131,H$138:H$139)&lt;&gt;0,H$145*H131/SUM(H$129:H$131,H$138:H$139),0),0)</f>
        <v>423454</v>
      </c>
      <c r="I153" s="175">
        <f t="shared" si="33"/>
        <v>161731</v>
      </c>
      <c r="J153" s="175">
        <f t="shared" si="33"/>
        <v>0</v>
      </c>
      <c r="K153" s="175">
        <f t="shared" si="33"/>
        <v>0</v>
      </c>
      <c r="L153" s="175">
        <f t="shared" si="33"/>
        <v>51201</v>
      </c>
      <c r="M153" s="175">
        <f t="shared" si="33"/>
        <v>-261493</v>
      </c>
      <c r="N153" s="175">
        <f t="shared" si="33"/>
        <v>110805</v>
      </c>
      <c r="O153" s="175">
        <f t="shared" si="33"/>
        <v>681346</v>
      </c>
      <c r="P153" s="175">
        <f>SUM(D153:O153)</f>
        <v>1213465</v>
      </c>
      <c r="Q153" s="175"/>
    </row>
    <row r="154" spans="2:18" s="8" customFormat="1" x14ac:dyDescent="0.2">
      <c r="B154" s="8" t="s">
        <v>270</v>
      </c>
      <c r="C154" s="174" t="s">
        <v>76</v>
      </c>
      <c r="D154" s="175">
        <f>ROUND(IF(SUM(D$132:D$134,D$140)&lt;&gt;0,D$147*D132/SUM(D$132:D$134,D$140),0),0)</f>
        <v>89282</v>
      </c>
      <c r="E154" s="175">
        <f t="shared" ref="E154:O156" si="35">ROUND(IF(SUM(E$132:E$134,E$140)&lt;&gt;0,E$147*E132/SUM(E$132:E$134,E$140),0),0)</f>
        <v>-253807</v>
      </c>
      <c r="F154" s="175">
        <f t="shared" si="35"/>
        <v>35464</v>
      </c>
      <c r="G154" s="175">
        <f t="shared" si="35"/>
        <v>54933</v>
      </c>
      <c r="H154" s="175">
        <f>ROUND(IF(SUM(H$132:H$134,H$140)&lt;&gt;0,H$147*H132/SUM(H$132:H$134,H$140),0),0)</f>
        <v>62815</v>
      </c>
      <c r="I154" s="175">
        <f t="shared" si="35"/>
        <v>0</v>
      </c>
      <c r="J154" s="175">
        <f t="shared" si="35"/>
        <v>0</v>
      </c>
      <c r="K154" s="175">
        <f t="shared" si="35"/>
        <v>0</v>
      </c>
      <c r="L154" s="175">
        <f t="shared" si="35"/>
        <v>0</v>
      </c>
      <c r="M154" s="175">
        <f t="shared" si="35"/>
        <v>-33431</v>
      </c>
      <c r="N154" s="175">
        <f t="shared" si="35"/>
        <v>13492</v>
      </c>
      <c r="O154" s="175">
        <f t="shared" si="35"/>
        <v>47146</v>
      </c>
      <c r="P154" s="175">
        <f t="shared" ref="P154:P156" si="36">SUM(D154:O154)</f>
        <v>15894</v>
      </c>
      <c r="Q154" s="175"/>
    </row>
    <row r="155" spans="2:18" s="8" customFormat="1" x14ac:dyDescent="0.2">
      <c r="B155" s="8" t="s">
        <v>271</v>
      </c>
      <c r="C155" s="174" t="s">
        <v>127</v>
      </c>
      <c r="D155" s="175">
        <f>ROUND(IF(SUM(D$132:D$134,D$140)&lt;&gt;0,D$147*D133/SUM(D$132:D$134,D$140),0),0)</f>
        <v>146205</v>
      </c>
      <c r="E155" s="175">
        <f t="shared" si="35"/>
        <v>-317457</v>
      </c>
      <c r="F155" s="175">
        <f t="shared" si="35"/>
        <v>51156</v>
      </c>
      <c r="G155" s="175">
        <f t="shared" si="35"/>
        <v>87143</v>
      </c>
      <c r="H155" s="175">
        <f t="shared" si="35"/>
        <v>150000</v>
      </c>
      <c r="I155" s="175">
        <f t="shared" si="35"/>
        <v>0</v>
      </c>
      <c r="J155" s="175">
        <f t="shared" si="35"/>
        <v>0</v>
      </c>
      <c r="K155" s="175">
        <f t="shared" si="35"/>
        <v>0</v>
      </c>
      <c r="L155" s="175">
        <f t="shared" si="35"/>
        <v>0</v>
      </c>
      <c r="M155" s="175">
        <f t="shared" si="35"/>
        <v>-48317</v>
      </c>
      <c r="N155" s="175">
        <f t="shared" si="35"/>
        <v>19374</v>
      </c>
      <c r="O155" s="175">
        <f t="shared" si="35"/>
        <v>69835</v>
      </c>
      <c r="P155" s="175">
        <f t="shared" si="36"/>
        <v>157939</v>
      </c>
      <c r="Q155" s="175"/>
    </row>
    <row r="156" spans="2:18" s="8" customFormat="1" x14ac:dyDescent="0.2">
      <c r="B156" s="8" t="s">
        <v>272</v>
      </c>
      <c r="C156" s="174" t="s">
        <v>129</v>
      </c>
      <c r="D156" s="175">
        <f>ROUND(IF(SUM(D$132:D$134,D$140)&lt;&gt;0,D$147*D134/SUM(D$132:D$134,D$140),0),0)</f>
        <v>260151</v>
      </c>
      <c r="E156" s="175">
        <f t="shared" si="35"/>
        <v>-731357</v>
      </c>
      <c r="F156" s="175">
        <f t="shared" si="35"/>
        <v>89137</v>
      </c>
      <c r="G156" s="175">
        <f t="shared" si="35"/>
        <v>173539</v>
      </c>
      <c r="H156" s="175">
        <f t="shared" si="35"/>
        <v>280847</v>
      </c>
      <c r="I156" s="175">
        <f t="shared" si="35"/>
        <v>0</v>
      </c>
      <c r="J156" s="175">
        <f>ROUND(IF(SUM(J$132:J$134,J$140)&lt;&gt;0,J$147*J134/SUM(J$132:J$134,J$140),0),0)</f>
        <v>0</v>
      </c>
      <c r="K156" s="175">
        <f t="shared" si="35"/>
        <v>0</v>
      </c>
      <c r="L156" s="175">
        <f t="shared" si="35"/>
        <v>0</v>
      </c>
      <c r="M156" s="175">
        <f t="shared" si="35"/>
        <v>-72338</v>
      </c>
      <c r="N156" s="175">
        <f t="shared" si="35"/>
        <v>37716</v>
      </c>
      <c r="O156" s="175">
        <f t="shared" si="35"/>
        <v>137826</v>
      </c>
      <c r="P156" s="175">
        <f t="shared" si="36"/>
        <v>175521</v>
      </c>
      <c r="Q156" s="175"/>
    </row>
    <row r="157" spans="2:18" s="8" customFormat="1" x14ac:dyDescent="0.2">
      <c r="B157" s="8" t="s">
        <v>261</v>
      </c>
      <c r="C157" s="8">
        <v>85</v>
      </c>
      <c r="D157" s="175">
        <f>ROUND(IF(SUM(D$135:D$137)&lt;&gt;0,D$146*D135/SUM(D$135:D$137),0),0)</f>
        <v>14430</v>
      </c>
      <c r="E157" s="175">
        <f t="shared" ref="E157:O159" si="37">ROUND(IF(SUM(E$135:E$137)&lt;&gt;0,E$146*E135/SUM(E$135:E$137),0),0)</f>
        <v>-47604</v>
      </c>
      <c r="F157" s="175">
        <f t="shared" si="37"/>
        <v>11123</v>
      </c>
      <c r="G157" s="175">
        <f t="shared" si="37"/>
        <v>8212</v>
      </c>
      <c r="H157" s="175">
        <f t="shared" si="37"/>
        <v>0</v>
      </c>
      <c r="I157" s="175">
        <f t="shared" si="37"/>
        <v>0</v>
      </c>
      <c r="J157" s="175">
        <f t="shared" si="37"/>
        <v>0</v>
      </c>
      <c r="K157" s="175">
        <f t="shared" si="37"/>
        <v>0</v>
      </c>
      <c r="L157" s="175">
        <f t="shared" si="37"/>
        <v>0</v>
      </c>
      <c r="M157" s="175">
        <f t="shared" si="37"/>
        <v>0</v>
      </c>
      <c r="N157" s="175">
        <f t="shared" si="37"/>
        <v>0</v>
      </c>
      <c r="O157" s="175">
        <f t="shared" si="37"/>
        <v>0</v>
      </c>
      <c r="P157" s="175">
        <f t="shared" si="34"/>
        <v>-13839</v>
      </c>
      <c r="Q157" s="175"/>
    </row>
    <row r="158" spans="2:18" s="8" customFormat="1" x14ac:dyDescent="0.2">
      <c r="B158" s="8" t="s">
        <v>262</v>
      </c>
      <c r="C158" s="8">
        <v>86</v>
      </c>
      <c r="D158" s="175">
        <f>ROUND(IF(SUM(D$135:D$137)&lt;&gt;0,D$146*D136/SUM(D$135:D$137),0),0)</f>
        <v>15291</v>
      </c>
      <c r="E158" s="175">
        <f t="shared" si="37"/>
        <v>-53690</v>
      </c>
      <c r="F158" s="175">
        <f t="shared" si="37"/>
        <v>11918</v>
      </c>
      <c r="G158" s="175">
        <f t="shared" si="37"/>
        <v>9050</v>
      </c>
      <c r="H158" s="175">
        <f t="shared" si="37"/>
        <v>0</v>
      </c>
      <c r="I158" s="175">
        <f t="shared" si="37"/>
        <v>0</v>
      </c>
      <c r="J158" s="175">
        <f t="shared" si="37"/>
        <v>0</v>
      </c>
      <c r="K158" s="175">
        <f t="shared" si="37"/>
        <v>0</v>
      </c>
      <c r="L158" s="175">
        <f t="shared" si="37"/>
        <v>0</v>
      </c>
      <c r="M158" s="175">
        <f t="shared" si="37"/>
        <v>0</v>
      </c>
      <c r="N158" s="175">
        <f t="shared" si="37"/>
        <v>0</v>
      </c>
      <c r="O158" s="175">
        <f t="shared" si="37"/>
        <v>0</v>
      </c>
      <c r="P158" s="175">
        <f t="shared" si="34"/>
        <v>-17431</v>
      </c>
      <c r="Q158" s="175"/>
    </row>
    <row r="159" spans="2:18" s="8" customFormat="1" x14ac:dyDescent="0.2">
      <c r="B159" s="8" t="s">
        <v>286</v>
      </c>
      <c r="C159" s="8">
        <v>87</v>
      </c>
      <c r="D159" s="175">
        <f>ROUND(IF(SUM(D$135:D$137)&lt;&gt;0,D$146*D137/SUM(D$135:D$137),0),0)</f>
        <v>20675</v>
      </c>
      <c r="E159" s="175">
        <f t="shared" si="37"/>
        <v>-64410</v>
      </c>
      <c r="F159" s="175">
        <f t="shared" si="37"/>
        <v>14636</v>
      </c>
      <c r="G159" s="175">
        <f t="shared" si="37"/>
        <v>11065</v>
      </c>
      <c r="H159" s="175">
        <f t="shared" si="37"/>
        <v>0</v>
      </c>
      <c r="I159" s="175">
        <f t="shared" si="37"/>
        <v>0</v>
      </c>
      <c r="J159" s="175">
        <f t="shared" si="37"/>
        <v>0</v>
      </c>
      <c r="K159" s="175">
        <f t="shared" si="37"/>
        <v>0</v>
      </c>
      <c r="L159" s="175">
        <f t="shared" si="37"/>
        <v>0</v>
      </c>
      <c r="M159" s="175">
        <f t="shared" si="37"/>
        <v>0</v>
      </c>
      <c r="N159" s="175">
        <f t="shared" si="37"/>
        <v>0</v>
      </c>
      <c r="O159" s="175">
        <f t="shared" si="37"/>
        <v>0</v>
      </c>
      <c r="P159" s="175">
        <f t="shared" si="34"/>
        <v>-18034</v>
      </c>
      <c r="Q159" s="175"/>
    </row>
    <row r="160" spans="2:18" s="8" customFormat="1" x14ac:dyDescent="0.2">
      <c r="B160" s="8" t="s">
        <v>264</v>
      </c>
      <c r="C160" s="8">
        <v>31</v>
      </c>
      <c r="D160" s="175">
        <f>ROUND(IF(SUM(D$129:D$131,D$138:D$139)&lt;&gt;0,D$145*D138/SUM(D$129:D$131,D$138:D$139),0),0)</f>
        <v>256331</v>
      </c>
      <c r="E160" s="175">
        <f t="shared" ref="E160:O161" si="38">ROUND(IF(SUM(E$129:E$131,E$138:E$139)&lt;&gt;0,E$145*E138/SUM(E$129:E$131,E$138:E$139),0),0)</f>
        <v>-469477</v>
      </c>
      <c r="F160" s="175">
        <f t="shared" si="38"/>
        <v>95663</v>
      </c>
      <c r="G160" s="175">
        <f t="shared" si="38"/>
        <v>92566</v>
      </c>
      <c r="H160" s="175">
        <f t="shared" si="38"/>
        <v>109681</v>
      </c>
      <c r="I160" s="175">
        <f t="shared" si="38"/>
        <v>30901</v>
      </c>
      <c r="J160" s="175">
        <f t="shared" si="38"/>
        <v>0</v>
      </c>
      <c r="K160" s="175">
        <f t="shared" si="38"/>
        <v>0</v>
      </c>
      <c r="L160" s="175">
        <f t="shared" si="38"/>
        <v>17734</v>
      </c>
      <c r="M160" s="175">
        <f t="shared" si="38"/>
        <v>-87149</v>
      </c>
      <c r="N160" s="175">
        <f t="shared" si="38"/>
        <v>42238</v>
      </c>
      <c r="O160" s="175">
        <f t="shared" si="38"/>
        <v>274512</v>
      </c>
      <c r="P160" s="175">
        <f t="shared" si="34"/>
        <v>363000</v>
      </c>
      <c r="Q160" s="175"/>
    </row>
    <row r="161" spans="2:17" s="8" customFormat="1" x14ac:dyDescent="0.2">
      <c r="B161" s="8" t="s">
        <v>265</v>
      </c>
      <c r="C161" s="8">
        <v>41</v>
      </c>
      <c r="D161" s="175">
        <f>ROUND(IF(SUM(D$129:D$131,D$138:D$139)&lt;&gt;0,D$145*D139/SUM(D$129:D$131,D$138:D$139),0),0)</f>
        <v>39865</v>
      </c>
      <c r="E161" s="175">
        <f t="shared" si="38"/>
        <v>-61664</v>
      </c>
      <c r="F161" s="175">
        <f t="shared" si="38"/>
        <v>18674</v>
      </c>
      <c r="G161" s="175">
        <f t="shared" si="38"/>
        <v>18844</v>
      </c>
      <c r="H161" s="175">
        <f t="shared" si="38"/>
        <v>23568</v>
      </c>
      <c r="I161" s="175">
        <f t="shared" si="38"/>
        <v>0</v>
      </c>
      <c r="J161" s="175">
        <f t="shared" si="38"/>
        <v>0</v>
      </c>
      <c r="K161" s="175">
        <f t="shared" si="38"/>
        <v>0</v>
      </c>
      <c r="L161" s="175">
        <f t="shared" si="38"/>
        <v>0</v>
      </c>
      <c r="M161" s="175">
        <f t="shared" si="38"/>
        <v>-22533</v>
      </c>
      <c r="N161" s="175">
        <f t="shared" si="38"/>
        <v>6889</v>
      </c>
      <c r="O161" s="175">
        <f t="shared" si="38"/>
        <v>38665</v>
      </c>
      <c r="P161" s="175">
        <f t="shared" si="34"/>
        <v>62308</v>
      </c>
      <c r="Q161" s="175"/>
    </row>
    <row r="162" spans="2:17" s="8" customFormat="1" x14ac:dyDescent="0.2">
      <c r="B162" s="8" t="s">
        <v>277</v>
      </c>
      <c r="C162" s="174" t="s">
        <v>278</v>
      </c>
      <c r="D162" s="175">
        <f>ROUND(IF(SUM(D$134:D$134,D$140)&lt;&gt;0,D$147*D140/SUM(D$132:D$134,D$140),0),0)</f>
        <v>248564</v>
      </c>
      <c r="E162" s="175">
        <f t="shared" ref="E162:O162" si="39">ROUND(IF(SUM(E$134:E$134,E$140)&lt;&gt;0,E$147*E140/SUM(E$132:E$134,E$140),0),0)</f>
        <v>0</v>
      </c>
      <c r="F162" s="175">
        <f t="shared" si="39"/>
        <v>39650</v>
      </c>
      <c r="G162" s="175">
        <f t="shared" si="39"/>
        <v>0</v>
      </c>
      <c r="H162" s="175">
        <f t="shared" si="39"/>
        <v>0</v>
      </c>
      <c r="I162" s="175">
        <f t="shared" si="39"/>
        <v>0</v>
      </c>
      <c r="J162" s="175">
        <f t="shared" si="39"/>
        <v>0</v>
      </c>
      <c r="K162" s="175">
        <f t="shared" si="39"/>
        <v>0</v>
      </c>
      <c r="L162" s="175">
        <f t="shared" si="39"/>
        <v>0</v>
      </c>
      <c r="M162" s="175">
        <f t="shared" si="39"/>
        <v>-124064</v>
      </c>
      <c r="N162" s="175">
        <f t="shared" si="39"/>
        <v>55800</v>
      </c>
      <c r="O162" s="175">
        <f t="shared" si="39"/>
        <v>161219</v>
      </c>
      <c r="P162" s="88">
        <f t="shared" si="34"/>
        <v>381169</v>
      </c>
      <c r="Q162" s="175"/>
    </row>
    <row r="163" spans="2:17" s="8" customFormat="1" x14ac:dyDescent="0.2">
      <c r="B163" s="8" t="s">
        <v>298</v>
      </c>
      <c r="C163" s="174"/>
      <c r="D163" s="180">
        <f>SUM(D151:D162)</f>
        <v>17330176</v>
      </c>
      <c r="E163" s="180">
        <f t="shared" ref="E163:O163" si="40">SUM(E151:E162)</f>
        <v>-31549682</v>
      </c>
      <c r="F163" s="180">
        <f t="shared" si="40"/>
        <v>6546103</v>
      </c>
      <c r="G163" s="180">
        <f t="shared" si="40"/>
        <v>6840597</v>
      </c>
      <c r="H163" s="180">
        <f t="shared" si="40"/>
        <v>8576796</v>
      </c>
      <c r="I163" s="180">
        <f t="shared" si="40"/>
        <v>2223829</v>
      </c>
      <c r="J163" s="180">
        <f t="shared" si="40"/>
        <v>0</v>
      </c>
      <c r="K163" s="180">
        <f t="shared" si="40"/>
        <v>0</v>
      </c>
      <c r="L163" s="180">
        <f t="shared" si="40"/>
        <v>1076028</v>
      </c>
      <c r="M163" s="180">
        <f t="shared" si="40"/>
        <v>-6615906</v>
      </c>
      <c r="N163" s="180">
        <f t="shared" si="40"/>
        <v>3096112</v>
      </c>
      <c r="O163" s="180">
        <f t="shared" si="40"/>
        <v>18746982</v>
      </c>
      <c r="P163" s="180">
        <f>SUM(P151:P162)</f>
        <v>26271035</v>
      </c>
      <c r="Q163" s="88"/>
    </row>
    <row r="164" spans="2:17" s="8" customFormat="1" x14ac:dyDescent="0.2">
      <c r="B164" s="8" t="s">
        <v>299</v>
      </c>
      <c r="C164" s="174"/>
      <c r="D164" s="78">
        <f t="shared" ref="D164:I164" si="41">IFERROR(D163/D32,0)</f>
        <v>0.11565997955645936</v>
      </c>
      <c r="E164" s="78">
        <f t="shared" si="41"/>
        <v>-0.1858548205277174</v>
      </c>
      <c r="F164" s="78">
        <f t="shared" si="41"/>
        <v>4.8103287011781841E-2</v>
      </c>
      <c r="G164" s="78">
        <f t="shared" si="41"/>
        <v>7.539914655947666E-2</v>
      </c>
      <c r="H164" s="78">
        <f t="shared" si="41"/>
        <v>0.13181043788266938</v>
      </c>
      <c r="I164" s="78">
        <f t="shared" si="41"/>
        <v>4.4792150399730932E-2</v>
      </c>
      <c r="J164" s="78">
        <f>IFERROR(J163/J32,0)</f>
        <v>0</v>
      </c>
      <c r="K164" s="78">
        <f t="shared" ref="K164:O164" si="42">IFERROR(K163/K32,0)</f>
        <v>0</v>
      </c>
      <c r="L164" s="78">
        <f t="shared" si="42"/>
        <v>2.043155740944861E-2</v>
      </c>
      <c r="M164" s="78">
        <f t="shared" si="42"/>
        <v>-6.5125659035488614E-2</v>
      </c>
      <c r="N164" s="78">
        <f t="shared" si="42"/>
        <v>2.5799730510181803E-2</v>
      </c>
      <c r="O164" s="78">
        <f t="shared" si="42"/>
        <v>0.12308747604896499</v>
      </c>
      <c r="P164" s="78">
        <f>P163/P32</f>
        <v>2.2288149553816007E-2</v>
      </c>
      <c r="Q164" s="78"/>
    </row>
    <row r="165" spans="2:17" s="8" customFormat="1" x14ac:dyDescent="0.2">
      <c r="C165" s="174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</row>
    <row r="166" spans="2:17" s="8" customFormat="1" x14ac:dyDescent="0.2">
      <c r="B166" s="94" t="s">
        <v>304</v>
      </c>
      <c r="C166" s="174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</row>
    <row r="167" spans="2:17" s="8" customFormat="1" x14ac:dyDescent="0.2">
      <c r="B167" s="8" t="s">
        <v>68</v>
      </c>
      <c r="C167" s="174">
        <v>23</v>
      </c>
      <c r="D167" s="175">
        <f>D9+D151</f>
        <v>98742304.951352641</v>
      </c>
      <c r="E167" s="175">
        <f t="shared" ref="E167:O167" si="43">E9+E151</f>
        <v>81326785.918952465</v>
      </c>
      <c r="F167" s="175">
        <f t="shared" si="43"/>
        <v>78310890.006170139</v>
      </c>
      <c r="G167" s="175">
        <f t="shared" si="43"/>
        <v>50310997.570679627</v>
      </c>
      <c r="H167" s="175">
        <f t="shared" si="43"/>
        <v>30964316.304136805</v>
      </c>
      <c r="I167" s="175">
        <f t="shared" si="43"/>
        <v>19686669.54762454</v>
      </c>
      <c r="J167" s="175">
        <f t="shared" si="43"/>
        <v>13907677.966402467</v>
      </c>
      <c r="K167" s="175">
        <f t="shared" si="43"/>
        <v>12929912.320068486</v>
      </c>
      <c r="L167" s="175">
        <f t="shared" si="43"/>
        <v>19299711.929006856</v>
      </c>
      <c r="M167" s="175">
        <f t="shared" si="43"/>
        <v>48302956.499214396</v>
      </c>
      <c r="N167" s="175">
        <f t="shared" si="43"/>
        <v>71143862.13700439</v>
      </c>
      <c r="O167" s="175">
        <f t="shared" si="43"/>
        <v>100203337.37940085</v>
      </c>
      <c r="P167" s="175">
        <f t="shared" ref="P167:P178" si="44">SUM(D167:O167)</f>
        <v>625129422.53001368</v>
      </c>
      <c r="Q167" s="175"/>
    </row>
    <row r="168" spans="2:17" s="8" customFormat="1" x14ac:dyDescent="0.2">
      <c r="B168" s="8" t="s">
        <v>258</v>
      </c>
      <c r="C168" s="178">
        <v>31</v>
      </c>
      <c r="D168" s="175">
        <f>D11+D152</f>
        <v>30923722.040289201</v>
      </c>
      <c r="E168" s="175">
        <f t="shared" ref="E168:O169" si="45">E11+E152</f>
        <v>28030923.134500101</v>
      </c>
      <c r="F168" s="175">
        <f t="shared" si="45"/>
        <v>27197726.740394015</v>
      </c>
      <c r="G168" s="175">
        <f t="shared" si="45"/>
        <v>18179502.884160385</v>
      </c>
      <c r="H168" s="175">
        <f t="shared" si="45"/>
        <v>13355657.409445543</v>
      </c>
      <c r="I168" s="175">
        <f t="shared" si="45"/>
        <v>9306727.0237671677</v>
      </c>
      <c r="J168" s="175">
        <f t="shared" si="45"/>
        <v>8323394.8818865214</v>
      </c>
      <c r="K168" s="175">
        <f t="shared" si="45"/>
        <v>8240825.9669891959</v>
      </c>
      <c r="L168" s="175">
        <f t="shared" si="45"/>
        <v>9252243.3089527655</v>
      </c>
      <c r="M168" s="175">
        <f t="shared" si="45"/>
        <v>18444007.666929089</v>
      </c>
      <c r="N168" s="175">
        <f t="shared" si="45"/>
        <v>20419777.162412316</v>
      </c>
      <c r="O168" s="175">
        <f t="shared" si="45"/>
        <v>34152794.471776113</v>
      </c>
      <c r="P168" s="175">
        <f t="shared" si="44"/>
        <v>225827302.69150245</v>
      </c>
      <c r="Q168" s="175"/>
    </row>
    <row r="169" spans="2:17" s="8" customFormat="1" x14ac:dyDescent="0.2">
      <c r="B169" s="8" t="s">
        <v>259</v>
      </c>
      <c r="C169" s="8">
        <v>41</v>
      </c>
      <c r="D169" s="175">
        <f>D12+D153</f>
        <v>6639753.2104631681</v>
      </c>
      <c r="E169" s="175">
        <f t="shared" si="45"/>
        <v>6199092.9351613037</v>
      </c>
      <c r="F169" s="175">
        <f t="shared" si="45"/>
        <v>6253726.7236823272</v>
      </c>
      <c r="G169" s="175">
        <f t="shared" si="45"/>
        <v>5179983.1531650946</v>
      </c>
      <c r="H169" s="175">
        <f t="shared" si="45"/>
        <v>4730143.1026878767</v>
      </c>
      <c r="I169" s="175">
        <f t="shared" si="45"/>
        <v>2709400.6949090385</v>
      </c>
      <c r="J169" s="175">
        <f t="shared" si="45"/>
        <v>2440428.5243217871</v>
      </c>
      <c r="K169" s="175">
        <f t="shared" si="45"/>
        <v>2273773.3845689241</v>
      </c>
      <c r="L169" s="175">
        <f t="shared" si="45"/>
        <v>2793990.5486471765</v>
      </c>
      <c r="M169" s="175">
        <f t="shared" si="45"/>
        <v>4590898.2560945796</v>
      </c>
      <c r="N169" s="175">
        <f t="shared" si="45"/>
        <v>5507119.8650751859</v>
      </c>
      <c r="O169" s="175">
        <f t="shared" si="45"/>
        <v>7832699.6919762893</v>
      </c>
      <c r="P169" s="175">
        <f t="shared" si="44"/>
        <v>57151010.090752751</v>
      </c>
      <c r="Q169" s="175"/>
    </row>
    <row r="170" spans="2:17" s="8" customFormat="1" x14ac:dyDescent="0.2">
      <c r="B170" s="7" t="s">
        <v>270</v>
      </c>
      <c r="C170" s="178" t="s">
        <v>76</v>
      </c>
      <c r="D170" s="175">
        <f>D23+D154</f>
        <v>1715079.5600000003</v>
      </c>
      <c r="E170" s="175">
        <f t="shared" ref="E170:O171" si="46">E23+E154</f>
        <v>838250.88500000024</v>
      </c>
      <c r="F170" s="175">
        <f t="shared" si="46"/>
        <v>1387657.9949999999</v>
      </c>
      <c r="G170" s="175">
        <f t="shared" si="46"/>
        <v>1745130.09</v>
      </c>
      <c r="H170" s="175">
        <f t="shared" si="46"/>
        <v>939982.46</v>
      </c>
      <c r="I170" s="175">
        <f t="shared" si="46"/>
        <v>1172161.92</v>
      </c>
      <c r="J170" s="175">
        <f t="shared" si="46"/>
        <v>477698.81</v>
      </c>
      <c r="K170" s="175">
        <f t="shared" si="46"/>
        <v>1603515.6800000004</v>
      </c>
      <c r="L170" s="175">
        <f t="shared" si="46"/>
        <v>1267604.6299999999</v>
      </c>
      <c r="M170" s="175">
        <f t="shared" si="46"/>
        <v>1315947.2999999998</v>
      </c>
      <c r="N170" s="175">
        <f t="shared" si="46"/>
        <v>1484221.0800000003</v>
      </c>
      <c r="O170" s="175">
        <f t="shared" si="46"/>
        <v>1503005.17</v>
      </c>
      <c r="P170" s="175">
        <f t="shared" si="44"/>
        <v>15450255.580000002</v>
      </c>
      <c r="Q170" s="175"/>
    </row>
    <row r="171" spans="2:17" s="8" customFormat="1" x14ac:dyDescent="0.2">
      <c r="B171" s="7" t="s">
        <v>271</v>
      </c>
      <c r="C171" s="178" t="s">
        <v>127</v>
      </c>
      <c r="D171" s="175">
        <f>D24+D155</f>
        <v>2344656.1399999997</v>
      </c>
      <c r="E171" s="175">
        <f t="shared" si="46"/>
        <v>1732670.593333333</v>
      </c>
      <c r="F171" s="175">
        <f t="shared" si="46"/>
        <v>2128585.8666666672</v>
      </c>
      <c r="G171" s="175">
        <f t="shared" si="46"/>
        <v>1950781.8599999999</v>
      </c>
      <c r="H171" s="175">
        <f t="shared" si="46"/>
        <v>1910083.05</v>
      </c>
      <c r="I171" s="175">
        <f t="shared" si="46"/>
        <v>1342540.4999999998</v>
      </c>
      <c r="J171" s="175">
        <f t="shared" si="46"/>
        <v>1700288.0400000003</v>
      </c>
      <c r="K171" s="175">
        <f t="shared" si="46"/>
        <v>1601100.1999999997</v>
      </c>
      <c r="L171" s="175">
        <f t="shared" si="46"/>
        <v>1508743.7499999998</v>
      </c>
      <c r="M171" s="175">
        <f t="shared" si="46"/>
        <v>1674819.48</v>
      </c>
      <c r="N171" s="175">
        <f t="shared" si="46"/>
        <v>1678934.19</v>
      </c>
      <c r="O171" s="175">
        <f t="shared" si="46"/>
        <v>1839872.8900000001</v>
      </c>
      <c r="P171" s="175">
        <f t="shared" si="44"/>
        <v>21413076.560000002</v>
      </c>
      <c r="Q171" s="175"/>
    </row>
    <row r="172" spans="2:17" s="8" customFormat="1" x14ac:dyDescent="0.2">
      <c r="B172" s="7" t="s">
        <v>272</v>
      </c>
      <c r="C172" s="178" t="s">
        <v>129</v>
      </c>
      <c r="D172" s="175">
        <f>D26+D156</f>
        <v>2185298.8899999997</v>
      </c>
      <c r="E172" s="175">
        <f t="shared" ref="E172:O172" si="47">E26+E156</f>
        <v>1132396.3299999998</v>
      </c>
      <c r="F172" s="175">
        <f t="shared" si="47"/>
        <v>2138342.67</v>
      </c>
      <c r="G172" s="175">
        <f t="shared" si="47"/>
        <v>1666424.88</v>
      </c>
      <c r="H172" s="175">
        <f t="shared" si="47"/>
        <v>1536934.1600000001</v>
      </c>
      <c r="I172" s="175">
        <f t="shared" si="47"/>
        <v>1122618.4799999997</v>
      </c>
      <c r="J172" s="175">
        <f t="shared" si="47"/>
        <v>1122643.92</v>
      </c>
      <c r="K172" s="175">
        <f t="shared" si="47"/>
        <v>1053639.06</v>
      </c>
      <c r="L172" s="175">
        <f t="shared" si="47"/>
        <v>1083956.9300000002</v>
      </c>
      <c r="M172" s="175">
        <f t="shared" si="47"/>
        <v>1568565.02</v>
      </c>
      <c r="N172" s="175">
        <f t="shared" si="47"/>
        <v>1641875.9399999997</v>
      </c>
      <c r="O172" s="175">
        <f t="shared" si="47"/>
        <v>1803727.85</v>
      </c>
      <c r="P172" s="175">
        <f t="shared" si="44"/>
        <v>18056424.129999999</v>
      </c>
      <c r="Q172" s="175"/>
    </row>
    <row r="173" spans="2:17" s="8" customFormat="1" x14ac:dyDescent="0.2">
      <c r="B173" s="8" t="s">
        <v>261</v>
      </c>
      <c r="C173" s="8">
        <v>85</v>
      </c>
      <c r="D173" s="175">
        <f>D14+D157</f>
        <v>2497554.5690000001</v>
      </c>
      <c r="E173" s="175">
        <f t="shared" ref="E173:O177" si="48">E14+E157</f>
        <v>25987.820499999681</v>
      </c>
      <c r="F173" s="175">
        <f t="shared" si="48"/>
        <v>1877915.5984999998</v>
      </c>
      <c r="G173" s="175">
        <f t="shared" si="48"/>
        <v>651712.8862500001</v>
      </c>
      <c r="H173" s="175">
        <f t="shared" si="48"/>
        <v>1172258.2217499998</v>
      </c>
      <c r="I173" s="175">
        <f t="shared" si="48"/>
        <v>823645.0830000001</v>
      </c>
      <c r="J173" s="175">
        <f t="shared" si="48"/>
        <v>645544.18150000006</v>
      </c>
      <c r="K173" s="175">
        <f t="shared" si="48"/>
        <v>702711.99599999993</v>
      </c>
      <c r="L173" s="175">
        <f t="shared" si="48"/>
        <v>450119.86950000003</v>
      </c>
      <c r="M173" s="175">
        <f t="shared" si="48"/>
        <v>1815393.5019999999</v>
      </c>
      <c r="N173" s="175">
        <f t="shared" si="48"/>
        <v>778749.04599999997</v>
      </c>
      <c r="O173" s="175">
        <f t="shared" si="48"/>
        <v>1770292.476</v>
      </c>
      <c r="P173" s="175">
        <f t="shared" si="44"/>
        <v>13211885.25</v>
      </c>
      <c r="Q173" s="175"/>
    </row>
    <row r="174" spans="2:17" s="8" customFormat="1" x14ac:dyDescent="0.2">
      <c r="B174" s="8" t="s">
        <v>262</v>
      </c>
      <c r="C174" s="8">
        <v>86</v>
      </c>
      <c r="D174" s="175">
        <f>D15+D158</f>
        <v>1358989.2587244327</v>
      </c>
      <c r="E174" s="175">
        <f t="shared" si="48"/>
        <v>1100621.2004389015</v>
      </c>
      <c r="F174" s="175">
        <f t="shared" si="48"/>
        <v>1125732.148189869</v>
      </c>
      <c r="G174" s="175">
        <f t="shared" si="48"/>
        <v>680092.16710463353</v>
      </c>
      <c r="H174" s="175">
        <f t="shared" si="48"/>
        <v>461144.3400557384</v>
      </c>
      <c r="I174" s="175">
        <f t="shared" si="48"/>
        <v>565186.69117559993</v>
      </c>
      <c r="J174" s="175">
        <f t="shared" si="48"/>
        <v>338391.50339239591</v>
      </c>
      <c r="K174" s="175">
        <f t="shared" si="48"/>
        <v>-134869.59293023043</v>
      </c>
      <c r="L174" s="175">
        <f t="shared" si="48"/>
        <v>446425.85570986348</v>
      </c>
      <c r="M174" s="175">
        <f t="shared" si="48"/>
        <v>601423.4175403323</v>
      </c>
      <c r="N174" s="175">
        <f t="shared" si="48"/>
        <v>1118970.4852117379</v>
      </c>
      <c r="O174" s="175">
        <f t="shared" si="48"/>
        <v>499759.92298105068</v>
      </c>
      <c r="P174" s="175">
        <f t="shared" si="44"/>
        <v>8161867.3975943243</v>
      </c>
      <c r="Q174" s="175"/>
    </row>
    <row r="175" spans="2:17" s="8" customFormat="1" x14ac:dyDescent="0.2">
      <c r="B175" s="8" t="s">
        <v>286</v>
      </c>
      <c r="C175" s="8">
        <v>87</v>
      </c>
      <c r="D175" s="175">
        <f>D16+D159</f>
        <v>2966481.202</v>
      </c>
      <c r="E175" s="175">
        <f t="shared" si="48"/>
        <v>1275855.9005000002</v>
      </c>
      <c r="F175" s="175">
        <f t="shared" si="48"/>
        <v>2402739.5619999999</v>
      </c>
      <c r="G175" s="175">
        <f t="shared" si="48"/>
        <v>1869207.6695000001</v>
      </c>
      <c r="H175" s="175">
        <f t="shared" si="48"/>
        <v>2230705.55975</v>
      </c>
      <c r="I175" s="175">
        <f t="shared" si="48"/>
        <v>1570650.4422500001</v>
      </c>
      <c r="J175" s="175">
        <f t="shared" si="48"/>
        <v>1230746.9491559998</v>
      </c>
      <c r="K175" s="175">
        <f t="shared" si="48"/>
        <v>1676042.7718440001</v>
      </c>
      <c r="L175" s="175">
        <f t="shared" si="48"/>
        <v>952070.94099999988</v>
      </c>
      <c r="M175" s="175">
        <f t="shared" si="48"/>
        <v>1988245.2819999999</v>
      </c>
      <c r="N175" s="175">
        <f t="shared" si="48"/>
        <v>1463869.2080000001</v>
      </c>
      <c r="O175" s="175">
        <f t="shared" si="48"/>
        <v>2891175.33</v>
      </c>
      <c r="P175" s="175">
        <f t="shared" si="44"/>
        <v>22517790.818000004</v>
      </c>
      <c r="Q175" s="175"/>
    </row>
    <row r="176" spans="2:17" s="8" customFormat="1" x14ac:dyDescent="0.2">
      <c r="B176" s="8" t="s">
        <v>264</v>
      </c>
      <c r="C176" s="8">
        <v>31</v>
      </c>
      <c r="D176" s="175">
        <f>D17+D160</f>
        <v>1212743.0233115565</v>
      </c>
      <c r="E176" s="175">
        <f t="shared" si="48"/>
        <v>1721672.7766924948</v>
      </c>
      <c r="F176" s="175">
        <f t="shared" si="48"/>
        <v>1850370.6027963385</v>
      </c>
      <c r="G176" s="175">
        <f t="shared" si="48"/>
        <v>1316781.7832504753</v>
      </c>
      <c r="H176" s="175">
        <f t="shared" si="48"/>
        <v>790388.79361748113</v>
      </c>
      <c r="I176" s="175">
        <f t="shared" si="48"/>
        <v>318085.07613718987</v>
      </c>
      <c r="J176" s="175">
        <f t="shared" si="48"/>
        <v>371126.58772015839</v>
      </c>
      <c r="K176" s="175">
        <f t="shared" si="48"/>
        <v>447622.34564292227</v>
      </c>
      <c r="L176" s="175">
        <f t="shared" si="48"/>
        <v>2175504.9982741345</v>
      </c>
      <c r="M176" s="175">
        <f t="shared" si="48"/>
        <v>-683068.23635725374</v>
      </c>
      <c r="N176" s="175">
        <f t="shared" si="48"/>
        <v>1583501.4568340187</v>
      </c>
      <c r="O176" s="175">
        <f t="shared" si="48"/>
        <v>2326290.576753614</v>
      </c>
      <c r="P176" s="175">
        <f t="shared" si="44"/>
        <v>13431019.78467313</v>
      </c>
      <c r="Q176" s="175"/>
    </row>
    <row r="177" spans="2:17" s="8" customFormat="1" x14ac:dyDescent="0.2">
      <c r="B177" s="8" t="s">
        <v>265</v>
      </c>
      <c r="C177" s="8">
        <v>41</v>
      </c>
      <c r="D177" s="175">
        <f>D18+D161</f>
        <v>1001528.3639999999</v>
      </c>
      <c r="E177" s="175">
        <f t="shared" si="48"/>
        <v>750101.85699999996</v>
      </c>
      <c r="F177" s="175">
        <f t="shared" si="48"/>
        <v>728885.70946500008</v>
      </c>
      <c r="G177" s="175">
        <f t="shared" si="48"/>
        <v>888027.259035</v>
      </c>
      <c r="H177" s="175">
        <f t="shared" si="48"/>
        <v>847652.56491421198</v>
      </c>
      <c r="I177" s="175">
        <f t="shared" si="48"/>
        <v>657980.30945058819</v>
      </c>
      <c r="J177" s="175">
        <f t="shared" si="48"/>
        <v>650378.77248999989</v>
      </c>
      <c r="K177" s="175">
        <f t="shared" si="48"/>
        <v>737231.61644070537</v>
      </c>
      <c r="L177" s="175">
        <f t="shared" si="48"/>
        <v>659729.80128747062</v>
      </c>
      <c r="M177" s="175">
        <f t="shared" si="48"/>
        <v>907745.06309331208</v>
      </c>
      <c r="N177" s="175">
        <f t="shared" si="48"/>
        <v>1159232.5366432921</v>
      </c>
      <c r="O177" s="175">
        <f t="shared" si="48"/>
        <v>920579.44327921991</v>
      </c>
      <c r="P177" s="175">
        <f t="shared" si="44"/>
        <v>9909073.2970987987</v>
      </c>
      <c r="Q177" s="175"/>
    </row>
    <row r="178" spans="2:17" s="8" customFormat="1" x14ac:dyDescent="0.2">
      <c r="B178" s="8" t="s">
        <v>277</v>
      </c>
      <c r="C178" s="174" t="s">
        <v>278</v>
      </c>
      <c r="D178" s="175">
        <f>D31+D162</f>
        <v>4301584.5299999993</v>
      </c>
      <c r="E178" s="175">
        <f t="shared" ref="E178:O178" si="49">E31+E162</f>
        <v>2369269.62</v>
      </c>
      <c r="F178" s="175">
        <f t="shared" si="49"/>
        <v>6196065.4399999995</v>
      </c>
      <c r="G178" s="175">
        <f t="shared" si="49"/>
        <v>2759262.5</v>
      </c>
      <c r="H178" s="175">
        <f t="shared" si="49"/>
        <v>2673413.52</v>
      </c>
      <c r="I178" s="175">
        <f t="shared" si="49"/>
        <v>1229088.4900000002</v>
      </c>
      <c r="J178" s="175">
        <f t="shared" si="49"/>
        <v>3086420.13</v>
      </c>
      <c r="K178" s="175">
        <f t="shared" si="49"/>
        <v>1691221.48</v>
      </c>
      <c r="L178" s="175">
        <f t="shared" si="49"/>
        <v>1885991.25</v>
      </c>
      <c r="M178" s="175">
        <f t="shared" si="49"/>
        <v>3494749.0600000005</v>
      </c>
      <c r="N178" s="175">
        <f t="shared" si="49"/>
        <v>3646536.1599999997</v>
      </c>
      <c r="O178" s="175">
        <f t="shared" si="49"/>
        <v>3730158.84</v>
      </c>
      <c r="P178" s="175">
        <f t="shared" si="44"/>
        <v>37063761.020000003</v>
      </c>
      <c r="Q178" s="175"/>
    </row>
    <row r="179" spans="2:17" s="8" customFormat="1" x14ac:dyDescent="0.2">
      <c r="B179" s="8" t="s">
        <v>296</v>
      </c>
      <c r="C179" s="174"/>
      <c r="D179" s="180">
        <f t="shared" ref="D179:P179" si="50">SUM(D167:D178)</f>
        <v>155889695.73914096</v>
      </c>
      <c r="E179" s="180">
        <f t="shared" si="50"/>
        <v>126503628.97207861</v>
      </c>
      <c r="F179" s="180">
        <f t="shared" si="50"/>
        <v>131598639.06286436</v>
      </c>
      <c r="G179" s="180">
        <f t="shared" si="50"/>
        <v>87197904.703145221</v>
      </c>
      <c r="H179" s="180">
        <f t="shared" si="50"/>
        <v>61612679.486357667</v>
      </c>
      <c r="I179" s="180">
        <f t="shared" si="50"/>
        <v>40504754.258314125</v>
      </c>
      <c r="J179" s="180">
        <f t="shared" si="50"/>
        <v>34294740.266869329</v>
      </c>
      <c r="K179" s="180">
        <f t="shared" si="50"/>
        <v>32822727.228623997</v>
      </c>
      <c r="L179" s="180">
        <f t="shared" si="50"/>
        <v>41776093.812378272</v>
      </c>
      <c r="M179" s="180">
        <f t="shared" si="50"/>
        <v>84021682.31051445</v>
      </c>
      <c r="N179" s="180">
        <f t="shared" si="50"/>
        <v>111626649.26718095</v>
      </c>
      <c r="O179" s="180">
        <f t="shared" si="50"/>
        <v>159473694.04216713</v>
      </c>
      <c r="P179" s="180">
        <f t="shared" si="50"/>
        <v>1067322889.149635</v>
      </c>
      <c r="Q179" s="88"/>
    </row>
    <row r="180" spans="2:17" s="8" customFormat="1" x14ac:dyDescent="0.2"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</row>
    <row r="181" spans="2:17" s="8" customFormat="1" x14ac:dyDescent="0.2">
      <c r="B181" s="8" t="s">
        <v>305</v>
      </c>
      <c r="C181" s="8">
        <v>16</v>
      </c>
      <c r="D181" s="175">
        <f>D8</f>
        <v>910.1</v>
      </c>
      <c r="E181" s="175">
        <f t="shared" ref="E181:O181" si="51">E8</f>
        <v>735.3</v>
      </c>
      <c r="F181" s="175">
        <f t="shared" si="51"/>
        <v>756.19999999999993</v>
      </c>
      <c r="G181" s="175">
        <f t="shared" si="51"/>
        <v>758.1</v>
      </c>
      <c r="H181" s="175">
        <f t="shared" si="51"/>
        <v>1159</v>
      </c>
      <c r="I181" s="175">
        <f t="shared" si="51"/>
        <v>427.5</v>
      </c>
      <c r="J181" s="175">
        <f t="shared" si="51"/>
        <v>750.5</v>
      </c>
      <c r="K181" s="175">
        <f t="shared" si="51"/>
        <v>779</v>
      </c>
      <c r="L181" s="175">
        <f t="shared" si="51"/>
        <v>750.5</v>
      </c>
      <c r="M181" s="175">
        <f t="shared" si="51"/>
        <v>760</v>
      </c>
      <c r="N181" s="175">
        <f t="shared" si="51"/>
        <v>759.05049999999994</v>
      </c>
      <c r="O181" s="175">
        <f t="shared" si="51"/>
        <v>722.31650000000002</v>
      </c>
      <c r="P181" s="175">
        <f t="shared" ref="P181:P192" si="52">SUM(D181:O181)</f>
        <v>9267.5670000000009</v>
      </c>
      <c r="Q181" s="175"/>
    </row>
    <row r="182" spans="2:17" s="8" customFormat="1" x14ac:dyDescent="0.2">
      <c r="B182" s="8" t="s">
        <v>257</v>
      </c>
      <c r="C182" s="174">
        <v>53</v>
      </c>
      <c r="D182" s="175">
        <f>D10</f>
        <v>0</v>
      </c>
      <c r="E182" s="175">
        <f t="shared" ref="E182:O182" si="53">E10</f>
        <v>0</v>
      </c>
      <c r="F182" s="175">
        <f t="shared" si="53"/>
        <v>0</v>
      </c>
      <c r="G182" s="175">
        <f t="shared" si="53"/>
        <v>0</v>
      </c>
      <c r="H182" s="175">
        <f t="shared" si="53"/>
        <v>0</v>
      </c>
      <c r="I182" s="175">
        <f t="shared" si="53"/>
        <v>0</v>
      </c>
      <c r="J182" s="175">
        <f t="shared" si="53"/>
        <v>0</v>
      </c>
      <c r="K182" s="175">
        <f t="shared" si="53"/>
        <v>0</v>
      </c>
      <c r="L182" s="175">
        <f t="shared" si="53"/>
        <v>0</v>
      </c>
      <c r="M182" s="175">
        <f t="shared" si="53"/>
        <v>0</v>
      </c>
      <c r="N182" s="175">
        <f t="shared" si="53"/>
        <v>0</v>
      </c>
      <c r="O182" s="175">
        <f t="shared" si="53"/>
        <v>0</v>
      </c>
      <c r="P182" s="175">
        <f t="shared" si="52"/>
        <v>0</v>
      </c>
      <c r="Q182" s="175"/>
    </row>
    <row r="183" spans="2:17" s="8" customFormat="1" x14ac:dyDescent="0.2">
      <c r="B183" s="8" t="s">
        <v>260</v>
      </c>
      <c r="C183" s="8">
        <v>50</v>
      </c>
      <c r="D183" s="175">
        <f>D13</f>
        <v>0</v>
      </c>
      <c r="E183" s="175">
        <f t="shared" ref="E183:O183" si="54">E13</f>
        <v>0</v>
      </c>
      <c r="F183" s="175">
        <f t="shared" si="54"/>
        <v>0</v>
      </c>
      <c r="G183" s="175">
        <f t="shared" si="54"/>
        <v>0</v>
      </c>
      <c r="H183" s="175">
        <f t="shared" si="54"/>
        <v>0</v>
      </c>
      <c r="I183" s="175">
        <f t="shared" si="54"/>
        <v>0</v>
      </c>
      <c r="J183" s="175">
        <f t="shared" si="54"/>
        <v>0</v>
      </c>
      <c r="K183" s="175">
        <f t="shared" si="54"/>
        <v>0</v>
      </c>
      <c r="L183" s="175">
        <f t="shared" si="54"/>
        <v>0</v>
      </c>
      <c r="M183" s="175">
        <f t="shared" si="54"/>
        <v>0</v>
      </c>
      <c r="N183" s="175">
        <f t="shared" si="54"/>
        <v>0</v>
      </c>
      <c r="O183" s="175">
        <f t="shared" si="54"/>
        <v>0</v>
      </c>
      <c r="P183" s="175">
        <f t="shared" si="52"/>
        <v>0</v>
      </c>
      <c r="Q183" s="175"/>
    </row>
    <row r="184" spans="2:17" s="8" customFormat="1" x14ac:dyDescent="0.2">
      <c r="B184" s="8" t="s">
        <v>306</v>
      </c>
      <c r="C184" s="174" t="s">
        <v>72</v>
      </c>
      <c r="D184" s="175">
        <f>D22</f>
        <v>2637.119999999999</v>
      </c>
      <c r="E184" s="175">
        <f t="shared" ref="E184:O184" si="55">E22</f>
        <v>2507.1749999999997</v>
      </c>
      <c r="F184" s="175">
        <f t="shared" si="55"/>
        <v>1656.8650000000002</v>
      </c>
      <c r="G184" s="175">
        <f t="shared" si="55"/>
        <v>3688.93</v>
      </c>
      <c r="H184" s="175">
        <f t="shared" si="55"/>
        <v>1550.6200000000003</v>
      </c>
      <c r="I184" s="175">
        <f t="shared" si="55"/>
        <v>-948.3900000000001</v>
      </c>
      <c r="J184" s="175">
        <f t="shared" si="55"/>
        <v>1073.69</v>
      </c>
      <c r="K184" s="175">
        <f t="shared" si="55"/>
        <v>43132.139999999992</v>
      </c>
      <c r="L184" s="175">
        <f t="shared" si="55"/>
        <v>-39337.74</v>
      </c>
      <c r="M184" s="175">
        <f t="shared" si="55"/>
        <v>3133.5300000000007</v>
      </c>
      <c r="N184" s="175">
        <f t="shared" si="55"/>
        <v>3541.1899999999991</v>
      </c>
      <c r="O184" s="175">
        <f t="shared" si="55"/>
        <v>3541.19</v>
      </c>
      <c r="P184" s="175">
        <f t="shared" si="52"/>
        <v>26176.319999999992</v>
      </c>
      <c r="Q184" s="175"/>
    </row>
    <row r="185" spans="2:17" s="8" customFormat="1" x14ac:dyDescent="0.2">
      <c r="B185" s="8" t="s">
        <v>429</v>
      </c>
      <c r="C185" s="174" t="s">
        <v>79</v>
      </c>
      <c r="D185" s="175">
        <f>D25</f>
        <v>0</v>
      </c>
      <c r="E185" s="175">
        <f t="shared" ref="E185:O185" si="56">E25</f>
        <v>0</v>
      </c>
      <c r="F185" s="175">
        <f t="shared" si="56"/>
        <v>20713.419999999998</v>
      </c>
      <c r="G185" s="175">
        <f t="shared" si="56"/>
        <v>817.69</v>
      </c>
      <c r="H185" s="175">
        <f t="shared" si="56"/>
        <v>793.44</v>
      </c>
      <c r="I185" s="175">
        <f t="shared" si="56"/>
        <v>815.76</v>
      </c>
      <c r="J185" s="175">
        <f t="shared" si="56"/>
        <v>790.32</v>
      </c>
      <c r="K185" s="175">
        <f t="shared" si="56"/>
        <v>818.88</v>
      </c>
      <c r="L185" s="175">
        <f t="shared" si="56"/>
        <v>17574.28</v>
      </c>
      <c r="M185" s="175">
        <f t="shared" si="56"/>
        <v>18930.669999999998</v>
      </c>
      <c r="N185" s="175">
        <f t="shared" si="56"/>
        <v>23692.91</v>
      </c>
      <c r="O185" s="175">
        <f t="shared" si="56"/>
        <v>23988.11</v>
      </c>
      <c r="P185" s="175">
        <f t="shared" si="52"/>
        <v>108935.48</v>
      </c>
      <c r="Q185" s="175"/>
    </row>
    <row r="186" spans="2:17" s="8" customFormat="1" x14ac:dyDescent="0.2">
      <c r="B186" s="8" t="s">
        <v>266</v>
      </c>
      <c r="C186" s="174">
        <v>85</v>
      </c>
      <c r="D186" s="175">
        <f>D19</f>
        <v>144359.23600000003</v>
      </c>
      <c r="E186" s="175">
        <f t="shared" ref="E186:O188" si="57">E19</f>
        <v>57327.470499999967</v>
      </c>
      <c r="F186" s="175">
        <f t="shared" si="57"/>
        <v>156154.57650000002</v>
      </c>
      <c r="G186" s="175">
        <f t="shared" si="57"/>
        <v>62638.152249999999</v>
      </c>
      <c r="H186" s="175">
        <f t="shared" si="57"/>
        <v>189994.26309412898</v>
      </c>
      <c r="I186" s="175">
        <f t="shared" si="57"/>
        <v>20791.926711849002</v>
      </c>
      <c r="J186" s="175">
        <f t="shared" si="57"/>
        <v>72373.533269340987</v>
      </c>
      <c r="K186" s="175">
        <f t="shared" si="57"/>
        <v>141990.42767468101</v>
      </c>
      <c r="L186" s="175">
        <f t="shared" si="57"/>
        <v>128990.121530976</v>
      </c>
      <c r="M186" s="175">
        <f t="shared" si="57"/>
        <v>118945.946725852</v>
      </c>
      <c r="N186" s="175">
        <f t="shared" si="57"/>
        <v>128030.01704260097</v>
      </c>
      <c r="O186" s="175">
        <f t="shared" si="57"/>
        <v>47705.618994288016</v>
      </c>
      <c r="P186" s="175">
        <f t="shared" si="52"/>
        <v>1269301.2902937171</v>
      </c>
      <c r="Q186" s="175"/>
    </row>
    <row r="187" spans="2:17" s="8" customFormat="1" x14ac:dyDescent="0.2">
      <c r="B187" s="8" t="s">
        <v>267</v>
      </c>
      <c r="C187" s="174">
        <v>86</v>
      </c>
      <c r="D187" s="175">
        <f>D20</f>
        <v>-263819.83700000006</v>
      </c>
      <c r="E187" s="175">
        <f t="shared" si="57"/>
        <v>25121.289000000001</v>
      </c>
      <c r="F187" s="175">
        <f t="shared" si="57"/>
        <v>21661.561000000002</v>
      </c>
      <c r="G187" s="175">
        <f t="shared" si="57"/>
        <v>14272.241000000002</v>
      </c>
      <c r="H187" s="175">
        <f t="shared" si="57"/>
        <v>11609.106000000002</v>
      </c>
      <c r="I187" s="175">
        <f t="shared" si="57"/>
        <v>6272.7069999999985</v>
      </c>
      <c r="J187" s="175">
        <f t="shared" si="57"/>
        <v>7863.2060000000001</v>
      </c>
      <c r="K187" s="175">
        <f t="shared" si="57"/>
        <v>7414.4429999999993</v>
      </c>
      <c r="L187" s="175">
        <f t="shared" si="57"/>
        <v>10615.537</v>
      </c>
      <c r="M187" s="175">
        <f t="shared" si="57"/>
        <v>18472.912</v>
      </c>
      <c r="N187" s="175">
        <f t="shared" si="57"/>
        <v>17832.550000000003</v>
      </c>
      <c r="O187" s="175">
        <f t="shared" si="57"/>
        <v>87963.4</v>
      </c>
      <c r="P187" s="175">
        <f t="shared" si="52"/>
        <v>-34720.885000000053</v>
      </c>
      <c r="Q187" s="175"/>
    </row>
    <row r="188" spans="2:17" s="8" customFormat="1" x14ac:dyDescent="0.2">
      <c r="B188" s="8" t="s">
        <v>268</v>
      </c>
      <c r="C188" s="174">
        <v>87</v>
      </c>
      <c r="D188" s="175">
        <f>D21</f>
        <v>0</v>
      </c>
      <c r="E188" s="175">
        <f t="shared" si="57"/>
        <v>0</v>
      </c>
      <c r="F188" s="175">
        <f t="shared" si="57"/>
        <v>0</v>
      </c>
      <c r="G188" s="175">
        <f t="shared" si="57"/>
        <v>0</v>
      </c>
      <c r="H188" s="175">
        <f t="shared" si="57"/>
        <v>0</v>
      </c>
      <c r="I188" s="175">
        <f t="shared" si="57"/>
        <v>0</v>
      </c>
      <c r="J188" s="175">
        <f t="shared" si="57"/>
        <v>0</v>
      </c>
      <c r="K188" s="175">
        <f t="shared" si="57"/>
        <v>0</v>
      </c>
      <c r="L188" s="175">
        <f t="shared" si="57"/>
        <v>0</v>
      </c>
      <c r="M188" s="175">
        <f t="shared" si="57"/>
        <v>0</v>
      </c>
      <c r="N188" s="175">
        <f t="shared" si="57"/>
        <v>0</v>
      </c>
      <c r="O188" s="175">
        <f t="shared" si="57"/>
        <v>0</v>
      </c>
      <c r="P188" s="175">
        <f t="shared" si="52"/>
        <v>0</v>
      </c>
      <c r="Q188" s="175"/>
    </row>
    <row r="189" spans="2:17" s="8" customFormat="1" x14ac:dyDescent="0.2">
      <c r="B189" s="8" t="s">
        <v>273</v>
      </c>
      <c r="C189" s="174" t="s">
        <v>76</v>
      </c>
      <c r="D189" s="175">
        <f>D27</f>
        <v>583776.34000000008</v>
      </c>
      <c r="E189" s="175">
        <f t="shared" ref="E189:O192" si="58">E27</f>
        <v>459092.37166666659</v>
      </c>
      <c r="F189" s="175">
        <f t="shared" si="58"/>
        <v>984109.84833333339</v>
      </c>
      <c r="G189" s="175">
        <f t="shared" si="58"/>
        <v>514846.11</v>
      </c>
      <c r="H189" s="175">
        <f t="shared" si="58"/>
        <v>542704.98</v>
      </c>
      <c r="I189" s="175">
        <f t="shared" si="58"/>
        <v>529826.44999999995</v>
      </c>
      <c r="J189" s="175">
        <f t="shared" si="58"/>
        <v>542590.30999999994</v>
      </c>
      <c r="K189" s="175">
        <f t="shared" si="58"/>
        <v>595930.8600000001</v>
      </c>
      <c r="L189" s="175">
        <f t="shared" si="58"/>
        <v>394726.9</v>
      </c>
      <c r="M189" s="175">
        <f t="shared" si="58"/>
        <v>458000.64999999985</v>
      </c>
      <c r="N189" s="175">
        <f t="shared" si="58"/>
        <v>540822.9600000002</v>
      </c>
      <c r="O189" s="175">
        <f t="shared" si="58"/>
        <v>494185.43</v>
      </c>
      <c r="P189" s="175">
        <f t="shared" si="52"/>
        <v>6640613.209999999</v>
      </c>
      <c r="Q189" s="175"/>
    </row>
    <row r="190" spans="2:17" s="8" customFormat="1" x14ac:dyDescent="0.2">
      <c r="B190" s="8" t="s">
        <v>274</v>
      </c>
      <c r="C190" s="174" t="s">
        <v>127</v>
      </c>
      <c r="D190" s="175">
        <f>D28</f>
        <v>4475211.4899999993</v>
      </c>
      <c r="E190" s="175">
        <f t="shared" si="58"/>
        <v>4143051.1716666664</v>
      </c>
      <c r="F190" s="175">
        <f t="shared" si="58"/>
        <v>4496678.0283333333</v>
      </c>
      <c r="G190" s="175">
        <f t="shared" si="58"/>
        <v>4522908.42</v>
      </c>
      <c r="H190" s="175">
        <f t="shared" si="58"/>
        <v>5249043.9149999991</v>
      </c>
      <c r="I190" s="175">
        <f t="shared" si="58"/>
        <v>3906725.0200000005</v>
      </c>
      <c r="J190" s="175">
        <f t="shared" si="58"/>
        <v>4016395.99</v>
      </c>
      <c r="K190" s="175">
        <f t="shared" si="58"/>
        <v>4283024.09</v>
      </c>
      <c r="L190" s="175">
        <f t="shared" si="58"/>
        <v>4210133.74</v>
      </c>
      <c r="M190" s="175">
        <f t="shared" si="58"/>
        <v>4373150.87</v>
      </c>
      <c r="N190" s="175">
        <f t="shared" si="58"/>
        <v>3949704.0200000005</v>
      </c>
      <c r="O190" s="175">
        <f t="shared" si="58"/>
        <v>4042673.5799999991</v>
      </c>
      <c r="P190" s="175">
        <f t="shared" si="52"/>
        <v>51668700.335000001</v>
      </c>
      <c r="Q190" s="175"/>
    </row>
    <row r="191" spans="2:17" s="8" customFormat="1" x14ac:dyDescent="0.2">
      <c r="B191" s="8" t="s">
        <v>275</v>
      </c>
      <c r="C191" s="174" t="s">
        <v>79</v>
      </c>
      <c r="D191" s="175">
        <f>D29</f>
        <v>36598.430000000008</v>
      </c>
      <c r="E191" s="175">
        <f t="shared" si="58"/>
        <v>17552.478333333322</v>
      </c>
      <c r="F191" s="175">
        <f t="shared" si="58"/>
        <v>43057.591666666667</v>
      </c>
      <c r="G191" s="175">
        <f t="shared" si="58"/>
        <v>27991.760000000002</v>
      </c>
      <c r="H191" s="175">
        <f t="shared" si="58"/>
        <v>20238.459999999992</v>
      </c>
      <c r="I191" s="175">
        <f t="shared" si="58"/>
        <v>15176.800000000007</v>
      </c>
      <c r="J191" s="175">
        <f t="shared" si="58"/>
        <v>15176.800000000001</v>
      </c>
      <c r="K191" s="175">
        <f t="shared" si="58"/>
        <v>20062.41</v>
      </c>
      <c r="L191" s="175">
        <f t="shared" si="58"/>
        <v>17924.07</v>
      </c>
      <c r="M191" s="175">
        <f t="shared" si="58"/>
        <v>33321.94</v>
      </c>
      <c r="N191" s="175">
        <f t="shared" si="58"/>
        <v>29416.82</v>
      </c>
      <c r="O191" s="175">
        <f t="shared" si="58"/>
        <v>29416.82</v>
      </c>
      <c r="P191" s="175">
        <f t="shared" si="52"/>
        <v>305934.38</v>
      </c>
      <c r="Q191" s="175"/>
    </row>
    <row r="192" spans="2:17" s="8" customFormat="1" x14ac:dyDescent="0.2">
      <c r="B192" s="8" t="s">
        <v>276</v>
      </c>
      <c r="C192" s="174" t="s">
        <v>129</v>
      </c>
      <c r="D192" s="175">
        <f>D30</f>
        <v>6298080.9699999997</v>
      </c>
      <c r="E192" s="175">
        <f t="shared" si="58"/>
        <v>6995747.2600000007</v>
      </c>
      <c r="F192" s="175">
        <f t="shared" si="58"/>
        <v>5306993.71</v>
      </c>
      <c r="G192" s="175">
        <f t="shared" si="58"/>
        <v>5219895.9399999995</v>
      </c>
      <c r="H192" s="175">
        <f t="shared" si="58"/>
        <v>6016194.3199999994</v>
      </c>
      <c r="I192" s="175">
        <f t="shared" si="58"/>
        <v>6887726.1400000006</v>
      </c>
      <c r="J192" s="175">
        <f t="shared" si="58"/>
        <v>6887726.1399999997</v>
      </c>
      <c r="K192" s="175">
        <f t="shared" si="58"/>
        <v>7262712.7399999993</v>
      </c>
      <c r="L192" s="175">
        <f t="shared" si="58"/>
        <v>7223558.2000000011</v>
      </c>
      <c r="M192" s="175">
        <f t="shared" si="58"/>
        <v>5924475.2199999988</v>
      </c>
      <c r="N192" s="175">
        <f t="shared" si="58"/>
        <v>6781257.7999999998</v>
      </c>
      <c r="O192" s="175">
        <f t="shared" si="58"/>
        <v>6849261.0700000003</v>
      </c>
      <c r="P192" s="175">
        <f t="shared" si="52"/>
        <v>77653629.51000002</v>
      </c>
      <c r="Q192" s="175"/>
    </row>
    <row r="193" spans="2:17" s="8" customFormat="1" x14ac:dyDescent="0.2">
      <c r="B193" s="8" t="s">
        <v>307</v>
      </c>
      <c r="C193" s="174"/>
      <c r="D193" s="180">
        <f>SUM(D181:D192)</f>
        <v>11277753.848999999</v>
      </c>
      <c r="E193" s="180">
        <f t="shared" ref="E193:O193" si="59">SUM(E181:E192)</f>
        <v>11701134.516166668</v>
      </c>
      <c r="F193" s="180">
        <f t="shared" si="59"/>
        <v>11031781.800833333</v>
      </c>
      <c r="G193" s="180">
        <f t="shared" si="59"/>
        <v>10367817.343249999</v>
      </c>
      <c r="H193" s="180">
        <f t="shared" si="59"/>
        <v>12033288.104094127</v>
      </c>
      <c r="I193" s="180">
        <f t="shared" si="59"/>
        <v>11366813.91371185</v>
      </c>
      <c r="J193" s="180">
        <f t="shared" si="59"/>
        <v>11544740.48926934</v>
      </c>
      <c r="K193" s="180">
        <f t="shared" si="59"/>
        <v>12355864.99067468</v>
      </c>
      <c r="L193" s="180">
        <f t="shared" si="59"/>
        <v>11964935.608530978</v>
      </c>
      <c r="M193" s="180">
        <f t="shared" si="59"/>
        <v>10949191.738725852</v>
      </c>
      <c r="N193" s="180">
        <f t="shared" si="59"/>
        <v>11475057.317542601</v>
      </c>
      <c r="O193" s="180">
        <f t="shared" si="59"/>
        <v>11579457.535494287</v>
      </c>
      <c r="P193" s="180">
        <f>SUM(P181:P192)</f>
        <v>137647837.20729375</v>
      </c>
      <c r="Q193" s="88"/>
    </row>
    <row r="194" spans="2:17" s="8" customFormat="1" x14ac:dyDescent="0.2">
      <c r="B194" s="8" t="s">
        <v>308</v>
      </c>
      <c r="C194" s="174"/>
      <c r="D194" s="180">
        <f>D179+D193</f>
        <v>167167449.58814096</v>
      </c>
      <c r="E194" s="180">
        <f t="shared" ref="E194:O194" si="60">E179+E193</f>
        <v>138204763.48824528</v>
      </c>
      <c r="F194" s="180">
        <f t="shared" si="60"/>
        <v>142630420.86369771</v>
      </c>
      <c r="G194" s="180">
        <f t="shared" si="60"/>
        <v>97565722.046395212</v>
      </c>
      <c r="H194" s="180">
        <f t="shared" si="60"/>
        <v>73645967.590451792</v>
      </c>
      <c r="I194" s="180">
        <f t="shared" si="60"/>
        <v>51871568.172025979</v>
      </c>
      <c r="J194" s="180">
        <f t="shared" si="60"/>
        <v>45839480.756138667</v>
      </c>
      <c r="K194" s="180">
        <f t="shared" si="60"/>
        <v>45178592.219298676</v>
      </c>
      <c r="L194" s="180">
        <f t="shared" si="60"/>
        <v>53741029.420909248</v>
      </c>
      <c r="M194" s="180">
        <f t="shared" si="60"/>
        <v>94970874.049240306</v>
      </c>
      <c r="N194" s="180">
        <f t="shared" si="60"/>
        <v>123101706.58472355</v>
      </c>
      <c r="O194" s="180">
        <f t="shared" si="60"/>
        <v>171053151.57766142</v>
      </c>
      <c r="P194" s="180">
        <f>P179+P193</f>
        <v>1204970726.3569288</v>
      </c>
      <c r="Q194" s="88"/>
    </row>
    <row r="195" spans="2:17" x14ac:dyDescent="0.2">
      <c r="B195" s="8"/>
      <c r="C195" s="174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</row>
    <row r="196" spans="2:17" x14ac:dyDescent="0.2">
      <c r="B196" s="94" t="s">
        <v>309</v>
      </c>
      <c r="C196" s="174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</row>
    <row r="197" spans="2:17" x14ac:dyDescent="0.2">
      <c r="B197" s="160" t="s">
        <v>310</v>
      </c>
      <c r="C197" s="174"/>
      <c r="D197" s="88">
        <v>0</v>
      </c>
      <c r="E197" s="88">
        <v>0</v>
      </c>
      <c r="F197" s="88">
        <v>0</v>
      </c>
      <c r="G197" s="88">
        <v>0</v>
      </c>
      <c r="H197" s="88">
        <v>0</v>
      </c>
      <c r="I197" s="88">
        <v>0</v>
      </c>
      <c r="J197" s="88">
        <v>0</v>
      </c>
      <c r="K197" s="88">
        <v>0</v>
      </c>
      <c r="L197" s="88">
        <v>0</v>
      </c>
      <c r="M197" s="88">
        <v>0</v>
      </c>
      <c r="N197" s="88">
        <v>0</v>
      </c>
      <c r="O197" s="88">
        <v>0</v>
      </c>
      <c r="P197" s="175">
        <f t="shared" ref="P197:P211" si="61">SUM(D197:O197)</f>
        <v>0</v>
      </c>
      <c r="Q197" s="175"/>
    </row>
    <row r="198" spans="2:17" x14ac:dyDescent="0.2">
      <c r="B198" s="160" t="s">
        <v>311</v>
      </c>
      <c r="C198" s="174"/>
      <c r="D198" s="88">
        <f>D151</f>
        <v>12376779</v>
      </c>
      <c r="E198" s="88">
        <f t="shared" ref="E198:O198" si="62">E151</f>
        <v>-22722938</v>
      </c>
      <c r="F198" s="88">
        <f t="shared" si="62"/>
        <v>4731064</v>
      </c>
      <c r="G198" s="88">
        <f t="shared" si="62"/>
        <v>4981592</v>
      </c>
      <c r="H198" s="88">
        <f t="shared" si="62"/>
        <v>6353683</v>
      </c>
      <c r="I198" s="88">
        <f t="shared" si="62"/>
        <v>2031197</v>
      </c>
      <c r="J198" s="88">
        <f t="shared" si="62"/>
        <v>0</v>
      </c>
      <c r="K198" s="88">
        <f t="shared" si="62"/>
        <v>0</v>
      </c>
      <c r="L198" s="88">
        <f t="shared" si="62"/>
        <v>1007093</v>
      </c>
      <c r="M198" s="88">
        <f t="shared" si="62"/>
        <v>-5009446</v>
      </c>
      <c r="N198" s="88">
        <f t="shared" si="62"/>
        <v>2279140</v>
      </c>
      <c r="O198" s="88">
        <f t="shared" si="62"/>
        <v>13796757</v>
      </c>
      <c r="P198" s="175">
        <f t="shared" si="61"/>
        <v>19824921</v>
      </c>
      <c r="Q198" s="175"/>
    </row>
    <row r="199" spans="2:17" x14ac:dyDescent="0.2">
      <c r="B199" s="151" t="s">
        <v>312</v>
      </c>
      <c r="C199" s="174"/>
      <c r="D199" s="88">
        <f>SUM(D152:D152)+D160</f>
        <v>3493678</v>
      </c>
      <c r="E199" s="88">
        <f t="shared" ref="E199:O199" si="63">SUM(E152:E152)+E160</f>
        <v>-6174937</v>
      </c>
      <c r="F199" s="88">
        <f t="shared" si="63"/>
        <v>1281301</v>
      </c>
      <c r="G199" s="88">
        <f t="shared" si="63"/>
        <v>1215216</v>
      </c>
      <c r="H199" s="88">
        <f t="shared" si="63"/>
        <v>1282429</v>
      </c>
      <c r="I199" s="88">
        <f t="shared" si="63"/>
        <v>30901</v>
      </c>
      <c r="J199" s="88">
        <f t="shared" si="63"/>
        <v>0</v>
      </c>
      <c r="K199" s="88">
        <f t="shared" si="63"/>
        <v>0</v>
      </c>
      <c r="L199" s="88">
        <f t="shared" si="63"/>
        <v>17734</v>
      </c>
      <c r="M199" s="88">
        <f t="shared" si="63"/>
        <v>-1044284</v>
      </c>
      <c r="N199" s="88">
        <f t="shared" si="63"/>
        <v>572896</v>
      </c>
      <c r="O199" s="88">
        <f t="shared" si="63"/>
        <v>3814188</v>
      </c>
      <c r="P199" s="175">
        <f t="shared" si="61"/>
        <v>4489122</v>
      </c>
      <c r="Q199" s="175"/>
    </row>
    <row r="200" spans="2:17" x14ac:dyDescent="0.2">
      <c r="B200" s="160" t="s">
        <v>313</v>
      </c>
      <c r="C200" s="174"/>
      <c r="D200" s="88">
        <f>SUM(D153:D153)+D161</f>
        <v>665121</v>
      </c>
      <c r="E200" s="88">
        <f t="shared" ref="E200:O200" si="64">SUM(E153:E153)+E161</f>
        <v>-1183482</v>
      </c>
      <c r="F200" s="88">
        <f t="shared" si="64"/>
        <v>280654</v>
      </c>
      <c r="G200" s="88">
        <f t="shared" si="64"/>
        <v>299847</v>
      </c>
      <c r="H200" s="88">
        <f t="shared" si="64"/>
        <v>447022</v>
      </c>
      <c r="I200" s="88">
        <f t="shared" si="64"/>
        <v>161731</v>
      </c>
      <c r="J200" s="88">
        <f t="shared" si="64"/>
        <v>0</v>
      </c>
      <c r="K200" s="88">
        <f t="shared" si="64"/>
        <v>0</v>
      </c>
      <c r="L200" s="88">
        <f t="shared" si="64"/>
        <v>51201</v>
      </c>
      <c r="M200" s="88">
        <f t="shared" si="64"/>
        <v>-284026</v>
      </c>
      <c r="N200" s="88">
        <f t="shared" si="64"/>
        <v>117694</v>
      </c>
      <c r="O200" s="88">
        <f t="shared" si="64"/>
        <v>720011</v>
      </c>
      <c r="P200" s="175">
        <f t="shared" si="61"/>
        <v>1275773</v>
      </c>
      <c r="Q200" s="175"/>
    </row>
    <row r="201" spans="2:17" x14ac:dyDescent="0.2">
      <c r="B201" s="160" t="s">
        <v>314</v>
      </c>
      <c r="C201" s="174"/>
      <c r="D201" s="88">
        <v>0</v>
      </c>
      <c r="E201" s="88">
        <v>0</v>
      </c>
      <c r="F201" s="88">
        <v>0</v>
      </c>
      <c r="G201" s="88">
        <v>0</v>
      </c>
      <c r="H201" s="88">
        <v>0</v>
      </c>
      <c r="I201" s="88">
        <v>0</v>
      </c>
      <c r="J201" s="88">
        <v>0</v>
      </c>
      <c r="K201" s="88">
        <v>0</v>
      </c>
      <c r="L201" s="88">
        <v>0</v>
      </c>
      <c r="M201" s="88">
        <v>0</v>
      </c>
      <c r="N201" s="88">
        <v>0</v>
      </c>
      <c r="O201" s="88">
        <v>0</v>
      </c>
      <c r="P201" s="175">
        <f t="shared" si="61"/>
        <v>0</v>
      </c>
      <c r="Q201" s="175"/>
    </row>
    <row r="202" spans="2:17" x14ac:dyDescent="0.2">
      <c r="B202" s="160" t="s">
        <v>315</v>
      </c>
      <c r="C202" s="174"/>
      <c r="D202" s="88">
        <v>0</v>
      </c>
      <c r="E202" s="88">
        <v>0</v>
      </c>
      <c r="F202" s="88">
        <v>0</v>
      </c>
      <c r="G202" s="88">
        <v>0</v>
      </c>
      <c r="H202" s="88">
        <v>0</v>
      </c>
      <c r="I202" s="88">
        <v>0</v>
      </c>
      <c r="J202" s="88">
        <v>0</v>
      </c>
      <c r="K202" s="88">
        <v>0</v>
      </c>
      <c r="L202" s="88">
        <v>0</v>
      </c>
      <c r="M202" s="88">
        <v>0</v>
      </c>
      <c r="N202" s="88">
        <v>0</v>
      </c>
      <c r="O202" s="88">
        <v>0</v>
      </c>
      <c r="P202" s="175">
        <f t="shared" si="61"/>
        <v>0</v>
      </c>
      <c r="Q202" s="175"/>
    </row>
    <row r="203" spans="2:17" x14ac:dyDescent="0.2">
      <c r="B203" s="160" t="s">
        <v>316</v>
      </c>
      <c r="C203" s="174"/>
      <c r="D203" s="88">
        <f>D157</f>
        <v>14430</v>
      </c>
      <c r="E203" s="88">
        <f t="shared" ref="E203:O205" si="65">E157</f>
        <v>-47604</v>
      </c>
      <c r="F203" s="88">
        <f t="shared" si="65"/>
        <v>11123</v>
      </c>
      <c r="G203" s="88">
        <f t="shared" si="65"/>
        <v>8212</v>
      </c>
      <c r="H203" s="88">
        <f t="shared" si="65"/>
        <v>0</v>
      </c>
      <c r="I203" s="88">
        <f t="shared" si="65"/>
        <v>0</v>
      </c>
      <c r="J203" s="88">
        <f t="shared" si="65"/>
        <v>0</v>
      </c>
      <c r="K203" s="88">
        <f t="shared" si="65"/>
        <v>0</v>
      </c>
      <c r="L203" s="88">
        <f t="shared" si="65"/>
        <v>0</v>
      </c>
      <c r="M203" s="88">
        <f t="shared" si="65"/>
        <v>0</v>
      </c>
      <c r="N203" s="88">
        <f t="shared" si="65"/>
        <v>0</v>
      </c>
      <c r="O203" s="88">
        <f t="shared" si="65"/>
        <v>0</v>
      </c>
      <c r="P203" s="175">
        <f t="shared" si="61"/>
        <v>-13839</v>
      </c>
      <c r="Q203" s="175"/>
    </row>
    <row r="204" spans="2:17" x14ac:dyDescent="0.2">
      <c r="B204" s="160" t="s">
        <v>317</v>
      </c>
      <c r="C204" s="174"/>
      <c r="D204" s="88">
        <f>D158</f>
        <v>15291</v>
      </c>
      <c r="E204" s="88">
        <f t="shared" si="65"/>
        <v>-53690</v>
      </c>
      <c r="F204" s="88">
        <f t="shared" si="65"/>
        <v>11918</v>
      </c>
      <c r="G204" s="88">
        <f t="shared" si="65"/>
        <v>9050</v>
      </c>
      <c r="H204" s="88">
        <f t="shared" si="65"/>
        <v>0</v>
      </c>
      <c r="I204" s="88">
        <f t="shared" si="65"/>
        <v>0</v>
      </c>
      <c r="J204" s="88">
        <f t="shared" si="65"/>
        <v>0</v>
      </c>
      <c r="K204" s="88">
        <f t="shared" si="65"/>
        <v>0</v>
      </c>
      <c r="L204" s="88">
        <f t="shared" si="65"/>
        <v>0</v>
      </c>
      <c r="M204" s="88">
        <f t="shared" si="65"/>
        <v>0</v>
      </c>
      <c r="N204" s="88">
        <f t="shared" si="65"/>
        <v>0</v>
      </c>
      <c r="O204" s="88">
        <f t="shared" si="65"/>
        <v>0</v>
      </c>
      <c r="P204" s="175">
        <f t="shared" si="61"/>
        <v>-17431</v>
      </c>
      <c r="Q204" s="175"/>
    </row>
    <row r="205" spans="2:17" x14ac:dyDescent="0.2">
      <c r="B205" s="160" t="s">
        <v>318</v>
      </c>
      <c r="C205" s="174"/>
      <c r="D205" s="88">
        <f>D159</f>
        <v>20675</v>
      </c>
      <c r="E205" s="88">
        <f t="shared" si="65"/>
        <v>-64410</v>
      </c>
      <c r="F205" s="88">
        <f t="shared" si="65"/>
        <v>14636</v>
      </c>
      <c r="G205" s="88">
        <f t="shared" si="65"/>
        <v>11065</v>
      </c>
      <c r="H205" s="88">
        <f t="shared" si="65"/>
        <v>0</v>
      </c>
      <c r="I205" s="88">
        <f t="shared" si="65"/>
        <v>0</v>
      </c>
      <c r="J205" s="88">
        <f t="shared" si="65"/>
        <v>0</v>
      </c>
      <c r="K205" s="88">
        <f t="shared" si="65"/>
        <v>0</v>
      </c>
      <c r="L205" s="88">
        <f t="shared" si="65"/>
        <v>0</v>
      </c>
      <c r="M205" s="88">
        <f t="shared" si="65"/>
        <v>0</v>
      </c>
      <c r="N205" s="88">
        <f t="shared" si="65"/>
        <v>0</v>
      </c>
      <c r="O205" s="88">
        <f t="shared" si="65"/>
        <v>0</v>
      </c>
      <c r="P205" s="175">
        <f t="shared" si="61"/>
        <v>-18034</v>
      </c>
      <c r="Q205" s="175"/>
    </row>
    <row r="206" spans="2:17" x14ac:dyDescent="0.2">
      <c r="B206" s="8" t="s">
        <v>319</v>
      </c>
      <c r="C206" s="174"/>
      <c r="D206" s="88">
        <v>0</v>
      </c>
      <c r="E206" s="88">
        <v>0</v>
      </c>
      <c r="F206" s="88">
        <v>0</v>
      </c>
      <c r="G206" s="88">
        <v>0</v>
      </c>
      <c r="H206" s="88">
        <v>0</v>
      </c>
      <c r="I206" s="88">
        <v>0</v>
      </c>
      <c r="J206" s="88">
        <v>0</v>
      </c>
      <c r="K206" s="88">
        <v>0</v>
      </c>
      <c r="L206" s="88">
        <v>0</v>
      </c>
      <c r="M206" s="88">
        <v>0</v>
      </c>
      <c r="N206" s="88">
        <v>0</v>
      </c>
      <c r="O206" s="88">
        <v>0</v>
      </c>
      <c r="P206" s="175">
        <f t="shared" si="61"/>
        <v>0</v>
      </c>
      <c r="Q206" s="175"/>
    </row>
    <row r="207" spans="2:17" x14ac:dyDescent="0.2">
      <c r="B207" s="8" t="s">
        <v>320</v>
      </c>
      <c r="C207" s="174"/>
      <c r="D207" s="88">
        <f>D154</f>
        <v>89282</v>
      </c>
      <c r="E207" s="88">
        <f t="shared" ref="E207:O208" si="66">E154</f>
        <v>-253807</v>
      </c>
      <c r="F207" s="88">
        <f t="shared" si="66"/>
        <v>35464</v>
      </c>
      <c r="G207" s="88">
        <f t="shared" si="66"/>
        <v>54933</v>
      </c>
      <c r="H207" s="88">
        <f t="shared" si="66"/>
        <v>62815</v>
      </c>
      <c r="I207" s="88">
        <f t="shared" si="66"/>
        <v>0</v>
      </c>
      <c r="J207" s="88">
        <f t="shared" si="66"/>
        <v>0</v>
      </c>
      <c r="K207" s="88">
        <f t="shared" si="66"/>
        <v>0</v>
      </c>
      <c r="L207" s="88">
        <f t="shared" si="66"/>
        <v>0</v>
      </c>
      <c r="M207" s="88">
        <f t="shared" si="66"/>
        <v>-33431</v>
      </c>
      <c r="N207" s="88">
        <f t="shared" si="66"/>
        <v>13492</v>
      </c>
      <c r="O207" s="88">
        <f t="shared" si="66"/>
        <v>47146</v>
      </c>
      <c r="P207" s="175">
        <f t="shared" si="61"/>
        <v>15894</v>
      </c>
      <c r="Q207" s="175"/>
    </row>
    <row r="208" spans="2:17" x14ac:dyDescent="0.2">
      <c r="B208" s="8" t="s">
        <v>321</v>
      </c>
      <c r="C208" s="174"/>
      <c r="D208" s="88">
        <f>D155</f>
        <v>146205</v>
      </c>
      <c r="E208" s="88">
        <f t="shared" si="66"/>
        <v>-317457</v>
      </c>
      <c r="F208" s="88">
        <f t="shared" si="66"/>
        <v>51156</v>
      </c>
      <c r="G208" s="88">
        <f t="shared" si="66"/>
        <v>87143</v>
      </c>
      <c r="H208" s="88">
        <f t="shared" si="66"/>
        <v>150000</v>
      </c>
      <c r="I208" s="88">
        <f t="shared" si="66"/>
        <v>0</v>
      </c>
      <c r="J208" s="88">
        <f t="shared" si="66"/>
        <v>0</v>
      </c>
      <c r="K208" s="88">
        <f t="shared" si="66"/>
        <v>0</v>
      </c>
      <c r="L208" s="88">
        <f t="shared" si="66"/>
        <v>0</v>
      </c>
      <c r="M208" s="88">
        <f t="shared" si="66"/>
        <v>-48317</v>
      </c>
      <c r="N208" s="88">
        <f t="shared" si="66"/>
        <v>19374</v>
      </c>
      <c r="O208" s="88">
        <f t="shared" si="66"/>
        <v>69835</v>
      </c>
      <c r="P208" s="175">
        <f t="shared" si="61"/>
        <v>157939</v>
      </c>
      <c r="Q208" s="175"/>
    </row>
    <row r="209" spans="2:17" x14ac:dyDescent="0.2">
      <c r="B209" s="8" t="s">
        <v>322</v>
      </c>
      <c r="C209" s="174"/>
      <c r="D209" s="88">
        <v>0</v>
      </c>
      <c r="E209" s="88">
        <v>0</v>
      </c>
      <c r="F209" s="88">
        <v>0</v>
      </c>
      <c r="G209" s="88">
        <v>0</v>
      </c>
      <c r="H209" s="88">
        <v>0</v>
      </c>
      <c r="I209" s="88">
        <v>0</v>
      </c>
      <c r="J209" s="88">
        <v>0</v>
      </c>
      <c r="K209" s="88">
        <v>0</v>
      </c>
      <c r="L209" s="88">
        <v>0</v>
      </c>
      <c r="M209" s="88">
        <v>0</v>
      </c>
      <c r="N209" s="88">
        <v>0</v>
      </c>
      <c r="O209" s="88">
        <v>0</v>
      </c>
      <c r="P209" s="175">
        <f t="shared" si="61"/>
        <v>0</v>
      </c>
      <c r="Q209" s="175"/>
    </row>
    <row r="210" spans="2:17" x14ac:dyDescent="0.2">
      <c r="B210" s="8" t="s">
        <v>323</v>
      </c>
      <c r="C210" s="174"/>
      <c r="D210" s="88">
        <f>D156</f>
        <v>260151</v>
      </c>
      <c r="E210" s="88">
        <f t="shared" ref="E210:O210" si="67">E156</f>
        <v>-731357</v>
      </c>
      <c r="F210" s="88">
        <f t="shared" si="67"/>
        <v>89137</v>
      </c>
      <c r="G210" s="88">
        <f t="shared" si="67"/>
        <v>173539</v>
      </c>
      <c r="H210" s="88">
        <f t="shared" si="67"/>
        <v>280847</v>
      </c>
      <c r="I210" s="88">
        <f t="shared" si="67"/>
        <v>0</v>
      </c>
      <c r="J210" s="88">
        <f t="shared" si="67"/>
        <v>0</v>
      </c>
      <c r="K210" s="88">
        <f t="shared" si="67"/>
        <v>0</v>
      </c>
      <c r="L210" s="88">
        <f t="shared" si="67"/>
        <v>0</v>
      </c>
      <c r="M210" s="88">
        <f t="shared" si="67"/>
        <v>-72338</v>
      </c>
      <c r="N210" s="88">
        <f t="shared" si="67"/>
        <v>37716</v>
      </c>
      <c r="O210" s="88">
        <f t="shared" si="67"/>
        <v>137826</v>
      </c>
      <c r="P210" s="175">
        <f t="shared" si="61"/>
        <v>175521</v>
      </c>
      <c r="Q210" s="175"/>
    </row>
    <row r="211" spans="2:17" s="72" customFormat="1" x14ac:dyDescent="0.2">
      <c r="B211" s="151" t="s">
        <v>130</v>
      </c>
      <c r="C211" s="268"/>
      <c r="D211" s="88">
        <f>D162</f>
        <v>248564</v>
      </c>
      <c r="E211" s="88">
        <f t="shared" ref="E211:O211" si="68">E162</f>
        <v>0</v>
      </c>
      <c r="F211" s="88">
        <f t="shared" si="68"/>
        <v>39650</v>
      </c>
      <c r="G211" s="88">
        <f t="shared" si="68"/>
        <v>0</v>
      </c>
      <c r="H211" s="88">
        <f t="shared" si="68"/>
        <v>0</v>
      </c>
      <c r="I211" s="88">
        <f t="shared" si="68"/>
        <v>0</v>
      </c>
      <c r="J211" s="88">
        <f t="shared" si="68"/>
        <v>0</v>
      </c>
      <c r="K211" s="88">
        <f t="shared" si="68"/>
        <v>0</v>
      </c>
      <c r="L211" s="88">
        <f t="shared" si="68"/>
        <v>0</v>
      </c>
      <c r="M211" s="88">
        <f t="shared" si="68"/>
        <v>-124064</v>
      </c>
      <c r="N211" s="88">
        <f t="shared" si="68"/>
        <v>55800</v>
      </c>
      <c r="O211" s="88">
        <f t="shared" si="68"/>
        <v>161219</v>
      </c>
      <c r="P211" s="88">
        <f t="shared" si="61"/>
        <v>381169</v>
      </c>
      <c r="Q211" s="88"/>
    </row>
    <row r="212" spans="2:17" x14ac:dyDescent="0.2">
      <c r="B212" s="147" t="s">
        <v>298</v>
      </c>
      <c r="C212" s="178"/>
      <c r="D212" s="187">
        <f t="shared" ref="D212:P212" si="69">SUM(D197:D211)</f>
        <v>17330176</v>
      </c>
      <c r="E212" s="187">
        <f t="shared" ref="E212:O212" si="70">SUM(E197:E211)</f>
        <v>-31549682</v>
      </c>
      <c r="F212" s="187">
        <f t="shared" si="70"/>
        <v>6546103</v>
      </c>
      <c r="G212" s="187">
        <f t="shared" si="70"/>
        <v>6840597</v>
      </c>
      <c r="H212" s="187">
        <f t="shared" si="70"/>
        <v>8576796</v>
      </c>
      <c r="I212" s="187">
        <f t="shared" si="70"/>
        <v>2223829</v>
      </c>
      <c r="J212" s="187">
        <f t="shared" si="70"/>
        <v>0</v>
      </c>
      <c r="K212" s="187">
        <f t="shared" si="70"/>
        <v>0</v>
      </c>
      <c r="L212" s="187">
        <f t="shared" si="70"/>
        <v>1076028</v>
      </c>
      <c r="M212" s="187">
        <f t="shared" si="70"/>
        <v>-6615906</v>
      </c>
      <c r="N212" s="187">
        <f t="shared" si="70"/>
        <v>3096112</v>
      </c>
      <c r="O212" s="187">
        <f t="shared" si="70"/>
        <v>18746982</v>
      </c>
      <c r="P212" s="187">
        <f t="shared" si="69"/>
        <v>26271035</v>
      </c>
      <c r="Q212" s="148"/>
    </row>
    <row r="213" spans="2:17" x14ac:dyDescent="0.2">
      <c r="B213" s="190" t="s">
        <v>216</v>
      </c>
      <c r="C213" s="191"/>
      <c r="D213" s="192">
        <f>D212-D148</f>
        <v>5.1743417978286743E-2</v>
      </c>
      <c r="E213" s="192">
        <f t="shared" ref="E213:O213" si="71">E212-E148</f>
        <v>-1.8876483179628849</v>
      </c>
      <c r="F213" s="192">
        <f t="shared" si="71"/>
        <v>-0.75314669124782085</v>
      </c>
      <c r="G213" s="192">
        <f t="shared" si="71"/>
        <v>1.5722541017457843</v>
      </c>
      <c r="H213" s="192">
        <v>-0.57264885306358304</v>
      </c>
      <c r="I213" s="192">
        <f t="shared" si="71"/>
        <v>-0.4070519283413887</v>
      </c>
      <c r="J213" s="192">
        <f t="shared" si="71"/>
        <v>0</v>
      </c>
      <c r="K213" s="192">
        <f t="shared" si="71"/>
        <v>0</v>
      </c>
      <c r="L213" s="192">
        <f>L212-L148</f>
        <v>0.79782500118017197</v>
      </c>
      <c r="M213" s="192">
        <f t="shared" si="71"/>
        <v>0.30667070671916008</v>
      </c>
      <c r="N213" s="192">
        <f t="shared" si="71"/>
        <v>0.18821082264184952</v>
      </c>
      <c r="O213" s="192">
        <f t="shared" si="71"/>
        <v>1.706788957118988</v>
      </c>
      <c r="P213" s="192">
        <f>P212-P148</f>
        <v>2.5681926235556602</v>
      </c>
      <c r="Q213" s="148"/>
    </row>
    <row r="214" spans="2:17" x14ac:dyDescent="0.2">
      <c r="C214" s="178"/>
      <c r="D214" s="148"/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</row>
    <row r="215" spans="2:17" x14ac:dyDescent="0.2">
      <c r="B215" s="94" t="s">
        <v>324</v>
      </c>
      <c r="C215" s="178"/>
      <c r="D215" s="148"/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</row>
    <row r="216" spans="2:17" x14ac:dyDescent="0.2">
      <c r="B216" s="147" t="s">
        <v>310</v>
      </c>
      <c r="C216" s="178"/>
      <c r="D216" s="148">
        <f>D181</f>
        <v>910.1</v>
      </c>
      <c r="E216" s="148">
        <f t="shared" ref="E216:O216" si="72">E181</f>
        <v>735.3</v>
      </c>
      <c r="F216" s="148">
        <f t="shared" si="72"/>
        <v>756.19999999999993</v>
      </c>
      <c r="G216" s="148">
        <f t="shared" si="72"/>
        <v>758.1</v>
      </c>
      <c r="H216" s="148">
        <f t="shared" si="72"/>
        <v>1159</v>
      </c>
      <c r="I216" s="148">
        <f t="shared" si="72"/>
        <v>427.5</v>
      </c>
      <c r="J216" s="148">
        <f t="shared" si="72"/>
        <v>750.5</v>
      </c>
      <c r="K216" s="148">
        <f t="shared" si="72"/>
        <v>779</v>
      </c>
      <c r="L216" s="148">
        <f t="shared" si="72"/>
        <v>750.5</v>
      </c>
      <c r="M216" s="148">
        <f t="shared" si="72"/>
        <v>760</v>
      </c>
      <c r="N216" s="148">
        <f t="shared" si="72"/>
        <v>759.05049999999994</v>
      </c>
      <c r="O216" s="148">
        <f t="shared" si="72"/>
        <v>722.31650000000002</v>
      </c>
      <c r="P216" s="181">
        <f t="shared" ref="P216:P229" si="73">SUM(D216:O216)</f>
        <v>9267.5670000000009</v>
      </c>
      <c r="Q216" s="181"/>
    </row>
    <row r="217" spans="2:17" x14ac:dyDescent="0.2">
      <c r="B217" s="147" t="s">
        <v>311</v>
      </c>
      <c r="C217" s="178"/>
      <c r="D217" s="148">
        <f>D167+D182</f>
        <v>98742304.951352641</v>
      </c>
      <c r="E217" s="148">
        <f t="shared" ref="E217:O217" si="74">E167+E182</f>
        <v>81326785.918952465</v>
      </c>
      <c r="F217" s="148">
        <f t="shared" si="74"/>
        <v>78310890.006170139</v>
      </c>
      <c r="G217" s="148">
        <f t="shared" si="74"/>
        <v>50310997.570679627</v>
      </c>
      <c r="H217" s="148">
        <f t="shared" si="74"/>
        <v>30964316.304136805</v>
      </c>
      <c r="I217" s="148">
        <f t="shared" si="74"/>
        <v>19686669.54762454</v>
      </c>
      <c r="J217" s="148">
        <f t="shared" si="74"/>
        <v>13907677.966402467</v>
      </c>
      <c r="K217" s="148">
        <f t="shared" si="74"/>
        <v>12929912.320068486</v>
      </c>
      <c r="L217" s="148">
        <f t="shared" si="74"/>
        <v>19299711.929006856</v>
      </c>
      <c r="M217" s="148">
        <f t="shared" si="74"/>
        <v>48302956.499214396</v>
      </c>
      <c r="N217" s="148">
        <f t="shared" si="74"/>
        <v>71143862.13700439</v>
      </c>
      <c r="O217" s="148">
        <f t="shared" si="74"/>
        <v>100203337.37940085</v>
      </c>
      <c r="P217" s="181">
        <f t="shared" si="73"/>
        <v>625129422.53001368</v>
      </c>
      <c r="Q217" s="181"/>
    </row>
    <row r="218" spans="2:17" x14ac:dyDescent="0.2">
      <c r="B218" s="151" t="s">
        <v>312</v>
      </c>
      <c r="C218" s="178"/>
      <c r="D218" s="148">
        <f>SUM(D168:D168)+D176</f>
        <v>32136465.063600756</v>
      </c>
      <c r="E218" s="148">
        <f t="shared" ref="E218:O218" si="75">SUM(E168:E168)+E176</f>
        <v>29752595.911192596</v>
      </c>
      <c r="F218" s="148">
        <f t="shared" si="75"/>
        <v>29048097.343190353</v>
      </c>
      <c r="G218" s="148">
        <f t="shared" si="75"/>
        <v>19496284.667410858</v>
      </c>
      <c r="H218" s="148">
        <f t="shared" si="75"/>
        <v>14146046.203063024</v>
      </c>
      <c r="I218" s="148">
        <f t="shared" si="75"/>
        <v>9624812.0999043584</v>
      </c>
      <c r="J218" s="148">
        <f t="shared" si="75"/>
        <v>8694521.4696066789</v>
      </c>
      <c r="K218" s="148">
        <f t="shared" si="75"/>
        <v>8688448.3126321174</v>
      </c>
      <c r="L218" s="148">
        <f t="shared" si="75"/>
        <v>11427748.3072269</v>
      </c>
      <c r="M218" s="148">
        <f t="shared" si="75"/>
        <v>17760939.430571835</v>
      </c>
      <c r="N218" s="148">
        <f t="shared" si="75"/>
        <v>22003278.619246334</v>
      </c>
      <c r="O218" s="148">
        <f t="shared" si="75"/>
        <v>36479085.048529729</v>
      </c>
      <c r="P218" s="181">
        <f t="shared" si="73"/>
        <v>239258322.47617555</v>
      </c>
      <c r="Q218" s="181"/>
    </row>
    <row r="219" spans="2:17" x14ac:dyDescent="0.2">
      <c r="B219" s="147" t="s">
        <v>313</v>
      </c>
      <c r="C219" s="178"/>
      <c r="D219" s="148">
        <f>D169+D177</f>
        <v>7641281.5744631682</v>
      </c>
      <c r="E219" s="148">
        <f t="shared" ref="E219:O219" si="76">E169+E177</f>
        <v>6949194.7921613036</v>
      </c>
      <c r="F219" s="148">
        <f t="shared" si="76"/>
        <v>6982612.433147327</v>
      </c>
      <c r="G219" s="148">
        <f t="shared" si="76"/>
        <v>6068010.4122000942</v>
      </c>
      <c r="H219" s="148">
        <f t="shared" si="76"/>
        <v>5577795.6676020883</v>
      </c>
      <c r="I219" s="148">
        <f t="shared" si="76"/>
        <v>3367381.0043596267</v>
      </c>
      <c r="J219" s="148">
        <f t="shared" si="76"/>
        <v>3090807.2968117869</v>
      </c>
      <c r="K219" s="148">
        <f t="shared" si="76"/>
        <v>3011005.0010096296</v>
      </c>
      <c r="L219" s="148">
        <f t="shared" si="76"/>
        <v>3453720.3499346469</v>
      </c>
      <c r="M219" s="148">
        <f t="shared" si="76"/>
        <v>5498643.3191878917</v>
      </c>
      <c r="N219" s="148">
        <f t="shared" si="76"/>
        <v>6666352.4017184777</v>
      </c>
      <c r="O219" s="148">
        <f t="shared" si="76"/>
        <v>8753279.13525551</v>
      </c>
      <c r="P219" s="181">
        <f t="shared" si="73"/>
        <v>67060083.387851544</v>
      </c>
      <c r="Q219" s="181"/>
    </row>
    <row r="220" spans="2:17" x14ac:dyDescent="0.2">
      <c r="B220" s="147" t="s">
        <v>314</v>
      </c>
      <c r="C220" s="178"/>
      <c r="D220" s="148">
        <f>D183</f>
        <v>0</v>
      </c>
      <c r="E220" s="148">
        <f t="shared" ref="E220:O220" si="77">E183</f>
        <v>0</v>
      </c>
      <c r="F220" s="148">
        <f t="shared" si="77"/>
        <v>0</v>
      </c>
      <c r="G220" s="148">
        <f t="shared" si="77"/>
        <v>0</v>
      </c>
      <c r="H220" s="148">
        <f t="shared" si="77"/>
        <v>0</v>
      </c>
      <c r="I220" s="148">
        <f t="shared" si="77"/>
        <v>0</v>
      </c>
      <c r="J220" s="148">
        <f t="shared" si="77"/>
        <v>0</v>
      </c>
      <c r="K220" s="148">
        <f t="shared" si="77"/>
        <v>0</v>
      </c>
      <c r="L220" s="148">
        <f t="shared" si="77"/>
        <v>0</v>
      </c>
      <c r="M220" s="148">
        <f t="shared" si="77"/>
        <v>0</v>
      </c>
      <c r="N220" s="148">
        <f t="shared" si="77"/>
        <v>0</v>
      </c>
      <c r="O220" s="148">
        <f t="shared" si="77"/>
        <v>0</v>
      </c>
      <c r="P220" s="181">
        <f t="shared" si="73"/>
        <v>0</v>
      </c>
      <c r="Q220" s="181"/>
    </row>
    <row r="221" spans="2:17" x14ac:dyDescent="0.2">
      <c r="B221" s="147" t="s">
        <v>315</v>
      </c>
      <c r="C221" s="178"/>
      <c r="D221" s="148"/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81">
        <f t="shared" si="73"/>
        <v>0</v>
      </c>
      <c r="Q221" s="181"/>
    </row>
    <row r="222" spans="2:17" x14ac:dyDescent="0.2">
      <c r="B222" s="160" t="s">
        <v>316</v>
      </c>
      <c r="C222" s="174"/>
      <c r="D222" s="88">
        <f>D173+D186</f>
        <v>2641913.8050000002</v>
      </c>
      <c r="E222" s="88">
        <f t="shared" ref="E222:O224" si="78">E173+E186</f>
        <v>83315.290999999648</v>
      </c>
      <c r="F222" s="88">
        <f t="shared" si="78"/>
        <v>2034070.1749999998</v>
      </c>
      <c r="G222" s="88">
        <f t="shared" si="78"/>
        <v>714351.03850000014</v>
      </c>
      <c r="H222" s="88">
        <f t="shared" si="78"/>
        <v>1362252.4848441288</v>
      </c>
      <c r="I222" s="88">
        <f t="shared" si="78"/>
        <v>844437.00971184915</v>
      </c>
      <c r="J222" s="88">
        <f t="shared" si="78"/>
        <v>717917.71476934105</v>
      </c>
      <c r="K222" s="88">
        <f t="shared" si="78"/>
        <v>844702.42367468099</v>
      </c>
      <c r="L222" s="88">
        <f t="shared" si="78"/>
        <v>579109.99103097606</v>
      </c>
      <c r="M222" s="88">
        <f t="shared" si="78"/>
        <v>1934339.448725852</v>
      </c>
      <c r="N222" s="88">
        <f t="shared" si="78"/>
        <v>906779.06304260099</v>
      </c>
      <c r="O222" s="88">
        <f t="shared" si="78"/>
        <v>1817998.0949942879</v>
      </c>
      <c r="P222" s="175">
        <f t="shared" si="73"/>
        <v>14481186.540293716</v>
      </c>
      <c r="Q222" s="175"/>
    </row>
    <row r="223" spans="2:17" x14ac:dyDescent="0.2">
      <c r="B223" s="160" t="s">
        <v>317</v>
      </c>
      <c r="C223" s="174"/>
      <c r="D223" s="88">
        <f>D174+D187</f>
        <v>1095169.4217244326</v>
      </c>
      <c r="E223" s="88">
        <f t="shared" si="78"/>
        <v>1125742.4894389017</v>
      </c>
      <c r="F223" s="88">
        <f t="shared" si="78"/>
        <v>1147393.709189869</v>
      </c>
      <c r="G223" s="88">
        <f t="shared" si="78"/>
        <v>694364.40810463356</v>
      </c>
      <c r="H223" s="88">
        <f t="shared" si="78"/>
        <v>472753.44605573843</v>
      </c>
      <c r="I223" s="88">
        <f t="shared" si="78"/>
        <v>571459.39817559998</v>
      </c>
      <c r="J223" s="88">
        <f t="shared" si="78"/>
        <v>346254.70939239592</v>
      </c>
      <c r="K223" s="88">
        <f t="shared" si="78"/>
        <v>-127455.14993023043</v>
      </c>
      <c r="L223" s="88">
        <f t="shared" si="78"/>
        <v>457041.39270986349</v>
      </c>
      <c r="M223" s="88">
        <f t="shared" si="78"/>
        <v>619896.32954033231</v>
      </c>
      <c r="N223" s="88">
        <f t="shared" si="78"/>
        <v>1136803.035211738</v>
      </c>
      <c r="O223" s="88">
        <f t="shared" si="78"/>
        <v>587723.3229810507</v>
      </c>
      <c r="P223" s="175">
        <f t="shared" si="73"/>
        <v>8127146.5125943255</v>
      </c>
      <c r="Q223" s="175"/>
    </row>
    <row r="224" spans="2:17" x14ac:dyDescent="0.2">
      <c r="B224" s="160" t="s">
        <v>318</v>
      </c>
      <c r="C224" s="174"/>
      <c r="D224" s="88">
        <f>D175+D188</f>
        <v>2966481.202</v>
      </c>
      <c r="E224" s="88">
        <f t="shared" si="78"/>
        <v>1275855.9005000002</v>
      </c>
      <c r="F224" s="88">
        <f t="shared" si="78"/>
        <v>2402739.5619999999</v>
      </c>
      <c r="G224" s="88">
        <f t="shared" si="78"/>
        <v>1869207.6695000001</v>
      </c>
      <c r="H224" s="88">
        <f t="shared" si="78"/>
        <v>2230705.55975</v>
      </c>
      <c r="I224" s="88">
        <f t="shared" si="78"/>
        <v>1570650.4422500001</v>
      </c>
      <c r="J224" s="88">
        <f t="shared" si="78"/>
        <v>1230746.9491559998</v>
      </c>
      <c r="K224" s="88">
        <f t="shared" si="78"/>
        <v>1676042.7718440001</v>
      </c>
      <c r="L224" s="88">
        <f t="shared" si="78"/>
        <v>952070.94099999988</v>
      </c>
      <c r="M224" s="88">
        <f t="shared" si="78"/>
        <v>1988245.2819999999</v>
      </c>
      <c r="N224" s="88">
        <f t="shared" si="78"/>
        <v>1463869.2080000001</v>
      </c>
      <c r="O224" s="88">
        <f t="shared" si="78"/>
        <v>2891175.33</v>
      </c>
      <c r="P224" s="175">
        <f t="shared" si="73"/>
        <v>22517790.818000004</v>
      </c>
      <c r="Q224" s="175"/>
    </row>
    <row r="225" spans="2:17" x14ac:dyDescent="0.2">
      <c r="B225" s="8" t="s">
        <v>319</v>
      </c>
      <c r="C225" s="174"/>
      <c r="D225" s="88">
        <f>D184</f>
        <v>2637.119999999999</v>
      </c>
      <c r="E225" s="88">
        <f t="shared" ref="E225:O225" si="79">E184</f>
        <v>2507.1749999999997</v>
      </c>
      <c r="F225" s="88">
        <f t="shared" si="79"/>
        <v>1656.8650000000002</v>
      </c>
      <c r="G225" s="88">
        <f t="shared" si="79"/>
        <v>3688.93</v>
      </c>
      <c r="H225" s="88">
        <f t="shared" si="79"/>
        <v>1550.6200000000003</v>
      </c>
      <c r="I225" s="88">
        <f t="shared" si="79"/>
        <v>-948.3900000000001</v>
      </c>
      <c r="J225" s="88">
        <f t="shared" si="79"/>
        <v>1073.69</v>
      </c>
      <c r="K225" s="88">
        <f t="shared" si="79"/>
        <v>43132.139999999992</v>
      </c>
      <c r="L225" s="88">
        <f t="shared" si="79"/>
        <v>-39337.74</v>
      </c>
      <c r="M225" s="88">
        <f t="shared" si="79"/>
        <v>3133.5300000000007</v>
      </c>
      <c r="N225" s="88">
        <f t="shared" si="79"/>
        <v>3541.1899999999991</v>
      </c>
      <c r="O225" s="88">
        <f t="shared" si="79"/>
        <v>3541.19</v>
      </c>
      <c r="P225" s="175">
        <f t="shared" si="73"/>
        <v>26176.319999999992</v>
      </c>
      <c r="Q225" s="175"/>
    </row>
    <row r="226" spans="2:17" x14ac:dyDescent="0.2">
      <c r="B226" s="8" t="s">
        <v>320</v>
      </c>
      <c r="C226" s="174"/>
      <c r="D226" s="88">
        <f>D170+D189</f>
        <v>2298855.9000000004</v>
      </c>
      <c r="E226" s="88">
        <f t="shared" ref="E226:O227" si="80">E170+E189</f>
        <v>1297343.2566666668</v>
      </c>
      <c r="F226" s="88">
        <f t="shared" si="80"/>
        <v>2371767.8433333333</v>
      </c>
      <c r="G226" s="88">
        <f t="shared" si="80"/>
        <v>2259976.2000000002</v>
      </c>
      <c r="H226" s="88">
        <f t="shared" si="80"/>
        <v>1482687.44</v>
      </c>
      <c r="I226" s="88">
        <f t="shared" si="80"/>
        <v>1701988.3699999999</v>
      </c>
      <c r="J226" s="88">
        <f t="shared" si="80"/>
        <v>1020289.1199999999</v>
      </c>
      <c r="K226" s="88">
        <f t="shared" si="80"/>
        <v>2199446.5400000005</v>
      </c>
      <c r="L226" s="88">
        <f t="shared" si="80"/>
        <v>1662331.5299999998</v>
      </c>
      <c r="M226" s="88">
        <f t="shared" si="80"/>
        <v>1773947.9499999997</v>
      </c>
      <c r="N226" s="88">
        <f t="shared" si="80"/>
        <v>2025044.0400000005</v>
      </c>
      <c r="O226" s="88">
        <f t="shared" si="80"/>
        <v>1997190.5999999999</v>
      </c>
      <c r="P226" s="175">
        <f t="shared" si="73"/>
        <v>22090868.789999999</v>
      </c>
      <c r="Q226" s="175"/>
    </row>
    <row r="227" spans="2:17" x14ac:dyDescent="0.2">
      <c r="B227" s="8" t="s">
        <v>321</v>
      </c>
      <c r="C227" s="174"/>
      <c r="D227" s="88">
        <f>D171+D190</f>
        <v>6819867.629999999</v>
      </c>
      <c r="E227" s="88">
        <f t="shared" si="80"/>
        <v>5875721.7649999997</v>
      </c>
      <c r="F227" s="88">
        <f t="shared" si="80"/>
        <v>6625263.8950000005</v>
      </c>
      <c r="G227" s="88">
        <f t="shared" si="80"/>
        <v>6473690.2799999993</v>
      </c>
      <c r="H227" s="88">
        <f t="shared" si="80"/>
        <v>7159126.9649999989</v>
      </c>
      <c r="I227" s="88">
        <f t="shared" si="80"/>
        <v>5249265.5200000005</v>
      </c>
      <c r="J227" s="88">
        <f t="shared" si="80"/>
        <v>5716684.0300000003</v>
      </c>
      <c r="K227" s="88">
        <f t="shared" si="80"/>
        <v>5884124.2899999991</v>
      </c>
      <c r="L227" s="88">
        <f t="shared" si="80"/>
        <v>5718877.4900000002</v>
      </c>
      <c r="M227" s="88">
        <f t="shared" si="80"/>
        <v>6047970.3499999996</v>
      </c>
      <c r="N227" s="88">
        <f t="shared" si="80"/>
        <v>5628638.2100000009</v>
      </c>
      <c r="O227" s="88">
        <f t="shared" si="80"/>
        <v>5882546.4699999988</v>
      </c>
      <c r="P227" s="175">
        <f t="shared" si="73"/>
        <v>73081776.895000011</v>
      </c>
      <c r="Q227" s="175"/>
    </row>
    <row r="228" spans="2:17" x14ac:dyDescent="0.2">
      <c r="B228" s="8" t="s">
        <v>325</v>
      </c>
      <c r="C228" s="174"/>
      <c r="D228" s="88">
        <f>D191+D185</f>
        <v>36598.430000000008</v>
      </c>
      <c r="E228" s="88">
        <f t="shared" ref="E228:O228" si="81">E191+E185</f>
        <v>17552.478333333322</v>
      </c>
      <c r="F228" s="88">
        <f t="shared" si="81"/>
        <v>63771.011666666665</v>
      </c>
      <c r="G228" s="88">
        <f t="shared" si="81"/>
        <v>28809.45</v>
      </c>
      <c r="H228" s="88">
        <f t="shared" si="81"/>
        <v>21031.899999999991</v>
      </c>
      <c r="I228" s="88">
        <f t="shared" si="81"/>
        <v>15992.560000000007</v>
      </c>
      <c r="J228" s="88">
        <f t="shared" si="81"/>
        <v>15967.12</v>
      </c>
      <c r="K228" s="88">
        <f t="shared" si="81"/>
        <v>20881.29</v>
      </c>
      <c r="L228" s="88">
        <f t="shared" si="81"/>
        <v>35498.35</v>
      </c>
      <c r="M228" s="88">
        <f t="shared" si="81"/>
        <v>52252.61</v>
      </c>
      <c r="N228" s="88">
        <f t="shared" si="81"/>
        <v>53109.729999999996</v>
      </c>
      <c r="O228" s="88">
        <f t="shared" si="81"/>
        <v>53404.93</v>
      </c>
      <c r="P228" s="175">
        <f t="shared" si="73"/>
        <v>414869.86</v>
      </c>
      <c r="Q228" s="175"/>
    </row>
    <row r="229" spans="2:17" x14ac:dyDescent="0.2">
      <c r="B229" s="8" t="s">
        <v>323</v>
      </c>
      <c r="C229" s="174"/>
      <c r="D229" s="88">
        <f>D172+D192</f>
        <v>8483379.8599999994</v>
      </c>
      <c r="E229" s="88">
        <f t="shared" ref="E229:O229" si="82">E172+E192</f>
        <v>8128143.5900000008</v>
      </c>
      <c r="F229" s="88">
        <f t="shared" si="82"/>
        <v>7445336.3799999999</v>
      </c>
      <c r="G229" s="88">
        <f t="shared" si="82"/>
        <v>6886320.8199999994</v>
      </c>
      <c r="H229" s="88">
        <f t="shared" si="82"/>
        <v>7553128.4799999995</v>
      </c>
      <c r="I229" s="88">
        <f t="shared" si="82"/>
        <v>8010344.6200000001</v>
      </c>
      <c r="J229" s="88">
        <f t="shared" si="82"/>
        <v>8010370.0599999996</v>
      </c>
      <c r="K229" s="88">
        <f t="shared" si="82"/>
        <v>8316351.7999999989</v>
      </c>
      <c r="L229" s="88">
        <f t="shared" si="82"/>
        <v>8307515.1300000008</v>
      </c>
      <c r="M229" s="88">
        <f t="shared" si="82"/>
        <v>7493040.2399999984</v>
      </c>
      <c r="N229" s="88">
        <f t="shared" si="82"/>
        <v>8423133.7400000002</v>
      </c>
      <c r="O229" s="88">
        <f t="shared" si="82"/>
        <v>8652988.9199999999</v>
      </c>
      <c r="P229" s="175">
        <f t="shared" si="73"/>
        <v>95710053.639999986</v>
      </c>
      <c r="Q229" s="175"/>
    </row>
    <row r="230" spans="2:17" s="72" customFormat="1" x14ac:dyDescent="0.2">
      <c r="B230" s="151" t="s">
        <v>130</v>
      </c>
      <c r="C230" s="268"/>
      <c r="D230" s="88">
        <f>D178</f>
        <v>4301584.5299999993</v>
      </c>
      <c r="E230" s="88">
        <f t="shared" ref="E230:O230" si="83">E178</f>
        <v>2369269.62</v>
      </c>
      <c r="F230" s="88">
        <f t="shared" si="83"/>
        <v>6196065.4399999995</v>
      </c>
      <c r="G230" s="88">
        <f t="shared" si="83"/>
        <v>2759262.5</v>
      </c>
      <c r="H230" s="88">
        <f t="shared" si="83"/>
        <v>2673413.52</v>
      </c>
      <c r="I230" s="88">
        <f t="shared" si="83"/>
        <v>1229088.4900000002</v>
      </c>
      <c r="J230" s="88">
        <f t="shared" si="83"/>
        <v>3086420.13</v>
      </c>
      <c r="K230" s="88">
        <f t="shared" si="83"/>
        <v>1691221.48</v>
      </c>
      <c r="L230" s="88">
        <f t="shared" si="83"/>
        <v>1885991.25</v>
      </c>
      <c r="M230" s="88">
        <f t="shared" si="83"/>
        <v>3494749.0600000005</v>
      </c>
      <c r="N230" s="88">
        <f t="shared" si="83"/>
        <v>3646536.1599999997</v>
      </c>
      <c r="O230" s="88">
        <f t="shared" si="83"/>
        <v>3730158.84</v>
      </c>
      <c r="P230" s="88">
        <f>P178</f>
        <v>37063761.020000003</v>
      </c>
      <c r="Q230" s="88"/>
    </row>
    <row r="231" spans="2:17" x14ac:dyDescent="0.2">
      <c r="B231" s="160" t="s">
        <v>326</v>
      </c>
      <c r="C231" s="174"/>
      <c r="D231" s="180">
        <f t="shared" ref="D231:P231" si="84">SUM(D216:D230)</f>
        <v>167167449.58814099</v>
      </c>
      <c r="E231" s="180">
        <f t="shared" ref="E231:O231" si="85">SUM(E216:E230)</f>
        <v>138204763.48824525</v>
      </c>
      <c r="F231" s="180">
        <f t="shared" si="85"/>
        <v>142630420.86369768</v>
      </c>
      <c r="G231" s="180">
        <f t="shared" si="85"/>
        <v>97565722.046395198</v>
      </c>
      <c r="H231" s="180">
        <f t="shared" si="85"/>
        <v>73645967.590451762</v>
      </c>
      <c r="I231" s="180">
        <f t="shared" si="85"/>
        <v>51871568.172025971</v>
      </c>
      <c r="J231" s="180">
        <f t="shared" si="85"/>
        <v>45839480.756138675</v>
      </c>
      <c r="K231" s="180">
        <f t="shared" si="85"/>
        <v>45178592.219298676</v>
      </c>
      <c r="L231" s="180">
        <f t="shared" si="85"/>
        <v>53741029.420909248</v>
      </c>
      <c r="M231" s="180">
        <f t="shared" si="85"/>
        <v>94970874.049240306</v>
      </c>
      <c r="N231" s="180">
        <f t="shared" si="85"/>
        <v>123101706.58472356</v>
      </c>
      <c r="O231" s="180">
        <f t="shared" si="85"/>
        <v>171053151.57766142</v>
      </c>
      <c r="P231" s="180">
        <f t="shared" si="84"/>
        <v>1204970726.3569288</v>
      </c>
      <c r="Q231" s="88"/>
    </row>
    <row r="232" spans="2:17" x14ac:dyDescent="0.2">
      <c r="B232" s="19" t="s">
        <v>216</v>
      </c>
      <c r="C232" s="269"/>
      <c r="D232" s="194">
        <f>D231-D194</f>
        <v>0</v>
      </c>
      <c r="E232" s="194">
        <f t="shared" ref="E232:P232" si="86">E231-E194</f>
        <v>0</v>
      </c>
      <c r="F232" s="194">
        <f t="shared" si="86"/>
        <v>0</v>
      </c>
      <c r="G232" s="194">
        <f t="shared" si="86"/>
        <v>0</v>
      </c>
      <c r="H232" s="194">
        <f t="shared" si="86"/>
        <v>0</v>
      </c>
      <c r="I232" s="194">
        <f t="shared" si="86"/>
        <v>0</v>
      </c>
      <c r="J232" s="194">
        <f t="shared" si="86"/>
        <v>0</v>
      </c>
      <c r="K232" s="194">
        <f t="shared" si="86"/>
        <v>0</v>
      </c>
      <c r="L232" s="194">
        <f t="shared" si="86"/>
        <v>0</v>
      </c>
      <c r="M232" s="194">
        <f t="shared" si="86"/>
        <v>0</v>
      </c>
      <c r="N232" s="194">
        <f t="shared" si="86"/>
        <v>0</v>
      </c>
      <c r="O232" s="194">
        <f t="shared" si="86"/>
        <v>0</v>
      </c>
      <c r="P232" s="194">
        <f t="shared" si="86"/>
        <v>0</v>
      </c>
      <c r="Q232" s="88"/>
    </row>
    <row r="233" spans="2:17" x14ac:dyDescent="0.2">
      <c r="B233" s="8"/>
      <c r="C233" s="174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</row>
    <row r="234" spans="2:17" x14ac:dyDescent="0.2">
      <c r="B234" s="94" t="s">
        <v>327</v>
      </c>
      <c r="C234" s="174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</row>
    <row r="235" spans="2:17" s="8" customFormat="1" x14ac:dyDescent="0.2">
      <c r="B235" s="151" t="s">
        <v>328</v>
      </c>
      <c r="C235" s="174"/>
      <c r="D235" s="88">
        <f>SUM(D36:D38)</f>
        <v>779207</v>
      </c>
      <c r="E235" s="88">
        <f t="shared" ref="E235:O235" si="87">SUM(E36:E38)</f>
        <v>779981</v>
      </c>
      <c r="F235" s="88">
        <f t="shared" si="87"/>
        <v>780599</v>
      </c>
      <c r="G235" s="88">
        <f t="shared" si="87"/>
        <v>781022</v>
      </c>
      <c r="H235" s="88">
        <f t="shared" si="87"/>
        <v>781459</v>
      </c>
      <c r="I235" s="88">
        <f t="shared" si="87"/>
        <v>781449</v>
      </c>
      <c r="J235" s="88">
        <f t="shared" si="87"/>
        <v>781427</v>
      </c>
      <c r="K235" s="88">
        <f t="shared" si="87"/>
        <v>782157</v>
      </c>
      <c r="L235" s="88">
        <f t="shared" si="87"/>
        <v>782897</v>
      </c>
      <c r="M235" s="88">
        <f t="shared" si="87"/>
        <v>784722</v>
      </c>
      <c r="N235" s="88">
        <f t="shared" si="87"/>
        <v>786453</v>
      </c>
      <c r="O235" s="88">
        <f t="shared" si="87"/>
        <v>787587</v>
      </c>
      <c r="P235" s="88">
        <f t="shared" ref="P235:P248" si="88">SUM(D235:O235)</f>
        <v>9388960</v>
      </c>
      <c r="Q235" s="88"/>
    </row>
    <row r="236" spans="2:17" s="8" customFormat="1" x14ac:dyDescent="0.2">
      <c r="B236" s="151" t="s">
        <v>312</v>
      </c>
      <c r="C236" s="174"/>
      <c r="D236" s="88">
        <f>SUM(D40,D47)</f>
        <v>57011</v>
      </c>
      <c r="E236" s="88">
        <f t="shared" ref="E236:O236" si="89">SUM(E40,E47)</f>
        <v>57093</v>
      </c>
      <c r="F236" s="88">
        <f t="shared" si="89"/>
        <v>57152</v>
      </c>
      <c r="G236" s="88">
        <f t="shared" si="89"/>
        <v>57110</v>
      </c>
      <c r="H236" s="88">
        <f t="shared" si="89"/>
        <v>57107</v>
      </c>
      <c r="I236" s="88">
        <f t="shared" si="89"/>
        <v>57026</v>
      </c>
      <c r="J236" s="88">
        <f t="shared" si="89"/>
        <v>57022</v>
      </c>
      <c r="K236" s="88">
        <f t="shared" si="89"/>
        <v>56963</v>
      </c>
      <c r="L236" s="88">
        <f t="shared" si="89"/>
        <v>56961</v>
      </c>
      <c r="M236" s="88">
        <f t="shared" si="89"/>
        <v>57061</v>
      </c>
      <c r="N236" s="88">
        <f t="shared" si="89"/>
        <v>57241</v>
      </c>
      <c r="O236" s="88">
        <f t="shared" si="89"/>
        <v>57313</v>
      </c>
      <c r="P236" s="88">
        <f t="shared" si="88"/>
        <v>685060</v>
      </c>
      <c r="Q236" s="88"/>
    </row>
    <row r="237" spans="2:17" x14ac:dyDescent="0.2">
      <c r="B237" s="151" t="s">
        <v>313</v>
      </c>
      <c r="C237" s="174"/>
      <c r="D237" s="88">
        <f>D41+D48</f>
        <v>1322</v>
      </c>
      <c r="E237" s="88">
        <f t="shared" ref="E237:O237" si="90">E41+E48</f>
        <v>1317</v>
      </c>
      <c r="F237" s="88">
        <f t="shared" si="90"/>
        <v>1326</v>
      </c>
      <c r="G237" s="88">
        <f t="shared" si="90"/>
        <v>1327</v>
      </c>
      <c r="H237" s="88">
        <f t="shared" si="90"/>
        <v>1328</v>
      </c>
      <c r="I237" s="88">
        <f t="shared" si="90"/>
        <v>1327</v>
      </c>
      <c r="J237" s="88">
        <f t="shared" si="90"/>
        <v>1333</v>
      </c>
      <c r="K237" s="88">
        <f t="shared" si="90"/>
        <v>1336</v>
      </c>
      <c r="L237" s="88">
        <f t="shared" si="90"/>
        <v>1337</v>
      </c>
      <c r="M237" s="88">
        <f t="shared" si="90"/>
        <v>1333</v>
      </c>
      <c r="N237" s="88">
        <f t="shared" si="90"/>
        <v>1331</v>
      </c>
      <c r="O237" s="88">
        <f t="shared" si="90"/>
        <v>1329</v>
      </c>
      <c r="P237" s="88">
        <f t="shared" si="88"/>
        <v>15946</v>
      </c>
      <c r="Q237" s="88"/>
    </row>
    <row r="238" spans="2:17" x14ac:dyDescent="0.2">
      <c r="B238" s="160" t="s">
        <v>314</v>
      </c>
      <c r="C238" s="174"/>
      <c r="D238" s="88">
        <f>D42</f>
        <v>0</v>
      </c>
      <c r="E238" s="88">
        <f t="shared" ref="E238:O238" si="91">E42</f>
        <v>0</v>
      </c>
      <c r="F238" s="88">
        <f t="shared" si="91"/>
        <v>0</v>
      </c>
      <c r="G238" s="88">
        <f t="shared" si="91"/>
        <v>0</v>
      </c>
      <c r="H238" s="88">
        <f t="shared" si="91"/>
        <v>0</v>
      </c>
      <c r="I238" s="88">
        <f t="shared" si="91"/>
        <v>0</v>
      </c>
      <c r="J238" s="88">
        <f t="shared" si="91"/>
        <v>0</v>
      </c>
      <c r="K238" s="88">
        <f t="shared" si="91"/>
        <v>0</v>
      </c>
      <c r="L238" s="88">
        <f t="shared" si="91"/>
        <v>0</v>
      </c>
      <c r="M238" s="88">
        <f t="shared" si="91"/>
        <v>0</v>
      </c>
      <c r="N238" s="88">
        <f t="shared" si="91"/>
        <v>0</v>
      </c>
      <c r="O238" s="88">
        <f t="shared" si="91"/>
        <v>0</v>
      </c>
      <c r="P238" s="88">
        <f t="shared" si="88"/>
        <v>0</v>
      </c>
      <c r="Q238" s="88"/>
    </row>
    <row r="239" spans="2:17" x14ac:dyDescent="0.2">
      <c r="B239" s="151" t="s">
        <v>329</v>
      </c>
      <c r="C239" s="174"/>
      <c r="D239" s="88">
        <f>SUM(D39,D43,D49)</f>
        <v>0</v>
      </c>
      <c r="E239" s="88">
        <f t="shared" ref="E239:O239" si="92">SUM(E39,E43,E49)</f>
        <v>0</v>
      </c>
      <c r="F239" s="88">
        <f t="shared" si="92"/>
        <v>0</v>
      </c>
      <c r="G239" s="88">
        <f t="shared" si="92"/>
        <v>0</v>
      </c>
      <c r="H239" s="88">
        <f t="shared" si="92"/>
        <v>0</v>
      </c>
      <c r="I239" s="88">
        <f t="shared" si="92"/>
        <v>0</v>
      </c>
      <c r="J239" s="88">
        <f t="shared" si="92"/>
        <v>0</v>
      </c>
      <c r="K239" s="88">
        <f t="shared" si="92"/>
        <v>0</v>
      </c>
      <c r="L239" s="88">
        <f t="shared" si="92"/>
        <v>0</v>
      </c>
      <c r="M239" s="88">
        <f t="shared" si="92"/>
        <v>0</v>
      </c>
      <c r="N239" s="88">
        <f t="shared" si="92"/>
        <v>0</v>
      </c>
      <c r="O239" s="88">
        <f t="shared" si="92"/>
        <v>0</v>
      </c>
      <c r="P239" s="88">
        <f t="shared" si="88"/>
        <v>0</v>
      </c>
      <c r="Q239" s="88"/>
    </row>
    <row r="240" spans="2:17" x14ac:dyDescent="0.2">
      <c r="B240" s="151" t="s">
        <v>316</v>
      </c>
      <c r="C240" s="174"/>
      <c r="D240" s="88">
        <f>D44+D50</f>
        <v>27</v>
      </c>
      <c r="E240" s="88">
        <f t="shared" ref="E240:O242" si="93">E44+E50</f>
        <v>27</v>
      </c>
      <c r="F240" s="88">
        <f t="shared" si="93"/>
        <v>27</v>
      </c>
      <c r="G240" s="88">
        <f t="shared" si="93"/>
        <v>27</v>
      </c>
      <c r="H240" s="88">
        <f t="shared" si="93"/>
        <v>27</v>
      </c>
      <c r="I240" s="88">
        <f t="shared" si="93"/>
        <v>27</v>
      </c>
      <c r="J240" s="88">
        <f t="shared" si="93"/>
        <v>27</v>
      </c>
      <c r="K240" s="88">
        <f t="shared" si="93"/>
        <v>27</v>
      </c>
      <c r="L240" s="88">
        <f t="shared" si="93"/>
        <v>27</v>
      </c>
      <c r="M240" s="88">
        <f t="shared" si="93"/>
        <v>28</v>
      </c>
      <c r="N240" s="88">
        <f t="shared" si="93"/>
        <v>28</v>
      </c>
      <c r="O240" s="88">
        <f t="shared" si="93"/>
        <v>28</v>
      </c>
      <c r="P240" s="88">
        <f t="shared" si="88"/>
        <v>327</v>
      </c>
      <c r="Q240" s="88"/>
    </row>
    <row r="241" spans="2:17" x14ac:dyDescent="0.2">
      <c r="B241" s="151" t="s">
        <v>317</v>
      </c>
      <c r="C241" s="174"/>
      <c r="D241" s="88">
        <f>D45+D51</f>
        <v>218</v>
      </c>
      <c r="E241" s="88">
        <f t="shared" si="93"/>
        <v>218</v>
      </c>
      <c r="F241" s="88">
        <f t="shared" si="93"/>
        <v>215</v>
      </c>
      <c r="G241" s="88">
        <f t="shared" si="93"/>
        <v>214</v>
      </c>
      <c r="H241" s="88">
        <f t="shared" si="93"/>
        <v>214</v>
      </c>
      <c r="I241" s="88">
        <f t="shared" si="93"/>
        <v>213</v>
      </c>
      <c r="J241" s="88">
        <f t="shared" si="93"/>
        <v>209</v>
      </c>
      <c r="K241" s="88">
        <f t="shared" si="93"/>
        <v>202</v>
      </c>
      <c r="L241" s="88">
        <f t="shared" si="93"/>
        <v>200</v>
      </c>
      <c r="M241" s="88">
        <f t="shared" si="93"/>
        <v>179</v>
      </c>
      <c r="N241" s="88">
        <f t="shared" si="93"/>
        <v>178</v>
      </c>
      <c r="O241" s="88">
        <f t="shared" si="93"/>
        <v>159</v>
      </c>
      <c r="P241" s="88">
        <f t="shared" si="88"/>
        <v>2419</v>
      </c>
      <c r="Q241" s="88"/>
    </row>
    <row r="242" spans="2:17" x14ac:dyDescent="0.2">
      <c r="B242" s="151" t="s">
        <v>318</v>
      </c>
      <c r="C242" s="174"/>
      <c r="D242" s="88">
        <f>D46+D52</f>
        <v>5</v>
      </c>
      <c r="E242" s="88">
        <f t="shared" si="93"/>
        <v>5</v>
      </c>
      <c r="F242" s="88">
        <f t="shared" si="93"/>
        <v>5</v>
      </c>
      <c r="G242" s="88">
        <f t="shared" si="93"/>
        <v>5</v>
      </c>
      <c r="H242" s="88">
        <f t="shared" si="93"/>
        <v>5</v>
      </c>
      <c r="I242" s="88">
        <f t="shared" si="93"/>
        <v>5</v>
      </c>
      <c r="J242" s="88">
        <f t="shared" si="93"/>
        <v>5</v>
      </c>
      <c r="K242" s="88">
        <f t="shared" si="93"/>
        <v>5</v>
      </c>
      <c r="L242" s="88">
        <f t="shared" si="93"/>
        <v>5</v>
      </c>
      <c r="M242" s="88">
        <f t="shared" si="93"/>
        <v>5</v>
      </c>
      <c r="N242" s="88">
        <f t="shared" si="93"/>
        <v>5</v>
      </c>
      <c r="O242" s="88">
        <f t="shared" si="93"/>
        <v>5</v>
      </c>
      <c r="P242" s="88">
        <f t="shared" si="88"/>
        <v>60</v>
      </c>
      <c r="Q242" s="88"/>
    </row>
    <row r="243" spans="2:17" x14ac:dyDescent="0.2">
      <c r="B243" s="8" t="s">
        <v>319</v>
      </c>
      <c r="C243" s="174"/>
      <c r="D243" s="88">
        <f>D53</f>
        <v>2</v>
      </c>
      <c r="E243" s="88">
        <f t="shared" ref="E243:O243" si="94">E53</f>
        <v>2</v>
      </c>
      <c r="F243" s="88">
        <f t="shared" si="94"/>
        <v>2</v>
      </c>
      <c r="G243" s="88">
        <f t="shared" si="94"/>
        <v>2</v>
      </c>
      <c r="H243" s="88">
        <f t="shared" si="94"/>
        <v>2</v>
      </c>
      <c r="I243" s="88">
        <f t="shared" si="94"/>
        <v>2</v>
      </c>
      <c r="J243" s="88">
        <f t="shared" si="94"/>
        <v>2</v>
      </c>
      <c r="K243" s="88">
        <f t="shared" si="94"/>
        <v>2</v>
      </c>
      <c r="L243" s="88">
        <f t="shared" si="94"/>
        <v>2</v>
      </c>
      <c r="M243" s="88">
        <f t="shared" si="94"/>
        <v>2</v>
      </c>
      <c r="N243" s="88">
        <f t="shared" si="94"/>
        <v>2</v>
      </c>
      <c r="O243" s="88">
        <f t="shared" si="94"/>
        <v>2</v>
      </c>
      <c r="P243" s="88">
        <f t="shared" si="88"/>
        <v>24</v>
      </c>
      <c r="Q243" s="88"/>
    </row>
    <row r="244" spans="2:17" x14ac:dyDescent="0.2">
      <c r="B244" s="8" t="s">
        <v>320</v>
      </c>
      <c r="C244" s="174"/>
      <c r="D244" s="88">
        <f>D54+D59</f>
        <v>106</v>
      </c>
      <c r="E244" s="88">
        <f t="shared" ref="E244:O245" si="95">E54+E59</f>
        <v>106</v>
      </c>
      <c r="F244" s="88">
        <f t="shared" si="95"/>
        <v>105</v>
      </c>
      <c r="G244" s="88">
        <f t="shared" si="95"/>
        <v>104</v>
      </c>
      <c r="H244" s="88">
        <f t="shared" si="95"/>
        <v>104</v>
      </c>
      <c r="I244" s="88">
        <f t="shared" si="95"/>
        <v>104</v>
      </c>
      <c r="J244" s="88">
        <f t="shared" si="95"/>
        <v>102</v>
      </c>
      <c r="K244" s="88">
        <f t="shared" si="95"/>
        <v>104</v>
      </c>
      <c r="L244" s="88">
        <f t="shared" si="95"/>
        <v>104</v>
      </c>
      <c r="M244" s="88">
        <f t="shared" si="95"/>
        <v>104</v>
      </c>
      <c r="N244" s="88">
        <f t="shared" si="95"/>
        <v>104</v>
      </c>
      <c r="O244" s="88">
        <f t="shared" si="95"/>
        <v>104</v>
      </c>
      <c r="P244" s="88">
        <f t="shared" si="88"/>
        <v>1251</v>
      </c>
      <c r="Q244" s="88"/>
    </row>
    <row r="245" spans="2:17" x14ac:dyDescent="0.2">
      <c r="B245" s="8" t="s">
        <v>321</v>
      </c>
      <c r="C245" s="174"/>
      <c r="D245" s="88">
        <f>D55+D60</f>
        <v>103</v>
      </c>
      <c r="E245" s="88">
        <f t="shared" si="95"/>
        <v>103</v>
      </c>
      <c r="F245" s="88">
        <f t="shared" si="95"/>
        <v>103</v>
      </c>
      <c r="G245" s="88">
        <f t="shared" si="95"/>
        <v>102</v>
      </c>
      <c r="H245" s="88">
        <f t="shared" si="95"/>
        <v>102</v>
      </c>
      <c r="I245" s="88">
        <f t="shared" si="95"/>
        <v>102</v>
      </c>
      <c r="J245" s="88">
        <f t="shared" si="95"/>
        <v>102</v>
      </c>
      <c r="K245" s="88">
        <f t="shared" si="95"/>
        <v>99</v>
      </c>
      <c r="L245" s="88">
        <f t="shared" si="95"/>
        <v>99</v>
      </c>
      <c r="M245" s="88">
        <f t="shared" si="95"/>
        <v>98</v>
      </c>
      <c r="N245" s="88">
        <f t="shared" si="95"/>
        <v>97</v>
      </c>
      <c r="O245" s="88">
        <f t="shared" si="95"/>
        <v>97</v>
      </c>
      <c r="P245" s="88">
        <f t="shared" si="88"/>
        <v>1207</v>
      </c>
      <c r="Q245" s="88"/>
    </row>
    <row r="246" spans="2:17" x14ac:dyDescent="0.2">
      <c r="B246" s="8" t="s">
        <v>325</v>
      </c>
      <c r="C246" s="174"/>
      <c r="D246" s="88">
        <f>D61+D56</f>
        <v>3</v>
      </c>
      <c r="E246" s="88">
        <f t="shared" ref="E246:O246" si="96">E61+E56</f>
        <v>3</v>
      </c>
      <c r="F246" s="88">
        <f t="shared" si="96"/>
        <v>3</v>
      </c>
      <c r="G246" s="88">
        <f t="shared" si="96"/>
        <v>3</v>
      </c>
      <c r="H246" s="88">
        <f t="shared" si="96"/>
        <v>3</v>
      </c>
      <c r="I246" s="88">
        <f t="shared" si="96"/>
        <v>3</v>
      </c>
      <c r="J246" s="88">
        <f t="shared" si="96"/>
        <v>3</v>
      </c>
      <c r="K246" s="88">
        <f t="shared" si="96"/>
        <v>3</v>
      </c>
      <c r="L246" s="88">
        <f t="shared" si="96"/>
        <v>3</v>
      </c>
      <c r="M246" s="88">
        <f t="shared" si="96"/>
        <v>3</v>
      </c>
      <c r="N246" s="88">
        <f t="shared" si="96"/>
        <v>3</v>
      </c>
      <c r="O246" s="88">
        <f t="shared" si="96"/>
        <v>3</v>
      </c>
      <c r="P246" s="88">
        <f t="shared" si="88"/>
        <v>36</v>
      </c>
      <c r="Q246" s="88"/>
    </row>
    <row r="247" spans="2:17" x14ac:dyDescent="0.2">
      <c r="B247" s="8" t="s">
        <v>323</v>
      </c>
      <c r="C247" s="174"/>
      <c r="D247" s="88">
        <f>D57+D62</f>
        <v>10</v>
      </c>
      <c r="E247" s="88">
        <f t="shared" ref="E247:O247" si="97">E57+E62</f>
        <v>10</v>
      </c>
      <c r="F247" s="88">
        <f t="shared" si="97"/>
        <v>10</v>
      </c>
      <c r="G247" s="88">
        <f t="shared" si="97"/>
        <v>10</v>
      </c>
      <c r="H247" s="88">
        <f t="shared" si="97"/>
        <v>10</v>
      </c>
      <c r="I247" s="88">
        <f t="shared" si="97"/>
        <v>10</v>
      </c>
      <c r="J247" s="88">
        <f t="shared" si="97"/>
        <v>10</v>
      </c>
      <c r="K247" s="88">
        <f t="shared" si="97"/>
        <v>10</v>
      </c>
      <c r="L247" s="88">
        <f t="shared" si="97"/>
        <v>10</v>
      </c>
      <c r="M247" s="88">
        <f t="shared" si="97"/>
        <v>10</v>
      </c>
      <c r="N247" s="88">
        <f t="shared" si="97"/>
        <v>10</v>
      </c>
      <c r="O247" s="88">
        <f t="shared" si="97"/>
        <v>10</v>
      </c>
      <c r="P247" s="88">
        <f t="shared" si="88"/>
        <v>120</v>
      </c>
      <c r="Q247" s="88"/>
    </row>
    <row r="248" spans="2:17" s="72" customFormat="1" x14ac:dyDescent="0.2">
      <c r="B248" s="151" t="s">
        <v>130</v>
      </c>
      <c r="C248" s="268"/>
      <c r="D248" s="88">
        <f>SUM(D63:D63)</f>
        <v>10</v>
      </c>
      <c r="E248" s="88">
        <f t="shared" ref="E248:O248" si="98">SUM(E63:E63)</f>
        <v>10</v>
      </c>
      <c r="F248" s="88">
        <f t="shared" si="98"/>
        <v>10</v>
      </c>
      <c r="G248" s="88">
        <f t="shared" si="98"/>
        <v>10</v>
      </c>
      <c r="H248" s="88">
        <f t="shared" si="98"/>
        <v>10</v>
      </c>
      <c r="I248" s="88">
        <f t="shared" si="98"/>
        <v>10</v>
      </c>
      <c r="J248" s="88">
        <f t="shared" si="98"/>
        <v>10</v>
      </c>
      <c r="K248" s="88">
        <f t="shared" si="98"/>
        <v>10</v>
      </c>
      <c r="L248" s="88">
        <f t="shared" si="98"/>
        <v>10</v>
      </c>
      <c r="M248" s="88">
        <f t="shared" si="98"/>
        <v>10</v>
      </c>
      <c r="N248" s="88">
        <f t="shared" si="98"/>
        <v>10</v>
      </c>
      <c r="O248" s="88">
        <f t="shared" si="98"/>
        <v>10</v>
      </c>
      <c r="P248" s="88">
        <f t="shared" si="88"/>
        <v>120</v>
      </c>
      <c r="Q248" s="88"/>
    </row>
    <row r="249" spans="2:17" x14ac:dyDescent="0.2">
      <c r="B249" s="8" t="s">
        <v>330</v>
      </c>
      <c r="C249" s="174"/>
      <c r="D249" s="180">
        <f t="shared" ref="D249:P249" si="99">SUM(D235:D248)</f>
        <v>838024</v>
      </c>
      <c r="E249" s="180">
        <f t="shared" si="99"/>
        <v>838875</v>
      </c>
      <c r="F249" s="180">
        <f t="shared" si="99"/>
        <v>839557</v>
      </c>
      <c r="G249" s="180">
        <f t="shared" si="99"/>
        <v>839936</v>
      </c>
      <c r="H249" s="180">
        <f t="shared" si="99"/>
        <v>840371</v>
      </c>
      <c r="I249" s="180">
        <f t="shared" si="99"/>
        <v>840278</v>
      </c>
      <c r="J249" s="180">
        <f t="shared" si="99"/>
        <v>840252</v>
      </c>
      <c r="K249" s="180">
        <f t="shared" si="99"/>
        <v>840918</v>
      </c>
      <c r="L249" s="180">
        <f t="shared" si="99"/>
        <v>841655</v>
      </c>
      <c r="M249" s="180">
        <f t="shared" si="99"/>
        <v>843555</v>
      </c>
      <c r="N249" s="180">
        <f t="shared" si="99"/>
        <v>845462</v>
      </c>
      <c r="O249" s="180">
        <f t="shared" si="99"/>
        <v>846647</v>
      </c>
      <c r="P249" s="180">
        <f t="shared" si="99"/>
        <v>10095530</v>
      </c>
      <c r="Q249" s="88"/>
    </row>
    <row r="250" spans="2:17" x14ac:dyDescent="0.2">
      <c r="B250" s="193" t="s">
        <v>216</v>
      </c>
      <c r="C250" s="269"/>
      <c r="D250" s="194">
        <f>D249-D64</f>
        <v>0</v>
      </c>
      <c r="E250" s="194">
        <f t="shared" ref="E250:N250" si="100">E249-E64</f>
        <v>0</v>
      </c>
      <c r="F250" s="194">
        <f t="shared" si="100"/>
        <v>0</v>
      </c>
      <c r="G250" s="194">
        <f t="shared" si="100"/>
        <v>0</v>
      </c>
      <c r="H250" s="194">
        <f t="shared" si="100"/>
        <v>0</v>
      </c>
      <c r="I250" s="194">
        <f t="shared" si="100"/>
        <v>0</v>
      </c>
      <c r="J250" s="194">
        <f t="shared" si="100"/>
        <v>0</v>
      </c>
      <c r="K250" s="194">
        <f t="shared" si="100"/>
        <v>0</v>
      </c>
      <c r="L250" s="194">
        <f t="shared" si="100"/>
        <v>0</v>
      </c>
      <c r="M250" s="194">
        <f t="shared" si="100"/>
        <v>0</v>
      </c>
      <c r="N250" s="194">
        <f t="shared" si="100"/>
        <v>0</v>
      </c>
      <c r="O250" s="194">
        <f>O249-O64</f>
        <v>0</v>
      </c>
      <c r="P250" s="194">
        <f>P249-P64</f>
        <v>0</v>
      </c>
      <c r="Q250" s="88"/>
    </row>
    <row r="251" spans="2:17" x14ac:dyDescent="0.2">
      <c r="B251" s="8"/>
      <c r="C251" s="174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</row>
    <row r="252" spans="2:17" x14ac:dyDescent="0.2">
      <c r="B252" s="94" t="s">
        <v>331</v>
      </c>
      <c r="C252" s="178"/>
      <c r="D252" s="148"/>
      <c r="E252" s="148"/>
      <c r="F252" s="148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48"/>
    </row>
    <row r="253" spans="2:17" x14ac:dyDescent="0.2">
      <c r="B253" s="144" t="s">
        <v>328</v>
      </c>
      <c r="C253" s="178"/>
      <c r="D253" s="148">
        <f>SUM(D216:D217)</f>
        <v>98743215.051352635</v>
      </c>
      <c r="E253" s="148">
        <f t="shared" ref="E253:O253" si="101">SUM(E216:E217)</f>
        <v>81327521.218952462</v>
      </c>
      <c r="F253" s="148">
        <f t="shared" si="101"/>
        <v>78311646.206170142</v>
      </c>
      <c r="G253" s="148">
        <f t="shared" si="101"/>
        <v>50311755.670679629</v>
      </c>
      <c r="H253" s="148">
        <f t="shared" si="101"/>
        <v>30965475.304136805</v>
      </c>
      <c r="I253" s="148">
        <f t="shared" si="101"/>
        <v>19687097.04762454</v>
      </c>
      <c r="J253" s="148">
        <f t="shared" si="101"/>
        <v>13908428.466402467</v>
      </c>
      <c r="K253" s="148">
        <f t="shared" si="101"/>
        <v>12930691.320068486</v>
      </c>
      <c r="L253" s="148">
        <f t="shared" si="101"/>
        <v>19300462.429006856</v>
      </c>
      <c r="M253" s="148">
        <f t="shared" si="101"/>
        <v>48303716.499214396</v>
      </c>
      <c r="N253" s="148">
        <f t="shared" si="101"/>
        <v>71144621.187504396</v>
      </c>
      <c r="O253" s="148">
        <f t="shared" si="101"/>
        <v>100204059.69590084</v>
      </c>
      <c r="P253" s="148">
        <f t="shared" ref="P253:P265" si="102">SUM(D253:O253)</f>
        <v>625138690.09701371</v>
      </c>
      <c r="Q253" s="148"/>
    </row>
    <row r="254" spans="2:17" x14ac:dyDescent="0.2">
      <c r="B254" s="151" t="s">
        <v>312</v>
      </c>
      <c r="C254" s="178"/>
      <c r="D254" s="148">
        <f>SUM(D218:D218,D221:D221)</f>
        <v>32136465.063600756</v>
      </c>
      <c r="E254" s="148">
        <f t="shared" ref="E254:O254" si="103">SUM(E218:E218,E221:E221)</f>
        <v>29752595.911192596</v>
      </c>
      <c r="F254" s="148">
        <f t="shared" si="103"/>
        <v>29048097.343190353</v>
      </c>
      <c r="G254" s="148">
        <f t="shared" si="103"/>
        <v>19496284.667410858</v>
      </c>
      <c r="H254" s="148">
        <f t="shared" si="103"/>
        <v>14146046.203063024</v>
      </c>
      <c r="I254" s="148">
        <f t="shared" si="103"/>
        <v>9624812.0999043584</v>
      </c>
      <c r="J254" s="148">
        <f t="shared" si="103"/>
        <v>8694521.4696066789</v>
      </c>
      <c r="K254" s="148">
        <f t="shared" si="103"/>
        <v>8688448.3126321174</v>
      </c>
      <c r="L254" s="148">
        <f t="shared" si="103"/>
        <v>11427748.3072269</v>
      </c>
      <c r="M254" s="148">
        <f t="shared" si="103"/>
        <v>17760939.430571835</v>
      </c>
      <c r="N254" s="148">
        <f t="shared" si="103"/>
        <v>22003278.619246334</v>
      </c>
      <c r="O254" s="148">
        <f t="shared" si="103"/>
        <v>36479085.048529729</v>
      </c>
      <c r="P254" s="148">
        <f t="shared" si="102"/>
        <v>239258322.47617555</v>
      </c>
      <c r="Q254" s="148"/>
    </row>
    <row r="255" spans="2:17" x14ac:dyDescent="0.2">
      <c r="B255" s="144" t="s">
        <v>313</v>
      </c>
      <c r="C255" s="178"/>
      <c r="D255" s="148">
        <f>D219</f>
        <v>7641281.5744631682</v>
      </c>
      <c r="E255" s="148">
        <f t="shared" ref="E255:O256" si="104">E219</f>
        <v>6949194.7921613036</v>
      </c>
      <c r="F255" s="148">
        <f t="shared" si="104"/>
        <v>6982612.433147327</v>
      </c>
      <c r="G255" s="148">
        <f t="shared" si="104"/>
        <v>6068010.4122000942</v>
      </c>
      <c r="H255" s="148">
        <f t="shared" si="104"/>
        <v>5577795.6676020883</v>
      </c>
      <c r="I255" s="148">
        <f t="shared" si="104"/>
        <v>3367381.0043596267</v>
      </c>
      <c r="J255" s="148">
        <f t="shared" si="104"/>
        <v>3090807.2968117869</v>
      </c>
      <c r="K255" s="148">
        <f t="shared" si="104"/>
        <v>3011005.0010096296</v>
      </c>
      <c r="L255" s="148">
        <f t="shared" si="104"/>
        <v>3453720.3499346469</v>
      </c>
      <c r="M255" s="148">
        <f t="shared" si="104"/>
        <v>5498643.3191878917</v>
      </c>
      <c r="N255" s="148">
        <f t="shared" si="104"/>
        <v>6666352.4017184777</v>
      </c>
      <c r="O255" s="148">
        <f t="shared" si="104"/>
        <v>8753279.13525551</v>
      </c>
      <c r="P255" s="148">
        <f t="shared" si="102"/>
        <v>67060083.387851544</v>
      </c>
      <c r="Q255" s="148"/>
    </row>
    <row r="256" spans="2:17" x14ac:dyDescent="0.2">
      <c r="B256" s="147" t="s">
        <v>314</v>
      </c>
      <c r="C256" s="178"/>
      <c r="D256" s="148">
        <f>D220</f>
        <v>0</v>
      </c>
      <c r="E256" s="148">
        <f t="shared" si="104"/>
        <v>0</v>
      </c>
      <c r="F256" s="148">
        <f t="shared" si="104"/>
        <v>0</v>
      </c>
      <c r="G256" s="148">
        <f t="shared" si="104"/>
        <v>0</v>
      </c>
      <c r="H256" s="148">
        <f t="shared" si="104"/>
        <v>0</v>
      </c>
      <c r="I256" s="148">
        <f t="shared" si="104"/>
        <v>0</v>
      </c>
      <c r="J256" s="148">
        <f t="shared" si="104"/>
        <v>0</v>
      </c>
      <c r="K256" s="148">
        <f t="shared" si="104"/>
        <v>0</v>
      </c>
      <c r="L256" s="148">
        <f t="shared" si="104"/>
        <v>0</v>
      </c>
      <c r="M256" s="148">
        <f t="shared" si="104"/>
        <v>0</v>
      </c>
      <c r="N256" s="148">
        <f t="shared" si="104"/>
        <v>0</v>
      </c>
      <c r="O256" s="148">
        <f t="shared" si="104"/>
        <v>0</v>
      </c>
      <c r="P256" s="148">
        <f t="shared" si="102"/>
        <v>0</v>
      </c>
      <c r="Q256" s="148"/>
    </row>
    <row r="257" spans="2:17" x14ac:dyDescent="0.2">
      <c r="B257" s="144" t="s">
        <v>316</v>
      </c>
      <c r="C257" s="178"/>
      <c r="D257" s="148">
        <f t="shared" ref="D257:O265" si="105">D222</f>
        <v>2641913.8050000002</v>
      </c>
      <c r="E257" s="148">
        <f t="shared" si="105"/>
        <v>83315.290999999648</v>
      </c>
      <c r="F257" s="148">
        <f t="shared" si="105"/>
        <v>2034070.1749999998</v>
      </c>
      <c r="G257" s="148">
        <f t="shared" si="105"/>
        <v>714351.03850000014</v>
      </c>
      <c r="H257" s="148">
        <f t="shared" si="105"/>
        <v>1362252.4848441288</v>
      </c>
      <c r="I257" s="148">
        <f t="shared" si="105"/>
        <v>844437.00971184915</v>
      </c>
      <c r="J257" s="148">
        <f t="shared" si="105"/>
        <v>717917.71476934105</v>
      </c>
      <c r="K257" s="148">
        <f t="shared" si="105"/>
        <v>844702.42367468099</v>
      </c>
      <c r="L257" s="148">
        <f t="shared" si="105"/>
        <v>579109.99103097606</v>
      </c>
      <c r="M257" s="148">
        <f t="shared" si="105"/>
        <v>1934339.448725852</v>
      </c>
      <c r="N257" s="148">
        <f t="shared" si="105"/>
        <v>906779.06304260099</v>
      </c>
      <c r="O257" s="148">
        <f t="shared" si="105"/>
        <v>1817998.0949942879</v>
      </c>
      <c r="P257" s="148">
        <f t="shared" si="102"/>
        <v>14481186.540293716</v>
      </c>
      <c r="Q257" s="148"/>
    </row>
    <row r="258" spans="2:17" x14ac:dyDescent="0.2">
      <c r="B258" s="144" t="s">
        <v>317</v>
      </c>
      <c r="C258" s="178"/>
      <c r="D258" s="148">
        <f t="shared" si="105"/>
        <v>1095169.4217244326</v>
      </c>
      <c r="E258" s="148">
        <f t="shared" si="105"/>
        <v>1125742.4894389017</v>
      </c>
      <c r="F258" s="148">
        <f t="shared" si="105"/>
        <v>1147393.709189869</v>
      </c>
      <c r="G258" s="148">
        <f t="shared" si="105"/>
        <v>694364.40810463356</v>
      </c>
      <c r="H258" s="148">
        <f t="shared" si="105"/>
        <v>472753.44605573843</v>
      </c>
      <c r="I258" s="148">
        <f t="shared" si="105"/>
        <v>571459.39817559998</v>
      </c>
      <c r="J258" s="148">
        <f t="shared" si="105"/>
        <v>346254.70939239592</v>
      </c>
      <c r="K258" s="148">
        <f t="shared" si="105"/>
        <v>-127455.14993023043</v>
      </c>
      <c r="L258" s="148">
        <f t="shared" si="105"/>
        <v>457041.39270986349</v>
      </c>
      <c r="M258" s="148">
        <f t="shared" si="105"/>
        <v>619896.32954033231</v>
      </c>
      <c r="N258" s="148">
        <f t="shared" si="105"/>
        <v>1136803.035211738</v>
      </c>
      <c r="O258" s="148">
        <f t="shared" si="105"/>
        <v>587723.3229810507</v>
      </c>
      <c r="P258" s="148">
        <f t="shared" si="102"/>
        <v>8127146.5125943255</v>
      </c>
      <c r="Q258" s="148"/>
    </row>
    <row r="259" spans="2:17" x14ac:dyDescent="0.2">
      <c r="B259" s="144" t="s">
        <v>318</v>
      </c>
      <c r="C259" s="178"/>
      <c r="D259" s="148">
        <f t="shared" si="105"/>
        <v>2966481.202</v>
      </c>
      <c r="E259" s="148">
        <f t="shared" si="105"/>
        <v>1275855.9005000002</v>
      </c>
      <c r="F259" s="148">
        <f t="shared" si="105"/>
        <v>2402739.5619999999</v>
      </c>
      <c r="G259" s="148">
        <f t="shared" si="105"/>
        <v>1869207.6695000001</v>
      </c>
      <c r="H259" s="148">
        <f t="shared" si="105"/>
        <v>2230705.55975</v>
      </c>
      <c r="I259" s="148">
        <f t="shared" si="105"/>
        <v>1570650.4422500001</v>
      </c>
      <c r="J259" s="148">
        <f t="shared" si="105"/>
        <v>1230746.9491559998</v>
      </c>
      <c r="K259" s="148">
        <f t="shared" si="105"/>
        <v>1676042.7718440001</v>
      </c>
      <c r="L259" s="148">
        <f t="shared" si="105"/>
        <v>952070.94099999988</v>
      </c>
      <c r="M259" s="148">
        <f t="shared" si="105"/>
        <v>1988245.2819999999</v>
      </c>
      <c r="N259" s="148">
        <f t="shared" si="105"/>
        <v>1463869.2080000001</v>
      </c>
      <c r="O259" s="148">
        <f t="shared" si="105"/>
        <v>2891175.33</v>
      </c>
      <c r="P259" s="148">
        <f t="shared" si="102"/>
        <v>22517790.818000004</v>
      </c>
      <c r="Q259" s="148"/>
    </row>
    <row r="260" spans="2:17" x14ac:dyDescent="0.2">
      <c r="B260" s="7" t="s">
        <v>319</v>
      </c>
      <c r="C260" s="178"/>
      <c r="D260" s="148">
        <f t="shared" si="105"/>
        <v>2637.119999999999</v>
      </c>
      <c r="E260" s="148">
        <f t="shared" si="105"/>
        <v>2507.1749999999997</v>
      </c>
      <c r="F260" s="148">
        <f t="shared" si="105"/>
        <v>1656.8650000000002</v>
      </c>
      <c r="G260" s="148">
        <f t="shared" si="105"/>
        <v>3688.93</v>
      </c>
      <c r="H260" s="148">
        <f t="shared" si="105"/>
        <v>1550.6200000000003</v>
      </c>
      <c r="I260" s="148">
        <f t="shared" si="105"/>
        <v>-948.3900000000001</v>
      </c>
      <c r="J260" s="148">
        <f t="shared" si="105"/>
        <v>1073.69</v>
      </c>
      <c r="K260" s="148">
        <f t="shared" si="105"/>
        <v>43132.139999999992</v>
      </c>
      <c r="L260" s="148">
        <f t="shared" si="105"/>
        <v>-39337.74</v>
      </c>
      <c r="M260" s="148">
        <f t="shared" si="105"/>
        <v>3133.5300000000007</v>
      </c>
      <c r="N260" s="148">
        <f t="shared" si="105"/>
        <v>3541.1899999999991</v>
      </c>
      <c r="O260" s="148">
        <f t="shared" si="105"/>
        <v>3541.19</v>
      </c>
      <c r="P260" s="148">
        <f t="shared" si="102"/>
        <v>26176.319999999992</v>
      </c>
      <c r="Q260" s="148"/>
    </row>
    <row r="261" spans="2:17" x14ac:dyDescent="0.2">
      <c r="B261" s="7" t="s">
        <v>320</v>
      </c>
      <c r="C261" s="178"/>
      <c r="D261" s="148">
        <f t="shared" si="105"/>
        <v>2298855.9000000004</v>
      </c>
      <c r="E261" s="148">
        <f t="shared" si="105"/>
        <v>1297343.2566666668</v>
      </c>
      <c r="F261" s="148">
        <f t="shared" si="105"/>
        <v>2371767.8433333333</v>
      </c>
      <c r="G261" s="148">
        <f t="shared" si="105"/>
        <v>2259976.2000000002</v>
      </c>
      <c r="H261" s="148">
        <f t="shared" si="105"/>
        <v>1482687.44</v>
      </c>
      <c r="I261" s="148">
        <f t="shared" si="105"/>
        <v>1701988.3699999999</v>
      </c>
      <c r="J261" s="148">
        <f t="shared" si="105"/>
        <v>1020289.1199999999</v>
      </c>
      <c r="K261" s="148">
        <f t="shared" si="105"/>
        <v>2199446.5400000005</v>
      </c>
      <c r="L261" s="148">
        <f t="shared" si="105"/>
        <v>1662331.5299999998</v>
      </c>
      <c r="M261" s="148">
        <f t="shared" si="105"/>
        <v>1773947.9499999997</v>
      </c>
      <c r="N261" s="148">
        <f t="shared" si="105"/>
        <v>2025044.0400000005</v>
      </c>
      <c r="O261" s="148">
        <f t="shared" si="105"/>
        <v>1997190.5999999999</v>
      </c>
      <c r="P261" s="148">
        <f t="shared" si="102"/>
        <v>22090868.789999999</v>
      </c>
      <c r="Q261" s="148"/>
    </row>
    <row r="262" spans="2:17" x14ac:dyDescent="0.2">
      <c r="B262" s="7" t="s">
        <v>321</v>
      </c>
      <c r="C262" s="178"/>
      <c r="D262" s="148">
        <f t="shared" si="105"/>
        <v>6819867.629999999</v>
      </c>
      <c r="E262" s="148">
        <f t="shared" si="105"/>
        <v>5875721.7649999997</v>
      </c>
      <c r="F262" s="148">
        <f t="shared" si="105"/>
        <v>6625263.8950000005</v>
      </c>
      <c r="G262" s="148">
        <f t="shared" si="105"/>
        <v>6473690.2799999993</v>
      </c>
      <c r="H262" s="148">
        <f t="shared" si="105"/>
        <v>7159126.9649999989</v>
      </c>
      <c r="I262" s="148">
        <f t="shared" si="105"/>
        <v>5249265.5200000005</v>
      </c>
      <c r="J262" s="148">
        <f t="shared" si="105"/>
        <v>5716684.0300000003</v>
      </c>
      <c r="K262" s="148">
        <f t="shared" si="105"/>
        <v>5884124.2899999991</v>
      </c>
      <c r="L262" s="148">
        <f t="shared" si="105"/>
        <v>5718877.4900000002</v>
      </c>
      <c r="M262" s="148">
        <f t="shared" si="105"/>
        <v>6047970.3499999996</v>
      </c>
      <c r="N262" s="148">
        <f t="shared" si="105"/>
        <v>5628638.2100000009</v>
      </c>
      <c r="O262" s="148">
        <f t="shared" si="105"/>
        <v>5882546.4699999988</v>
      </c>
      <c r="P262" s="148">
        <f t="shared" si="102"/>
        <v>73081776.895000011</v>
      </c>
      <c r="Q262" s="148"/>
    </row>
    <row r="263" spans="2:17" x14ac:dyDescent="0.2">
      <c r="B263" s="8" t="s">
        <v>325</v>
      </c>
      <c r="C263" s="178"/>
      <c r="D263" s="148">
        <f t="shared" si="105"/>
        <v>36598.430000000008</v>
      </c>
      <c r="E263" s="148">
        <f t="shared" si="105"/>
        <v>17552.478333333322</v>
      </c>
      <c r="F263" s="148">
        <f t="shared" si="105"/>
        <v>63771.011666666665</v>
      </c>
      <c r="G263" s="148">
        <f t="shared" si="105"/>
        <v>28809.45</v>
      </c>
      <c r="H263" s="148">
        <f t="shared" si="105"/>
        <v>21031.899999999991</v>
      </c>
      <c r="I263" s="148">
        <f t="shared" si="105"/>
        <v>15992.560000000007</v>
      </c>
      <c r="J263" s="148">
        <f t="shared" si="105"/>
        <v>15967.12</v>
      </c>
      <c r="K263" s="148">
        <f t="shared" si="105"/>
        <v>20881.29</v>
      </c>
      <c r="L263" s="148">
        <f t="shared" si="105"/>
        <v>35498.35</v>
      </c>
      <c r="M263" s="148">
        <f t="shared" si="105"/>
        <v>52252.61</v>
      </c>
      <c r="N263" s="148">
        <f t="shared" si="105"/>
        <v>53109.729999999996</v>
      </c>
      <c r="O263" s="148">
        <f t="shared" si="105"/>
        <v>53404.93</v>
      </c>
      <c r="P263" s="148">
        <f t="shared" si="102"/>
        <v>414869.86</v>
      </c>
      <c r="Q263" s="148"/>
    </row>
    <row r="264" spans="2:17" x14ac:dyDescent="0.2">
      <c r="B264" s="7" t="s">
        <v>323</v>
      </c>
      <c r="C264" s="178"/>
      <c r="D264" s="148">
        <f t="shared" si="105"/>
        <v>8483379.8599999994</v>
      </c>
      <c r="E264" s="148">
        <f t="shared" si="105"/>
        <v>8128143.5900000008</v>
      </c>
      <c r="F264" s="148">
        <f t="shared" si="105"/>
        <v>7445336.3799999999</v>
      </c>
      <c r="G264" s="148">
        <f t="shared" si="105"/>
        <v>6886320.8199999994</v>
      </c>
      <c r="H264" s="148">
        <f t="shared" si="105"/>
        <v>7553128.4799999995</v>
      </c>
      <c r="I264" s="148">
        <f t="shared" si="105"/>
        <v>8010344.6200000001</v>
      </c>
      <c r="J264" s="148">
        <f t="shared" si="105"/>
        <v>8010370.0599999996</v>
      </c>
      <c r="K264" s="148">
        <f t="shared" si="105"/>
        <v>8316351.7999999989</v>
      </c>
      <c r="L264" s="148">
        <f t="shared" si="105"/>
        <v>8307515.1300000008</v>
      </c>
      <c r="M264" s="148">
        <f t="shared" si="105"/>
        <v>7493040.2399999984</v>
      </c>
      <c r="N264" s="148">
        <f t="shared" si="105"/>
        <v>8423133.7400000002</v>
      </c>
      <c r="O264" s="148">
        <f t="shared" si="105"/>
        <v>8652988.9199999999</v>
      </c>
      <c r="P264" s="148">
        <f t="shared" si="102"/>
        <v>95710053.639999986</v>
      </c>
      <c r="Q264" s="148"/>
    </row>
    <row r="265" spans="2:17" s="72" customFormat="1" x14ac:dyDescent="0.2">
      <c r="B265" s="144" t="s">
        <v>130</v>
      </c>
      <c r="C265" s="189"/>
      <c r="D265" s="148">
        <f t="shared" si="105"/>
        <v>4301584.5299999993</v>
      </c>
      <c r="E265" s="148">
        <f t="shared" si="105"/>
        <v>2369269.62</v>
      </c>
      <c r="F265" s="148">
        <f t="shared" si="105"/>
        <v>6196065.4399999995</v>
      </c>
      <c r="G265" s="148">
        <f t="shared" si="105"/>
        <v>2759262.5</v>
      </c>
      <c r="H265" s="148">
        <f t="shared" si="105"/>
        <v>2673413.52</v>
      </c>
      <c r="I265" s="148">
        <f t="shared" si="105"/>
        <v>1229088.4900000002</v>
      </c>
      <c r="J265" s="148">
        <f t="shared" si="105"/>
        <v>3086420.13</v>
      </c>
      <c r="K265" s="148">
        <f t="shared" si="105"/>
        <v>1691221.48</v>
      </c>
      <c r="L265" s="148">
        <f t="shared" si="105"/>
        <v>1885991.25</v>
      </c>
      <c r="M265" s="148">
        <f t="shared" si="105"/>
        <v>3494749.0600000005</v>
      </c>
      <c r="N265" s="148">
        <f t="shared" si="105"/>
        <v>3646536.1599999997</v>
      </c>
      <c r="O265" s="148">
        <f t="shared" si="105"/>
        <v>3730158.84</v>
      </c>
      <c r="P265" s="148">
        <f t="shared" si="102"/>
        <v>37063761.020000003</v>
      </c>
      <c r="Q265" s="148"/>
    </row>
    <row r="266" spans="2:17" x14ac:dyDescent="0.2">
      <c r="B266" s="147" t="s">
        <v>326</v>
      </c>
      <c r="C266" s="178"/>
      <c r="D266" s="187">
        <f t="shared" ref="D266:P266" si="106">SUM(D253:D265)</f>
        <v>167167449.58814099</v>
      </c>
      <c r="E266" s="187">
        <f t="shared" ref="E266:O266" si="107">SUM(E253:E265)</f>
        <v>138204763.48824525</v>
      </c>
      <c r="F266" s="187">
        <f t="shared" si="107"/>
        <v>142630420.86369768</v>
      </c>
      <c r="G266" s="187">
        <f t="shared" si="107"/>
        <v>97565722.046395198</v>
      </c>
      <c r="H266" s="187">
        <f t="shared" si="107"/>
        <v>73645967.590451762</v>
      </c>
      <c r="I266" s="187">
        <f t="shared" si="107"/>
        <v>51871568.172025971</v>
      </c>
      <c r="J266" s="187">
        <f t="shared" si="107"/>
        <v>45839480.756138675</v>
      </c>
      <c r="K266" s="187">
        <f t="shared" si="107"/>
        <v>45178592.219298676</v>
      </c>
      <c r="L266" s="187">
        <f t="shared" si="107"/>
        <v>53741029.420909248</v>
      </c>
      <c r="M266" s="187">
        <f t="shared" si="107"/>
        <v>94970874.049240306</v>
      </c>
      <c r="N266" s="187">
        <f t="shared" si="107"/>
        <v>123101706.58472356</v>
      </c>
      <c r="O266" s="187">
        <f t="shared" si="107"/>
        <v>171053151.57766142</v>
      </c>
      <c r="P266" s="187">
        <f t="shared" si="106"/>
        <v>1204970726.3569288</v>
      </c>
      <c r="Q266" s="148"/>
    </row>
    <row r="267" spans="2:17" s="26" customFormat="1" x14ac:dyDescent="0.2">
      <c r="B267" s="190" t="s">
        <v>216</v>
      </c>
      <c r="C267" s="191"/>
      <c r="D267" s="192">
        <f t="shared" ref="D267:P267" si="108">D266-D231</f>
        <v>0</v>
      </c>
      <c r="E267" s="192">
        <f t="shared" si="108"/>
        <v>0</v>
      </c>
      <c r="F267" s="192">
        <f t="shared" si="108"/>
        <v>0</v>
      </c>
      <c r="G267" s="192">
        <f t="shared" si="108"/>
        <v>0</v>
      </c>
      <c r="H267" s="192">
        <f t="shared" si="108"/>
        <v>0</v>
      </c>
      <c r="I267" s="192">
        <f t="shared" si="108"/>
        <v>0</v>
      </c>
      <c r="J267" s="192">
        <f t="shared" si="108"/>
        <v>0</v>
      </c>
      <c r="K267" s="192">
        <f t="shared" si="108"/>
        <v>0</v>
      </c>
      <c r="L267" s="192">
        <f t="shared" si="108"/>
        <v>0</v>
      </c>
      <c r="M267" s="192">
        <f t="shared" si="108"/>
        <v>0</v>
      </c>
      <c r="N267" s="192">
        <f t="shared" si="108"/>
        <v>0</v>
      </c>
      <c r="O267" s="192">
        <f t="shared" si="108"/>
        <v>0</v>
      </c>
      <c r="P267" s="192">
        <f t="shared" si="108"/>
        <v>0</v>
      </c>
      <c r="Q267" s="192"/>
    </row>
    <row r="268" spans="2:17" x14ac:dyDescent="0.2">
      <c r="B268" s="147"/>
      <c r="C268" s="178"/>
      <c r="D268" s="148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8"/>
    </row>
    <row r="269" spans="2:17" x14ac:dyDescent="0.2">
      <c r="B269" s="147" t="s">
        <v>332</v>
      </c>
      <c r="C269" s="178"/>
      <c r="D269" s="148">
        <f>SUM(D253:D259)</f>
        <v>145224526.118141</v>
      </c>
      <c r="E269" s="148">
        <f t="shared" ref="E269:O269" si="109">SUM(E253:E259)</f>
        <v>120514225.60324526</v>
      </c>
      <c r="F269" s="148">
        <f t="shared" si="109"/>
        <v>119926559.42869769</v>
      </c>
      <c r="G269" s="148">
        <f t="shared" si="109"/>
        <v>79153973.86639519</v>
      </c>
      <c r="H269" s="148">
        <f t="shared" si="109"/>
        <v>54755028.66545178</v>
      </c>
      <c r="I269" s="148">
        <f t="shared" si="109"/>
        <v>35665837.002025969</v>
      </c>
      <c r="J269" s="148">
        <f t="shared" si="109"/>
        <v>27988676.606138669</v>
      </c>
      <c r="K269" s="148">
        <f t="shared" si="109"/>
        <v>27023434.67929868</v>
      </c>
      <c r="L269" s="148">
        <f t="shared" si="109"/>
        <v>36170153.410909243</v>
      </c>
      <c r="M269" s="148">
        <f t="shared" si="109"/>
        <v>76105780.309240311</v>
      </c>
      <c r="N269" s="148">
        <f t="shared" si="109"/>
        <v>103321703.51472355</v>
      </c>
      <c r="O269" s="148">
        <f t="shared" si="109"/>
        <v>150733320.62766144</v>
      </c>
      <c r="P269" s="148">
        <f>SUM(D269:O269)</f>
        <v>976583219.83192885</v>
      </c>
      <c r="Q269" s="148"/>
    </row>
    <row r="270" spans="2:17" x14ac:dyDescent="0.2">
      <c r="B270" s="147" t="s">
        <v>333</v>
      </c>
      <c r="C270" s="178"/>
      <c r="D270" s="148">
        <f>SUM(D260:D265)</f>
        <v>21942923.469999999</v>
      </c>
      <c r="E270" s="148">
        <f t="shared" ref="E270:O270" si="110">SUM(E260:E265)</f>
        <v>17690537.885000002</v>
      </c>
      <c r="F270" s="148">
        <f t="shared" si="110"/>
        <v>22703861.435000002</v>
      </c>
      <c r="G270" s="148">
        <f t="shared" si="110"/>
        <v>18411748.18</v>
      </c>
      <c r="H270" s="148">
        <f t="shared" si="110"/>
        <v>18890938.924999997</v>
      </c>
      <c r="I270" s="148">
        <f t="shared" si="110"/>
        <v>16205731.17</v>
      </c>
      <c r="J270" s="148">
        <f t="shared" si="110"/>
        <v>17850804.149999999</v>
      </c>
      <c r="K270" s="148">
        <f t="shared" si="110"/>
        <v>18155157.539999999</v>
      </c>
      <c r="L270" s="148">
        <f t="shared" si="110"/>
        <v>17570876.010000002</v>
      </c>
      <c r="M270" s="148">
        <f t="shared" si="110"/>
        <v>18865093.739999998</v>
      </c>
      <c r="N270" s="148">
        <f t="shared" si="110"/>
        <v>19780003.07</v>
      </c>
      <c r="O270" s="148">
        <f t="shared" si="110"/>
        <v>20319830.949999999</v>
      </c>
      <c r="P270" s="148">
        <f>SUM(D270:O270)</f>
        <v>228387506.52499998</v>
      </c>
      <c r="Q270" s="148"/>
    </row>
    <row r="271" spans="2:17" x14ac:dyDescent="0.2">
      <c r="B271" s="147" t="s">
        <v>73</v>
      </c>
      <c r="C271" s="178"/>
      <c r="D271" s="187">
        <f t="shared" ref="D271:P271" si="111">SUM(D269:D270)</f>
        <v>167167449.58814099</v>
      </c>
      <c r="E271" s="187">
        <f t="shared" si="111"/>
        <v>138204763.48824525</v>
      </c>
      <c r="F271" s="187">
        <f t="shared" si="111"/>
        <v>142630420.86369771</v>
      </c>
      <c r="G271" s="187">
        <f t="shared" si="111"/>
        <v>97565722.046395183</v>
      </c>
      <c r="H271" s="187">
        <f t="shared" si="111"/>
        <v>73645967.590451777</v>
      </c>
      <c r="I271" s="187">
        <f t="shared" si="111"/>
        <v>51871568.172025971</v>
      </c>
      <c r="J271" s="187">
        <f t="shared" si="111"/>
        <v>45839480.756138667</v>
      </c>
      <c r="K271" s="187">
        <f t="shared" si="111"/>
        <v>45178592.219298676</v>
      </c>
      <c r="L271" s="187">
        <f t="shared" si="111"/>
        <v>53741029.420909241</v>
      </c>
      <c r="M271" s="187">
        <f t="shared" si="111"/>
        <v>94970874.049240306</v>
      </c>
      <c r="N271" s="187">
        <f t="shared" si="111"/>
        <v>123101706.58472356</v>
      </c>
      <c r="O271" s="187">
        <f t="shared" si="111"/>
        <v>171053151.57766142</v>
      </c>
      <c r="P271" s="187">
        <f t="shared" si="111"/>
        <v>1204970726.3569288</v>
      </c>
      <c r="Q271" s="148"/>
    </row>
    <row r="272" spans="2:17" x14ac:dyDescent="0.2">
      <c r="B272" s="190" t="s">
        <v>216</v>
      </c>
      <c r="C272" s="191"/>
      <c r="D272" s="192">
        <f t="shared" ref="D272:P272" si="112">D271-D266</f>
        <v>0</v>
      </c>
      <c r="E272" s="192">
        <f t="shared" si="112"/>
        <v>0</v>
      </c>
      <c r="F272" s="192">
        <f t="shared" si="112"/>
        <v>0</v>
      </c>
      <c r="G272" s="192">
        <f t="shared" si="112"/>
        <v>0</v>
      </c>
      <c r="H272" s="192">
        <f t="shared" si="112"/>
        <v>0</v>
      </c>
      <c r="I272" s="192">
        <f t="shared" si="112"/>
        <v>0</v>
      </c>
      <c r="J272" s="192">
        <f t="shared" si="112"/>
        <v>0</v>
      </c>
      <c r="K272" s="192">
        <f t="shared" si="112"/>
        <v>0</v>
      </c>
      <c r="L272" s="192">
        <f t="shared" si="112"/>
        <v>0</v>
      </c>
      <c r="M272" s="192">
        <f t="shared" si="112"/>
        <v>0</v>
      </c>
      <c r="N272" s="192">
        <f t="shared" si="112"/>
        <v>0</v>
      </c>
      <c r="O272" s="192">
        <f t="shared" si="112"/>
        <v>0</v>
      </c>
      <c r="P272" s="192">
        <f t="shared" si="112"/>
        <v>0</v>
      </c>
      <c r="Q272" s="148"/>
    </row>
    <row r="273" spans="2:17" s="8" customFormat="1" x14ac:dyDescent="0.2">
      <c r="B273" s="147"/>
      <c r="C273" s="178"/>
      <c r="D273" s="148"/>
      <c r="E273" s="148"/>
      <c r="F273" s="148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48"/>
    </row>
    <row r="274" spans="2:17" s="8" customFormat="1" x14ac:dyDescent="0.2">
      <c r="B274" s="149" t="s">
        <v>334</v>
      </c>
      <c r="C274" s="178"/>
      <c r="D274" s="148"/>
      <c r="E274" s="148"/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</row>
    <row r="275" spans="2:17" s="8" customFormat="1" x14ac:dyDescent="0.2">
      <c r="B275" s="8" t="s">
        <v>335</v>
      </c>
      <c r="C275" s="174">
        <v>23</v>
      </c>
      <c r="D275" s="88">
        <f t="shared" ref="D275:O288" si="113">IFERROR(ROUND(SUMIF($C$167:$C$192,$C275,D$167:D$192),0)/ROUND(SUMIF($C$36:$C$63,$C275,D$36:D$63),0),0)</f>
        <v>126.72267068788501</v>
      </c>
      <c r="E275" s="88">
        <f t="shared" si="113"/>
        <v>104.26885324088558</v>
      </c>
      <c r="F275" s="88">
        <f t="shared" si="113"/>
        <v>100.32243476745855</v>
      </c>
      <c r="G275" s="88">
        <f t="shared" si="113"/>
        <v>64.417454210226438</v>
      </c>
      <c r="H275" s="88">
        <f t="shared" si="113"/>
        <v>39.624079278061863</v>
      </c>
      <c r="I275" s="88">
        <f t="shared" si="113"/>
        <v>25.192746230686346</v>
      </c>
      <c r="J275" s="88">
        <f t="shared" si="113"/>
        <v>17.797977781446317</v>
      </c>
      <c r="K275" s="88">
        <f t="shared" si="113"/>
        <v>16.531264503310751</v>
      </c>
      <c r="L275" s="88">
        <f t="shared" si="113"/>
        <v>24.651913617383819</v>
      </c>
      <c r="M275" s="88">
        <f t="shared" si="113"/>
        <v>61.554775937760844</v>
      </c>
      <c r="N275" s="88">
        <f t="shared" si="113"/>
        <v>90.46248820643757</v>
      </c>
      <c r="O275" s="88">
        <f t="shared" si="113"/>
        <v>127.22924626165435</v>
      </c>
      <c r="P275" s="88">
        <f>SUM(D275:O275)</f>
        <v>798.77590472319741</v>
      </c>
      <c r="Q275" s="88"/>
    </row>
    <row r="276" spans="2:17" s="8" customFormat="1" x14ac:dyDescent="0.2">
      <c r="B276" s="8" t="s">
        <v>336</v>
      </c>
      <c r="C276" s="174">
        <v>31</v>
      </c>
      <c r="D276" s="88">
        <f t="shared" si="113"/>
        <v>563.68884952026804</v>
      </c>
      <c r="E276" s="88">
        <f t="shared" si="113"/>
        <v>521.12511165992328</v>
      </c>
      <c r="F276" s="88">
        <f t="shared" si="113"/>
        <v>508.26037583986562</v>
      </c>
      <c r="G276" s="88">
        <f t="shared" si="113"/>
        <v>341.3812817369988</v>
      </c>
      <c r="H276" s="88">
        <f t="shared" si="113"/>
        <v>247.71124380548795</v>
      </c>
      <c r="I276" s="88">
        <f t="shared" si="113"/>
        <v>168.77936379896889</v>
      </c>
      <c r="J276" s="88">
        <f t="shared" si="113"/>
        <v>152.47660552067623</v>
      </c>
      <c r="K276" s="88">
        <f t="shared" si="113"/>
        <v>152.52792163334095</v>
      </c>
      <c r="L276" s="88">
        <f t="shared" si="113"/>
        <v>200.62407612225908</v>
      </c>
      <c r="M276" s="88">
        <f t="shared" si="113"/>
        <v>311.2623157673367</v>
      </c>
      <c r="N276" s="88">
        <f t="shared" si="113"/>
        <v>384.39718034276132</v>
      </c>
      <c r="O276" s="88">
        <f t="shared" si="113"/>
        <v>636.48884197302527</v>
      </c>
      <c r="P276" s="88">
        <f>SUM(D276:O276)</f>
        <v>4188.723167720912</v>
      </c>
      <c r="Q276" s="88"/>
    </row>
    <row r="277" spans="2:17" s="8" customFormat="1" x14ac:dyDescent="0.2">
      <c r="B277" s="8" t="s">
        <v>337</v>
      </c>
      <c r="C277" s="174">
        <v>41</v>
      </c>
      <c r="D277" s="88">
        <f t="shared" si="113"/>
        <v>5780.0922844175493</v>
      </c>
      <c r="E277" s="88">
        <f t="shared" si="113"/>
        <v>5276.5337889141992</v>
      </c>
      <c r="F277" s="88">
        <f t="shared" si="113"/>
        <v>5265.9215686274511</v>
      </c>
      <c r="G277" s="88">
        <f t="shared" si="113"/>
        <v>4572.7279577995478</v>
      </c>
      <c r="H277" s="88">
        <f t="shared" si="113"/>
        <v>4200.1475903614455</v>
      </c>
      <c r="I277" s="88">
        <f t="shared" si="113"/>
        <v>2537.5892991710625</v>
      </c>
      <c r="J277" s="88">
        <f t="shared" si="113"/>
        <v>2318.6849212303077</v>
      </c>
      <c r="K277" s="88">
        <f t="shared" si="113"/>
        <v>2253.7462574850301</v>
      </c>
      <c r="L277" s="88">
        <f t="shared" si="113"/>
        <v>2583.1862378459236</v>
      </c>
      <c r="M277" s="88">
        <f t="shared" si="113"/>
        <v>4125.0135033758443</v>
      </c>
      <c r="N277" s="88">
        <f t="shared" si="113"/>
        <v>5008.5289256198348</v>
      </c>
      <c r="O277" s="88">
        <f t="shared" si="113"/>
        <v>6586.3649360421368</v>
      </c>
      <c r="P277" s="88">
        <f>SUM(D277:O277)</f>
        <v>50508.537270890331</v>
      </c>
      <c r="Q277" s="88"/>
    </row>
    <row r="278" spans="2:17" s="8" customFormat="1" x14ac:dyDescent="0.2">
      <c r="B278" s="8" t="s">
        <v>257</v>
      </c>
      <c r="C278" s="174">
        <v>53</v>
      </c>
      <c r="D278" s="88">
        <f t="shared" si="113"/>
        <v>0</v>
      </c>
      <c r="E278" s="88">
        <f t="shared" si="113"/>
        <v>0</v>
      </c>
      <c r="F278" s="88">
        <f t="shared" si="113"/>
        <v>0</v>
      </c>
      <c r="G278" s="88">
        <f t="shared" si="113"/>
        <v>0</v>
      </c>
      <c r="H278" s="88">
        <f t="shared" si="113"/>
        <v>0</v>
      </c>
      <c r="I278" s="88">
        <f t="shared" si="113"/>
        <v>0</v>
      </c>
      <c r="J278" s="88">
        <f t="shared" si="113"/>
        <v>0</v>
      </c>
      <c r="K278" s="88">
        <f t="shared" si="113"/>
        <v>0</v>
      </c>
      <c r="L278" s="88">
        <f t="shared" si="113"/>
        <v>0</v>
      </c>
      <c r="M278" s="88">
        <f t="shared" si="113"/>
        <v>0</v>
      </c>
      <c r="N278" s="88">
        <f t="shared" si="113"/>
        <v>0</v>
      </c>
      <c r="O278" s="88">
        <f t="shared" si="113"/>
        <v>0</v>
      </c>
      <c r="P278" s="88">
        <f>SUM(D278:O278)</f>
        <v>0</v>
      </c>
      <c r="Q278" s="88"/>
    </row>
    <row r="279" spans="2:17" s="8" customFormat="1" x14ac:dyDescent="0.2">
      <c r="B279" s="8" t="s">
        <v>260</v>
      </c>
      <c r="C279" s="174">
        <v>50</v>
      </c>
      <c r="D279" s="88">
        <f t="shared" si="113"/>
        <v>0</v>
      </c>
      <c r="E279" s="88">
        <f t="shared" si="113"/>
        <v>0</v>
      </c>
      <c r="F279" s="88">
        <f t="shared" si="113"/>
        <v>0</v>
      </c>
      <c r="G279" s="88">
        <f t="shared" si="113"/>
        <v>0</v>
      </c>
      <c r="H279" s="88">
        <f t="shared" si="113"/>
        <v>0</v>
      </c>
      <c r="I279" s="88">
        <f t="shared" si="113"/>
        <v>0</v>
      </c>
      <c r="J279" s="88">
        <f t="shared" si="113"/>
        <v>0</v>
      </c>
      <c r="K279" s="88">
        <f t="shared" si="113"/>
        <v>0</v>
      </c>
      <c r="L279" s="88">
        <f t="shared" si="113"/>
        <v>0</v>
      </c>
      <c r="M279" s="88">
        <f t="shared" si="113"/>
        <v>0</v>
      </c>
      <c r="N279" s="88">
        <f t="shared" si="113"/>
        <v>0</v>
      </c>
      <c r="O279" s="88">
        <f t="shared" si="113"/>
        <v>0</v>
      </c>
      <c r="P279" s="88">
        <f t="shared" ref="P279" si="114">SUM(D279:O279)</f>
        <v>0</v>
      </c>
      <c r="Q279" s="88"/>
    </row>
    <row r="280" spans="2:17" s="8" customFormat="1" x14ac:dyDescent="0.2">
      <c r="B280" s="7" t="s">
        <v>319</v>
      </c>
      <c r="C280" s="174" t="s">
        <v>72</v>
      </c>
      <c r="D280" s="88">
        <f t="shared" si="113"/>
        <v>1318.5</v>
      </c>
      <c r="E280" s="88">
        <f t="shared" si="113"/>
        <v>1253.5</v>
      </c>
      <c r="F280" s="88">
        <f t="shared" si="113"/>
        <v>828.5</v>
      </c>
      <c r="G280" s="88">
        <f t="shared" si="113"/>
        <v>1844.5</v>
      </c>
      <c r="H280" s="88">
        <f t="shared" si="113"/>
        <v>775.5</v>
      </c>
      <c r="I280" s="88">
        <f t="shared" si="113"/>
        <v>-474</v>
      </c>
      <c r="J280" s="88">
        <f t="shared" si="113"/>
        <v>537</v>
      </c>
      <c r="K280" s="88">
        <f t="shared" si="113"/>
        <v>21566</v>
      </c>
      <c r="L280" s="88">
        <f t="shared" si="113"/>
        <v>-19669</v>
      </c>
      <c r="M280" s="88">
        <f t="shared" si="113"/>
        <v>1567</v>
      </c>
      <c r="N280" s="88">
        <f t="shared" si="113"/>
        <v>1770.5</v>
      </c>
      <c r="O280" s="88">
        <f t="shared" si="113"/>
        <v>1770.5</v>
      </c>
      <c r="P280" s="88">
        <f>SUM(D280:O280)</f>
        <v>13088.5</v>
      </c>
      <c r="Q280" s="88"/>
    </row>
    <row r="281" spans="2:17" s="8" customFormat="1" x14ac:dyDescent="0.2">
      <c r="B281" s="8" t="s">
        <v>320</v>
      </c>
      <c r="C281" s="174" t="s">
        <v>76</v>
      </c>
      <c r="D281" s="88">
        <f t="shared" si="113"/>
        <v>21687.32075471698</v>
      </c>
      <c r="E281" s="88">
        <f t="shared" si="113"/>
        <v>12239.084905660377</v>
      </c>
      <c r="F281" s="88">
        <f t="shared" si="113"/>
        <v>22588.266666666666</v>
      </c>
      <c r="G281" s="88">
        <f t="shared" si="113"/>
        <v>21730.538461538461</v>
      </c>
      <c r="H281" s="88">
        <f t="shared" si="113"/>
        <v>14256.60576923077</v>
      </c>
      <c r="I281" s="88">
        <f t="shared" si="113"/>
        <v>16365.26923076923</v>
      </c>
      <c r="J281" s="88">
        <f t="shared" si="113"/>
        <v>10002.833333333334</v>
      </c>
      <c r="K281" s="88">
        <f t="shared" si="113"/>
        <v>21148.528846153848</v>
      </c>
      <c r="L281" s="88">
        <f t="shared" si="113"/>
        <v>15983.961538461539</v>
      </c>
      <c r="M281" s="88">
        <f t="shared" si="113"/>
        <v>17057.192307692309</v>
      </c>
      <c r="N281" s="88">
        <f t="shared" si="113"/>
        <v>19471.576923076922</v>
      </c>
      <c r="O281" s="88">
        <f t="shared" si="113"/>
        <v>19203.759615384617</v>
      </c>
      <c r="P281" s="88">
        <f>SUM(D281:O281)</f>
        <v>211734.93835268507</v>
      </c>
      <c r="Q281" s="88"/>
    </row>
    <row r="282" spans="2:17" s="8" customFormat="1" x14ac:dyDescent="0.2">
      <c r="B282" s="8" t="s">
        <v>321</v>
      </c>
      <c r="C282" s="174" t="s">
        <v>127</v>
      </c>
      <c r="D282" s="88">
        <f t="shared" si="113"/>
        <v>66212.310679611648</v>
      </c>
      <c r="E282" s="88">
        <f t="shared" si="113"/>
        <v>57045.844660194176</v>
      </c>
      <c r="F282" s="88">
        <f t="shared" si="113"/>
        <v>64322.951456310679</v>
      </c>
      <c r="G282" s="88">
        <f t="shared" si="113"/>
        <v>63467.549019607846</v>
      </c>
      <c r="H282" s="88">
        <f t="shared" si="113"/>
        <v>70187.519607843133</v>
      </c>
      <c r="I282" s="88">
        <f t="shared" si="113"/>
        <v>51463.392156862748</v>
      </c>
      <c r="J282" s="88">
        <f t="shared" si="113"/>
        <v>56045.921568627447</v>
      </c>
      <c r="K282" s="88">
        <f t="shared" si="113"/>
        <v>59435.595959595958</v>
      </c>
      <c r="L282" s="88">
        <f t="shared" si="113"/>
        <v>57766.434343434346</v>
      </c>
      <c r="M282" s="88">
        <f t="shared" si="113"/>
        <v>61713.979591836738</v>
      </c>
      <c r="N282" s="88">
        <f t="shared" si="113"/>
        <v>58027.195876288657</v>
      </c>
      <c r="O282" s="88">
        <f t="shared" si="113"/>
        <v>60644.804123711343</v>
      </c>
      <c r="P282" s="88">
        <f t="shared" ref="P282:P289" si="115">SUM(D282:O282)</f>
        <v>726333.49904392473</v>
      </c>
      <c r="Q282" s="88"/>
    </row>
    <row r="283" spans="2:17" s="8" customFormat="1" x14ac:dyDescent="0.2">
      <c r="B283" s="8" t="s">
        <v>325</v>
      </c>
      <c r="C283" s="174" t="s">
        <v>79</v>
      </c>
      <c r="D283" s="88">
        <f t="shared" si="113"/>
        <v>12199.333333333334</v>
      </c>
      <c r="E283" s="88">
        <f t="shared" si="113"/>
        <v>5850.666666666667</v>
      </c>
      <c r="F283" s="88">
        <f t="shared" si="113"/>
        <v>21257</v>
      </c>
      <c r="G283" s="88">
        <f t="shared" si="113"/>
        <v>9603</v>
      </c>
      <c r="H283" s="88">
        <f t="shared" si="113"/>
        <v>7010.666666666667</v>
      </c>
      <c r="I283" s="88">
        <f t="shared" si="113"/>
        <v>5331</v>
      </c>
      <c r="J283" s="88">
        <f t="shared" si="113"/>
        <v>5322.333333333333</v>
      </c>
      <c r="K283" s="88">
        <f t="shared" si="113"/>
        <v>6960.333333333333</v>
      </c>
      <c r="L283" s="88">
        <f t="shared" si="113"/>
        <v>11832.666666666666</v>
      </c>
      <c r="M283" s="88">
        <f t="shared" si="113"/>
        <v>17417.666666666668</v>
      </c>
      <c r="N283" s="88">
        <f t="shared" si="113"/>
        <v>17703.333333333332</v>
      </c>
      <c r="O283" s="88">
        <f t="shared" si="113"/>
        <v>17801.666666666668</v>
      </c>
      <c r="P283" s="88">
        <f t="shared" si="115"/>
        <v>138289.66666666666</v>
      </c>
      <c r="Q283" s="88"/>
    </row>
    <row r="284" spans="2:17" s="8" customFormat="1" x14ac:dyDescent="0.2">
      <c r="B284" s="8" t="s">
        <v>323</v>
      </c>
      <c r="C284" s="174" t="s">
        <v>129</v>
      </c>
      <c r="D284" s="88">
        <f t="shared" si="113"/>
        <v>848338</v>
      </c>
      <c r="E284" s="88">
        <f t="shared" si="113"/>
        <v>812814.4</v>
      </c>
      <c r="F284" s="88">
        <f t="shared" si="113"/>
        <v>744533.6</v>
      </c>
      <c r="G284" s="88">
        <f t="shared" si="113"/>
        <v>688632.1</v>
      </c>
      <c r="H284" s="88">
        <f t="shared" si="113"/>
        <v>755312.8</v>
      </c>
      <c r="I284" s="88">
        <f t="shared" si="113"/>
        <v>801034.5</v>
      </c>
      <c r="J284" s="88">
        <f t="shared" si="113"/>
        <v>801037</v>
      </c>
      <c r="K284" s="88">
        <f t="shared" si="113"/>
        <v>831635.2</v>
      </c>
      <c r="L284" s="88">
        <f t="shared" si="113"/>
        <v>830751.5</v>
      </c>
      <c r="M284" s="88">
        <f t="shared" si="113"/>
        <v>749304</v>
      </c>
      <c r="N284" s="88">
        <f t="shared" si="113"/>
        <v>842313.4</v>
      </c>
      <c r="O284" s="88">
        <f t="shared" si="113"/>
        <v>865298.9</v>
      </c>
      <c r="P284" s="88">
        <f t="shared" si="115"/>
        <v>9571005.4000000004</v>
      </c>
      <c r="Q284" s="88"/>
    </row>
    <row r="285" spans="2:17" s="8" customFormat="1" x14ac:dyDescent="0.2">
      <c r="B285" s="8" t="s">
        <v>338</v>
      </c>
      <c r="C285" s="8">
        <v>85</v>
      </c>
      <c r="D285" s="88">
        <f t="shared" si="113"/>
        <v>97848.666666666672</v>
      </c>
      <c r="E285" s="88">
        <f t="shared" si="113"/>
        <v>3085.7407407407409</v>
      </c>
      <c r="F285" s="88">
        <f t="shared" si="113"/>
        <v>75335.925925925927</v>
      </c>
      <c r="G285" s="88">
        <f t="shared" si="113"/>
        <v>26457.444444444445</v>
      </c>
      <c r="H285" s="88">
        <f t="shared" si="113"/>
        <v>50453.777777777781</v>
      </c>
      <c r="I285" s="88">
        <f t="shared" si="113"/>
        <v>31275.444444444445</v>
      </c>
      <c r="J285" s="88">
        <f t="shared" si="113"/>
        <v>26589.555555555555</v>
      </c>
      <c r="K285" s="88">
        <f t="shared" si="113"/>
        <v>31285.259259259259</v>
      </c>
      <c r="L285" s="88">
        <f t="shared" si="113"/>
        <v>21448.518518518518</v>
      </c>
      <c r="M285" s="88">
        <f t="shared" si="113"/>
        <v>69083.53571428571</v>
      </c>
      <c r="N285" s="88">
        <f t="shared" si="113"/>
        <v>32384.964285714286</v>
      </c>
      <c r="O285" s="88">
        <f t="shared" si="113"/>
        <v>64928.5</v>
      </c>
      <c r="P285" s="88">
        <f t="shared" si="115"/>
        <v>530177.33333333326</v>
      </c>
      <c r="Q285" s="88"/>
    </row>
    <row r="286" spans="2:17" s="8" customFormat="1" x14ac:dyDescent="0.2">
      <c r="B286" s="8" t="s">
        <v>339</v>
      </c>
      <c r="C286" s="8">
        <v>86</v>
      </c>
      <c r="D286" s="88">
        <f t="shared" si="113"/>
        <v>5023.7110091743116</v>
      </c>
      <c r="E286" s="88">
        <f t="shared" si="113"/>
        <v>5163.9541284403667</v>
      </c>
      <c r="F286" s="88">
        <f t="shared" si="113"/>
        <v>5336.7162790697676</v>
      </c>
      <c r="G286" s="88">
        <f t="shared" si="113"/>
        <v>3244.6915887850469</v>
      </c>
      <c r="H286" s="88">
        <f t="shared" si="113"/>
        <v>2209.1261682242989</v>
      </c>
      <c r="I286" s="88">
        <f t="shared" si="113"/>
        <v>2682.9061032863851</v>
      </c>
      <c r="J286" s="88">
        <f t="shared" si="113"/>
        <v>1656.7224880382776</v>
      </c>
      <c r="K286" s="88">
        <f t="shared" si="113"/>
        <v>-630.96534653465346</v>
      </c>
      <c r="L286" s="88">
        <f t="shared" si="113"/>
        <v>2285.2049999999999</v>
      </c>
      <c r="M286" s="88">
        <f t="shared" si="113"/>
        <v>3463.1061452513968</v>
      </c>
      <c r="N286" s="88">
        <f t="shared" si="113"/>
        <v>6386.5337078651683</v>
      </c>
      <c r="O286" s="88">
        <f t="shared" si="113"/>
        <v>3696.3710691823899</v>
      </c>
      <c r="P286" s="88">
        <f t="shared" si="115"/>
        <v>40518.078340782762</v>
      </c>
      <c r="Q286" s="88"/>
    </row>
    <row r="287" spans="2:17" s="8" customFormat="1" x14ac:dyDescent="0.2">
      <c r="B287" s="8" t="s">
        <v>340</v>
      </c>
      <c r="C287" s="8">
        <v>87</v>
      </c>
      <c r="D287" s="88">
        <f t="shared" si="113"/>
        <v>593296.19999999995</v>
      </c>
      <c r="E287" s="88">
        <f t="shared" si="113"/>
        <v>255171.20000000001</v>
      </c>
      <c r="F287" s="88">
        <f t="shared" si="113"/>
        <v>480548</v>
      </c>
      <c r="G287" s="88">
        <f t="shared" si="113"/>
        <v>373841.6</v>
      </c>
      <c r="H287" s="88">
        <f t="shared" si="113"/>
        <v>446141.2</v>
      </c>
      <c r="I287" s="88">
        <f t="shared" si="113"/>
        <v>314130</v>
      </c>
      <c r="J287" s="88">
        <f t="shared" si="113"/>
        <v>246149.4</v>
      </c>
      <c r="K287" s="88">
        <f t="shared" si="113"/>
        <v>335208.59999999998</v>
      </c>
      <c r="L287" s="88">
        <f t="shared" si="113"/>
        <v>190414.2</v>
      </c>
      <c r="M287" s="88">
        <f t="shared" si="113"/>
        <v>397649</v>
      </c>
      <c r="N287" s="88">
        <f t="shared" si="113"/>
        <v>292773.8</v>
      </c>
      <c r="O287" s="88">
        <f t="shared" si="113"/>
        <v>578235</v>
      </c>
      <c r="P287" s="88">
        <f t="shared" si="115"/>
        <v>4503558.2</v>
      </c>
      <c r="Q287" s="88"/>
    </row>
    <row r="288" spans="2:17" s="83" customFormat="1" x14ac:dyDescent="0.2">
      <c r="B288" s="151" t="s">
        <v>130</v>
      </c>
      <c r="C288" s="322" t="s">
        <v>278</v>
      </c>
      <c r="D288" s="88">
        <f t="shared" si="113"/>
        <v>430158.5</v>
      </c>
      <c r="E288" s="88">
        <f t="shared" si="113"/>
        <v>236927</v>
      </c>
      <c r="F288" s="88">
        <f t="shared" si="113"/>
        <v>619606.5</v>
      </c>
      <c r="G288" s="88">
        <f t="shared" si="113"/>
        <v>275926.3</v>
      </c>
      <c r="H288" s="88">
        <f t="shared" si="113"/>
        <v>267341.40000000002</v>
      </c>
      <c r="I288" s="88">
        <f t="shared" si="113"/>
        <v>122908.8</v>
      </c>
      <c r="J288" s="88">
        <f t="shared" si="113"/>
        <v>308642</v>
      </c>
      <c r="K288" s="88">
        <f t="shared" si="113"/>
        <v>169122.1</v>
      </c>
      <c r="L288" s="88">
        <f t="shared" si="113"/>
        <v>188599.1</v>
      </c>
      <c r="M288" s="88">
        <f t="shared" si="113"/>
        <v>349474.9</v>
      </c>
      <c r="N288" s="88">
        <f t="shared" si="113"/>
        <v>364653.6</v>
      </c>
      <c r="O288" s="88">
        <f t="shared" si="113"/>
        <v>373015.9</v>
      </c>
      <c r="P288" s="88">
        <f t="shared" si="115"/>
        <v>3706376.1</v>
      </c>
      <c r="Q288" s="88"/>
    </row>
    <row r="289" spans="2:17" x14ac:dyDescent="0.2">
      <c r="B289" s="8" t="s">
        <v>73</v>
      </c>
      <c r="C289" s="8"/>
      <c r="D289" s="88">
        <f t="shared" ref="D289:I289" si="116">IFERROR(ROUND(D194,0)/ROUND(D64,0),0)</f>
        <v>199.47811757181179</v>
      </c>
      <c r="E289" s="88">
        <f t="shared" si="116"/>
        <v>164.75012725376249</v>
      </c>
      <c r="F289" s="88">
        <f t="shared" si="116"/>
        <v>169.88771578344293</v>
      </c>
      <c r="G289" s="88">
        <f t="shared" si="116"/>
        <v>116.15851922051203</v>
      </c>
      <c r="H289" s="88">
        <f t="shared" si="116"/>
        <v>87.635065941114107</v>
      </c>
      <c r="I289" s="88">
        <f t="shared" si="116"/>
        <v>61.731436500777122</v>
      </c>
      <c r="J289" s="88">
        <f>IFERROR(ROUND(J194,0)/ROUND(J64,0),0)</f>
        <v>54.554444380971425</v>
      </c>
      <c r="K289" s="88">
        <f t="shared" ref="K289:O289" si="117">IFERROR(ROUND(K194,0)/ROUND(K64,0),0)</f>
        <v>53.725323991162043</v>
      </c>
      <c r="L289" s="88">
        <f t="shared" si="117"/>
        <v>63.851612596610252</v>
      </c>
      <c r="M289" s="88">
        <f t="shared" si="117"/>
        <v>112.58409232355922</v>
      </c>
      <c r="N289" s="88">
        <f t="shared" si="117"/>
        <v>145.6028857595019</v>
      </c>
      <c r="O289" s="88">
        <f t="shared" si="117"/>
        <v>202.03597485138434</v>
      </c>
      <c r="P289" s="88">
        <f t="shared" si="115"/>
        <v>1431.9953161746096</v>
      </c>
      <c r="Q289" s="88"/>
    </row>
    <row r="290" spans="2:17" x14ac:dyDescent="0.2">
      <c r="B290" s="8"/>
      <c r="C290" s="174"/>
      <c r="D290" s="175"/>
      <c r="E290" s="175"/>
      <c r="F290" s="175"/>
      <c r="G290" s="175"/>
      <c r="H290" s="175"/>
      <c r="I290" s="175"/>
      <c r="J290" s="175"/>
      <c r="K290" s="175"/>
      <c r="L290" s="175"/>
      <c r="M290" s="175"/>
      <c r="N290" s="175"/>
      <c r="O290" s="175"/>
      <c r="P290" s="195"/>
      <c r="Q290" s="195"/>
    </row>
    <row r="291" spans="2:17" x14ac:dyDescent="0.2">
      <c r="B291" s="8"/>
      <c r="C291" s="174"/>
      <c r="D291" s="175"/>
      <c r="E291" s="175"/>
      <c r="F291" s="175"/>
      <c r="G291" s="175"/>
      <c r="H291" s="175"/>
      <c r="I291" s="175"/>
      <c r="J291" s="175"/>
      <c r="K291" s="175"/>
      <c r="L291" s="175"/>
      <c r="M291" s="175"/>
      <c r="N291" s="175"/>
      <c r="O291" s="175"/>
      <c r="P291" s="195"/>
      <c r="Q291" s="195"/>
    </row>
    <row r="292" spans="2:17" x14ac:dyDescent="0.2">
      <c r="D292" s="181"/>
      <c r="E292" s="181"/>
      <c r="F292" s="181"/>
      <c r="G292" s="181"/>
      <c r="H292" s="181"/>
      <c r="I292" s="181"/>
      <c r="J292" s="181"/>
      <c r="K292" s="181"/>
      <c r="L292" s="181"/>
      <c r="M292" s="181"/>
      <c r="N292" s="181"/>
      <c r="O292" s="181"/>
      <c r="P292" s="181"/>
      <c r="Q292" s="181"/>
    </row>
    <row r="293" spans="2:17" x14ac:dyDescent="0.2">
      <c r="D293" s="181"/>
      <c r="E293" s="181"/>
      <c r="F293" s="181"/>
      <c r="G293" s="181"/>
      <c r="H293" s="181"/>
      <c r="I293" s="181"/>
      <c r="J293" s="181"/>
      <c r="K293" s="181"/>
      <c r="L293" s="181"/>
      <c r="M293" s="181"/>
      <c r="N293" s="181"/>
      <c r="O293" s="181"/>
      <c r="P293" s="181"/>
      <c r="Q293" s="181"/>
    </row>
    <row r="294" spans="2:17" x14ac:dyDescent="0.2"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1"/>
      <c r="Q294" s="181"/>
    </row>
    <row r="295" spans="2:17" x14ac:dyDescent="0.2">
      <c r="D295" s="181"/>
      <c r="E295" s="181"/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</row>
    <row r="296" spans="2:17" x14ac:dyDescent="0.2">
      <c r="D296" s="181"/>
      <c r="E296" s="181"/>
      <c r="F296" s="181"/>
      <c r="G296" s="181"/>
      <c r="H296" s="181"/>
      <c r="I296" s="181"/>
      <c r="J296" s="181"/>
      <c r="K296" s="181"/>
      <c r="L296" s="181"/>
      <c r="M296" s="181"/>
      <c r="N296" s="181"/>
      <c r="O296" s="181"/>
      <c r="P296" s="181"/>
      <c r="Q296" s="181"/>
    </row>
    <row r="297" spans="2:17" x14ac:dyDescent="0.2">
      <c r="D297" s="181"/>
      <c r="E297" s="181"/>
      <c r="F297" s="181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</row>
    <row r="298" spans="2:17" x14ac:dyDescent="0.2">
      <c r="D298" s="181"/>
      <c r="E298" s="181"/>
      <c r="F298" s="181"/>
      <c r="G298" s="181"/>
      <c r="H298" s="181"/>
      <c r="I298" s="181"/>
      <c r="J298" s="181"/>
      <c r="K298" s="181"/>
      <c r="L298" s="181"/>
      <c r="M298" s="181"/>
      <c r="N298" s="181"/>
      <c r="O298" s="181"/>
      <c r="P298" s="181"/>
      <c r="Q298" s="181"/>
    </row>
    <row r="299" spans="2:17" x14ac:dyDescent="0.2">
      <c r="D299" s="181"/>
      <c r="E299" s="181"/>
      <c r="F299" s="181"/>
      <c r="G299" s="181"/>
      <c r="H299" s="181"/>
      <c r="I299" s="181"/>
      <c r="J299" s="181"/>
      <c r="K299" s="181"/>
      <c r="L299" s="181"/>
      <c r="M299" s="181"/>
      <c r="N299" s="181"/>
      <c r="O299" s="181"/>
      <c r="P299" s="181"/>
      <c r="Q299" s="181"/>
    </row>
    <row r="300" spans="2:17" x14ac:dyDescent="0.2">
      <c r="D300" s="181"/>
      <c r="E300" s="181"/>
      <c r="F300" s="181"/>
      <c r="G300" s="181"/>
      <c r="H300" s="181"/>
      <c r="I300" s="181"/>
      <c r="J300" s="181"/>
      <c r="K300" s="181"/>
      <c r="L300" s="181"/>
      <c r="M300" s="181"/>
      <c r="N300" s="181"/>
      <c r="O300" s="181"/>
      <c r="P300" s="181"/>
      <c r="Q300" s="181"/>
    </row>
    <row r="301" spans="2:17" x14ac:dyDescent="0.2">
      <c r="D301" s="181"/>
      <c r="E301" s="181"/>
      <c r="F301" s="181"/>
      <c r="G301" s="181"/>
      <c r="H301" s="181"/>
      <c r="I301" s="181"/>
      <c r="J301" s="181"/>
      <c r="K301" s="181"/>
      <c r="L301" s="181"/>
      <c r="M301" s="181"/>
      <c r="N301" s="181"/>
      <c r="O301" s="181"/>
      <c r="P301" s="181"/>
      <c r="Q301" s="181"/>
    </row>
    <row r="302" spans="2:17" x14ac:dyDescent="0.2">
      <c r="D302" s="181"/>
      <c r="E302" s="181"/>
      <c r="F302" s="181"/>
      <c r="G302" s="181"/>
      <c r="H302" s="181"/>
      <c r="I302" s="181"/>
      <c r="J302" s="181"/>
      <c r="K302" s="181"/>
      <c r="L302" s="181"/>
      <c r="M302" s="181"/>
      <c r="N302" s="181"/>
      <c r="O302" s="181"/>
      <c r="P302" s="181"/>
      <c r="Q302" s="181"/>
    </row>
    <row r="303" spans="2:17" x14ac:dyDescent="0.2">
      <c r="D303" s="181"/>
      <c r="E303" s="181"/>
      <c r="F303" s="181"/>
      <c r="G303" s="181"/>
      <c r="H303" s="181"/>
      <c r="I303" s="181"/>
      <c r="J303" s="181"/>
      <c r="K303" s="181"/>
      <c r="L303" s="181"/>
      <c r="M303" s="181"/>
      <c r="N303" s="181"/>
      <c r="O303" s="181"/>
      <c r="P303" s="181"/>
      <c r="Q303" s="181"/>
    </row>
    <row r="304" spans="2:17" x14ac:dyDescent="0.2">
      <c r="D304" s="181"/>
      <c r="E304" s="181"/>
      <c r="F304" s="181"/>
      <c r="G304" s="181"/>
      <c r="H304" s="181"/>
      <c r="I304" s="181"/>
      <c r="J304" s="181"/>
      <c r="K304" s="181"/>
      <c r="L304" s="181"/>
      <c r="M304" s="181"/>
      <c r="N304" s="181"/>
      <c r="O304" s="181"/>
      <c r="P304" s="181"/>
      <c r="Q304" s="181"/>
    </row>
    <row r="305" spans="4:17" x14ac:dyDescent="0.2">
      <c r="D305" s="181"/>
      <c r="E305" s="181"/>
      <c r="F305" s="181"/>
      <c r="G305" s="181"/>
      <c r="H305" s="181"/>
      <c r="I305" s="181"/>
      <c r="J305" s="181"/>
      <c r="K305" s="181"/>
      <c r="L305" s="181"/>
      <c r="M305" s="181"/>
      <c r="N305" s="181"/>
      <c r="O305" s="181"/>
      <c r="P305" s="181"/>
      <c r="Q305" s="181"/>
    </row>
    <row r="306" spans="4:17" x14ac:dyDescent="0.2">
      <c r="D306" s="181"/>
      <c r="E306" s="181"/>
      <c r="F306" s="181"/>
      <c r="G306" s="181"/>
      <c r="H306" s="181"/>
      <c r="I306" s="181"/>
      <c r="J306" s="181"/>
      <c r="K306" s="181"/>
      <c r="L306" s="181"/>
      <c r="M306" s="181"/>
      <c r="N306" s="181"/>
      <c r="O306" s="181"/>
      <c r="P306" s="181"/>
      <c r="Q306" s="181"/>
    </row>
    <row r="307" spans="4:17" x14ac:dyDescent="0.2">
      <c r="D307" s="181"/>
      <c r="E307" s="181"/>
      <c r="F307" s="181"/>
      <c r="G307" s="181"/>
      <c r="H307" s="181"/>
      <c r="I307" s="181"/>
      <c r="J307" s="181"/>
      <c r="K307" s="181"/>
      <c r="L307" s="181"/>
      <c r="M307" s="181"/>
      <c r="N307" s="181"/>
      <c r="O307" s="181"/>
      <c r="P307" s="181"/>
      <c r="Q307" s="181"/>
    </row>
    <row r="308" spans="4:17" x14ac:dyDescent="0.2">
      <c r="D308" s="181"/>
      <c r="E308" s="181"/>
      <c r="F308" s="181"/>
      <c r="G308" s="181"/>
      <c r="H308" s="181"/>
      <c r="I308" s="181"/>
      <c r="J308" s="181"/>
      <c r="K308" s="181"/>
      <c r="L308" s="181"/>
      <c r="M308" s="181"/>
      <c r="N308" s="181"/>
      <c r="O308" s="181"/>
      <c r="P308" s="181"/>
      <c r="Q308" s="181"/>
    </row>
    <row r="309" spans="4:17" x14ac:dyDescent="0.2">
      <c r="D309" s="181"/>
      <c r="E309" s="181"/>
      <c r="F309" s="181"/>
      <c r="G309" s="181"/>
      <c r="H309" s="181"/>
      <c r="I309" s="181"/>
      <c r="J309" s="181"/>
      <c r="K309" s="181"/>
      <c r="L309" s="181"/>
      <c r="M309" s="181"/>
      <c r="N309" s="181"/>
      <c r="O309" s="181"/>
      <c r="P309" s="181"/>
      <c r="Q309" s="181"/>
    </row>
    <row r="310" spans="4:17" x14ac:dyDescent="0.2">
      <c r="D310" s="181"/>
      <c r="E310" s="181"/>
      <c r="F310" s="181"/>
      <c r="G310" s="181"/>
      <c r="H310" s="181"/>
      <c r="I310" s="181"/>
      <c r="J310" s="181"/>
      <c r="K310" s="181"/>
      <c r="L310" s="181"/>
      <c r="M310" s="181"/>
      <c r="N310" s="181"/>
      <c r="O310" s="181"/>
      <c r="P310" s="181"/>
      <c r="Q310" s="181"/>
    </row>
    <row r="311" spans="4:17" x14ac:dyDescent="0.2">
      <c r="D311" s="181"/>
      <c r="E311" s="181"/>
      <c r="F311" s="181"/>
      <c r="G311" s="181"/>
      <c r="H311" s="181"/>
      <c r="I311" s="181"/>
      <c r="J311" s="181"/>
      <c r="K311" s="181"/>
      <c r="L311" s="181"/>
      <c r="M311" s="181"/>
      <c r="N311" s="181"/>
      <c r="O311" s="181"/>
      <c r="P311" s="181"/>
      <c r="Q311" s="181"/>
    </row>
    <row r="312" spans="4:17" x14ac:dyDescent="0.2">
      <c r="D312" s="181"/>
      <c r="E312" s="181"/>
      <c r="F312" s="181"/>
      <c r="G312" s="181"/>
      <c r="H312" s="181"/>
      <c r="I312" s="181"/>
      <c r="J312" s="181"/>
      <c r="K312" s="181"/>
      <c r="L312" s="181"/>
      <c r="M312" s="181"/>
      <c r="N312" s="181"/>
      <c r="O312" s="181"/>
      <c r="P312" s="181"/>
      <c r="Q312" s="181"/>
    </row>
    <row r="313" spans="4:17" x14ac:dyDescent="0.2">
      <c r="D313" s="181"/>
      <c r="E313" s="181"/>
      <c r="F313" s="181"/>
      <c r="G313" s="181"/>
      <c r="H313" s="181"/>
      <c r="I313" s="181"/>
      <c r="J313" s="181"/>
      <c r="K313" s="181"/>
      <c r="L313" s="181"/>
      <c r="M313" s="181"/>
      <c r="N313" s="181"/>
      <c r="O313" s="181"/>
      <c r="P313" s="181"/>
      <c r="Q313" s="181"/>
    </row>
    <row r="314" spans="4:17" x14ac:dyDescent="0.2">
      <c r="D314" s="181"/>
      <c r="E314" s="181"/>
      <c r="F314" s="181"/>
      <c r="G314" s="181"/>
      <c r="H314" s="181"/>
      <c r="I314" s="181"/>
      <c r="J314" s="181"/>
      <c r="K314" s="181"/>
      <c r="L314" s="181"/>
      <c r="M314" s="181"/>
      <c r="N314" s="181"/>
      <c r="O314" s="181"/>
      <c r="P314" s="181"/>
      <c r="Q314" s="181"/>
    </row>
    <row r="315" spans="4:17" x14ac:dyDescent="0.2">
      <c r="D315" s="181"/>
      <c r="E315" s="181"/>
      <c r="F315" s="181"/>
      <c r="G315" s="181"/>
      <c r="H315" s="181"/>
      <c r="I315" s="181"/>
      <c r="J315" s="181"/>
      <c r="K315" s="181"/>
      <c r="L315" s="181"/>
      <c r="M315" s="181"/>
      <c r="N315" s="181"/>
      <c r="O315" s="181"/>
      <c r="P315" s="181"/>
      <c r="Q315" s="181"/>
    </row>
    <row r="316" spans="4:17" x14ac:dyDescent="0.2">
      <c r="D316" s="181"/>
      <c r="E316" s="181"/>
      <c r="F316" s="181"/>
      <c r="G316" s="181"/>
      <c r="H316" s="181"/>
      <c r="I316" s="181"/>
      <c r="J316" s="181"/>
      <c r="K316" s="181"/>
      <c r="L316" s="181"/>
      <c r="M316" s="181"/>
      <c r="N316" s="181"/>
      <c r="O316" s="181"/>
      <c r="P316" s="181"/>
      <c r="Q316" s="181"/>
    </row>
    <row r="317" spans="4:17" x14ac:dyDescent="0.2">
      <c r="D317" s="181"/>
      <c r="E317" s="181"/>
      <c r="F317" s="181"/>
      <c r="G317" s="181"/>
      <c r="H317" s="181"/>
      <c r="I317" s="181"/>
      <c r="J317" s="181"/>
      <c r="K317" s="181"/>
      <c r="L317" s="181"/>
      <c r="M317" s="181"/>
      <c r="N317" s="181"/>
      <c r="O317" s="181"/>
      <c r="P317" s="181"/>
      <c r="Q317" s="181"/>
    </row>
    <row r="318" spans="4:17" x14ac:dyDescent="0.2">
      <c r="D318" s="181"/>
      <c r="E318" s="181"/>
      <c r="F318" s="181"/>
      <c r="G318" s="181"/>
      <c r="H318" s="181"/>
      <c r="I318" s="181"/>
      <c r="J318" s="181"/>
      <c r="K318" s="181"/>
      <c r="L318" s="181"/>
      <c r="M318" s="181"/>
      <c r="N318" s="181"/>
      <c r="O318" s="181"/>
      <c r="P318" s="181"/>
      <c r="Q318" s="181"/>
    </row>
    <row r="319" spans="4:17" x14ac:dyDescent="0.2">
      <c r="D319" s="181"/>
      <c r="E319" s="181"/>
      <c r="F319" s="181"/>
      <c r="G319" s="181"/>
      <c r="H319" s="181"/>
      <c r="I319" s="181"/>
      <c r="J319" s="181"/>
      <c r="K319" s="181"/>
      <c r="L319" s="181"/>
      <c r="M319" s="181"/>
      <c r="N319" s="181"/>
      <c r="O319" s="181"/>
      <c r="P319" s="181"/>
      <c r="Q319" s="181"/>
    </row>
    <row r="320" spans="4:17" x14ac:dyDescent="0.2">
      <c r="D320" s="181"/>
      <c r="E320" s="181"/>
      <c r="F320" s="181"/>
      <c r="G320" s="181"/>
      <c r="H320" s="181"/>
      <c r="I320" s="181"/>
      <c r="J320" s="181"/>
      <c r="K320" s="181"/>
      <c r="L320" s="181"/>
      <c r="M320" s="181"/>
      <c r="N320" s="181"/>
      <c r="O320" s="181"/>
      <c r="P320" s="181"/>
      <c r="Q320" s="181"/>
    </row>
    <row r="321" spans="4:17" x14ac:dyDescent="0.2">
      <c r="D321" s="181"/>
      <c r="E321" s="181"/>
      <c r="F321" s="181"/>
      <c r="G321" s="181"/>
      <c r="H321" s="181"/>
      <c r="I321" s="181"/>
      <c r="J321" s="181"/>
      <c r="K321" s="181"/>
      <c r="L321" s="181"/>
      <c r="M321" s="181"/>
      <c r="N321" s="181"/>
      <c r="O321" s="181"/>
      <c r="P321" s="181"/>
      <c r="Q321" s="181"/>
    </row>
    <row r="322" spans="4:17" x14ac:dyDescent="0.2">
      <c r="D322" s="181"/>
      <c r="E322" s="181"/>
      <c r="F322" s="181"/>
      <c r="G322" s="181"/>
      <c r="H322" s="181"/>
      <c r="I322" s="181"/>
      <c r="J322" s="181"/>
      <c r="K322" s="181"/>
      <c r="L322" s="181"/>
      <c r="M322" s="181"/>
      <c r="N322" s="181"/>
      <c r="O322" s="181"/>
      <c r="P322" s="181"/>
      <c r="Q322" s="181"/>
    </row>
    <row r="323" spans="4:17" x14ac:dyDescent="0.2">
      <c r="D323" s="181"/>
      <c r="E323" s="181"/>
      <c r="F323" s="181"/>
      <c r="G323" s="181"/>
      <c r="H323" s="181"/>
      <c r="I323" s="181"/>
      <c r="J323" s="181"/>
      <c r="K323" s="181"/>
      <c r="L323" s="181"/>
      <c r="M323" s="181"/>
      <c r="N323" s="181"/>
      <c r="O323" s="181"/>
      <c r="P323" s="181"/>
      <c r="Q323" s="181"/>
    </row>
    <row r="324" spans="4:17" x14ac:dyDescent="0.2">
      <c r="D324" s="181"/>
      <c r="E324" s="181"/>
      <c r="F324" s="181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</row>
    <row r="325" spans="4:17" x14ac:dyDescent="0.2">
      <c r="D325" s="181"/>
      <c r="E325" s="181"/>
      <c r="F325" s="181"/>
      <c r="G325" s="181"/>
      <c r="H325" s="181"/>
      <c r="I325" s="181"/>
      <c r="J325" s="181"/>
      <c r="K325" s="181"/>
      <c r="L325" s="181"/>
      <c r="M325" s="181"/>
      <c r="N325" s="181"/>
      <c r="O325" s="181"/>
      <c r="P325" s="181"/>
      <c r="Q325" s="181"/>
    </row>
    <row r="326" spans="4:17" x14ac:dyDescent="0.2">
      <c r="D326" s="181"/>
      <c r="E326" s="181"/>
      <c r="F326" s="181"/>
      <c r="G326" s="181"/>
      <c r="H326" s="181"/>
      <c r="I326" s="181"/>
      <c r="J326" s="181"/>
      <c r="K326" s="181"/>
      <c r="L326" s="181"/>
      <c r="M326" s="181"/>
      <c r="N326" s="181"/>
      <c r="O326" s="181"/>
      <c r="P326" s="181"/>
      <c r="Q326" s="181"/>
    </row>
    <row r="327" spans="4:17" x14ac:dyDescent="0.2">
      <c r="D327" s="181"/>
      <c r="E327" s="181"/>
      <c r="F327" s="181"/>
      <c r="G327" s="181"/>
      <c r="H327" s="181"/>
      <c r="I327" s="181"/>
      <c r="J327" s="181"/>
      <c r="K327" s="181"/>
      <c r="L327" s="181"/>
      <c r="M327" s="181"/>
      <c r="N327" s="181"/>
      <c r="O327" s="181"/>
      <c r="P327" s="181"/>
      <c r="Q327" s="181"/>
    </row>
    <row r="328" spans="4:17" x14ac:dyDescent="0.2">
      <c r="D328" s="181"/>
      <c r="E328" s="181"/>
      <c r="F328" s="181"/>
      <c r="G328" s="181"/>
      <c r="H328" s="181"/>
      <c r="I328" s="181"/>
      <c r="J328" s="181"/>
      <c r="K328" s="181"/>
      <c r="L328" s="181"/>
      <c r="M328" s="181"/>
      <c r="N328" s="181"/>
      <c r="O328" s="181"/>
      <c r="P328" s="181"/>
      <c r="Q328" s="181"/>
    </row>
    <row r="329" spans="4:17" x14ac:dyDescent="0.2">
      <c r="D329" s="181"/>
      <c r="E329" s="181"/>
      <c r="F329" s="181"/>
      <c r="G329" s="181"/>
      <c r="H329" s="181"/>
      <c r="I329" s="181"/>
      <c r="J329" s="181"/>
      <c r="K329" s="181"/>
      <c r="L329" s="181"/>
      <c r="M329" s="181"/>
      <c r="N329" s="181"/>
      <c r="O329" s="181"/>
      <c r="P329" s="181"/>
      <c r="Q329" s="181"/>
    </row>
    <row r="330" spans="4:17" x14ac:dyDescent="0.2">
      <c r="D330" s="181"/>
      <c r="E330" s="181"/>
      <c r="F330" s="181"/>
      <c r="G330" s="181"/>
      <c r="H330" s="181"/>
      <c r="I330" s="181"/>
      <c r="J330" s="181"/>
      <c r="K330" s="181"/>
      <c r="L330" s="181"/>
      <c r="M330" s="181"/>
      <c r="N330" s="181"/>
      <c r="O330" s="181"/>
      <c r="P330" s="181"/>
      <c r="Q330" s="181"/>
    </row>
    <row r="331" spans="4:17" x14ac:dyDescent="0.2">
      <c r="D331" s="181"/>
      <c r="E331" s="181"/>
      <c r="F331" s="181"/>
      <c r="G331" s="181"/>
      <c r="H331" s="181"/>
      <c r="I331" s="181"/>
      <c r="J331" s="181"/>
      <c r="K331" s="181"/>
      <c r="L331" s="181"/>
      <c r="M331" s="181"/>
      <c r="N331" s="181"/>
      <c r="O331" s="181"/>
      <c r="P331" s="181"/>
      <c r="Q331" s="181"/>
    </row>
    <row r="332" spans="4:17" x14ac:dyDescent="0.2"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</row>
    <row r="333" spans="4:17" x14ac:dyDescent="0.2">
      <c r="D333" s="181"/>
      <c r="E333" s="181"/>
      <c r="F333" s="181"/>
      <c r="G333" s="181"/>
      <c r="H333" s="181"/>
      <c r="I333" s="181"/>
      <c r="J333" s="181"/>
      <c r="K333" s="181"/>
      <c r="L333" s="181"/>
      <c r="M333" s="181"/>
      <c r="N333" s="181"/>
      <c r="O333" s="181"/>
      <c r="P333" s="181"/>
      <c r="Q333" s="181"/>
    </row>
    <row r="334" spans="4:17" x14ac:dyDescent="0.2">
      <c r="D334" s="181"/>
      <c r="E334" s="181"/>
      <c r="F334" s="181"/>
      <c r="G334" s="181"/>
      <c r="H334" s="181"/>
      <c r="I334" s="181"/>
      <c r="J334" s="181"/>
      <c r="K334" s="181"/>
      <c r="L334" s="181"/>
      <c r="M334" s="181"/>
      <c r="N334" s="181"/>
      <c r="O334" s="181"/>
      <c r="P334" s="181"/>
      <c r="Q334" s="181"/>
    </row>
    <row r="335" spans="4:17" x14ac:dyDescent="0.2">
      <c r="D335" s="181"/>
      <c r="E335" s="181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</row>
  </sheetData>
  <mergeCells count="3">
    <mergeCell ref="B1:P1"/>
    <mergeCell ref="B2:P2"/>
    <mergeCell ref="B3:P3"/>
  </mergeCells>
  <printOptions horizontalCentered="1"/>
  <pageMargins left="0.45" right="0.45" top="0.75" bottom="0.75" header="0.3" footer="0.3"/>
  <pageSetup scale="68" fitToHeight="20" orientation="landscape" blackAndWhite="1" r:id="rId1"/>
  <headerFooter>
    <oddFooter>&amp;R&amp;F
&amp;A</oddFooter>
  </headerFooter>
  <customProperties>
    <customPr name="_pios_id" r:id="rId2"/>
  </customProperties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K19"/>
  <sheetViews>
    <sheetView topLeftCell="C1" workbookViewId="0">
      <selection activeCell="D8" sqref="D8:I19"/>
    </sheetView>
  </sheetViews>
  <sheetFormatPr defaultColWidth="7.85546875" defaultRowHeight="11.25" outlineLevelCol="1" x14ac:dyDescent="0.2"/>
  <cols>
    <col min="1" max="1" width="4.7109375" style="3" customWidth="1"/>
    <col min="2" max="2" width="41.85546875" style="3" bestFit="1" customWidth="1"/>
    <col min="3" max="3" width="40.140625" style="3" customWidth="1" outlineLevel="1"/>
    <col min="4" max="4" width="13.5703125" style="3" bestFit="1" customWidth="1"/>
    <col min="5" max="6" width="13.85546875" style="3" bestFit="1" customWidth="1"/>
    <col min="7" max="7" width="12.85546875" style="3" bestFit="1" customWidth="1"/>
    <col min="8" max="8" width="13.5703125" style="3" bestFit="1" customWidth="1"/>
    <col min="9" max="9" width="14.140625" style="3" bestFit="1" customWidth="1"/>
    <col min="10" max="10" width="3.140625" style="3" bestFit="1" customWidth="1"/>
    <col min="11" max="16384" width="7.85546875" style="3"/>
  </cols>
  <sheetData>
    <row r="1" spans="1:11" x14ac:dyDescent="0.2">
      <c r="A1" s="270" t="s">
        <v>477</v>
      </c>
      <c r="B1" s="271"/>
      <c r="C1" s="271"/>
      <c r="D1" s="271"/>
      <c r="E1" s="271"/>
      <c r="F1" s="271"/>
      <c r="G1" s="271"/>
      <c r="H1" s="271"/>
      <c r="I1" s="271"/>
    </row>
    <row r="2" spans="1:11" x14ac:dyDescent="0.2">
      <c r="A2" s="270" t="s">
        <v>478</v>
      </c>
      <c r="B2" s="271"/>
      <c r="C2" s="271"/>
      <c r="D2" s="271"/>
      <c r="E2" s="271"/>
      <c r="F2" s="271"/>
      <c r="G2" s="271"/>
      <c r="H2" s="271"/>
      <c r="I2" s="271"/>
    </row>
    <row r="3" spans="1:11" x14ac:dyDescent="0.2">
      <c r="A3" s="270" t="s">
        <v>479</v>
      </c>
      <c r="B3" s="271"/>
      <c r="C3" s="271"/>
      <c r="D3" s="271"/>
      <c r="E3" s="271"/>
      <c r="F3" s="271"/>
      <c r="G3" s="271"/>
      <c r="H3" s="271"/>
      <c r="I3" s="271"/>
    </row>
    <row r="4" spans="1:11" x14ac:dyDescent="0.2">
      <c r="A4" s="270" t="s">
        <v>480</v>
      </c>
      <c r="B4" s="271"/>
      <c r="C4" s="271"/>
      <c r="D4" s="271"/>
      <c r="E4" s="271"/>
      <c r="F4" s="271"/>
      <c r="G4" s="271"/>
      <c r="H4" s="271"/>
      <c r="I4" s="271"/>
    </row>
    <row r="5" spans="1:11" x14ac:dyDescent="0.2">
      <c r="B5" s="108"/>
      <c r="C5" s="108"/>
    </row>
    <row r="6" spans="1:11" x14ac:dyDescent="0.2">
      <c r="D6" s="411"/>
      <c r="E6" s="412" t="s">
        <v>470</v>
      </c>
      <c r="F6" s="413"/>
      <c r="G6" s="413"/>
      <c r="H6" s="414"/>
      <c r="I6" s="259"/>
    </row>
    <row r="7" spans="1:11" ht="49.5" customHeight="1" thickBot="1" x14ac:dyDescent="0.25">
      <c r="A7" s="110" t="s">
        <v>80</v>
      </c>
      <c r="B7" s="111" t="s">
        <v>342</v>
      </c>
      <c r="C7" s="112" t="s">
        <v>5</v>
      </c>
      <c r="D7" s="410" t="s">
        <v>471</v>
      </c>
      <c r="E7" s="415" t="s">
        <v>472</v>
      </c>
      <c r="F7" s="416" t="s">
        <v>473</v>
      </c>
      <c r="G7" s="416" t="s">
        <v>474</v>
      </c>
      <c r="H7" s="416" t="s">
        <v>475</v>
      </c>
      <c r="I7" s="409" t="s">
        <v>476</v>
      </c>
    </row>
    <row r="8" spans="1:11" ht="16.5" customHeight="1" x14ac:dyDescent="0.2">
      <c r="A8" s="113">
        <v>1</v>
      </c>
      <c r="B8" s="114" t="s">
        <v>381</v>
      </c>
      <c r="C8" s="405" t="s">
        <v>459</v>
      </c>
      <c r="D8" s="115"/>
      <c r="E8" s="116">
        <v>0</v>
      </c>
      <c r="F8" s="116">
        <v>0</v>
      </c>
      <c r="G8" s="116">
        <v>0</v>
      </c>
      <c r="H8" s="116">
        <v>0</v>
      </c>
      <c r="I8" s="116"/>
    </row>
    <row r="9" spans="1:11" x14ac:dyDescent="0.2">
      <c r="A9" s="117">
        <f t="shared" ref="A9:A19" si="0">+A8+1</f>
        <v>2</v>
      </c>
      <c r="B9" s="118" t="s">
        <v>382</v>
      </c>
      <c r="C9" s="406" t="s">
        <v>460</v>
      </c>
      <c r="D9" s="119">
        <v>2173327889.0222359</v>
      </c>
      <c r="E9" s="120">
        <v>2173327889.0222359</v>
      </c>
      <c r="F9" s="120">
        <v>2173327889.0222359</v>
      </c>
      <c r="G9" s="120">
        <v>2173327889.0222359</v>
      </c>
      <c r="H9" s="120">
        <v>2173327889.0222359</v>
      </c>
      <c r="I9" s="120">
        <v>2173327889.0222359</v>
      </c>
    </row>
    <row r="10" spans="1:11" x14ac:dyDescent="0.2">
      <c r="A10" s="117">
        <f t="shared" si="0"/>
        <v>3</v>
      </c>
      <c r="B10" s="118" t="s">
        <v>457</v>
      </c>
      <c r="C10" s="406" t="s">
        <v>461</v>
      </c>
      <c r="D10" s="425">
        <v>7.5083333333333321E-2</v>
      </c>
      <c r="E10" s="426">
        <v>7.5083333333333321E-2</v>
      </c>
      <c r="F10" s="426">
        <v>7.5083333333333321E-2</v>
      </c>
      <c r="G10" s="426">
        <v>7.5083333333333321E-2</v>
      </c>
      <c r="H10" s="426">
        <v>7.5083333333333321E-2</v>
      </c>
      <c r="I10" s="426">
        <v>7.5083333333333321E-2</v>
      </c>
    </row>
    <row r="11" spans="1:11" x14ac:dyDescent="0.2">
      <c r="A11" s="117">
        <f t="shared" si="0"/>
        <v>4</v>
      </c>
      <c r="B11" s="118" t="s">
        <v>86</v>
      </c>
      <c r="C11" s="407" t="s">
        <v>462</v>
      </c>
      <c r="D11" s="119">
        <v>163180702</v>
      </c>
      <c r="E11" s="120">
        <v>163180702</v>
      </c>
      <c r="F11" s="120">
        <v>163180702</v>
      </c>
      <c r="G11" s="120">
        <v>163180702</v>
      </c>
      <c r="H11" s="120">
        <v>163180702</v>
      </c>
      <c r="I11" s="120">
        <v>163180702</v>
      </c>
    </row>
    <row r="12" spans="1:11" x14ac:dyDescent="0.2">
      <c r="A12" s="117">
        <f t="shared" si="0"/>
        <v>5</v>
      </c>
      <c r="B12" s="118" t="s">
        <v>383</v>
      </c>
      <c r="C12" s="406" t="s">
        <v>459</v>
      </c>
      <c r="D12" s="115"/>
      <c r="E12" s="120">
        <v>-11298.038139999999</v>
      </c>
      <c r="F12" s="120">
        <v>-28102.181104549993</v>
      </c>
      <c r="G12" s="120">
        <v>729622</v>
      </c>
      <c r="H12" s="120">
        <v>401034.77114766091</v>
      </c>
      <c r="I12" s="120"/>
      <c r="J12" s="1"/>
    </row>
    <row r="13" spans="1:11" x14ac:dyDescent="0.2">
      <c r="A13" s="117">
        <f t="shared" si="0"/>
        <v>6</v>
      </c>
      <c r="B13" s="118" t="s">
        <v>384</v>
      </c>
      <c r="C13" s="406" t="s">
        <v>463</v>
      </c>
      <c r="D13" s="119">
        <v>132989920.16441631</v>
      </c>
      <c r="E13" s="120">
        <v>132978622.12627631</v>
      </c>
      <c r="F13" s="120">
        <v>132950519.94517176</v>
      </c>
      <c r="G13" s="120">
        <v>133680141.94517176</v>
      </c>
      <c r="H13" s="120">
        <v>134081176.71631941</v>
      </c>
      <c r="I13" s="120">
        <v>134081176.71631941</v>
      </c>
      <c r="J13" s="2"/>
      <c r="K13" s="1"/>
    </row>
    <row r="14" spans="1:11" x14ac:dyDescent="0.2">
      <c r="A14" s="117">
        <f t="shared" si="0"/>
        <v>7</v>
      </c>
      <c r="B14" s="118" t="s">
        <v>87</v>
      </c>
      <c r="C14" s="407" t="s">
        <v>464</v>
      </c>
      <c r="D14" s="121">
        <v>-30190782</v>
      </c>
      <c r="E14" s="122">
        <v>-30202080</v>
      </c>
      <c r="F14" s="122">
        <v>-30230182</v>
      </c>
      <c r="G14" s="122">
        <v>-29500560</v>
      </c>
      <c r="H14" s="122">
        <v>-29099525</v>
      </c>
      <c r="I14" s="122">
        <v>-29099525</v>
      </c>
    </row>
    <row r="15" spans="1:11" x14ac:dyDescent="0.2">
      <c r="A15" s="117">
        <f t="shared" si="0"/>
        <v>8</v>
      </c>
      <c r="B15" s="118" t="s">
        <v>385</v>
      </c>
      <c r="C15" s="407" t="s">
        <v>465</v>
      </c>
      <c r="D15" s="119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</row>
    <row r="16" spans="1:11" x14ac:dyDescent="0.2">
      <c r="A16" s="117">
        <f t="shared" si="0"/>
        <v>9</v>
      </c>
      <c r="B16" s="118" t="s">
        <v>386</v>
      </c>
      <c r="C16" s="407" t="s">
        <v>466</v>
      </c>
      <c r="D16" s="427">
        <v>0.5</v>
      </c>
      <c r="E16" s="427">
        <v>0.5</v>
      </c>
      <c r="F16" s="427">
        <v>0.5</v>
      </c>
      <c r="G16" s="427">
        <v>0.5</v>
      </c>
      <c r="H16" s="427">
        <v>0.5</v>
      </c>
      <c r="I16" s="427">
        <v>0.5</v>
      </c>
    </row>
    <row r="17" spans="1:9" x14ac:dyDescent="0.2">
      <c r="A17" s="117">
        <f t="shared" si="0"/>
        <v>10</v>
      </c>
      <c r="B17" s="118" t="s">
        <v>387</v>
      </c>
      <c r="C17" s="407" t="s">
        <v>467</v>
      </c>
      <c r="D17" s="123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</row>
    <row r="18" spans="1:9" x14ac:dyDescent="0.2">
      <c r="A18" s="117">
        <f t="shared" si="0"/>
        <v>11</v>
      </c>
      <c r="B18" s="118" t="s">
        <v>175</v>
      </c>
      <c r="C18" s="406" t="s">
        <v>468</v>
      </c>
      <c r="D18" s="428">
        <v>0.75408500000000001</v>
      </c>
      <c r="E18" s="429">
        <v>0.75408500000000001</v>
      </c>
      <c r="F18" s="429">
        <v>0.75408500000000001</v>
      </c>
      <c r="G18" s="429">
        <v>0.75408500000000001</v>
      </c>
      <c r="H18" s="429">
        <v>0.75408500000000001</v>
      </c>
      <c r="I18" s="429">
        <v>0.75408500000000001</v>
      </c>
    </row>
    <row r="19" spans="1:9" x14ac:dyDescent="0.2">
      <c r="A19" s="125">
        <f t="shared" si="0"/>
        <v>12</v>
      </c>
      <c r="B19" s="126" t="s">
        <v>458</v>
      </c>
      <c r="C19" s="408" t="s">
        <v>469</v>
      </c>
      <c r="D19" s="127">
        <v>0</v>
      </c>
      <c r="E19" s="128">
        <v>0</v>
      </c>
      <c r="F19" s="128">
        <v>0</v>
      </c>
      <c r="G19" s="128">
        <v>0</v>
      </c>
      <c r="H19" s="128">
        <v>0</v>
      </c>
      <c r="I19" s="430">
        <v>0</v>
      </c>
    </row>
  </sheetData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Q22"/>
  <sheetViews>
    <sheetView zoomScaleNormal="100" workbookViewId="0">
      <pane ySplit="7" topLeftCell="A8" activePane="bottomLeft" state="frozen"/>
      <selection pane="bottomLeft" activeCell="F14" sqref="F14"/>
    </sheetView>
  </sheetViews>
  <sheetFormatPr defaultColWidth="9.140625" defaultRowHeight="11.25" x14ac:dyDescent="0.2"/>
  <cols>
    <col min="1" max="1" width="5.28515625" style="90" customWidth="1"/>
    <col min="2" max="2" width="46.42578125" style="90" bestFit="1" customWidth="1"/>
    <col min="3" max="3" width="22.42578125" style="90" bestFit="1" customWidth="1"/>
    <col min="4" max="4" width="11.5703125" style="90" bestFit="1" customWidth="1"/>
    <col min="5" max="5" width="10.7109375" style="90" bestFit="1" customWidth="1"/>
    <col min="6" max="6" width="14.28515625" style="90" bestFit="1" customWidth="1"/>
    <col min="7" max="7" width="17.7109375" style="90" customWidth="1"/>
    <col min="8" max="8" width="14.5703125" style="90" bestFit="1" customWidth="1"/>
    <col min="9" max="9" width="9.140625" style="90"/>
    <col min="10" max="10" width="10.28515625" style="90" bestFit="1" customWidth="1"/>
    <col min="11" max="16384" width="9.140625" style="90"/>
  </cols>
  <sheetData>
    <row r="1" spans="1:17" x14ac:dyDescent="0.2">
      <c r="A1" s="431" t="s">
        <v>0</v>
      </c>
      <c r="B1" s="431"/>
      <c r="C1" s="431"/>
      <c r="D1" s="431"/>
      <c r="E1" s="431"/>
      <c r="F1" s="431"/>
      <c r="G1" s="5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">
      <c r="A2" s="431" t="s">
        <v>1</v>
      </c>
      <c r="B2" s="431"/>
      <c r="C2" s="431"/>
      <c r="D2" s="431"/>
      <c r="E2" s="431"/>
      <c r="F2" s="431"/>
      <c r="G2" s="5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">
      <c r="A3" s="431" t="s">
        <v>186</v>
      </c>
      <c r="B3" s="431"/>
      <c r="C3" s="431"/>
      <c r="D3" s="431"/>
      <c r="E3" s="431"/>
      <c r="F3" s="431"/>
      <c r="G3" s="5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x14ac:dyDescent="0.2">
      <c r="A4" s="5"/>
      <c r="B4" s="5"/>
      <c r="C4" s="5"/>
      <c r="D4" s="5"/>
      <c r="E4" s="5"/>
      <c r="F4" s="272"/>
      <c r="G4" s="272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x14ac:dyDescent="0.2">
      <c r="A5" s="43"/>
      <c r="B5" s="43"/>
      <c r="C5" s="43"/>
      <c r="D5" s="43"/>
      <c r="E5" s="43"/>
      <c r="F5" s="43"/>
      <c r="G5" s="43"/>
    </row>
    <row r="6" spans="1:17" ht="12.75" customHeight="1" x14ac:dyDescent="0.2">
      <c r="A6" s="216" t="s">
        <v>2</v>
      </c>
      <c r="B6" s="43"/>
      <c r="C6" s="43"/>
      <c r="D6" s="40" t="s">
        <v>3</v>
      </c>
      <c r="E6" s="40" t="s">
        <v>3</v>
      </c>
      <c r="F6" s="40" t="s">
        <v>3</v>
      </c>
      <c r="G6" s="43"/>
    </row>
    <row r="7" spans="1:17" x14ac:dyDescent="0.2">
      <c r="A7" s="217" t="s">
        <v>4</v>
      </c>
      <c r="B7" s="101"/>
      <c r="C7" s="218" t="s">
        <v>5</v>
      </c>
      <c r="D7" s="41" t="s">
        <v>6</v>
      </c>
      <c r="E7" s="41" t="s">
        <v>187</v>
      </c>
      <c r="F7" s="41" t="s">
        <v>188</v>
      </c>
    </row>
    <row r="8" spans="1:17" x14ac:dyDescent="0.2">
      <c r="A8" s="43"/>
      <c r="B8" s="44" t="s">
        <v>9</v>
      </c>
      <c r="C8" s="44" t="s">
        <v>10</v>
      </c>
      <c r="D8" s="44" t="s">
        <v>11</v>
      </c>
      <c r="E8" s="44" t="s">
        <v>12</v>
      </c>
      <c r="F8" s="44" t="s">
        <v>13</v>
      </c>
    </row>
    <row r="9" spans="1:17" x14ac:dyDescent="0.2">
      <c r="A9" s="44"/>
      <c r="B9" s="45"/>
      <c r="C9" s="44"/>
      <c r="D9" s="44"/>
      <c r="E9" s="44"/>
      <c r="F9" s="44"/>
    </row>
    <row r="10" spans="1:17" x14ac:dyDescent="0.2">
      <c r="A10" s="44">
        <v>1</v>
      </c>
      <c r="B10" s="43" t="s">
        <v>189</v>
      </c>
      <c r="C10" s="43" t="s">
        <v>396</v>
      </c>
      <c r="D10" s="102">
        <v>218607776.80000001</v>
      </c>
      <c r="E10" s="102">
        <v>73024947.290000007</v>
      </c>
      <c r="F10" s="102">
        <v>16847143.289999999</v>
      </c>
      <c r="H10" s="52"/>
    </row>
    <row r="11" spans="1:17" x14ac:dyDescent="0.2">
      <c r="A11" s="44">
        <f>A10+1</f>
        <v>2</v>
      </c>
      <c r="B11" s="43"/>
      <c r="C11" s="43"/>
      <c r="D11" s="43"/>
      <c r="E11" s="43"/>
      <c r="F11" s="43"/>
    </row>
    <row r="12" spans="1:17" x14ac:dyDescent="0.2">
      <c r="A12" s="44">
        <f t="shared" ref="A12:A14" si="0">A11+1</f>
        <v>3</v>
      </c>
      <c r="B12" s="43" t="s">
        <v>190</v>
      </c>
      <c r="C12" s="43" t="s">
        <v>397</v>
      </c>
      <c r="D12" s="219">
        <v>603105848.21000004</v>
      </c>
      <c r="E12" s="219">
        <v>228648146.23999998</v>
      </c>
      <c r="F12" s="219">
        <v>92683022.778000012</v>
      </c>
    </row>
    <row r="13" spans="1:17" x14ac:dyDescent="0.2">
      <c r="A13" s="44">
        <f t="shared" si="0"/>
        <v>4</v>
      </c>
      <c r="B13" s="43"/>
      <c r="C13" s="43"/>
      <c r="D13" s="220"/>
      <c r="E13" s="220"/>
      <c r="F13" s="220"/>
    </row>
    <row r="14" spans="1:17" x14ac:dyDescent="0.2">
      <c r="A14" s="44">
        <f t="shared" si="0"/>
        <v>5</v>
      </c>
      <c r="B14" s="43" t="s">
        <v>191</v>
      </c>
      <c r="C14" s="44" t="str">
        <f>"("&amp;A10&amp;") / ("&amp;A12&amp;")"</f>
        <v>(1) / (3)</v>
      </c>
      <c r="D14" s="221">
        <f>ROUND(D10/D12,5)</f>
        <v>0.36247000000000001</v>
      </c>
      <c r="E14" s="221">
        <f t="shared" ref="E14:F14" si="1">ROUND(E10/E12,5)</f>
        <v>0.31938</v>
      </c>
      <c r="F14" s="221">
        <f t="shared" si="1"/>
        <v>0.18176999999999999</v>
      </c>
    </row>
    <row r="15" spans="1:17" x14ac:dyDescent="0.2">
      <c r="A15" s="43"/>
      <c r="B15" s="43"/>
      <c r="C15" s="43"/>
      <c r="D15" s="318"/>
      <c r="E15" s="318"/>
      <c r="F15" s="318"/>
      <c r="G15" s="318"/>
      <c r="H15" s="43"/>
    </row>
    <row r="16" spans="1:17" x14ac:dyDescent="0.2">
      <c r="A16" s="43"/>
      <c r="B16" s="43" t="s">
        <v>192</v>
      </c>
      <c r="C16" s="43"/>
      <c r="D16" s="20"/>
      <c r="E16" s="219"/>
      <c r="F16" s="219"/>
      <c r="G16" s="20"/>
      <c r="H16" s="43"/>
    </row>
    <row r="17" spans="1:8" x14ac:dyDescent="0.2">
      <c r="A17" s="43"/>
      <c r="C17" s="43"/>
      <c r="D17" s="43"/>
      <c r="E17" s="43"/>
      <c r="F17" s="43"/>
      <c r="G17" s="43"/>
      <c r="H17" s="43"/>
    </row>
    <row r="18" spans="1:8" x14ac:dyDescent="0.2">
      <c r="D18" s="319"/>
      <c r="E18" s="319"/>
      <c r="F18" s="319"/>
      <c r="G18" s="319"/>
    </row>
    <row r="19" spans="1:8" x14ac:dyDescent="0.2">
      <c r="D19" s="319"/>
      <c r="E19" s="319"/>
      <c r="F19" s="319"/>
      <c r="G19" s="319"/>
    </row>
    <row r="20" spans="1:8" x14ac:dyDescent="0.2">
      <c r="D20" s="319"/>
      <c r="E20" s="319"/>
      <c r="F20" s="319"/>
      <c r="G20" s="319"/>
    </row>
    <row r="21" spans="1:8" x14ac:dyDescent="0.2">
      <c r="D21" s="319"/>
      <c r="E21" s="319"/>
      <c r="F21" s="319"/>
      <c r="G21" s="319"/>
    </row>
    <row r="22" spans="1:8" x14ac:dyDescent="0.2">
      <c r="D22" s="319"/>
      <c r="E22" s="319"/>
      <c r="F22" s="319"/>
      <c r="G22" s="319"/>
    </row>
  </sheetData>
  <mergeCells count="3">
    <mergeCell ref="A1:F1"/>
    <mergeCell ref="A2:F2"/>
    <mergeCell ref="A3:F3"/>
  </mergeCells>
  <printOptions horizontalCentered="1"/>
  <pageMargins left="0.45" right="0.45" top="0.75" bottom="0.75" header="0.3" footer="0.3"/>
  <pageSetup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D22"/>
  <sheetViews>
    <sheetView workbookViewId="0">
      <selection activeCell="D18" sqref="D18"/>
    </sheetView>
  </sheetViews>
  <sheetFormatPr defaultColWidth="8.85546875" defaultRowHeight="11.25" x14ac:dyDescent="0.2"/>
  <cols>
    <col min="1" max="1" width="9" style="90" customWidth="1"/>
    <col min="2" max="2" width="47.28515625" style="90" bestFit="1" customWidth="1"/>
    <col min="3" max="3" width="6.28515625" style="90" bestFit="1" customWidth="1"/>
    <col min="4" max="4" width="11" style="90" customWidth="1"/>
    <col min="5" max="16384" width="8.85546875" style="90"/>
  </cols>
  <sheetData>
    <row r="1" spans="1:4" x14ac:dyDescent="0.2">
      <c r="A1" s="259"/>
      <c r="B1" s="109"/>
      <c r="C1" s="109"/>
      <c r="D1" s="312" t="s">
        <v>413</v>
      </c>
    </row>
    <row r="2" spans="1:4" x14ac:dyDescent="0.2">
      <c r="A2" s="259"/>
      <c r="B2" s="109"/>
      <c r="C2" s="109"/>
      <c r="D2" s="312"/>
    </row>
    <row r="3" spans="1:4" x14ac:dyDescent="0.2">
      <c r="A3" s="313" t="s">
        <v>414</v>
      </c>
      <c r="B3" s="313"/>
      <c r="C3" s="313"/>
      <c r="D3" s="313"/>
    </row>
    <row r="4" spans="1:4" x14ac:dyDescent="0.2">
      <c r="A4" s="314" t="s">
        <v>230</v>
      </c>
      <c r="B4" s="313"/>
      <c r="C4" s="313"/>
      <c r="D4" s="313"/>
    </row>
    <row r="5" spans="1:4" x14ac:dyDescent="0.2">
      <c r="A5" s="315" t="s">
        <v>415</v>
      </c>
      <c r="B5" s="314"/>
      <c r="C5" s="314"/>
      <c r="D5" s="314"/>
    </row>
    <row r="6" spans="1:4" x14ac:dyDescent="0.2">
      <c r="A6" s="313" t="s">
        <v>416</v>
      </c>
      <c r="B6" s="316"/>
      <c r="C6" s="316"/>
      <c r="D6" s="316"/>
    </row>
    <row r="7" spans="1:4" x14ac:dyDescent="0.2">
      <c r="A7" s="317" t="s">
        <v>417</v>
      </c>
      <c r="B7" s="313"/>
      <c r="C7" s="313"/>
      <c r="D7" s="313"/>
    </row>
    <row r="8" spans="1:4" x14ac:dyDescent="0.2">
      <c r="A8" s="313"/>
      <c r="B8" s="313"/>
      <c r="C8" s="313"/>
      <c r="D8" s="313"/>
    </row>
    <row r="9" spans="1:4" x14ac:dyDescent="0.2">
      <c r="A9" s="260" t="s">
        <v>231</v>
      </c>
      <c r="B9" s="259"/>
      <c r="C9" s="259"/>
      <c r="D9" s="259"/>
    </row>
    <row r="10" spans="1:4" x14ac:dyDescent="0.2">
      <c r="A10" s="41" t="s">
        <v>232</v>
      </c>
      <c r="B10" s="261" t="s">
        <v>233</v>
      </c>
      <c r="C10" s="41" t="s">
        <v>234</v>
      </c>
      <c r="D10" s="41" t="s">
        <v>235</v>
      </c>
    </row>
    <row r="11" spans="1:4" x14ac:dyDescent="0.2">
      <c r="A11" s="109"/>
      <c r="B11" s="109"/>
      <c r="C11" s="109"/>
      <c r="D11" s="109"/>
    </row>
    <row r="12" spans="1:4" x14ac:dyDescent="0.2">
      <c r="A12" s="262">
        <v>1</v>
      </c>
      <c r="B12" s="263" t="s">
        <v>236</v>
      </c>
      <c r="C12" s="249"/>
      <c r="D12" s="249">
        <v>5.1399999999999996E-3</v>
      </c>
    </row>
    <row r="13" spans="1:4" x14ac:dyDescent="0.2">
      <c r="A13" s="262">
        <v>2</v>
      </c>
      <c r="B13" s="263" t="s">
        <v>237</v>
      </c>
      <c r="C13" s="249"/>
      <c r="D13" s="249">
        <v>2E-3</v>
      </c>
    </row>
    <row r="14" spans="1:4" x14ac:dyDescent="0.2">
      <c r="A14" s="262">
        <v>3</v>
      </c>
      <c r="B14" s="263" t="s">
        <v>238</v>
      </c>
      <c r="C14" s="250">
        <v>3.8519999999999999E-2</v>
      </c>
      <c r="D14" s="251">
        <f>ROUND(C14-(C14*D12),6)</f>
        <v>3.8322000000000002E-2</v>
      </c>
    </row>
    <row r="15" spans="1:4" x14ac:dyDescent="0.2">
      <c r="A15" s="262">
        <v>4</v>
      </c>
      <c r="B15" s="263"/>
      <c r="C15" s="249"/>
      <c r="D15" s="249"/>
    </row>
    <row r="16" spans="1:4" x14ac:dyDescent="0.2">
      <c r="A16" s="262">
        <v>5</v>
      </c>
      <c r="B16" s="263" t="s">
        <v>239</v>
      </c>
      <c r="C16" s="249"/>
      <c r="D16" s="249">
        <f>SUM(D12:D15)</f>
        <v>4.5462000000000002E-2</v>
      </c>
    </row>
    <row r="17" spans="1:4" x14ac:dyDescent="0.2">
      <c r="A17" s="262">
        <v>6</v>
      </c>
      <c r="B17" s="264"/>
      <c r="C17" s="252"/>
      <c r="D17" s="252"/>
    </row>
    <row r="18" spans="1:4" x14ac:dyDescent="0.2">
      <c r="A18" s="262">
        <v>7</v>
      </c>
      <c r="B18" s="264" t="s">
        <v>240</v>
      </c>
      <c r="C18" s="253"/>
      <c r="D18" s="249">
        <f>ROUND(1-D16,6)</f>
        <v>0.954538</v>
      </c>
    </row>
    <row r="19" spans="1:4" x14ac:dyDescent="0.2">
      <c r="A19" s="262">
        <v>8</v>
      </c>
      <c r="B19" s="263" t="s">
        <v>241</v>
      </c>
      <c r="C19" s="254">
        <v>0.21</v>
      </c>
      <c r="D19" s="255">
        <f>ROUND(D18*C19,6)</f>
        <v>0.20045299999999999</v>
      </c>
    </row>
    <row r="20" spans="1:4" x14ac:dyDescent="0.2">
      <c r="A20" s="262">
        <v>9</v>
      </c>
      <c r="B20" s="265"/>
      <c r="C20" s="256"/>
      <c r="D20" s="257"/>
    </row>
    <row r="21" spans="1:4" ht="12" thickBot="1" x14ac:dyDescent="0.25">
      <c r="A21" s="262">
        <v>10</v>
      </c>
      <c r="B21" s="265" t="s">
        <v>230</v>
      </c>
      <c r="C21" s="256"/>
      <c r="D21" s="258">
        <f>D18-D19</f>
        <v>0.75408500000000001</v>
      </c>
    </row>
    <row r="22" spans="1:4" ht="12" thickTop="1" x14ac:dyDescent="0.2"/>
  </sheetData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X112"/>
  <sheetViews>
    <sheetView zoomScaleNormal="100" workbookViewId="0">
      <selection activeCell="G20" sqref="G20"/>
    </sheetView>
  </sheetViews>
  <sheetFormatPr defaultColWidth="9.140625" defaultRowHeight="11.25" x14ac:dyDescent="0.2"/>
  <cols>
    <col min="1" max="1" width="5.28515625" style="8" customWidth="1"/>
    <col min="2" max="2" width="3.28515625" style="7" customWidth="1"/>
    <col min="3" max="3" width="43" style="72" customWidth="1"/>
    <col min="4" max="4" width="6.5703125" style="72" bestFit="1" customWidth="1"/>
    <col min="5" max="5" width="9.140625" style="72" customWidth="1"/>
    <col min="6" max="6" width="0.7109375" style="7" customWidth="1"/>
    <col min="7" max="7" width="11.28515625" style="7" bestFit="1" customWidth="1"/>
    <col min="8" max="8" width="0.7109375" style="7" customWidth="1"/>
    <col min="9" max="9" width="14.140625" style="7" bestFit="1" customWidth="1"/>
    <col min="10" max="10" width="0.7109375" style="7" customWidth="1"/>
    <col min="11" max="11" width="13.5703125" style="7" bestFit="1" customWidth="1"/>
    <col min="12" max="12" width="9.140625" style="7" customWidth="1"/>
    <col min="13" max="13" width="10.28515625" style="7" bestFit="1" customWidth="1"/>
    <col min="14" max="14" width="11.7109375" style="7" bestFit="1" customWidth="1"/>
    <col min="15" max="15" width="12.140625" style="7" bestFit="1" customWidth="1"/>
    <col min="16" max="16384" width="9.140625" style="7"/>
  </cols>
  <sheetData>
    <row r="1" spans="1:24" x14ac:dyDescent="0.2">
      <c r="A1" s="435" t="s">
        <v>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54"/>
      <c r="M1" s="55"/>
      <c r="N1" s="55"/>
      <c r="O1" s="56"/>
      <c r="P1" s="55"/>
      <c r="Q1" s="55"/>
      <c r="R1" s="55"/>
      <c r="S1" s="55"/>
      <c r="T1" s="55"/>
      <c r="U1" s="55"/>
    </row>
    <row r="2" spans="1:24" x14ac:dyDescent="0.2">
      <c r="A2" s="436" t="str">
        <f>'Delivery Rate Change Calc'!A2:F2</f>
        <v>2020 Gas Decoupling Filing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54"/>
      <c r="M2" s="55"/>
      <c r="N2" s="55"/>
      <c r="O2" s="56"/>
      <c r="P2" s="55"/>
      <c r="Q2" s="55"/>
      <c r="R2" s="55"/>
      <c r="S2" s="55"/>
      <c r="T2" s="55"/>
      <c r="U2" s="55"/>
    </row>
    <row r="3" spans="1:24" x14ac:dyDescent="0.2">
      <c r="A3" s="435" t="s">
        <v>343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54"/>
      <c r="M3" s="57"/>
      <c r="N3" s="55"/>
      <c r="O3" s="56"/>
      <c r="P3" s="55"/>
      <c r="Q3" s="55"/>
      <c r="R3" s="55"/>
      <c r="S3" s="55"/>
      <c r="T3" s="55"/>
      <c r="U3" s="55"/>
    </row>
    <row r="4" spans="1:24" x14ac:dyDescent="0.2">
      <c r="A4" s="436" t="str">
        <f>'Delivery Rate Change Calc'!A4:F4</f>
        <v>Proposed Effective May 1, 2020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54"/>
      <c r="M4" s="57"/>
      <c r="N4" s="55"/>
      <c r="O4" s="56"/>
      <c r="P4" s="55"/>
      <c r="Q4" s="55"/>
      <c r="R4" s="55"/>
      <c r="S4" s="55"/>
      <c r="T4" s="55"/>
      <c r="U4" s="55"/>
    </row>
    <row r="5" spans="1:24" x14ac:dyDescent="0.2">
      <c r="B5" s="58"/>
      <c r="C5" s="59"/>
      <c r="D5" s="59"/>
      <c r="E5" s="59"/>
      <c r="F5" s="59"/>
      <c r="G5" s="59"/>
      <c r="H5" s="59"/>
      <c r="I5" s="59"/>
      <c r="J5" s="59"/>
      <c r="K5" s="59"/>
      <c r="L5" s="60"/>
      <c r="M5" s="14"/>
      <c r="N5" s="14"/>
      <c r="O5" s="61"/>
      <c r="P5" s="14"/>
      <c r="Q5" s="14"/>
      <c r="R5" s="14"/>
      <c r="S5" s="14"/>
      <c r="T5" s="14"/>
      <c r="U5" s="14"/>
      <c r="V5" s="4"/>
      <c r="W5" s="4"/>
      <c r="X5" s="4"/>
    </row>
    <row r="6" spans="1:24" x14ac:dyDescent="0.2">
      <c r="B6" s="62"/>
      <c r="C6" s="62"/>
      <c r="D6" s="62"/>
      <c r="E6" s="62"/>
      <c r="F6" s="63"/>
      <c r="G6" s="63"/>
      <c r="H6" s="63"/>
      <c r="I6" s="63"/>
      <c r="J6" s="63"/>
      <c r="K6" s="60"/>
      <c r="L6" s="60"/>
      <c r="M6" s="14"/>
      <c r="N6" s="14"/>
      <c r="O6" s="61"/>
      <c r="P6" s="14"/>
      <c r="Q6" s="14"/>
      <c r="R6" s="14"/>
      <c r="S6" s="14"/>
      <c r="T6" s="14"/>
      <c r="U6" s="14"/>
      <c r="V6" s="4"/>
      <c r="W6" s="4"/>
      <c r="X6" s="4"/>
    </row>
    <row r="7" spans="1:24" x14ac:dyDescent="0.2">
      <c r="A7" s="356" t="s">
        <v>2</v>
      </c>
      <c r="B7" s="4"/>
      <c r="C7" s="396"/>
      <c r="D7" s="396"/>
      <c r="E7" s="225" t="s">
        <v>398</v>
      </c>
      <c r="F7" s="397"/>
      <c r="G7" s="398" t="s">
        <v>94</v>
      </c>
      <c r="H7" s="398"/>
      <c r="I7" s="62" t="s">
        <v>95</v>
      </c>
      <c r="J7" s="14"/>
      <c r="K7" s="396" t="s">
        <v>96</v>
      </c>
      <c r="L7" s="65"/>
      <c r="M7" s="55"/>
      <c r="N7" s="55"/>
      <c r="O7" s="55"/>
      <c r="P7" s="55"/>
      <c r="Q7" s="55"/>
      <c r="R7" s="55"/>
      <c r="S7" s="55"/>
      <c r="T7" s="55"/>
      <c r="U7" s="55"/>
    </row>
    <row r="8" spans="1:24" x14ac:dyDescent="0.2">
      <c r="A8" s="67" t="s">
        <v>4</v>
      </c>
      <c r="B8" s="399"/>
      <c r="C8" s="323"/>
      <c r="D8" s="323" t="s">
        <v>97</v>
      </c>
      <c r="E8" s="323" t="s">
        <v>98</v>
      </c>
      <c r="F8" s="400"/>
      <c r="G8" s="401" t="s">
        <v>99</v>
      </c>
      <c r="H8" s="398"/>
      <c r="I8" s="325" t="s">
        <v>100</v>
      </c>
      <c r="J8" s="14"/>
      <c r="K8" s="323" t="s">
        <v>101</v>
      </c>
      <c r="L8" s="65"/>
      <c r="M8" s="69"/>
      <c r="N8" s="69"/>
      <c r="O8" s="57"/>
      <c r="P8" s="55"/>
      <c r="Q8" s="55"/>
      <c r="R8" s="55"/>
      <c r="S8" s="55"/>
      <c r="T8" s="55"/>
      <c r="U8" s="55"/>
    </row>
    <row r="9" spans="1:24" x14ac:dyDescent="0.2">
      <c r="A9" s="71"/>
      <c r="B9" s="72"/>
      <c r="C9" s="65" t="s">
        <v>9</v>
      </c>
      <c r="D9" s="65" t="s">
        <v>10</v>
      </c>
      <c r="E9" s="65" t="s">
        <v>11</v>
      </c>
      <c r="F9" s="73"/>
      <c r="G9" s="66" t="s">
        <v>12</v>
      </c>
      <c r="H9" s="66"/>
      <c r="I9" s="74" t="s">
        <v>102</v>
      </c>
      <c r="J9" s="74"/>
      <c r="K9" s="74" t="s">
        <v>103</v>
      </c>
      <c r="L9" s="65"/>
      <c r="M9" s="55"/>
      <c r="N9" s="55"/>
      <c r="O9" s="55"/>
      <c r="P9" s="55"/>
      <c r="Q9" s="55"/>
      <c r="R9" s="55"/>
      <c r="S9" s="55"/>
      <c r="T9" s="55"/>
      <c r="U9" s="55"/>
    </row>
    <row r="10" spans="1:24" x14ac:dyDescent="0.2">
      <c r="A10" s="44"/>
      <c r="B10" s="72"/>
      <c r="E10" s="75"/>
      <c r="F10" s="76"/>
      <c r="G10" s="77"/>
      <c r="H10" s="76"/>
      <c r="I10" s="78"/>
      <c r="M10" s="79"/>
      <c r="N10" s="79"/>
      <c r="O10" s="79"/>
    </row>
    <row r="11" spans="1:24" x14ac:dyDescent="0.2">
      <c r="A11" s="44">
        <v>1</v>
      </c>
      <c r="B11" s="80" t="s">
        <v>104</v>
      </c>
      <c r="C11" s="7"/>
      <c r="D11" s="81"/>
      <c r="E11" s="82"/>
      <c r="F11" s="76"/>
      <c r="G11" s="77"/>
      <c r="H11" s="76"/>
      <c r="I11" s="83"/>
      <c r="M11" s="79"/>
      <c r="N11" s="79"/>
      <c r="O11" s="79"/>
    </row>
    <row r="12" spans="1:24" x14ac:dyDescent="0.2">
      <c r="A12" s="44">
        <f>A11+1</f>
        <v>2</v>
      </c>
      <c r="C12" s="83" t="s">
        <v>105</v>
      </c>
      <c r="D12" s="72" t="s">
        <v>48</v>
      </c>
      <c r="E12" s="84">
        <v>0.31009999999999999</v>
      </c>
      <c r="F12" s="237"/>
      <c r="G12" s="242">
        <f>'Delivery Rate Change Calc'!E36</f>
        <v>-2.3128994999157094E-2</v>
      </c>
      <c r="H12" s="237"/>
      <c r="I12" s="85">
        <f>ROUND(E12*(1+G12),5)</f>
        <v>0.30292999999999998</v>
      </c>
      <c r="J12" s="238"/>
      <c r="K12" s="239">
        <f>I12-E12</f>
        <v>-7.1700000000000097E-3</v>
      </c>
      <c r="M12" s="79"/>
      <c r="N12" s="79"/>
      <c r="O12" s="79"/>
    </row>
    <row r="13" spans="1:24" x14ac:dyDescent="0.2">
      <c r="A13" s="44">
        <f t="shared" ref="A13:A51" si="0">A12+1</f>
        <v>3</v>
      </c>
      <c r="C13" s="83"/>
      <c r="E13" s="84"/>
      <c r="F13" s="237"/>
      <c r="G13" s="243"/>
      <c r="H13" s="237"/>
      <c r="I13" s="85"/>
      <c r="J13" s="240"/>
      <c r="K13" s="240"/>
      <c r="M13" s="79"/>
      <c r="N13" s="79"/>
      <c r="O13" s="79"/>
    </row>
    <row r="14" spans="1:24" x14ac:dyDescent="0.2">
      <c r="A14" s="44">
        <f t="shared" si="0"/>
        <v>4</v>
      </c>
      <c r="C14" s="83" t="s">
        <v>106</v>
      </c>
      <c r="D14" s="72" t="s">
        <v>48</v>
      </c>
      <c r="E14" s="84">
        <v>9.2800000000000001E-3</v>
      </c>
      <c r="F14" s="237"/>
      <c r="G14" s="243">
        <f>$G$12</f>
        <v>-2.3128994999157094E-2</v>
      </c>
      <c r="H14" s="237"/>
      <c r="I14" s="85">
        <f>ROUND(E14*(1+G14),5)</f>
        <v>9.0699999999999999E-3</v>
      </c>
      <c r="J14" s="238"/>
      <c r="K14" s="239">
        <f>I14-E14</f>
        <v>-2.1000000000000012E-4</v>
      </c>
      <c r="M14" s="79"/>
      <c r="N14" s="79"/>
      <c r="O14" s="79"/>
    </row>
    <row r="15" spans="1:24" x14ac:dyDescent="0.2">
      <c r="A15" s="44">
        <f t="shared" si="0"/>
        <v>5</v>
      </c>
      <c r="C15" s="87"/>
      <c r="D15" s="81"/>
      <c r="E15" s="84"/>
      <c r="F15" s="237"/>
      <c r="G15" s="243"/>
      <c r="H15" s="237"/>
      <c r="I15" s="85"/>
      <c r="J15" s="240"/>
      <c r="K15" s="240"/>
      <c r="M15" s="79"/>
      <c r="N15" s="79"/>
      <c r="O15" s="79"/>
    </row>
    <row r="16" spans="1:24" x14ac:dyDescent="0.2">
      <c r="A16" s="44">
        <f t="shared" si="0"/>
        <v>6</v>
      </c>
      <c r="B16" s="80" t="s">
        <v>107</v>
      </c>
      <c r="C16" s="8"/>
      <c r="D16" s="81"/>
      <c r="E16" s="84"/>
      <c r="F16" s="241"/>
      <c r="G16" s="243"/>
      <c r="H16" s="241"/>
      <c r="I16" s="85"/>
      <c r="J16" s="238"/>
      <c r="K16" s="238"/>
      <c r="M16" s="79"/>
      <c r="N16" s="79"/>
      <c r="O16" s="79"/>
    </row>
    <row r="17" spans="1:15" x14ac:dyDescent="0.2">
      <c r="A17" s="44">
        <f t="shared" si="0"/>
        <v>7</v>
      </c>
      <c r="B17" s="83"/>
      <c r="C17" s="83" t="s">
        <v>105</v>
      </c>
      <c r="D17" s="72" t="s">
        <v>48</v>
      </c>
      <c r="E17" s="84">
        <v>0.30331000000000002</v>
      </c>
      <c r="F17" s="237"/>
      <c r="G17" s="243">
        <f>$G$12</f>
        <v>-2.3128994999157094E-2</v>
      </c>
      <c r="H17" s="237"/>
      <c r="I17" s="85">
        <f>ROUND(E17*(1+G17),5)</f>
        <v>0.29629</v>
      </c>
      <c r="J17" s="238"/>
      <c r="K17" s="239">
        <f>I17-E17</f>
        <v>-7.0200000000000262E-3</v>
      </c>
      <c r="M17" s="79"/>
      <c r="N17" s="79"/>
      <c r="O17" s="79"/>
    </row>
    <row r="18" spans="1:15" x14ac:dyDescent="0.2">
      <c r="A18" s="44">
        <f t="shared" si="0"/>
        <v>8</v>
      </c>
      <c r="B18" s="72"/>
      <c r="C18" s="81"/>
      <c r="D18" s="81"/>
      <c r="E18" s="85"/>
      <c r="F18" s="237"/>
      <c r="G18" s="243"/>
      <c r="H18" s="237"/>
      <c r="I18" s="85"/>
      <c r="J18" s="240"/>
      <c r="K18" s="240"/>
      <c r="M18" s="79"/>
      <c r="N18" s="79"/>
      <c r="O18" s="79"/>
    </row>
    <row r="19" spans="1:15" x14ac:dyDescent="0.2">
      <c r="A19" s="44">
        <f t="shared" si="0"/>
        <v>9</v>
      </c>
      <c r="B19" s="80" t="s">
        <v>108</v>
      </c>
      <c r="C19" s="7"/>
      <c r="D19" s="81"/>
      <c r="E19" s="84"/>
      <c r="F19" s="237"/>
      <c r="G19" s="243"/>
      <c r="H19" s="237"/>
      <c r="I19" s="85"/>
      <c r="J19" s="240"/>
      <c r="K19" s="240"/>
      <c r="M19" s="79"/>
      <c r="N19" s="79"/>
      <c r="O19" s="79"/>
    </row>
    <row r="20" spans="1:15" x14ac:dyDescent="0.2">
      <c r="A20" s="44">
        <f t="shared" si="0"/>
        <v>10</v>
      </c>
      <c r="C20" s="83" t="s">
        <v>109</v>
      </c>
      <c r="D20" s="72" t="s">
        <v>48</v>
      </c>
      <c r="E20" s="245">
        <v>1.25</v>
      </c>
      <c r="F20" s="237"/>
      <c r="G20" s="242">
        <f>'Delivery Rate Change Calc'!F36</f>
        <v>-7.0534028743172494E-2</v>
      </c>
      <c r="H20" s="237"/>
      <c r="I20" s="86">
        <f>ROUND(E20*(1+G20),2)</f>
        <v>1.1599999999999999</v>
      </c>
      <c r="J20" s="246"/>
      <c r="K20" s="247">
        <f>I20-E20</f>
        <v>-9.000000000000008E-2</v>
      </c>
      <c r="M20" s="79"/>
      <c r="N20" s="79"/>
      <c r="O20" s="79"/>
    </row>
    <row r="21" spans="1:15" x14ac:dyDescent="0.2">
      <c r="A21" s="44">
        <f t="shared" si="0"/>
        <v>11</v>
      </c>
      <c r="C21" s="83"/>
      <c r="E21" s="84"/>
      <c r="F21" s="237"/>
      <c r="G21" s="243"/>
      <c r="H21" s="237"/>
      <c r="I21" s="85"/>
      <c r="J21" s="240"/>
      <c r="K21" s="240"/>
      <c r="M21" s="79"/>
      <c r="N21" s="79"/>
      <c r="O21" s="79"/>
    </row>
    <row r="22" spans="1:15" x14ac:dyDescent="0.2">
      <c r="A22" s="44">
        <f t="shared" si="0"/>
        <v>12</v>
      </c>
      <c r="C22" s="83" t="s">
        <v>110</v>
      </c>
      <c r="E22" s="84"/>
      <c r="F22" s="237"/>
      <c r="G22" s="243"/>
      <c r="H22" s="237"/>
      <c r="I22" s="85"/>
      <c r="J22" s="240"/>
      <c r="K22" s="240"/>
      <c r="M22" s="79"/>
      <c r="N22" s="79"/>
      <c r="O22" s="79"/>
    </row>
    <row r="23" spans="1:15" x14ac:dyDescent="0.2">
      <c r="A23" s="44">
        <f t="shared" si="0"/>
        <v>13</v>
      </c>
      <c r="C23" s="90" t="s">
        <v>449</v>
      </c>
      <c r="D23" s="72" t="s">
        <v>48</v>
      </c>
      <c r="E23" s="394">
        <v>0</v>
      </c>
      <c r="F23" s="237"/>
      <c r="G23" s="243">
        <f>$G$20</f>
        <v>-7.0534028743172494E-2</v>
      </c>
      <c r="H23" s="237"/>
      <c r="I23" s="85">
        <f>ROUND(E23*(1+G23),5)</f>
        <v>0</v>
      </c>
      <c r="J23" s="240"/>
      <c r="K23" s="239">
        <f>I23-E23</f>
        <v>0</v>
      </c>
      <c r="M23" s="79"/>
      <c r="N23" s="79"/>
      <c r="O23" s="79"/>
    </row>
    <row r="24" spans="1:15" x14ac:dyDescent="0.2">
      <c r="A24" s="44">
        <f t="shared" si="0"/>
        <v>14</v>
      </c>
      <c r="C24" s="90" t="s">
        <v>148</v>
      </c>
      <c r="D24" s="72" t="s">
        <v>48</v>
      </c>
      <c r="E24" s="84">
        <v>0.13719999999999999</v>
      </c>
      <c r="F24" s="237"/>
      <c r="G24" s="243">
        <f>$G$20</f>
        <v>-7.0534028743172494E-2</v>
      </c>
      <c r="H24" s="237"/>
      <c r="I24" s="85">
        <f>ROUND(E24*(1+G24),5)</f>
        <v>0.12751999999999999</v>
      </c>
      <c r="J24" s="240"/>
      <c r="K24" s="239">
        <f>I24-E24</f>
        <v>-9.6799999999999942E-3</v>
      </c>
      <c r="M24" s="79"/>
      <c r="N24" s="79"/>
      <c r="O24" s="79"/>
    </row>
    <row r="25" spans="1:15" x14ac:dyDescent="0.2">
      <c r="A25" s="44">
        <f t="shared" si="0"/>
        <v>15</v>
      </c>
      <c r="C25" s="90" t="s">
        <v>149</v>
      </c>
      <c r="D25" s="72" t="s">
        <v>48</v>
      </c>
      <c r="E25" s="84">
        <v>0.11043</v>
      </c>
      <c r="F25" s="237"/>
      <c r="G25" s="243">
        <f>$G$20</f>
        <v>-7.0534028743172494E-2</v>
      </c>
      <c r="H25" s="237"/>
      <c r="I25" s="85">
        <f>ROUND(E25*(1+G25),5)</f>
        <v>0.10264</v>
      </c>
      <c r="J25" s="240"/>
      <c r="K25" s="239">
        <f>I25-E25</f>
        <v>-7.7900000000000053E-3</v>
      </c>
      <c r="M25" s="79"/>
      <c r="N25" s="79"/>
      <c r="O25" s="79"/>
    </row>
    <row r="26" spans="1:15" x14ac:dyDescent="0.2">
      <c r="A26" s="44">
        <f t="shared" si="0"/>
        <v>16</v>
      </c>
      <c r="C26" s="83"/>
      <c r="E26" s="84"/>
      <c r="F26" s="237"/>
      <c r="G26" s="243"/>
      <c r="H26" s="237"/>
      <c r="I26" s="85"/>
      <c r="J26" s="240"/>
      <c r="K26" s="239"/>
      <c r="M26" s="79"/>
      <c r="N26" s="79"/>
      <c r="O26" s="79"/>
    </row>
    <row r="27" spans="1:15" x14ac:dyDescent="0.2">
      <c r="A27" s="44">
        <f t="shared" si="0"/>
        <v>17</v>
      </c>
      <c r="C27" s="83" t="s">
        <v>106</v>
      </c>
      <c r="D27" s="72" t="s">
        <v>48</v>
      </c>
      <c r="E27" s="84">
        <v>6.4900000000000001E-3</v>
      </c>
      <c r="F27" s="237"/>
      <c r="G27" s="243">
        <f>$G$20</f>
        <v>-7.0534028743172494E-2</v>
      </c>
      <c r="H27" s="237"/>
      <c r="I27" s="85">
        <f>ROUND(E27*(1+G27),5)</f>
        <v>6.0299999999999998E-3</v>
      </c>
      <c r="J27" s="240"/>
      <c r="K27" s="239">
        <f>I27-E27</f>
        <v>-4.6000000000000034E-4</v>
      </c>
      <c r="M27" s="79"/>
      <c r="N27" s="79"/>
      <c r="O27" s="79"/>
    </row>
    <row r="28" spans="1:15" x14ac:dyDescent="0.2">
      <c r="A28" s="44">
        <f t="shared" si="0"/>
        <v>18</v>
      </c>
      <c r="C28" s="87"/>
      <c r="D28" s="81"/>
      <c r="E28" s="84"/>
      <c r="F28" s="237"/>
      <c r="G28" s="243"/>
      <c r="H28" s="237"/>
      <c r="I28" s="85"/>
      <c r="J28" s="240"/>
      <c r="K28" s="240"/>
      <c r="M28" s="79"/>
      <c r="N28" s="79"/>
      <c r="O28" s="79"/>
    </row>
    <row r="29" spans="1:15" s="8" customFormat="1" x14ac:dyDescent="0.2">
      <c r="A29" s="44">
        <f t="shared" si="0"/>
        <v>19</v>
      </c>
      <c r="B29" s="80" t="s">
        <v>111</v>
      </c>
      <c r="D29" s="81"/>
      <c r="E29" s="84"/>
      <c r="F29" s="241"/>
      <c r="G29" s="243"/>
      <c r="H29" s="241"/>
      <c r="I29" s="85"/>
      <c r="J29" s="238"/>
      <c r="K29" s="238"/>
      <c r="M29" s="79"/>
      <c r="N29" s="79"/>
      <c r="O29" s="79"/>
    </row>
    <row r="30" spans="1:15" s="8" customFormat="1" x14ac:dyDescent="0.2">
      <c r="A30" s="44">
        <f t="shared" si="0"/>
        <v>20</v>
      </c>
      <c r="B30" s="83"/>
      <c r="C30" s="83" t="s">
        <v>109</v>
      </c>
      <c r="D30" s="72" t="s">
        <v>48</v>
      </c>
      <c r="E30" s="245">
        <v>1.21</v>
      </c>
      <c r="F30" s="241"/>
      <c r="G30" s="243">
        <f>$G$20</f>
        <v>-7.0534028743172494E-2</v>
      </c>
      <c r="H30" s="241"/>
      <c r="I30" s="86">
        <f>ROUND(E30*(1+G30),2)</f>
        <v>1.1200000000000001</v>
      </c>
      <c r="J30" s="248"/>
      <c r="K30" s="247">
        <f>I30-E30</f>
        <v>-8.9999999999999858E-2</v>
      </c>
      <c r="M30" s="79"/>
      <c r="N30" s="79"/>
      <c r="O30" s="79"/>
    </row>
    <row r="31" spans="1:15" s="8" customFormat="1" x14ac:dyDescent="0.2">
      <c r="A31" s="44">
        <f t="shared" si="0"/>
        <v>21</v>
      </c>
      <c r="B31" s="83"/>
      <c r="C31" s="83"/>
      <c r="D31" s="72"/>
      <c r="E31" s="84"/>
      <c r="F31" s="241"/>
      <c r="G31" s="243"/>
      <c r="H31" s="241"/>
      <c r="I31" s="85"/>
      <c r="J31" s="238"/>
      <c r="K31" s="238"/>
      <c r="M31" s="79"/>
      <c r="N31" s="79"/>
      <c r="O31" s="79"/>
    </row>
    <row r="32" spans="1:15" s="8" customFormat="1" x14ac:dyDescent="0.2">
      <c r="A32" s="44">
        <f t="shared" si="0"/>
        <v>22</v>
      </c>
      <c r="B32" s="83"/>
      <c r="C32" s="83" t="s">
        <v>110</v>
      </c>
      <c r="D32" s="72"/>
      <c r="E32" s="84"/>
      <c r="F32" s="241"/>
      <c r="G32" s="243"/>
      <c r="H32" s="241"/>
      <c r="I32" s="85"/>
      <c r="J32" s="238"/>
      <c r="K32" s="238"/>
      <c r="M32" s="79"/>
      <c r="N32" s="79"/>
      <c r="O32" s="79"/>
    </row>
    <row r="33" spans="1:15" s="8" customFormat="1" x14ac:dyDescent="0.2">
      <c r="A33" s="44">
        <f t="shared" si="0"/>
        <v>23</v>
      </c>
      <c r="B33" s="83"/>
      <c r="C33" s="90" t="s">
        <v>449</v>
      </c>
      <c r="D33" s="72" t="s">
        <v>48</v>
      </c>
      <c r="E33" s="394">
        <v>0</v>
      </c>
      <c r="F33" s="241"/>
      <c r="G33" s="243">
        <f t="shared" ref="G33:G35" si="1">$G$20</f>
        <v>-7.0534028743172494E-2</v>
      </c>
      <c r="H33" s="241"/>
      <c r="I33" s="85">
        <f>ROUND(E33*(1+G33),5)</f>
        <v>0</v>
      </c>
      <c r="J33" s="238"/>
      <c r="K33" s="239">
        <f>I33-E33</f>
        <v>0</v>
      </c>
      <c r="M33" s="79"/>
      <c r="N33" s="79"/>
      <c r="O33" s="79"/>
    </row>
    <row r="34" spans="1:15" s="8" customFormat="1" x14ac:dyDescent="0.2">
      <c r="A34" s="44">
        <f t="shared" si="0"/>
        <v>24</v>
      </c>
      <c r="B34" s="83"/>
      <c r="C34" s="90" t="s">
        <v>148</v>
      </c>
      <c r="D34" s="72" t="s">
        <v>48</v>
      </c>
      <c r="E34" s="84">
        <v>0.13261000000000001</v>
      </c>
      <c r="F34" s="241"/>
      <c r="G34" s="243">
        <f t="shared" si="1"/>
        <v>-7.0534028743172494E-2</v>
      </c>
      <c r="H34" s="241"/>
      <c r="I34" s="85">
        <f>ROUND(E34*(1+G34),5)</f>
        <v>0.12325999999999999</v>
      </c>
      <c r="J34" s="238"/>
      <c r="K34" s="239">
        <f>I34-E34</f>
        <v>-9.3500000000000111E-3</v>
      </c>
      <c r="M34" s="79"/>
      <c r="N34" s="79"/>
      <c r="O34" s="79"/>
    </row>
    <row r="35" spans="1:15" s="8" customFormat="1" x14ac:dyDescent="0.2">
      <c r="A35" s="44">
        <f t="shared" si="0"/>
        <v>25</v>
      </c>
      <c r="B35" s="83"/>
      <c r="C35" s="90" t="s">
        <v>149</v>
      </c>
      <c r="D35" s="72" t="s">
        <v>48</v>
      </c>
      <c r="E35" s="84">
        <v>0.10609</v>
      </c>
      <c r="F35" s="241"/>
      <c r="G35" s="243">
        <f t="shared" si="1"/>
        <v>-7.0534028743172494E-2</v>
      </c>
      <c r="H35" s="241"/>
      <c r="I35" s="85">
        <f>ROUND(E35*(1+G35),5)</f>
        <v>9.8610000000000003E-2</v>
      </c>
      <c r="J35" s="238"/>
      <c r="K35" s="239">
        <f>I35-E35</f>
        <v>-7.4800000000000005E-3</v>
      </c>
      <c r="M35" s="79"/>
      <c r="N35" s="79"/>
      <c r="O35" s="79"/>
    </row>
    <row r="36" spans="1:15" s="8" customFormat="1" x14ac:dyDescent="0.2">
      <c r="A36" s="44">
        <f t="shared" si="0"/>
        <v>26</v>
      </c>
      <c r="B36" s="83"/>
      <c r="C36" s="87"/>
      <c r="D36" s="81"/>
      <c r="E36" s="84"/>
      <c r="F36" s="241"/>
      <c r="G36" s="243"/>
      <c r="H36" s="241"/>
      <c r="I36" s="85"/>
      <c r="J36" s="238"/>
      <c r="K36" s="238"/>
      <c r="M36" s="79"/>
      <c r="N36" s="79"/>
      <c r="O36" s="79"/>
    </row>
    <row r="37" spans="1:15" x14ac:dyDescent="0.2">
      <c r="A37" s="44">
        <f t="shared" si="0"/>
        <v>27</v>
      </c>
      <c r="B37" s="92" t="s">
        <v>112</v>
      </c>
      <c r="C37" s="7"/>
      <c r="D37" s="81"/>
      <c r="E37" s="84"/>
      <c r="F37" s="237"/>
      <c r="G37" s="243"/>
      <c r="H37" s="237"/>
      <c r="I37" s="85"/>
      <c r="J37" s="240"/>
      <c r="K37" s="240"/>
      <c r="M37" s="79"/>
      <c r="N37" s="79"/>
      <c r="O37" s="79"/>
    </row>
    <row r="38" spans="1:15" x14ac:dyDescent="0.2">
      <c r="A38" s="44">
        <f t="shared" si="0"/>
        <v>28</v>
      </c>
      <c r="C38" s="72" t="s">
        <v>109</v>
      </c>
      <c r="D38" s="72" t="s">
        <v>48</v>
      </c>
      <c r="E38" s="245">
        <v>1.3</v>
      </c>
      <c r="F38" s="237"/>
      <c r="G38" s="243">
        <f>$G$20</f>
        <v>-7.0534028743172494E-2</v>
      </c>
      <c r="H38" s="237"/>
      <c r="I38" s="86">
        <f>ROUND(E38*(1+G38),2)</f>
        <v>1.21</v>
      </c>
      <c r="J38" s="246"/>
      <c r="K38" s="247">
        <f>I38-E38</f>
        <v>-9.000000000000008E-2</v>
      </c>
      <c r="M38" s="79"/>
      <c r="N38" s="79"/>
      <c r="O38" s="79"/>
    </row>
    <row r="39" spans="1:15" x14ac:dyDescent="0.2">
      <c r="A39" s="44">
        <f t="shared" si="0"/>
        <v>29</v>
      </c>
      <c r="E39" s="84"/>
      <c r="F39" s="237"/>
      <c r="G39" s="243"/>
      <c r="H39" s="237"/>
      <c r="I39" s="85"/>
      <c r="J39" s="240"/>
      <c r="K39" s="240"/>
      <c r="M39" s="79"/>
      <c r="N39" s="79"/>
      <c r="O39" s="79"/>
    </row>
    <row r="40" spans="1:15" x14ac:dyDescent="0.2">
      <c r="A40" s="44">
        <f t="shared" si="0"/>
        <v>30</v>
      </c>
      <c r="C40" s="72" t="s">
        <v>110</v>
      </c>
      <c r="E40" s="84"/>
      <c r="F40" s="237"/>
      <c r="G40" s="243"/>
      <c r="H40" s="237"/>
      <c r="I40" s="85"/>
      <c r="J40" s="240"/>
      <c r="K40" s="240"/>
      <c r="M40" s="79"/>
      <c r="N40" s="79"/>
      <c r="O40" s="79"/>
    </row>
    <row r="41" spans="1:15" x14ac:dyDescent="0.2">
      <c r="A41" s="44">
        <f t="shared" si="0"/>
        <v>31</v>
      </c>
      <c r="C41" s="83" t="s">
        <v>113</v>
      </c>
      <c r="D41" s="72" t="s">
        <v>48</v>
      </c>
      <c r="E41" s="84">
        <v>0.20582</v>
      </c>
      <c r="F41" s="237"/>
      <c r="G41" s="243">
        <f t="shared" ref="G41:G44" si="2">$G$20</f>
        <v>-7.0534028743172494E-2</v>
      </c>
      <c r="H41" s="237"/>
      <c r="I41" s="85">
        <f>ROUND(E41*(1+G41),5)</f>
        <v>0.1913</v>
      </c>
      <c r="J41" s="240"/>
      <c r="K41" s="239">
        <f>I41-E41</f>
        <v>-1.4520000000000005E-2</v>
      </c>
      <c r="M41" s="79"/>
      <c r="N41" s="79"/>
      <c r="O41" s="79"/>
    </row>
    <row r="42" spans="1:15" x14ac:dyDescent="0.2">
      <c r="A42" s="44">
        <f t="shared" si="0"/>
        <v>32</v>
      </c>
      <c r="C42" s="83" t="s">
        <v>114</v>
      </c>
      <c r="D42" s="72" t="s">
        <v>48</v>
      </c>
      <c r="E42" s="84">
        <v>0.14591000000000001</v>
      </c>
      <c r="F42" s="237"/>
      <c r="G42" s="243">
        <f t="shared" si="2"/>
        <v>-7.0534028743172494E-2</v>
      </c>
      <c r="H42" s="237"/>
      <c r="I42" s="85">
        <f>ROUND(E42*(1+G42),5)</f>
        <v>0.13561999999999999</v>
      </c>
      <c r="J42" s="240"/>
      <c r="K42" s="239">
        <f>I42-E42</f>
        <v>-1.0290000000000021E-2</v>
      </c>
      <c r="M42" s="79"/>
      <c r="N42" s="79"/>
      <c r="O42" s="79"/>
    </row>
    <row r="43" spans="1:15" x14ac:dyDescent="0.2">
      <c r="A43" s="44">
        <f t="shared" si="0"/>
        <v>33</v>
      </c>
      <c r="C43" s="83"/>
      <c r="E43" s="84"/>
      <c r="F43" s="237"/>
      <c r="G43" s="243"/>
      <c r="H43" s="237"/>
      <c r="I43" s="85"/>
      <c r="J43" s="240"/>
      <c r="K43" s="239"/>
      <c r="M43" s="79"/>
      <c r="N43" s="79"/>
      <c r="O43" s="79"/>
    </row>
    <row r="44" spans="1:15" x14ac:dyDescent="0.2">
      <c r="A44" s="44">
        <f t="shared" si="0"/>
        <v>34</v>
      </c>
      <c r="C44" s="83" t="s">
        <v>106</v>
      </c>
      <c r="D44" s="72" t="s">
        <v>48</v>
      </c>
      <c r="E44" s="84">
        <v>9.6900000000000007E-3</v>
      </c>
      <c r="F44" s="237"/>
      <c r="G44" s="243">
        <f t="shared" si="2"/>
        <v>-7.0534028743172494E-2</v>
      </c>
      <c r="H44" s="237"/>
      <c r="I44" s="85">
        <f>ROUND(E44*(1+G44),5)</f>
        <v>9.0100000000000006E-3</v>
      </c>
      <c r="J44" s="240"/>
      <c r="K44" s="239">
        <f>I44-E44</f>
        <v>-6.8000000000000005E-4</v>
      </c>
      <c r="M44" s="79"/>
      <c r="N44" s="79"/>
      <c r="O44" s="79"/>
    </row>
    <row r="45" spans="1:15" x14ac:dyDescent="0.2">
      <c r="A45" s="44">
        <f t="shared" si="0"/>
        <v>35</v>
      </c>
      <c r="C45" s="81"/>
      <c r="D45" s="81"/>
      <c r="E45" s="84"/>
      <c r="F45" s="237"/>
      <c r="G45" s="243"/>
      <c r="H45" s="237"/>
      <c r="I45" s="85"/>
      <c r="J45" s="240"/>
      <c r="K45" s="240"/>
      <c r="M45" s="79"/>
      <c r="N45" s="79"/>
      <c r="O45" s="79"/>
    </row>
    <row r="46" spans="1:15" x14ac:dyDescent="0.2">
      <c r="A46" s="44">
        <f t="shared" si="0"/>
        <v>36</v>
      </c>
      <c r="B46" s="92" t="s">
        <v>115</v>
      </c>
      <c r="C46" s="7"/>
      <c r="D46" s="81"/>
      <c r="E46" s="84"/>
      <c r="F46" s="237"/>
      <c r="G46" s="243"/>
      <c r="H46" s="237"/>
      <c r="I46" s="85"/>
      <c r="J46" s="240"/>
      <c r="K46" s="240"/>
      <c r="M46" s="79"/>
      <c r="N46" s="79"/>
      <c r="O46" s="79"/>
    </row>
    <row r="47" spans="1:15" x14ac:dyDescent="0.2">
      <c r="A47" s="44">
        <f t="shared" si="0"/>
        <v>37</v>
      </c>
      <c r="B47" s="72"/>
      <c r="C47" s="72" t="s">
        <v>109</v>
      </c>
      <c r="D47" s="72" t="s">
        <v>48</v>
      </c>
      <c r="E47" s="245">
        <v>1.26</v>
      </c>
      <c r="F47" s="237"/>
      <c r="G47" s="243">
        <f>$G$20</f>
        <v>-7.0534028743172494E-2</v>
      </c>
      <c r="H47" s="237"/>
      <c r="I47" s="86">
        <f>ROUND(E47*(1+G47),2)</f>
        <v>1.17</v>
      </c>
      <c r="J47" s="246"/>
      <c r="K47" s="247">
        <f>I47-E47</f>
        <v>-9.000000000000008E-2</v>
      </c>
      <c r="M47" s="79"/>
      <c r="N47" s="79"/>
      <c r="O47" s="79"/>
    </row>
    <row r="48" spans="1:15" x14ac:dyDescent="0.2">
      <c r="A48" s="44">
        <f t="shared" si="0"/>
        <v>38</v>
      </c>
      <c r="B48" s="72"/>
      <c r="E48" s="84"/>
      <c r="F48" s="237"/>
      <c r="G48" s="243"/>
      <c r="H48" s="237"/>
      <c r="I48" s="85"/>
      <c r="J48" s="240"/>
      <c r="K48" s="240"/>
      <c r="M48" s="79"/>
      <c r="N48" s="79"/>
      <c r="O48" s="79"/>
    </row>
    <row r="49" spans="1:20" x14ac:dyDescent="0.2">
      <c r="A49" s="44">
        <f t="shared" si="0"/>
        <v>39</v>
      </c>
      <c r="B49" s="72"/>
      <c r="C49" s="72" t="s">
        <v>110</v>
      </c>
      <c r="E49" s="84"/>
      <c r="F49" s="237"/>
      <c r="G49" s="243"/>
      <c r="H49" s="237"/>
      <c r="I49" s="85"/>
      <c r="J49" s="240"/>
      <c r="K49" s="240"/>
      <c r="M49" s="79"/>
      <c r="N49" s="79"/>
      <c r="O49" s="79"/>
    </row>
    <row r="50" spans="1:20" x14ac:dyDescent="0.2">
      <c r="A50" s="44">
        <f t="shared" si="0"/>
        <v>40</v>
      </c>
      <c r="B50" s="72"/>
      <c r="C50" s="83" t="s">
        <v>113</v>
      </c>
      <c r="D50" s="72" t="s">
        <v>48</v>
      </c>
      <c r="E50" s="84">
        <v>0.19897000000000001</v>
      </c>
      <c r="F50" s="237"/>
      <c r="G50" s="243">
        <f t="shared" ref="G50:G51" si="3">$G$20</f>
        <v>-7.0534028743172494E-2</v>
      </c>
      <c r="H50" s="237"/>
      <c r="I50" s="85">
        <f>ROUND(E50*(1+G50),5)</f>
        <v>0.18493999999999999</v>
      </c>
      <c r="J50" s="240"/>
      <c r="K50" s="239">
        <f>I50-E50</f>
        <v>-1.4030000000000015E-2</v>
      </c>
      <c r="M50" s="79"/>
      <c r="N50" s="79"/>
      <c r="O50" s="79"/>
    </row>
    <row r="51" spans="1:20" x14ac:dyDescent="0.2">
      <c r="A51" s="44">
        <f t="shared" si="0"/>
        <v>41</v>
      </c>
      <c r="B51" s="72"/>
      <c r="C51" s="83" t="s">
        <v>114</v>
      </c>
      <c r="D51" s="72" t="s">
        <v>48</v>
      </c>
      <c r="E51" s="84">
        <v>0.14105000000000001</v>
      </c>
      <c r="F51" s="237"/>
      <c r="G51" s="243">
        <f t="shared" si="3"/>
        <v>-7.0534028743172494E-2</v>
      </c>
      <c r="H51" s="237"/>
      <c r="I51" s="85">
        <f>ROUND(E51*(1+G51),5)</f>
        <v>0.13109999999999999</v>
      </c>
      <c r="J51" s="240"/>
      <c r="K51" s="239">
        <f>I51-E51</f>
        <v>-9.9500000000000144E-3</v>
      </c>
      <c r="M51" s="79"/>
      <c r="N51" s="79"/>
      <c r="O51" s="79"/>
    </row>
    <row r="52" spans="1:20" x14ac:dyDescent="0.2">
      <c r="A52" s="44"/>
      <c r="B52" s="72"/>
      <c r="C52" s="81"/>
      <c r="D52" s="81"/>
      <c r="E52" s="86"/>
      <c r="F52" s="89"/>
      <c r="G52" s="243"/>
      <c r="H52" s="89"/>
      <c r="I52" s="86"/>
      <c r="M52" s="79"/>
      <c r="N52" s="79"/>
      <c r="O52" s="79"/>
    </row>
    <row r="53" spans="1:20" x14ac:dyDescent="0.2">
      <c r="A53" s="44"/>
      <c r="B53" s="90"/>
      <c r="E53" s="91"/>
      <c r="F53" s="91"/>
      <c r="G53" s="77"/>
      <c r="H53" s="91"/>
      <c r="K53" s="91"/>
      <c r="L53" s="91"/>
      <c r="M53" s="79"/>
      <c r="N53" s="79"/>
      <c r="O53" s="79"/>
      <c r="P53" s="91"/>
      <c r="Q53" s="91"/>
      <c r="R53" s="91"/>
      <c r="S53" s="91"/>
      <c r="T53" s="91"/>
    </row>
    <row r="54" spans="1:20" x14ac:dyDescent="0.2">
      <c r="A54" s="44"/>
      <c r="G54" s="77"/>
      <c r="M54" s="79"/>
      <c r="N54" s="79"/>
      <c r="O54" s="79"/>
    </row>
    <row r="55" spans="1:20" x14ac:dyDescent="0.2">
      <c r="G55" s="77"/>
      <c r="M55" s="79"/>
      <c r="N55" s="79"/>
      <c r="O55" s="79"/>
    </row>
    <row r="56" spans="1:20" x14ac:dyDescent="0.2">
      <c r="G56" s="77"/>
      <c r="M56" s="79"/>
      <c r="N56" s="79"/>
      <c r="O56" s="79"/>
    </row>
    <row r="57" spans="1:20" x14ac:dyDescent="0.2">
      <c r="G57" s="77"/>
      <c r="M57" s="79"/>
      <c r="N57" s="79"/>
      <c r="O57" s="79"/>
    </row>
    <row r="58" spans="1:20" x14ac:dyDescent="0.2">
      <c r="G58" s="77"/>
      <c r="M58" s="79"/>
      <c r="N58" s="79"/>
      <c r="O58" s="79"/>
    </row>
    <row r="59" spans="1:20" x14ac:dyDescent="0.2">
      <c r="G59" s="77"/>
      <c r="M59" s="79"/>
      <c r="N59" s="79"/>
      <c r="O59" s="79"/>
    </row>
    <row r="60" spans="1:20" x14ac:dyDescent="0.2">
      <c r="C60" s="7"/>
      <c r="D60" s="7"/>
      <c r="E60" s="7"/>
      <c r="G60" s="77"/>
      <c r="M60" s="79"/>
      <c r="N60" s="79"/>
      <c r="O60" s="79"/>
    </row>
    <row r="61" spans="1:20" x14ac:dyDescent="0.2">
      <c r="C61" s="7"/>
      <c r="D61" s="7"/>
      <c r="E61" s="7"/>
      <c r="G61" s="77"/>
      <c r="M61" s="79"/>
      <c r="N61" s="79"/>
      <c r="O61" s="79"/>
    </row>
    <row r="62" spans="1:20" x14ac:dyDescent="0.2">
      <c r="C62" s="7"/>
      <c r="D62" s="7"/>
      <c r="E62" s="7"/>
      <c r="G62" s="77"/>
      <c r="M62" s="79"/>
      <c r="N62" s="79"/>
      <c r="O62" s="79"/>
    </row>
    <row r="63" spans="1:20" x14ac:dyDescent="0.2">
      <c r="C63" s="7"/>
      <c r="D63" s="7"/>
      <c r="E63" s="7"/>
      <c r="G63" s="77"/>
      <c r="M63" s="79"/>
      <c r="N63" s="79"/>
      <c r="O63" s="79"/>
    </row>
    <row r="64" spans="1:20" x14ac:dyDescent="0.2">
      <c r="C64" s="7"/>
      <c r="D64" s="7"/>
      <c r="E64" s="7"/>
      <c r="G64" s="77"/>
    </row>
    <row r="65" spans="3:7" x14ac:dyDescent="0.2">
      <c r="C65" s="7"/>
      <c r="D65" s="7"/>
      <c r="E65" s="7"/>
      <c r="G65" s="77"/>
    </row>
    <row r="66" spans="3:7" x14ac:dyDescent="0.2">
      <c r="C66" s="7"/>
      <c r="D66" s="7"/>
      <c r="E66" s="7"/>
      <c r="G66" s="77"/>
    </row>
    <row r="67" spans="3:7" x14ac:dyDescent="0.2">
      <c r="C67" s="7"/>
      <c r="D67" s="7"/>
      <c r="E67" s="7"/>
      <c r="G67" s="77"/>
    </row>
    <row r="68" spans="3:7" x14ac:dyDescent="0.2">
      <c r="C68" s="7"/>
      <c r="D68" s="7"/>
      <c r="E68" s="7"/>
      <c r="G68" s="77"/>
    </row>
    <row r="69" spans="3:7" x14ac:dyDescent="0.2">
      <c r="C69" s="7"/>
      <c r="D69" s="7"/>
      <c r="E69" s="7"/>
      <c r="G69" s="77"/>
    </row>
    <row r="70" spans="3:7" x14ac:dyDescent="0.2">
      <c r="C70" s="7"/>
      <c r="D70" s="7"/>
      <c r="E70" s="7"/>
      <c r="G70" s="77"/>
    </row>
    <row r="71" spans="3:7" x14ac:dyDescent="0.2">
      <c r="C71" s="7"/>
      <c r="D71" s="7"/>
      <c r="E71" s="7"/>
      <c r="G71" s="77"/>
    </row>
    <row r="72" spans="3:7" x14ac:dyDescent="0.2">
      <c r="C72" s="7"/>
      <c r="D72" s="7"/>
      <c r="E72" s="7"/>
      <c r="G72" s="77"/>
    </row>
    <row r="73" spans="3:7" x14ac:dyDescent="0.2">
      <c r="C73" s="7"/>
      <c r="D73" s="7"/>
      <c r="E73" s="7"/>
      <c r="G73" s="77"/>
    </row>
    <row r="74" spans="3:7" x14ac:dyDescent="0.2">
      <c r="C74" s="7"/>
      <c r="D74" s="7"/>
      <c r="E74" s="7"/>
      <c r="G74" s="77"/>
    </row>
    <row r="75" spans="3:7" x14ac:dyDescent="0.2">
      <c r="C75" s="7"/>
      <c r="D75" s="7"/>
      <c r="E75" s="7"/>
      <c r="G75" s="77"/>
    </row>
    <row r="76" spans="3:7" x14ac:dyDescent="0.2">
      <c r="C76" s="7"/>
      <c r="D76" s="7"/>
      <c r="E76" s="7"/>
      <c r="G76" s="77"/>
    </row>
    <row r="77" spans="3:7" x14ac:dyDescent="0.2">
      <c r="C77" s="7"/>
      <c r="D77" s="7"/>
      <c r="E77" s="7"/>
      <c r="G77" s="77"/>
    </row>
    <row r="78" spans="3:7" x14ac:dyDescent="0.2">
      <c r="C78" s="7"/>
      <c r="D78" s="7"/>
      <c r="E78" s="7"/>
      <c r="G78" s="77"/>
    </row>
    <row r="79" spans="3:7" x14ac:dyDescent="0.2">
      <c r="C79" s="7"/>
      <c r="D79" s="7"/>
      <c r="E79" s="7"/>
      <c r="G79" s="77"/>
    </row>
    <row r="80" spans="3:7" x14ac:dyDescent="0.2">
      <c r="C80" s="7"/>
      <c r="D80" s="7"/>
      <c r="E80" s="7"/>
      <c r="G80" s="77"/>
    </row>
    <row r="81" spans="3:7" x14ac:dyDescent="0.2">
      <c r="C81" s="7"/>
      <c r="D81" s="7"/>
      <c r="E81" s="7"/>
      <c r="G81" s="77"/>
    </row>
    <row r="82" spans="3:7" x14ac:dyDescent="0.2">
      <c r="C82" s="7"/>
      <c r="D82" s="7"/>
      <c r="E82" s="7"/>
      <c r="G82" s="77"/>
    </row>
    <row r="83" spans="3:7" x14ac:dyDescent="0.2">
      <c r="C83" s="7"/>
      <c r="D83" s="7"/>
      <c r="E83" s="7"/>
      <c r="G83" s="77"/>
    </row>
    <row r="84" spans="3:7" x14ac:dyDescent="0.2">
      <c r="C84" s="7"/>
      <c r="D84" s="7"/>
      <c r="E84" s="7"/>
      <c r="G84" s="77"/>
    </row>
    <row r="85" spans="3:7" x14ac:dyDescent="0.2">
      <c r="C85" s="7"/>
      <c r="D85" s="7"/>
      <c r="E85" s="7"/>
      <c r="G85" s="77"/>
    </row>
    <row r="86" spans="3:7" x14ac:dyDescent="0.2">
      <c r="C86" s="7"/>
      <c r="D86" s="7"/>
      <c r="E86" s="7"/>
      <c r="G86" s="77"/>
    </row>
    <row r="87" spans="3:7" x14ac:dyDescent="0.2">
      <c r="C87" s="7"/>
      <c r="D87" s="7"/>
      <c r="E87" s="7"/>
      <c r="G87" s="77"/>
    </row>
    <row r="88" spans="3:7" x14ac:dyDescent="0.2">
      <c r="C88" s="7"/>
      <c r="D88" s="7"/>
      <c r="E88" s="7"/>
      <c r="G88" s="77"/>
    </row>
    <row r="89" spans="3:7" x14ac:dyDescent="0.2">
      <c r="C89" s="7"/>
      <c r="D89" s="7"/>
      <c r="E89" s="7"/>
      <c r="G89" s="77"/>
    </row>
    <row r="90" spans="3:7" x14ac:dyDescent="0.2">
      <c r="C90" s="7"/>
      <c r="D90" s="7"/>
      <c r="E90" s="7"/>
      <c r="G90" s="77"/>
    </row>
    <row r="91" spans="3:7" x14ac:dyDescent="0.2">
      <c r="C91" s="7"/>
      <c r="D91" s="7"/>
      <c r="E91" s="7"/>
      <c r="G91" s="77"/>
    </row>
    <row r="92" spans="3:7" x14ac:dyDescent="0.2">
      <c r="C92" s="7"/>
      <c r="D92" s="7"/>
      <c r="E92" s="7"/>
      <c r="G92" s="77"/>
    </row>
    <row r="93" spans="3:7" x14ac:dyDescent="0.2">
      <c r="C93" s="7"/>
      <c r="D93" s="7"/>
      <c r="E93" s="7"/>
      <c r="G93" s="77"/>
    </row>
    <row r="94" spans="3:7" x14ac:dyDescent="0.2">
      <c r="C94" s="7"/>
      <c r="D94" s="7"/>
      <c r="E94" s="7"/>
      <c r="G94" s="77"/>
    </row>
    <row r="95" spans="3:7" x14ac:dyDescent="0.2">
      <c r="C95" s="7"/>
      <c r="D95" s="7"/>
      <c r="E95" s="7"/>
      <c r="G95" s="77"/>
    </row>
    <row r="96" spans="3:7" x14ac:dyDescent="0.2">
      <c r="C96" s="7"/>
      <c r="D96" s="7"/>
      <c r="E96" s="7"/>
      <c r="G96" s="77"/>
    </row>
    <row r="97" spans="3:7" x14ac:dyDescent="0.2">
      <c r="C97" s="7"/>
      <c r="D97" s="7"/>
      <c r="E97" s="7"/>
      <c r="G97" s="77"/>
    </row>
    <row r="98" spans="3:7" x14ac:dyDescent="0.2">
      <c r="C98" s="7"/>
      <c r="D98" s="7"/>
      <c r="E98" s="7"/>
      <c r="G98" s="77"/>
    </row>
    <row r="99" spans="3:7" x14ac:dyDescent="0.2">
      <c r="C99" s="7"/>
      <c r="D99" s="7"/>
      <c r="E99" s="7"/>
      <c r="G99" s="77"/>
    </row>
    <row r="100" spans="3:7" x14ac:dyDescent="0.2">
      <c r="C100" s="7"/>
      <c r="D100" s="7"/>
      <c r="E100" s="7"/>
      <c r="G100" s="77"/>
    </row>
    <row r="101" spans="3:7" x14ac:dyDescent="0.2">
      <c r="C101" s="7"/>
      <c r="D101" s="7"/>
      <c r="E101" s="7"/>
      <c r="G101" s="77"/>
    </row>
    <row r="102" spans="3:7" x14ac:dyDescent="0.2">
      <c r="C102" s="7"/>
      <c r="D102" s="7"/>
      <c r="E102" s="7"/>
      <c r="G102" s="77"/>
    </row>
    <row r="103" spans="3:7" x14ac:dyDescent="0.2">
      <c r="C103" s="7"/>
      <c r="D103" s="7"/>
      <c r="E103" s="7"/>
      <c r="G103" s="77"/>
    </row>
    <row r="104" spans="3:7" x14ac:dyDescent="0.2">
      <c r="C104" s="7"/>
      <c r="D104" s="7"/>
      <c r="E104" s="7"/>
      <c r="G104" s="77"/>
    </row>
    <row r="105" spans="3:7" x14ac:dyDescent="0.2">
      <c r="C105" s="7"/>
      <c r="D105" s="7"/>
      <c r="E105" s="7"/>
      <c r="G105" s="77"/>
    </row>
    <row r="106" spans="3:7" x14ac:dyDescent="0.2">
      <c r="C106" s="7"/>
      <c r="D106" s="7"/>
      <c r="E106" s="7"/>
      <c r="G106" s="77"/>
    </row>
    <row r="107" spans="3:7" x14ac:dyDescent="0.2">
      <c r="C107" s="7"/>
      <c r="D107" s="7"/>
      <c r="E107" s="7"/>
      <c r="G107" s="77"/>
    </row>
    <row r="108" spans="3:7" x14ac:dyDescent="0.2">
      <c r="C108" s="7"/>
      <c r="D108" s="7"/>
      <c r="E108" s="7"/>
      <c r="G108" s="77"/>
    </row>
    <row r="109" spans="3:7" x14ac:dyDescent="0.2">
      <c r="C109" s="7"/>
      <c r="D109" s="7"/>
      <c r="E109" s="7"/>
      <c r="G109" s="77"/>
    </row>
    <row r="110" spans="3:7" x14ac:dyDescent="0.2">
      <c r="C110" s="7"/>
      <c r="D110" s="7"/>
      <c r="E110" s="7"/>
      <c r="G110" s="77"/>
    </row>
    <row r="111" spans="3:7" x14ac:dyDescent="0.2">
      <c r="C111" s="7"/>
      <c r="D111" s="7"/>
      <c r="E111" s="7"/>
      <c r="G111" s="77"/>
    </row>
    <row r="112" spans="3:7" x14ac:dyDescent="0.2">
      <c r="C112" s="7"/>
      <c r="D112" s="7"/>
      <c r="E112" s="7"/>
      <c r="G112" s="77"/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5" header="0.3" footer="0.3"/>
  <pageSetup scale="91" orientation="landscape" blackAndWhite="1" r:id="rId1"/>
  <headerFooter>
    <oddFooter>&amp;R&amp;F
&amp;A</oddFooter>
  </headerFooter>
  <rowBreaks count="1" manualBreakCount="1">
    <brk id="51" max="11" man="1"/>
  </row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G29"/>
  <sheetViews>
    <sheetView zoomScaleNormal="100" workbookViewId="0">
      <pane ySplit="8" topLeftCell="A9" activePane="bottomLeft" state="frozen"/>
      <selection pane="bottomLeft" activeCell="F25" sqref="F25"/>
    </sheetView>
  </sheetViews>
  <sheetFormatPr defaultColWidth="8.85546875" defaultRowHeight="11.25" x14ac:dyDescent="0.2"/>
  <cols>
    <col min="1" max="1" width="5.28515625" style="100" customWidth="1"/>
    <col min="2" max="2" width="49.140625" style="100" bestFit="1" customWidth="1"/>
    <col min="3" max="3" width="9" style="100" bestFit="1" customWidth="1"/>
    <col min="4" max="5" width="11.5703125" style="100" bestFit="1" customWidth="1"/>
    <col min="6" max="6" width="13.7109375" style="100" bestFit="1" customWidth="1"/>
    <col min="7" max="16384" width="8.85546875" style="100"/>
  </cols>
  <sheetData>
    <row r="1" spans="1:7" x14ac:dyDescent="0.2">
      <c r="A1" s="431" t="s">
        <v>0</v>
      </c>
      <c r="B1" s="431"/>
      <c r="C1" s="431"/>
      <c r="D1" s="431"/>
      <c r="E1" s="431"/>
      <c r="F1" s="431"/>
      <c r="G1" s="99"/>
    </row>
    <row r="2" spans="1:7" x14ac:dyDescent="0.2">
      <c r="A2" s="433" t="str">
        <f>'Delivery Rate Change Calc'!A2:F2</f>
        <v>2020 Gas Decoupling Filing</v>
      </c>
      <c r="B2" s="433"/>
      <c r="C2" s="433"/>
      <c r="D2" s="433"/>
      <c r="E2" s="433"/>
      <c r="F2" s="433"/>
      <c r="G2" s="99"/>
    </row>
    <row r="3" spans="1:7" x14ac:dyDescent="0.2">
      <c r="A3" s="431" t="s">
        <v>253</v>
      </c>
      <c r="B3" s="431"/>
      <c r="C3" s="431"/>
      <c r="D3" s="431"/>
      <c r="E3" s="431"/>
      <c r="F3" s="431"/>
      <c r="G3" s="99"/>
    </row>
    <row r="4" spans="1:7" x14ac:dyDescent="0.2">
      <c r="A4" s="433" t="str">
        <f>'Delivery Rate Change Calc'!A4:F4</f>
        <v>Proposed Effective May 1, 2020</v>
      </c>
      <c r="B4" s="433"/>
      <c r="C4" s="433"/>
      <c r="D4" s="433"/>
      <c r="E4" s="433"/>
      <c r="F4" s="433"/>
      <c r="G4" s="99"/>
    </row>
    <row r="5" spans="1:7" x14ac:dyDescent="0.2">
      <c r="A5" s="64"/>
      <c r="B5" s="64"/>
      <c r="C5" s="64"/>
      <c r="D5" s="64"/>
      <c r="E5" s="64"/>
      <c r="F5" s="64"/>
      <c r="G5" s="99"/>
    </row>
    <row r="6" spans="1:7" x14ac:dyDescent="0.2">
      <c r="A6" s="38"/>
      <c r="B6" s="38"/>
      <c r="C6" s="38"/>
      <c r="D6" s="38"/>
      <c r="E6" s="38"/>
      <c r="F6" s="99"/>
      <c r="G6" s="99"/>
    </row>
    <row r="7" spans="1:7" x14ac:dyDescent="0.2">
      <c r="A7" s="40" t="s">
        <v>2</v>
      </c>
      <c r="B7" s="38"/>
      <c r="C7" s="38"/>
      <c r="D7" s="40" t="s">
        <v>3</v>
      </c>
      <c r="E7" s="40" t="s">
        <v>3</v>
      </c>
      <c r="F7" s="40" t="s">
        <v>3</v>
      </c>
      <c r="G7" s="99"/>
    </row>
    <row r="8" spans="1:7" x14ac:dyDescent="0.2">
      <c r="A8" s="41" t="s">
        <v>4</v>
      </c>
      <c r="B8" s="101"/>
      <c r="C8" s="41" t="s">
        <v>5</v>
      </c>
      <c r="D8" s="41" t="s">
        <v>6</v>
      </c>
      <c r="E8" s="41" t="s">
        <v>7</v>
      </c>
      <c r="F8" s="41" t="s">
        <v>8</v>
      </c>
      <c r="G8" s="99"/>
    </row>
    <row r="9" spans="1:7" x14ac:dyDescent="0.2">
      <c r="A9" s="43"/>
      <c r="B9" s="44" t="s">
        <v>9</v>
      </c>
      <c r="C9" s="44" t="s">
        <v>10</v>
      </c>
      <c r="D9" s="44" t="s">
        <v>11</v>
      </c>
      <c r="E9" s="44" t="s">
        <v>12</v>
      </c>
      <c r="F9" s="44" t="s">
        <v>13</v>
      </c>
      <c r="G9" s="99"/>
    </row>
    <row r="10" spans="1:7" x14ac:dyDescent="0.2">
      <c r="A10" s="44"/>
      <c r="B10" s="45"/>
      <c r="C10" s="44"/>
      <c r="D10" s="44"/>
      <c r="E10" s="44"/>
      <c r="F10" s="44"/>
      <c r="G10" s="99"/>
    </row>
    <row r="11" spans="1:7" x14ac:dyDescent="0.2">
      <c r="A11" s="44">
        <v>1</v>
      </c>
      <c r="B11" s="43" t="s">
        <v>440</v>
      </c>
      <c r="C11" s="44" t="s">
        <v>14</v>
      </c>
      <c r="D11" s="102">
        <f>'Rate Impacts Sch142'!Y10</f>
        <v>664836002.48550141</v>
      </c>
      <c r="E11" s="102">
        <f>'Rate Impacts Sch142'!Y12+'Rate Impacts Sch142'!Y17</f>
        <v>216974815.97470394</v>
      </c>
      <c r="F11" s="102">
        <f>'Rate Impacts Sch142'!Y13+'Rate Impacts Sch142'!Y18+'Rate Impacts Sch142'!Y15+'Rate Impacts Sch142'!Y20</f>
        <v>55321001.263315596</v>
      </c>
      <c r="G11" s="99"/>
    </row>
    <row r="12" spans="1:7" x14ac:dyDescent="0.2">
      <c r="A12" s="44">
        <f t="shared" ref="A12:A29" si="0">A11+1</f>
        <v>2</v>
      </c>
      <c r="B12" s="43"/>
      <c r="C12" s="44"/>
      <c r="D12" s="103"/>
      <c r="E12" s="103"/>
      <c r="F12" s="103"/>
      <c r="G12" s="99"/>
    </row>
    <row r="13" spans="1:7" x14ac:dyDescent="0.2">
      <c r="A13" s="44">
        <f t="shared" si="0"/>
        <v>3</v>
      </c>
      <c r="B13" s="43" t="s">
        <v>441</v>
      </c>
      <c r="C13" s="44" t="s">
        <v>14</v>
      </c>
      <c r="D13" s="226">
        <f>'2019 Weather Adj'!P217</f>
        <v>625129422.53001368</v>
      </c>
      <c r="E13" s="226">
        <f>'2019 Weather Adj'!P254+'2019 Weather Adj'!P260</f>
        <v>239284498.79617554</v>
      </c>
      <c r="F13" s="226">
        <f>'2019 Weather Adj'!P255+'2019 Weather Adj'!P261+'2019 Weather Adj'!P258+'2019 Weather Adj'!P263</f>
        <v>97692968.55044587</v>
      </c>
      <c r="G13" s="355"/>
    </row>
    <row r="14" spans="1:7" x14ac:dyDescent="0.2">
      <c r="A14" s="44">
        <f t="shared" si="0"/>
        <v>4</v>
      </c>
      <c r="B14" s="43"/>
      <c r="C14" s="44"/>
      <c r="D14" s="43"/>
      <c r="E14" s="43"/>
      <c r="F14" s="43"/>
      <c r="G14" s="99"/>
    </row>
    <row r="15" spans="1:7" x14ac:dyDescent="0.2">
      <c r="A15" s="44">
        <f t="shared" si="0"/>
        <v>5</v>
      </c>
      <c r="B15" s="43" t="s">
        <v>26</v>
      </c>
      <c r="C15" s="44" t="str">
        <f>"("&amp;A11&amp;") / ("&amp;A13&amp;")"</f>
        <v>(1) / (3)</v>
      </c>
      <c r="D15" s="51">
        <f>ROUND(D11/D13,5)</f>
        <v>1.06352</v>
      </c>
      <c r="E15" s="51">
        <f t="shared" ref="E15:F15" si="1">ROUND(E11/E13,5)</f>
        <v>0.90676999999999996</v>
      </c>
      <c r="F15" s="51">
        <f t="shared" si="1"/>
        <v>0.56627000000000005</v>
      </c>
      <c r="G15" s="99"/>
    </row>
    <row r="16" spans="1:7" x14ac:dyDescent="0.2">
      <c r="A16" s="44">
        <f t="shared" si="0"/>
        <v>6</v>
      </c>
      <c r="B16" s="43"/>
      <c r="C16" s="44"/>
      <c r="D16" s="51"/>
      <c r="E16" s="51"/>
      <c r="F16" s="51"/>
      <c r="G16" s="99"/>
    </row>
    <row r="17" spans="1:7" x14ac:dyDescent="0.2">
      <c r="A17" s="44">
        <f>A16+1</f>
        <v>7</v>
      </c>
      <c r="B17" s="43" t="s">
        <v>27</v>
      </c>
      <c r="C17" s="36" t="s">
        <v>444</v>
      </c>
      <c r="D17" s="236">
        <v>1.9550000000000001E-2</v>
      </c>
      <c r="E17" s="236">
        <v>-1.04E-2</v>
      </c>
      <c r="F17" s="236">
        <v>-1.01E-3</v>
      </c>
      <c r="G17" s="99"/>
    </row>
    <row r="18" spans="1:7" x14ac:dyDescent="0.2">
      <c r="A18" s="44">
        <f t="shared" si="0"/>
        <v>8</v>
      </c>
      <c r="B18" s="43"/>
      <c r="C18" s="44"/>
      <c r="D18" s="51"/>
      <c r="E18" s="51"/>
      <c r="F18" s="51"/>
      <c r="G18" s="99"/>
    </row>
    <row r="19" spans="1:7" x14ac:dyDescent="0.2">
      <c r="A19" s="44">
        <f t="shared" si="0"/>
        <v>9</v>
      </c>
      <c r="B19" s="43" t="s">
        <v>28</v>
      </c>
      <c r="C19" s="44" t="s">
        <v>14</v>
      </c>
      <c r="D19" s="104">
        <f>'Delivery Rate Change Calc'!D24</f>
        <v>1.2319999999999999E-2</v>
      </c>
      <c r="E19" s="104">
        <f>'Delivery Rate Change Calc'!E24</f>
        <v>-7.3899999999999999E-3</v>
      </c>
      <c r="F19" s="104">
        <f>'Delivery Rate Change Calc'!F24</f>
        <v>-1.282E-2</v>
      </c>
      <c r="G19" s="99"/>
    </row>
    <row r="20" spans="1:7" x14ac:dyDescent="0.2">
      <c r="A20" s="44">
        <f t="shared" si="0"/>
        <v>10</v>
      </c>
      <c r="B20" s="43"/>
      <c r="C20" s="44"/>
      <c r="D20" s="51"/>
      <c r="E20" s="51"/>
      <c r="F20" s="51"/>
      <c r="G20" s="99"/>
    </row>
    <row r="21" spans="1:7" x14ac:dyDescent="0.2">
      <c r="A21" s="44">
        <f t="shared" si="0"/>
        <v>11</v>
      </c>
      <c r="B21" s="43" t="s">
        <v>29</v>
      </c>
      <c r="C21" s="44" t="str">
        <f>"("&amp;A19&amp;") - ("&amp;A17&amp;")"</f>
        <v>(9) - (7)</v>
      </c>
      <c r="D21" s="51">
        <f>D19-D17</f>
        <v>-7.2300000000000021E-3</v>
      </c>
      <c r="E21" s="51">
        <f>E19-E17</f>
        <v>3.0099999999999997E-3</v>
      </c>
      <c r="F21" s="51">
        <f>F19-F17</f>
        <v>-1.1809999999999999E-2</v>
      </c>
      <c r="G21" s="99"/>
    </row>
    <row r="22" spans="1:7" x14ac:dyDescent="0.2">
      <c r="A22" s="44">
        <f t="shared" si="0"/>
        <v>12</v>
      </c>
      <c r="B22" s="43"/>
      <c r="C22" s="44"/>
      <c r="D22" s="43"/>
      <c r="E22" s="43"/>
      <c r="F22" s="43"/>
      <c r="G22" s="99"/>
    </row>
    <row r="23" spans="1:7" x14ac:dyDescent="0.2">
      <c r="A23" s="44">
        <f t="shared" si="0"/>
        <v>13</v>
      </c>
      <c r="B23" s="43" t="s">
        <v>30</v>
      </c>
      <c r="C23" s="44" t="str">
        <f>"("&amp;A21&amp;") / ("&amp;A15&amp;")"</f>
        <v>(11) / (5)</v>
      </c>
      <c r="D23" s="53">
        <f>D21/D15</f>
        <v>-6.7981796299082312E-3</v>
      </c>
      <c r="E23" s="53">
        <f>E21/E15</f>
        <v>3.3194746187015446E-3</v>
      </c>
      <c r="F23" s="53">
        <f>F21/F15</f>
        <v>-2.0855775513447646E-2</v>
      </c>
      <c r="G23" s="99"/>
    </row>
    <row r="24" spans="1:7" x14ac:dyDescent="0.2">
      <c r="A24" s="44">
        <f t="shared" si="0"/>
        <v>14</v>
      </c>
      <c r="B24" s="43"/>
      <c r="C24" s="44"/>
      <c r="D24" s="43"/>
      <c r="E24" s="43"/>
      <c r="F24" s="43"/>
      <c r="G24" s="99"/>
    </row>
    <row r="25" spans="1:7" x14ac:dyDescent="0.2">
      <c r="A25" s="44">
        <f t="shared" si="0"/>
        <v>15</v>
      </c>
      <c r="B25" s="43" t="s">
        <v>31</v>
      </c>
      <c r="C25" s="44" t="s">
        <v>20</v>
      </c>
      <c r="D25" s="105">
        <f>IF(D23&gt;5%,D23-5%,0)</f>
        <v>0</v>
      </c>
      <c r="E25" s="105">
        <f t="shared" ref="E25:F25" si="2">IF(E23&gt;5%,E23-5%,0)</f>
        <v>0</v>
      </c>
      <c r="F25" s="105">
        <f t="shared" si="2"/>
        <v>0</v>
      </c>
      <c r="G25" s="99"/>
    </row>
    <row r="26" spans="1:7" x14ac:dyDescent="0.2">
      <c r="A26" s="44">
        <f t="shared" si="0"/>
        <v>16</v>
      </c>
      <c r="B26" s="43"/>
      <c r="C26" s="44"/>
      <c r="D26" s="43"/>
      <c r="E26" s="43"/>
      <c r="F26" s="43"/>
      <c r="G26" s="99"/>
    </row>
    <row r="27" spans="1:7" x14ac:dyDescent="0.2">
      <c r="A27" s="44">
        <f t="shared" si="0"/>
        <v>17</v>
      </c>
      <c r="B27" s="43" t="s">
        <v>32</v>
      </c>
      <c r="C27" s="44" t="str">
        <f>"("&amp;A25&amp;") x ("&amp;A15&amp;")"</f>
        <v>(15) x (5)</v>
      </c>
      <c r="D27" s="106">
        <f>ROUND(D25*D15,5)</f>
        <v>0</v>
      </c>
      <c r="E27" s="106">
        <f>ROUND(E25*E15,5)</f>
        <v>0</v>
      </c>
      <c r="F27" s="106">
        <f>ROUND(F25*F15,5)</f>
        <v>0</v>
      </c>
      <c r="G27" s="99"/>
    </row>
    <row r="28" spans="1:7" x14ac:dyDescent="0.2">
      <c r="A28" s="44">
        <f t="shared" si="0"/>
        <v>18</v>
      </c>
      <c r="B28" s="38"/>
      <c r="C28" s="38"/>
      <c r="D28" s="107"/>
      <c r="E28" s="107"/>
      <c r="F28" s="107"/>
      <c r="G28" s="99"/>
    </row>
    <row r="29" spans="1:7" x14ac:dyDescent="0.2">
      <c r="A29" s="44">
        <f t="shared" si="0"/>
        <v>19</v>
      </c>
      <c r="B29" s="43" t="s">
        <v>33</v>
      </c>
      <c r="C29" s="44" t="str">
        <f>"("&amp;A19&amp;") - ("&amp;A27&amp;")"</f>
        <v>(9) - (17)</v>
      </c>
      <c r="D29" s="51">
        <f>D19-D27</f>
        <v>1.2319999999999999E-2</v>
      </c>
      <c r="E29" s="51">
        <f>E19-E27</f>
        <v>-7.3899999999999999E-3</v>
      </c>
      <c r="F29" s="51">
        <f>F19-F27</f>
        <v>-1.282E-2</v>
      </c>
      <c r="G29" s="99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M34"/>
  <sheetViews>
    <sheetView workbookViewId="0">
      <selection activeCell="G11" sqref="G11"/>
    </sheetView>
  </sheetViews>
  <sheetFormatPr defaultColWidth="9.140625" defaultRowHeight="12.75" customHeight="1" x14ac:dyDescent="0.2"/>
  <cols>
    <col min="1" max="1" width="5.28515625" style="90" customWidth="1"/>
    <col min="2" max="2" width="20.28515625" style="90" bestFit="1" customWidth="1"/>
    <col min="3" max="3" width="9" style="90" bestFit="1" customWidth="1"/>
    <col min="4" max="5" width="11.5703125" style="90" bestFit="1" customWidth="1"/>
    <col min="6" max="6" width="10.7109375" style="90" bestFit="1" customWidth="1"/>
    <col min="7" max="7" width="13.7109375" style="90" bestFit="1" customWidth="1"/>
    <col min="8" max="16384" width="9.140625" style="90"/>
  </cols>
  <sheetData>
    <row r="1" spans="1:13" ht="12.75" customHeight="1" x14ac:dyDescent="0.2">
      <c r="A1" s="437" t="s">
        <v>0</v>
      </c>
      <c r="B1" s="437"/>
      <c r="C1" s="437"/>
      <c r="D1" s="437"/>
      <c r="E1" s="437"/>
      <c r="F1" s="437"/>
      <c r="G1" s="437"/>
      <c r="H1" s="14"/>
      <c r="I1" s="14"/>
      <c r="J1" s="14"/>
      <c r="K1" s="14"/>
      <c r="L1" s="14"/>
      <c r="M1" s="14"/>
    </row>
    <row r="2" spans="1:13" ht="12.75" customHeight="1" x14ac:dyDescent="0.25">
      <c r="A2" s="438" t="str">
        <f>'Delivery Rate Change Calc'!A2:F2</f>
        <v>2020 Gas Decoupling Filing</v>
      </c>
      <c r="B2" s="438"/>
      <c r="C2" s="438"/>
      <c r="D2" s="438"/>
      <c r="E2" s="438"/>
      <c r="F2" s="438"/>
      <c r="G2" s="439"/>
      <c r="H2" s="14"/>
      <c r="I2" s="14"/>
      <c r="J2" s="14"/>
      <c r="K2" s="14"/>
      <c r="L2" s="14"/>
      <c r="M2" s="14"/>
    </row>
    <row r="3" spans="1:13" ht="12.75" customHeight="1" x14ac:dyDescent="0.25">
      <c r="A3" s="437" t="s">
        <v>455</v>
      </c>
      <c r="B3" s="437"/>
      <c r="C3" s="437"/>
      <c r="D3" s="437"/>
      <c r="E3" s="437"/>
      <c r="F3" s="437"/>
      <c r="G3" s="439"/>
      <c r="H3" s="14"/>
      <c r="I3" s="14"/>
      <c r="J3" s="14"/>
      <c r="K3" s="14"/>
      <c r="L3" s="14"/>
      <c r="M3" s="14"/>
    </row>
    <row r="4" spans="1:13" ht="12.75" customHeight="1" x14ac:dyDescent="0.25">
      <c r="A4" s="440" t="str">
        <f>'Delivery Rate Change Calc'!A4:F4</f>
        <v>Proposed Effective May 1, 2020</v>
      </c>
      <c r="B4" s="440"/>
      <c r="C4" s="440"/>
      <c r="D4" s="440"/>
      <c r="E4" s="440"/>
      <c r="F4" s="440"/>
      <c r="G4" s="439"/>
      <c r="H4" s="14"/>
      <c r="I4" s="14"/>
      <c r="J4" s="14"/>
      <c r="K4" s="14"/>
      <c r="L4" s="14"/>
      <c r="M4" s="14"/>
    </row>
    <row r="5" spans="1:13" ht="12.75" customHeight="1" x14ac:dyDescent="0.2">
      <c r="A5" s="43"/>
      <c r="B5" s="43"/>
      <c r="C5" s="43"/>
      <c r="D5" s="43"/>
      <c r="E5" s="43"/>
      <c r="F5" s="43"/>
      <c r="G5" s="43"/>
    </row>
    <row r="6" spans="1:13" ht="12.75" customHeight="1" x14ac:dyDescent="0.2">
      <c r="A6" s="43"/>
      <c r="B6" s="43"/>
      <c r="C6" s="43"/>
      <c r="D6" s="43"/>
      <c r="E6" s="43"/>
      <c r="F6" s="43"/>
      <c r="G6" s="43"/>
    </row>
    <row r="7" spans="1:13" ht="12.75" customHeight="1" x14ac:dyDescent="0.2">
      <c r="A7" s="40" t="s">
        <v>2</v>
      </c>
      <c r="B7" s="43"/>
      <c r="C7" s="43"/>
      <c r="D7" s="43"/>
      <c r="E7" s="40" t="s">
        <v>3</v>
      </c>
      <c r="F7" s="40" t="s">
        <v>3</v>
      </c>
      <c r="G7" s="40" t="s">
        <v>3</v>
      </c>
    </row>
    <row r="8" spans="1:13" ht="12.75" customHeight="1" x14ac:dyDescent="0.2">
      <c r="A8" s="41" t="s">
        <v>4</v>
      </c>
      <c r="B8" s="129"/>
      <c r="C8" s="41" t="s">
        <v>5</v>
      </c>
      <c r="D8" s="41" t="s">
        <v>73</v>
      </c>
      <c r="E8" s="41" t="s">
        <v>6</v>
      </c>
      <c r="F8" s="41" t="s">
        <v>7</v>
      </c>
      <c r="G8" s="41" t="s">
        <v>8</v>
      </c>
    </row>
    <row r="9" spans="1:13" ht="12.75" customHeight="1" x14ac:dyDescent="0.2">
      <c r="A9" s="43"/>
      <c r="B9" s="44" t="s">
        <v>9</v>
      </c>
      <c r="C9" s="44" t="s">
        <v>10</v>
      </c>
      <c r="D9" s="44" t="s">
        <v>11</v>
      </c>
      <c r="E9" s="44" t="s">
        <v>12</v>
      </c>
      <c r="F9" s="44" t="s">
        <v>13</v>
      </c>
      <c r="G9" s="43"/>
    </row>
    <row r="10" spans="1:13" ht="12.75" customHeight="1" x14ac:dyDescent="0.2">
      <c r="A10" s="44">
        <v>1</v>
      </c>
      <c r="B10" s="45"/>
      <c r="C10" s="44"/>
      <c r="D10" s="44"/>
      <c r="E10" s="44"/>
      <c r="F10" s="44"/>
      <c r="G10" s="43"/>
    </row>
    <row r="11" spans="1:13" ht="12.75" customHeight="1" x14ac:dyDescent="0.2">
      <c r="A11" s="44">
        <f t="shared" ref="A11:A17" si="0">A10+1</f>
        <v>2</v>
      </c>
      <c r="B11" s="43" t="s">
        <v>88</v>
      </c>
      <c r="C11" s="130" t="s">
        <v>14</v>
      </c>
      <c r="D11" s="131">
        <f>SUM(E11:G11)</f>
        <v>451221339</v>
      </c>
      <c r="E11" s="102">
        <f>'2019 Gas Margin Calc'!D21</f>
        <v>332842147</v>
      </c>
      <c r="F11" s="102">
        <f>'2019 Gas Margin Calc'!D22</f>
        <v>97400336</v>
      </c>
      <c r="G11" s="102">
        <f>'2019 Gas Margin Calc'!D23</f>
        <v>20978856</v>
      </c>
    </row>
    <row r="12" spans="1:13" ht="12.75" customHeight="1" x14ac:dyDescent="0.2">
      <c r="A12" s="44">
        <f t="shared" si="0"/>
        <v>3</v>
      </c>
      <c r="B12" s="43"/>
      <c r="C12" s="44"/>
      <c r="D12" s="44"/>
      <c r="E12" s="43"/>
      <c r="F12" s="43"/>
      <c r="G12" s="43"/>
    </row>
    <row r="13" spans="1:13" ht="12.75" customHeight="1" x14ac:dyDescent="0.2">
      <c r="A13" s="44">
        <f t="shared" si="0"/>
        <v>4</v>
      </c>
      <c r="B13" s="43" t="s">
        <v>89</v>
      </c>
      <c r="C13" s="130" t="s">
        <v>90</v>
      </c>
      <c r="D13" s="132">
        <f>SUM(E13:G13)</f>
        <v>1</v>
      </c>
      <c r="E13" s="133">
        <f>ROUND(E11/$D$11,4)</f>
        <v>0.73760000000000003</v>
      </c>
      <c r="F13" s="133">
        <f>ROUND(F11/$D$11,4)</f>
        <v>0.21590000000000001</v>
      </c>
      <c r="G13" s="133">
        <f>ROUND(G11/$D$11,4)</f>
        <v>4.65E-2</v>
      </c>
    </row>
    <row r="14" spans="1:13" ht="12.75" customHeight="1" x14ac:dyDescent="0.2">
      <c r="A14" s="44">
        <f t="shared" si="0"/>
        <v>5</v>
      </c>
      <c r="B14" s="43"/>
      <c r="C14" s="130"/>
      <c r="D14" s="130"/>
      <c r="E14" s="52"/>
      <c r="F14" s="52"/>
      <c r="G14" s="43"/>
    </row>
    <row r="15" spans="1:13" ht="12.75" customHeight="1" x14ac:dyDescent="0.2">
      <c r="A15" s="44">
        <f t="shared" si="0"/>
        <v>6</v>
      </c>
      <c r="B15" s="43" t="s">
        <v>91</v>
      </c>
      <c r="C15" s="44" t="s">
        <v>14</v>
      </c>
      <c r="D15" s="134">
        <f>'2019 Gas Earnings Test'!I19</f>
        <v>0</v>
      </c>
      <c r="E15" s="52"/>
      <c r="F15" s="52"/>
      <c r="G15" s="43"/>
    </row>
    <row r="16" spans="1:13" ht="12.75" customHeight="1" x14ac:dyDescent="0.2">
      <c r="A16" s="44">
        <f t="shared" si="0"/>
        <v>7</v>
      </c>
      <c r="B16" s="43"/>
      <c r="C16" s="130"/>
      <c r="D16" s="130"/>
      <c r="E16" s="43"/>
      <c r="F16" s="43"/>
      <c r="G16" s="43"/>
    </row>
    <row r="17" spans="1:7" ht="12.75" customHeight="1" x14ac:dyDescent="0.2">
      <c r="A17" s="44">
        <f t="shared" si="0"/>
        <v>8</v>
      </c>
      <c r="B17" s="43" t="s">
        <v>92</v>
      </c>
      <c r="C17" s="130" t="s">
        <v>93</v>
      </c>
      <c r="D17" s="131">
        <f>SUM(E17:G17)</f>
        <v>0</v>
      </c>
      <c r="E17" s="131">
        <f>IF($D$15&gt;0,$D$15*E13,0)</f>
        <v>0</v>
      </c>
      <c r="F17" s="131">
        <f>IF($D$15&gt;0,$D$15*F13,0)</f>
        <v>0</v>
      </c>
      <c r="G17" s="131">
        <f>IF($D$15&gt;0,$D$15*G13,0)</f>
        <v>0</v>
      </c>
    </row>
    <row r="18" spans="1:7" ht="12.75" customHeight="1" x14ac:dyDescent="0.2">
      <c r="A18" s="44"/>
      <c r="B18" s="43"/>
      <c r="C18" s="130"/>
      <c r="D18" s="43"/>
      <c r="E18" s="52"/>
      <c r="F18" s="52"/>
      <c r="G18" s="43"/>
    </row>
    <row r="19" spans="1:7" ht="12.75" customHeight="1" x14ac:dyDescent="0.2">
      <c r="A19" s="44"/>
      <c r="B19" s="43"/>
      <c r="C19" s="43"/>
      <c r="D19" s="43"/>
      <c r="E19" s="52"/>
      <c r="F19" s="52"/>
      <c r="G19" s="43"/>
    </row>
    <row r="20" spans="1:7" ht="12.75" customHeight="1" x14ac:dyDescent="0.2">
      <c r="A20" s="44"/>
      <c r="B20" s="43"/>
      <c r="C20" s="43"/>
      <c r="D20" s="43"/>
      <c r="E20" s="52"/>
      <c r="F20" s="52"/>
      <c r="G20" s="43"/>
    </row>
    <row r="21" spans="1:7" ht="12.75" customHeight="1" x14ac:dyDescent="0.2">
      <c r="A21" s="43"/>
      <c r="B21" s="43"/>
      <c r="C21" s="43"/>
      <c r="D21" s="43"/>
      <c r="E21" s="43"/>
      <c r="F21" s="43"/>
      <c r="G21" s="43"/>
    </row>
    <row r="22" spans="1:7" ht="12.75" customHeight="1" x14ac:dyDescent="0.2">
      <c r="A22" s="43"/>
      <c r="B22" s="43"/>
      <c r="C22" s="43"/>
      <c r="D22" s="43"/>
      <c r="E22" s="43"/>
      <c r="F22" s="43"/>
      <c r="G22" s="43"/>
    </row>
    <row r="23" spans="1:7" ht="12.75" customHeight="1" x14ac:dyDescent="0.2">
      <c r="A23" s="43"/>
      <c r="B23" s="43"/>
      <c r="C23" s="43"/>
      <c r="D23" s="43"/>
      <c r="E23" s="43"/>
      <c r="F23" s="43"/>
      <c r="G23" s="43"/>
    </row>
    <row r="24" spans="1:7" ht="12.75" customHeight="1" x14ac:dyDescent="0.2">
      <c r="A24" s="43"/>
      <c r="B24" s="43"/>
      <c r="C24" s="43"/>
      <c r="D24" s="43"/>
      <c r="E24" s="43"/>
      <c r="F24" s="43"/>
      <c r="G24" s="43"/>
    </row>
    <row r="25" spans="1:7" ht="12.75" customHeight="1" x14ac:dyDescent="0.2">
      <c r="A25" s="43"/>
      <c r="B25" s="43"/>
      <c r="C25" s="43"/>
      <c r="D25" s="43"/>
      <c r="E25" s="43"/>
      <c r="F25" s="43"/>
      <c r="G25" s="43"/>
    </row>
    <row r="26" spans="1:7" ht="12.75" customHeight="1" x14ac:dyDescent="0.2">
      <c r="A26" s="43"/>
      <c r="B26" s="43"/>
      <c r="C26" s="43"/>
      <c r="D26" s="43"/>
      <c r="E26" s="43"/>
      <c r="F26" s="43"/>
      <c r="G26" s="43"/>
    </row>
    <row r="27" spans="1:7" ht="12.75" customHeight="1" x14ac:dyDescent="0.2">
      <c r="A27" s="43"/>
      <c r="B27" s="43"/>
      <c r="C27" s="43"/>
      <c r="D27" s="43"/>
      <c r="E27" s="43"/>
      <c r="F27" s="43"/>
      <c r="G27" s="43"/>
    </row>
    <row r="28" spans="1:7" ht="12.75" customHeight="1" x14ac:dyDescent="0.2">
      <c r="A28" s="43"/>
      <c r="B28" s="43"/>
      <c r="C28" s="43"/>
      <c r="D28" s="43"/>
      <c r="E28" s="43"/>
      <c r="F28" s="43"/>
      <c r="G28" s="43"/>
    </row>
    <row r="29" spans="1:7" ht="12.75" customHeight="1" x14ac:dyDescent="0.2">
      <c r="A29" s="43"/>
      <c r="B29" s="43"/>
      <c r="C29" s="43"/>
      <c r="D29" s="43"/>
      <c r="E29" s="43"/>
      <c r="F29" s="43"/>
      <c r="G29" s="43"/>
    </row>
    <row r="30" spans="1:7" ht="12.75" customHeight="1" x14ac:dyDescent="0.2">
      <c r="A30" s="43"/>
      <c r="B30" s="43"/>
      <c r="C30" s="43"/>
      <c r="D30" s="43"/>
      <c r="E30" s="43"/>
      <c r="F30" s="43"/>
      <c r="G30" s="43"/>
    </row>
    <row r="31" spans="1:7" ht="12.75" customHeight="1" x14ac:dyDescent="0.2">
      <c r="A31" s="43"/>
      <c r="B31" s="43"/>
      <c r="C31" s="43"/>
      <c r="D31" s="43"/>
      <c r="E31" s="43"/>
      <c r="F31" s="43"/>
      <c r="G31" s="43"/>
    </row>
    <row r="32" spans="1:7" ht="12.75" customHeight="1" x14ac:dyDescent="0.2">
      <c r="A32" s="43"/>
      <c r="B32" s="43"/>
      <c r="C32" s="43"/>
      <c r="D32" s="43"/>
      <c r="E32" s="43"/>
      <c r="F32" s="43"/>
      <c r="G32" s="43"/>
    </row>
    <row r="33" spans="1:7" ht="12.75" customHeight="1" x14ac:dyDescent="0.2">
      <c r="A33" s="43"/>
      <c r="B33" s="43"/>
      <c r="C33" s="43"/>
      <c r="D33" s="43"/>
      <c r="E33" s="43"/>
      <c r="F33" s="43"/>
      <c r="G33" s="43"/>
    </row>
    <row r="34" spans="1:7" ht="12.75" customHeight="1" x14ac:dyDescent="0.2">
      <c r="A34" s="43"/>
      <c r="B34" s="43"/>
      <c r="C34" s="43"/>
      <c r="D34" s="43"/>
      <c r="E34" s="43"/>
      <c r="F34" s="43"/>
      <c r="G34" s="43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/>
  </sheetPr>
  <dimension ref="A1"/>
  <sheetViews>
    <sheetView workbookViewId="0">
      <selection activeCell="C33" sqref="C33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Y44"/>
  <sheetViews>
    <sheetView zoomScaleNormal="100" workbookViewId="0">
      <pane xSplit="3" ySplit="8" topLeftCell="Q9" activePane="bottomRight" state="frozenSplit"/>
      <selection activeCell="O55" sqref="O55"/>
      <selection pane="topRight" activeCell="O55" sqref="O55"/>
      <selection pane="bottomLeft" activeCell="O55" sqref="O55"/>
      <selection pane="bottomRight" activeCell="Q15" sqref="Q15"/>
    </sheetView>
  </sheetViews>
  <sheetFormatPr defaultRowHeight="11.25" x14ac:dyDescent="0.2"/>
  <cols>
    <col min="1" max="1" width="2.85546875" style="90" customWidth="1"/>
    <col min="2" max="2" width="38.7109375" style="90" customWidth="1"/>
    <col min="3" max="3" width="8.28515625" style="90" bestFit="1" customWidth="1"/>
    <col min="4" max="4" width="12" style="90" bestFit="1" customWidth="1"/>
    <col min="5" max="5" width="11.5703125" style="90" bestFit="1" customWidth="1"/>
    <col min="6" max="6" width="10.28515625" style="90" bestFit="1" customWidth="1"/>
    <col min="7" max="7" width="14.85546875" style="90" customWidth="1"/>
    <col min="8" max="9" width="11.5703125" style="90" bestFit="1" customWidth="1"/>
    <col min="10" max="11" width="10.7109375" style="90" bestFit="1" customWidth="1"/>
    <col min="12" max="12" width="9.85546875" style="90" bestFit="1" customWidth="1"/>
    <col min="13" max="14" width="10.7109375" style="90" bestFit="1" customWidth="1"/>
    <col min="15" max="15" width="10.42578125" style="90" bestFit="1" customWidth="1"/>
    <col min="16" max="16" width="11.28515625" style="90" bestFit="1" customWidth="1"/>
    <col min="17" max="18" width="10.7109375" style="90" bestFit="1" customWidth="1"/>
    <col min="19" max="19" width="14" style="90" customWidth="1"/>
    <col min="20" max="20" width="10.42578125" style="90" bestFit="1" customWidth="1"/>
    <col min="21" max="21" width="7.140625" style="90" bestFit="1" customWidth="1"/>
    <col min="22" max="22" width="1.85546875" style="90" customWidth="1"/>
    <col min="23" max="23" width="14.5703125" style="90" customWidth="1"/>
    <col min="24" max="24" width="12.28515625" style="90" customWidth="1"/>
    <col min="25" max="25" width="13.85546875" style="90" bestFit="1" customWidth="1"/>
    <col min="26" max="16384" width="9.140625" style="90"/>
  </cols>
  <sheetData>
    <row r="1" spans="2:25" s="307" customFormat="1" x14ac:dyDescent="0.2">
      <c r="B1" s="435" t="s">
        <v>0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</row>
    <row r="2" spans="2:25" s="307" customFormat="1" x14ac:dyDescent="0.2">
      <c r="B2" s="436" t="s">
        <v>481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</row>
    <row r="3" spans="2:25" s="307" customFormat="1" x14ac:dyDescent="0.2">
      <c r="B3" s="441" t="s">
        <v>368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</row>
    <row r="4" spans="2:25" s="307" customFormat="1" x14ac:dyDescent="0.2">
      <c r="B4" s="436" t="s">
        <v>482</v>
      </c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</row>
    <row r="5" spans="2:25" s="307" customFormat="1" x14ac:dyDescent="0.2">
      <c r="F5" s="357"/>
      <c r="N5" s="357"/>
      <c r="R5" s="357"/>
    </row>
    <row r="6" spans="2:25" s="307" customFormat="1" x14ac:dyDescent="0.2">
      <c r="B6" s="308"/>
      <c r="C6" s="308"/>
      <c r="D6" s="390" t="s">
        <v>483</v>
      </c>
      <c r="E6" s="361" t="s">
        <v>483</v>
      </c>
      <c r="F6" s="308"/>
      <c r="G6" s="308" t="s">
        <v>121</v>
      </c>
      <c r="H6" s="357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61" t="s">
        <v>431</v>
      </c>
      <c r="T6" s="361" t="s">
        <v>34</v>
      </c>
      <c r="U6" s="308"/>
    </row>
    <row r="7" spans="2:25" s="307" customFormat="1" x14ac:dyDescent="0.2">
      <c r="B7" s="308"/>
      <c r="C7" s="308" t="s">
        <v>35</v>
      </c>
      <c r="D7" s="308" t="s">
        <v>36</v>
      </c>
      <c r="E7" s="308" t="s">
        <v>37</v>
      </c>
      <c r="F7" s="308" t="s">
        <v>38</v>
      </c>
      <c r="G7" s="308" t="s">
        <v>122</v>
      </c>
      <c r="H7" s="357" t="s">
        <v>121</v>
      </c>
      <c r="I7" s="308" t="s">
        <v>39</v>
      </c>
      <c r="J7" s="308" t="s">
        <v>40</v>
      </c>
      <c r="K7" s="308" t="s">
        <v>41</v>
      </c>
      <c r="L7" s="308" t="s">
        <v>42</v>
      </c>
      <c r="M7" s="308" t="s">
        <v>43</v>
      </c>
      <c r="N7" s="308" t="s">
        <v>411</v>
      </c>
      <c r="O7" s="308" t="s">
        <v>412</v>
      </c>
      <c r="P7" s="308" t="s">
        <v>418</v>
      </c>
      <c r="Q7" s="308" t="s">
        <v>34</v>
      </c>
      <c r="R7" s="308" t="s">
        <v>45</v>
      </c>
      <c r="S7" s="308" t="s">
        <v>369</v>
      </c>
      <c r="T7" s="308" t="s">
        <v>50</v>
      </c>
      <c r="U7" s="308" t="s">
        <v>142</v>
      </c>
    </row>
    <row r="8" spans="2:25" s="307" customFormat="1" ht="33.75" x14ac:dyDescent="0.2">
      <c r="B8" s="310" t="s">
        <v>46</v>
      </c>
      <c r="C8" s="310" t="s">
        <v>47</v>
      </c>
      <c r="D8" s="310" t="s">
        <v>451</v>
      </c>
      <c r="E8" s="310" t="s">
        <v>452</v>
      </c>
      <c r="F8" s="310" t="s">
        <v>48</v>
      </c>
      <c r="G8" s="391" t="s">
        <v>453</v>
      </c>
      <c r="H8" s="358" t="s">
        <v>49</v>
      </c>
      <c r="I8" s="310" t="s">
        <v>50</v>
      </c>
      <c r="J8" s="310" t="s">
        <v>50</v>
      </c>
      <c r="K8" s="310" t="s">
        <v>50</v>
      </c>
      <c r="L8" s="310" t="s">
        <v>50</v>
      </c>
      <c r="M8" s="310" t="s">
        <v>50</v>
      </c>
      <c r="N8" s="310" t="s">
        <v>50</v>
      </c>
      <c r="O8" s="310" t="s">
        <v>50</v>
      </c>
      <c r="P8" s="310" t="s">
        <v>50</v>
      </c>
      <c r="Q8" s="310" t="s">
        <v>50</v>
      </c>
      <c r="R8" s="310" t="s">
        <v>50</v>
      </c>
      <c r="S8" s="310" t="s">
        <v>419</v>
      </c>
      <c r="T8" s="310" t="s">
        <v>143</v>
      </c>
      <c r="U8" s="310" t="s">
        <v>143</v>
      </c>
      <c r="W8" s="347" t="s">
        <v>448</v>
      </c>
      <c r="X8" s="350" t="s">
        <v>442</v>
      </c>
      <c r="Y8" s="350" t="s">
        <v>443</v>
      </c>
    </row>
    <row r="9" spans="2:25" x14ac:dyDescent="0.2">
      <c r="B9" s="293" t="s">
        <v>51</v>
      </c>
      <c r="C9" s="293" t="s">
        <v>52</v>
      </c>
      <c r="D9" s="362" t="s">
        <v>53</v>
      </c>
      <c r="E9" s="363" t="s">
        <v>54</v>
      </c>
      <c r="F9" s="293" t="s">
        <v>55</v>
      </c>
      <c r="G9" s="293" t="s">
        <v>56</v>
      </c>
      <c r="H9" s="293" t="s">
        <v>57</v>
      </c>
      <c r="I9" s="293" t="s">
        <v>58</v>
      </c>
      <c r="J9" s="293" t="s">
        <v>59</v>
      </c>
      <c r="K9" s="293" t="s">
        <v>60</v>
      </c>
      <c r="L9" s="363" t="s">
        <v>61</v>
      </c>
      <c r="M9" s="293" t="s">
        <v>62</v>
      </c>
      <c r="N9" s="363" t="s">
        <v>63</v>
      </c>
      <c r="O9" s="363" t="s">
        <v>64</v>
      </c>
      <c r="P9" s="293" t="s">
        <v>65</v>
      </c>
      <c r="Q9" s="363" t="s">
        <v>420</v>
      </c>
      <c r="R9" s="293" t="s">
        <v>66</v>
      </c>
      <c r="S9" s="363" t="s">
        <v>67</v>
      </c>
      <c r="T9" s="293" t="s">
        <v>421</v>
      </c>
      <c r="U9" s="293" t="s">
        <v>370</v>
      </c>
      <c r="W9" s="352"/>
      <c r="X9" s="351"/>
      <c r="Y9" s="351"/>
    </row>
    <row r="10" spans="2:25" x14ac:dyDescent="0.2">
      <c r="B10" s="90" t="s">
        <v>68</v>
      </c>
      <c r="C10" s="364" t="s">
        <v>69</v>
      </c>
      <c r="D10" s="276">
        <v>577531400.48799992</v>
      </c>
      <c r="E10" s="365">
        <v>299349526.67167699</v>
      </c>
      <c r="F10" s="366">
        <f t="shared" ref="F10:F15" si="0">(E10)/D10</f>
        <v>0.51832597572830497</v>
      </c>
      <c r="G10" s="276">
        <v>613997001</v>
      </c>
      <c r="H10" s="367">
        <f>F10*G10</f>
        <v>318250594.63757801</v>
      </c>
      <c r="I10" s="365">
        <v>212528921.93000001</v>
      </c>
      <c r="J10" s="365">
        <v>61553199.350000001</v>
      </c>
      <c r="K10" s="365">
        <v>11144045.568149999</v>
      </c>
      <c r="L10" s="365">
        <v>3800641.4361900003</v>
      </c>
      <c r="M10" s="365">
        <v>13722832.972350001</v>
      </c>
      <c r="N10" s="365">
        <v>19286044.309999999</v>
      </c>
      <c r="O10" s="365">
        <v>-4340498.1599999992</v>
      </c>
      <c r="P10" s="365">
        <v>-6496088.2705800002</v>
      </c>
      <c r="Q10" s="365">
        <v>12003641.369999999</v>
      </c>
      <c r="R10" s="365">
        <v>11543143.618800001</v>
      </c>
      <c r="S10" s="368">
        <f>SUM(H10:R10)</f>
        <v>652996478.76248801</v>
      </c>
      <c r="T10" s="365">
        <f>'Sch 142 Revenue (Decoupling)'!H11</f>
        <v>-4439198.32</v>
      </c>
      <c r="U10" s="369">
        <f>T10/S10</f>
        <v>-6.7981964135746184E-3</v>
      </c>
      <c r="W10" s="348">
        <f>S10/G10</f>
        <v>1.0635173750017843</v>
      </c>
      <c r="X10" s="354">
        <f>'2019 Weather Adj'!P217</f>
        <v>625129422.53001368</v>
      </c>
      <c r="Y10" s="353">
        <f>W10*X10</f>
        <v>664836002.48550141</v>
      </c>
    </row>
    <row r="11" spans="2:25" x14ac:dyDescent="0.2">
      <c r="B11" s="90" t="s">
        <v>123</v>
      </c>
      <c r="C11" s="364">
        <v>16</v>
      </c>
      <c r="D11" s="276">
        <v>9689.9889999999996</v>
      </c>
      <c r="E11" s="365">
        <v>4941.8900000000003</v>
      </c>
      <c r="F11" s="366">
        <f t="shared" si="0"/>
        <v>0.50999954695511007</v>
      </c>
      <c r="G11" s="276">
        <v>8938</v>
      </c>
      <c r="H11" s="367">
        <f t="shared" ref="H11:H22" si="1">F11*G11</f>
        <v>4558.3759506847737</v>
      </c>
      <c r="I11" s="365">
        <v>3093.8</v>
      </c>
      <c r="J11" s="365">
        <v>896.03</v>
      </c>
      <c r="K11" s="365">
        <v>162.22469999999998</v>
      </c>
      <c r="L11" s="365">
        <v>0</v>
      </c>
      <c r="M11" s="365">
        <v>199.76430000000002</v>
      </c>
      <c r="N11" s="365">
        <v>277.55</v>
      </c>
      <c r="O11" s="365">
        <v>-61.15</v>
      </c>
      <c r="P11" s="365">
        <v>-94.564040000000006</v>
      </c>
      <c r="Q11" s="365">
        <v>0</v>
      </c>
      <c r="R11" s="365">
        <v>168.03440000000001</v>
      </c>
      <c r="S11" s="368">
        <f t="shared" ref="S11:S22" si="2">SUM(H11:R11)</f>
        <v>9200.0653106847767</v>
      </c>
      <c r="T11" s="365"/>
      <c r="U11" s="369">
        <f t="shared" ref="U11:U23" si="3">T11/S11</f>
        <v>0</v>
      </c>
      <c r="W11" s="348">
        <f t="shared" ref="W11:W22" si="4">S11/G11</f>
        <v>1.0293203525044503</v>
      </c>
      <c r="X11" s="354">
        <f>'2019 Weather Adj'!P216</f>
        <v>9267.5670000000009</v>
      </c>
      <c r="Y11" s="353">
        <f t="shared" ref="Y11:Y22" si="5">W11*X11</f>
        <v>9539.2953312986119</v>
      </c>
    </row>
    <row r="12" spans="2:25" x14ac:dyDescent="0.2">
      <c r="B12" s="90" t="s">
        <v>70</v>
      </c>
      <c r="C12" s="364">
        <v>31</v>
      </c>
      <c r="D12" s="276">
        <v>214564223.29299998</v>
      </c>
      <c r="E12" s="365">
        <v>86991648.090000004</v>
      </c>
      <c r="F12" s="366">
        <f t="shared" si="0"/>
        <v>0.40543407822098948</v>
      </c>
      <c r="G12" s="276">
        <v>240219450</v>
      </c>
      <c r="H12" s="367">
        <f t="shared" si="1"/>
        <v>97393151.281503066</v>
      </c>
      <c r="I12" s="365">
        <v>80987585.370000005</v>
      </c>
      <c r="J12" s="365">
        <v>24081999.859999999</v>
      </c>
      <c r="K12" s="365">
        <v>4359983.0175000001</v>
      </c>
      <c r="L12" s="365">
        <v>1184281.8885000001</v>
      </c>
      <c r="M12" s="365">
        <v>6072747.6960000005</v>
      </c>
      <c r="N12" s="365">
        <v>6264148.5800000001</v>
      </c>
      <c r="O12" s="365">
        <v>-1307584.8400000001</v>
      </c>
      <c r="P12" s="365">
        <v>-2817774.1485000001</v>
      </c>
      <c r="Q12" s="365">
        <v>-2498282.29</v>
      </c>
      <c r="R12" s="365">
        <v>4107752.5950000002</v>
      </c>
      <c r="S12" s="368">
        <f t="shared" si="2"/>
        <v>217828009.01000315</v>
      </c>
      <c r="T12" s="365">
        <f>'Sch 142 Revenue (Decoupling)'!H16</f>
        <v>725462.74</v>
      </c>
      <c r="U12" s="369">
        <f t="shared" si="3"/>
        <v>3.3304382815466356E-3</v>
      </c>
      <c r="W12" s="348">
        <f t="shared" si="4"/>
        <v>0.90678756033286712</v>
      </c>
      <c r="X12" s="354">
        <f>'2019 Weather Adj'!P218</f>
        <v>239258322.47617555</v>
      </c>
      <c r="Y12" s="353">
        <f t="shared" si="5"/>
        <v>216956470.52750561</v>
      </c>
    </row>
    <row r="13" spans="2:25" x14ac:dyDescent="0.2">
      <c r="B13" s="90" t="s">
        <v>74</v>
      </c>
      <c r="C13" s="364">
        <v>41</v>
      </c>
      <c r="D13" s="276">
        <v>65990650.213</v>
      </c>
      <c r="E13" s="365">
        <v>14627826.099797169</v>
      </c>
      <c r="F13" s="366">
        <f t="shared" si="0"/>
        <v>0.22166513062960427</v>
      </c>
      <c r="G13" s="276">
        <v>66815894</v>
      </c>
      <c r="H13" s="367">
        <f t="shared" si="1"/>
        <v>14810753.871643793</v>
      </c>
      <c r="I13" s="365">
        <v>20093942.34</v>
      </c>
      <c r="J13" s="365">
        <v>6700297.8499999996</v>
      </c>
      <c r="K13" s="365">
        <v>1212708.4760999999</v>
      </c>
      <c r="L13" s="365">
        <v>179734.75486000002</v>
      </c>
      <c r="M13" s="365">
        <v>597334.09236000001</v>
      </c>
      <c r="N13" s="365">
        <v>1181460.18</v>
      </c>
      <c r="O13" s="365">
        <v>-202375.00999999998</v>
      </c>
      <c r="P13" s="365">
        <v>-311362.06604000001</v>
      </c>
      <c r="Q13" s="365">
        <v>-78636.76999999999</v>
      </c>
      <c r="R13" s="365">
        <v>684194.75456000003</v>
      </c>
      <c r="S13" s="368">
        <f t="shared" si="2"/>
        <v>44868052.473483786</v>
      </c>
      <c r="T13" s="365">
        <f>'Sch 142 Revenue (Decoupling)'!H30</f>
        <v>-774277.50999999989</v>
      </c>
      <c r="U13" s="369">
        <f t="shared" si="3"/>
        <v>-1.7256766614900079E-2</v>
      </c>
      <c r="W13" s="348">
        <f t="shared" si="4"/>
        <v>0.67151765526752938</v>
      </c>
      <c r="X13" s="354">
        <f>'2019 Weather Adj'!P219</f>
        <v>67060083.387851544</v>
      </c>
      <c r="Y13" s="353">
        <f t="shared" si="5"/>
        <v>45032029.958655067</v>
      </c>
    </row>
    <row r="14" spans="2:25" x14ac:dyDescent="0.2">
      <c r="B14" s="90" t="s">
        <v>124</v>
      </c>
      <c r="C14" s="364">
        <v>85</v>
      </c>
      <c r="D14" s="276">
        <v>17139795.438999999</v>
      </c>
      <c r="E14" s="365">
        <v>1690709.47</v>
      </c>
      <c r="F14" s="366">
        <f t="shared" si="0"/>
        <v>9.864233654463278E-2</v>
      </c>
      <c r="G14" s="276">
        <v>14838965</v>
      </c>
      <c r="H14" s="367">
        <f t="shared" si="1"/>
        <v>1463750.1795040267</v>
      </c>
      <c r="I14" s="365">
        <v>4292791.3299999991</v>
      </c>
      <c r="J14" s="365">
        <v>1488199.8</v>
      </c>
      <c r="K14" s="365">
        <v>228965.22994999998</v>
      </c>
      <c r="L14" s="365">
        <v>18680.048112303961</v>
      </c>
      <c r="M14" s="365">
        <v>74936.773249999998</v>
      </c>
      <c r="N14" s="365">
        <v>144903.98000000001</v>
      </c>
      <c r="O14" s="365">
        <v>-20289.149999999998</v>
      </c>
      <c r="P14" s="365">
        <v>-37987.750400000004</v>
      </c>
      <c r="Q14" s="365">
        <v>0</v>
      </c>
      <c r="R14" s="365">
        <v>82356.255749999997</v>
      </c>
      <c r="S14" s="368">
        <f t="shared" si="2"/>
        <v>7736306.6961663282</v>
      </c>
      <c r="T14" s="365"/>
      <c r="U14" s="369">
        <f t="shared" si="3"/>
        <v>0</v>
      </c>
      <c r="W14" s="348">
        <f t="shared" si="4"/>
        <v>0.52135082845510639</v>
      </c>
      <c r="X14" s="354">
        <f>'2019 Weather Adj'!P222</f>
        <v>14481186.540293716</v>
      </c>
      <c r="Y14" s="353">
        <f t="shared" si="5"/>
        <v>7549778.5997950649</v>
      </c>
    </row>
    <row r="15" spans="2:25" x14ac:dyDescent="0.2">
      <c r="B15" s="90" t="s">
        <v>77</v>
      </c>
      <c r="C15" s="364">
        <v>86</v>
      </c>
      <c r="D15" s="276">
        <v>9926029.5299999993</v>
      </c>
      <c r="E15" s="365">
        <v>2102083.46</v>
      </c>
      <c r="F15" s="366">
        <f t="shared" si="0"/>
        <v>0.21177485455254333</v>
      </c>
      <c r="G15" s="276">
        <v>7366111</v>
      </c>
      <c r="H15" s="367">
        <f t="shared" si="1"/>
        <v>1559957.0856428896</v>
      </c>
      <c r="I15" s="365">
        <v>2149002.11</v>
      </c>
      <c r="J15" s="365">
        <v>738747.27</v>
      </c>
      <c r="K15" s="365">
        <v>113659.09272999999</v>
      </c>
      <c r="L15" s="365">
        <v>19078.227489999997</v>
      </c>
      <c r="M15" s="365">
        <v>56498.071369999998</v>
      </c>
      <c r="N15" s="365">
        <v>134051.32</v>
      </c>
      <c r="O15" s="365">
        <v>-22947.15</v>
      </c>
      <c r="P15" s="365">
        <v>-30716.682870000001</v>
      </c>
      <c r="Q15" s="365">
        <v>-7706.42</v>
      </c>
      <c r="R15" s="365">
        <v>59739.160210000009</v>
      </c>
      <c r="S15" s="368">
        <f t="shared" si="2"/>
        <v>4769362.0845728908</v>
      </c>
      <c r="T15" s="365">
        <f>'Sch 142 Revenue (Decoupling)'!H49</f>
        <v>-87543.59</v>
      </c>
      <c r="U15" s="369">
        <f t="shared" si="3"/>
        <v>-1.8355408636968641E-2</v>
      </c>
      <c r="W15" s="348">
        <f t="shared" si="4"/>
        <v>0.64747355620528813</v>
      </c>
      <c r="X15" s="354">
        <f>'2019 Weather Adj'!P223</f>
        <v>8127146.5125943255</v>
      </c>
      <c r="Y15" s="353">
        <f t="shared" si="5"/>
        <v>5262112.454310853</v>
      </c>
    </row>
    <row r="16" spans="2:25" x14ac:dyDescent="0.2">
      <c r="B16" s="90" t="s">
        <v>125</v>
      </c>
      <c r="C16" s="364">
        <v>87</v>
      </c>
      <c r="D16" s="276">
        <v>23311381.287999999</v>
      </c>
      <c r="E16" s="365">
        <v>1129405.5499999998</v>
      </c>
      <c r="F16" s="366">
        <f>(E16)/D16</f>
        <v>4.8448675608140992E-2</v>
      </c>
      <c r="G16" s="276">
        <v>22292121</v>
      </c>
      <c r="H16" s="367">
        <f t="shared" si="1"/>
        <v>1080023.7389464276</v>
      </c>
      <c r="I16" s="365">
        <v>6293065.7599999998</v>
      </c>
      <c r="J16" s="365">
        <v>2235676.8199999998</v>
      </c>
      <c r="K16" s="365">
        <v>343967.42702999996</v>
      </c>
      <c r="L16" s="365">
        <v>11442.677168390746</v>
      </c>
      <c r="M16" s="365">
        <v>60857.490329999993</v>
      </c>
      <c r="N16" s="365">
        <v>103284.69</v>
      </c>
      <c r="O16" s="365">
        <v>-14510.9</v>
      </c>
      <c r="P16" s="365">
        <v>-30763.126979999997</v>
      </c>
      <c r="Q16" s="365">
        <v>0</v>
      </c>
      <c r="R16" s="365">
        <v>74455.684139999998</v>
      </c>
      <c r="S16" s="368">
        <f t="shared" si="2"/>
        <v>10157500.260634819</v>
      </c>
      <c r="T16" s="365"/>
      <c r="U16" s="369">
        <f t="shared" si="3"/>
        <v>0</v>
      </c>
      <c r="W16" s="348">
        <f t="shared" si="4"/>
        <v>0.45565427626356503</v>
      </c>
      <c r="X16" s="354">
        <f>'2019 Weather Adj'!P224</f>
        <v>22517790.818000004</v>
      </c>
      <c r="Y16" s="353">
        <f t="shared" si="5"/>
        <v>10260327.678230142</v>
      </c>
    </row>
    <row r="17" spans="2:25" x14ac:dyDescent="0.2">
      <c r="B17" s="90" t="s">
        <v>71</v>
      </c>
      <c r="C17" s="364" t="s">
        <v>72</v>
      </c>
      <c r="D17" s="276">
        <v>22880.93</v>
      </c>
      <c r="E17" s="365">
        <v>14880.86</v>
      </c>
      <c r="F17" s="366">
        <f>(E17)/D17</f>
        <v>0.65036080264220031</v>
      </c>
      <c r="G17" s="276">
        <v>23426</v>
      </c>
      <c r="H17" s="367">
        <f t="shared" si="1"/>
        <v>15235.352162696185</v>
      </c>
      <c r="I17" s="365">
        <v>0</v>
      </c>
      <c r="J17" s="365">
        <v>0</v>
      </c>
      <c r="K17" s="365">
        <v>0</v>
      </c>
      <c r="L17" s="365">
        <v>115.49018000000001</v>
      </c>
      <c r="M17" s="365">
        <v>592.20928000000004</v>
      </c>
      <c r="N17" s="365">
        <v>855.57999999999993</v>
      </c>
      <c r="O17" s="365">
        <v>-275.07</v>
      </c>
      <c r="P17" s="365">
        <v>-274.78698000000003</v>
      </c>
      <c r="Q17" s="365">
        <v>-231.45</v>
      </c>
      <c r="R17" s="365">
        <v>400.58460000000002</v>
      </c>
      <c r="S17" s="368">
        <f t="shared" si="2"/>
        <v>16417.909242696183</v>
      </c>
      <c r="T17" s="365">
        <f>'Sch 142 Revenue (Decoupling)'!H21</f>
        <v>67</v>
      </c>
      <c r="U17" s="369">
        <f t="shared" si="3"/>
        <v>4.08090939044545E-3</v>
      </c>
      <c r="W17" s="348">
        <f t="shared" si="4"/>
        <v>0.70084134050611213</v>
      </c>
      <c r="X17" s="354">
        <f>'2019 Weather Adj'!P225</f>
        <v>26176.319999999992</v>
      </c>
      <c r="Y17" s="353">
        <f t="shared" si="5"/>
        <v>18345.447198316946</v>
      </c>
    </row>
    <row r="18" spans="2:25" x14ac:dyDescent="0.2">
      <c r="B18" s="90" t="s">
        <v>75</v>
      </c>
      <c r="C18" s="90" t="s">
        <v>76</v>
      </c>
      <c r="D18" s="276">
        <v>17702125.890000001</v>
      </c>
      <c r="E18" s="365">
        <v>3565479.9526575999</v>
      </c>
      <c r="F18" s="366">
        <f t="shared" ref="F18:F21" si="6">(E18)/D18</f>
        <v>0.20141535399834398</v>
      </c>
      <c r="G18" s="276">
        <v>24122221</v>
      </c>
      <c r="H18" s="367">
        <f>F18*G18</f>
        <v>4858585.6819412876</v>
      </c>
      <c r="I18" s="365">
        <v>0</v>
      </c>
      <c r="J18" s="365">
        <v>0</v>
      </c>
      <c r="K18" s="365">
        <v>0</v>
      </c>
      <c r="L18" s="365">
        <v>64888.774490000003</v>
      </c>
      <c r="M18" s="365">
        <v>215652.65573999999</v>
      </c>
      <c r="N18" s="365">
        <v>189841.8</v>
      </c>
      <c r="O18" s="365">
        <v>-60882.729999999996</v>
      </c>
      <c r="P18" s="365">
        <v>-112409.54986</v>
      </c>
      <c r="Q18" s="365">
        <v>-25899.629999999997</v>
      </c>
      <c r="R18" s="365">
        <v>247011.54304000002</v>
      </c>
      <c r="S18" s="368">
        <f>SUM(H18:R18)</f>
        <v>5376788.5453512874</v>
      </c>
      <c r="T18" s="365">
        <f>'Sch 142 Revenue (Decoupling)'!H39</f>
        <v>-259280.82</v>
      </c>
      <c r="U18" s="369">
        <f t="shared" si="3"/>
        <v>-4.8222246014151211E-2</v>
      </c>
      <c r="W18" s="348">
        <f t="shared" si="4"/>
        <v>0.22289774002780621</v>
      </c>
      <c r="X18" s="354">
        <f>'2019 Weather Adj'!P226</f>
        <v>22090868.789999999</v>
      </c>
      <c r="Y18" s="353">
        <f t="shared" si="5"/>
        <v>4924004.728541798</v>
      </c>
    </row>
    <row r="19" spans="2:25" x14ac:dyDescent="0.2">
      <c r="B19" s="90" t="s">
        <v>126</v>
      </c>
      <c r="C19" s="90" t="s">
        <v>127</v>
      </c>
      <c r="D19" s="276">
        <v>79480065.260000005</v>
      </c>
      <c r="E19" s="365">
        <v>7330425.0899999999</v>
      </c>
      <c r="F19" s="366">
        <f t="shared" si="6"/>
        <v>9.2229731644284246E-2</v>
      </c>
      <c r="G19" s="276">
        <v>78043724</v>
      </c>
      <c r="H19" s="367">
        <f t="shared" si="1"/>
        <v>7197951.721040586</v>
      </c>
      <c r="I19" s="365">
        <v>0</v>
      </c>
      <c r="J19" s="365">
        <v>0</v>
      </c>
      <c r="K19" s="365">
        <v>0</v>
      </c>
      <c r="L19" s="365">
        <v>88221.664729179101</v>
      </c>
      <c r="M19" s="365">
        <v>394120.80619999999</v>
      </c>
      <c r="N19" s="365">
        <v>306720.3</v>
      </c>
      <c r="O19" s="365">
        <v>-98044.709999999992</v>
      </c>
      <c r="P19" s="365">
        <v>-199791.93344000002</v>
      </c>
      <c r="Q19" s="365">
        <v>0</v>
      </c>
      <c r="R19" s="365">
        <v>433142.66820000001</v>
      </c>
      <c r="S19" s="368">
        <f t="shared" si="2"/>
        <v>8122320.5167297656</v>
      </c>
      <c r="T19" s="365"/>
      <c r="U19" s="369">
        <f t="shared" si="3"/>
        <v>0</v>
      </c>
      <c r="W19" s="348">
        <f t="shared" si="4"/>
        <v>0.10407397418311004</v>
      </c>
      <c r="X19" s="354">
        <f>'2019 Weather Adj'!P227</f>
        <v>73081776.895000011</v>
      </c>
      <c r="Y19" s="353">
        <f t="shared" si="5"/>
        <v>7605910.9618260385</v>
      </c>
    </row>
    <row r="20" spans="2:25" x14ac:dyDescent="0.2">
      <c r="B20" s="90" t="s">
        <v>78</v>
      </c>
      <c r="C20" s="90" t="s">
        <v>79</v>
      </c>
      <c r="D20" s="276">
        <v>372634.3</v>
      </c>
      <c r="E20" s="365">
        <v>84449.41</v>
      </c>
      <c r="F20" s="366">
        <f t="shared" si="6"/>
        <v>0.22662811770145691</v>
      </c>
      <c r="G20" s="276">
        <v>223415</v>
      </c>
      <c r="H20" s="367">
        <f t="shared" si="1"/>
        <v>50632.120916270993</v>
      </c>
      <c r="I20" s="365">
        <v>0</v>
      </c>
      <c r="J20" s="365">
        <v>0</v>
      </c>
      <c r="K20" s="365">
        <v>0</v>
      </c>
      <c r="L20" s="365">
        <v>578.64485000000002</v>
      </c>
      <c r="M20" s="365">
        <v>1713.5930499999999</v>
      </c>
      <c r="N20" s="365">
        <v>2743.39</v>
      </c>
      <c r="O20" s="365">
        <v>-882.45</v>
      </c>
      <c r="P20" s="365">
        <v>-931.64055000000008</v>
      </c>
      <c r="Q20" s="365">
        <v>-276.73</v>
      </c>
      <c r="R20" s="365">
        <v>1811.8956500000002</v>
      </c>
      <c r="S20" s="368">
        <f t="shared" si="2"/>
        <v>55388.823916270994</v>
      </c>
      <c r="T20" s="365">
        <f>'Sch 142 Revenue (Decoupling)'!H56</f>
        <v>-2885.25</v>
      </c>
      <c r="U20" s="369">
        <f t="shared" si="3"/>
        <v>-5.2090833420863271E-2</v>
      </c>
      <c r="W20" s="348">
        <f t="shared" si="4"/>
        <v>0.2479190023779558</v>
      </c>
      <c r="X20" s="354">
        <f>'2019 Weather Adj'!P228</f>
        <v>414869.86</v>
      </c>
      <c r="Y20" s="353">
        <f t="shared" si="5"/>
        <v>102854.12180788218</v>
      </c>
    </row>
    <row r="21" spans="2:25" x14ac:dyDescent="0.2">
      <c r="B21" s="90" t="s">
        <v>128</v>
      </c>
      <c r="C21" s="90" t="s">
        <v>129</v>
      </c>
      <c r="D21" s="276">
        <v>99276638.950000003</v>
      </c>
      <c r="E21" s="365">
        <v>3590033.5100000002</v>
      </c>
      <c r="F21" s="366">
        <f t="shared" si="6"/>
        <v>3.6161916317574934E-2</v>
      </c>
      <c r="G21" s="276">
        <v>100692527</v>
      </c>
      <c r="H21" s="367">
        <f t="shared" si="1"/>
        <v>3641234.7351791547</v>
      </c>
      <c r="I21" s="365">
        <v>0</v>
      </c>
      <c r="J21" s="365">
        <v>0</v>
      </c>
      <c r="K21" s="365">
        <v>0</v>
      </c>
      <c r="L21" s="365">
        <v>41818.657770489328</v>
      </c>
      <c r="M21" s="365">
        <v>274890.59870999999</v>
      </c>
      <c r="N21" s="365">
        <v>150223.56</v>
      </c>
      <c r="O21" s="365">
        <v>-47763.570000000007</v>
      </c>
      <c r="P21" s="365">
        <v>-138955.68726000001</v>
      </c>
      <c r="Q21" s="365">
        <v>0</v>
      </c>
      <c r="R21" s="365">
        <v>336313.04018000001</v>
      </c>
      <c r="S21" s="368">
        <f t="shared" si="2"/>
        <v>4257761.3345796447</v>
      </c>
      <c r="T21" s="365"/>
      <c r="U21" s="369">
        <f t="shared" si="3"/>
        <v>0</v>
      </c>
      <c r="W21" s="348">
        <f t="shared" si="4"/>
        <v>4.228477982859289E-2</v>
      </c>
      <c r="X21" s="354">
        <f>'2019 Weather Adj'!P229</f>
        <v>95710053.639999986</v>
      </c>
      <c r="Y21" s="353">
        <f t="shared" si="5"/>
        <v>4047078.5455502151</v>
      </c>
    </row>
    <row r="22" spans="2:25" x14ac:dyDescent="0.2">
      <c r="B22" s="90" t="s">
        <v>130</v>
      </c>
      <c r="D22" s="276">
        <v>37223237.460000001</v>
      </c>
      <c r="E22" s="365">
        <v>1465941.3557558353</v>
      </c>
      <c r="F22" s="370">
        <f>(E22)/D22</f>
        <v>3.9382424952454288E-2</v>
      </c>
      <c r="G22" s="276">
        <v>36131830</v>
      </c>
      <c r="H22" s="367">
        <f t="shared" si="1"/>
        <v>1422959.0833698364</v>
      </c>
      <c r="I22" s="365">
        <v>0</v>
      </c>
      <c r="J22" s="365">
        <v>0</v>
      </c>
      <c r="K22" s="365">
        <v>0</v>
      </c>
      <c r="L22" s="365">
        <v>0</v>
      </c>
      <c r="M22" s="365">
        <v>123932.17689999999</v>
      </c>
      <c r="N22" s="365">
        <v>35274.722042470239</v>
      </c>
      <c r="O22" s="365">
        <v>-11662.625379653648</v>
      </c>
      <c r="P22" s="365">
        <v>-62869.3842</v>
      </c>
      <c r="Q22" s="365">
        <v>0</v>
      </c>
      <c r="R22" s="365">
        <v>146695.2298</v>
      </c>
      <c r="S22" s="368">
        <f t="shared" si="2"/>
        <v>1654329.2025326532</v>
      </c>
      <c r="T22" s="365"/>
      <c r="U22" s="369">
        <f t="shared" si="3"/>
        <v>0</v>
      </c>
      <c r="W22" s="348">
        <f t="shared" si="4"/>
        <v>4.5785923451224397E-2</v>
      </c>
      <c r="X22" s="354">
        <f>'2019 Weather Adj'!P230</f>
        <v>37063761.020000003</v>
      </c>
      <c r="Y22" s="353">
        <f t="shared" si="5"/>
        <v>1696998.5248761948</v>
      </c>
    </row>
    <row r="23" spans="2:25" x14ac:dyDescent="0.2">
      <c r="B23" s="90" t="s">
        <v>73</v>
      </c>
      <c r="D23" s="371">
        <f>SUM(D10:D22)</f>
        <v>1142550753.0299997</v>
      </c>
      <c r="E23" s="372">
        <f>SUM(E10:E22)</f>
        <v>421947351.40988761</v>
      </c>
      <c r="F23" s="366">
        <f>(E23)/D23</f>
        <v>0.36930293931442415</v>
      </c>
      <c r="G23" s="371">
        <f>SUM(G10:G22)</f>
        <v>1204775623</v>
      </c>
      <c r="H23" s="372">
        <f>SUM(H10:H22)</f>
        <v>451749387.86537874</v>
      </c>
      <c r="I23" s="372">
        <f t="shared" ref="I23:K23" si="7">SUM(I10:I22)</f>
        <v>326348402.63999999</v>
      </c>
      <c r="J23" s="372">
        <f t="shared" si="7"/>
        <v>96799016.979999989</v>
      </c>
      <c r="K23" s="372">
        <f t="shared" si="7"/>
        <v>17403491.03616</v>
      </c>
      <c r="L23" s="372">
        <f>SUM(L10:L22)</f>
        <v>5409482.2643403625</v>
      </c>
      <c r="M23" s="372">
        <f>SUM(M10:M22)</f>
        <v>21596308.899839997</v>
      </c>
      <c r="N23" s="372">
        <f>SUM(N10:N22)</f>
        <v>27799829.96204247</v>
      </c>
      <c r="O23" s="372">
        <f>SUM(O10:O22)</f>
        <v>-6127777.5153796552</v>
      </c>
      <c r="P23" s="372">
        <f>SUM(P10:P22)</f>
        <v>-10240019.591699999</v>
      </c>
      <c r="Q23" s="372">
        <f t="shared" ref="Q23:S23" si="8">SUM(Q10:Q22)</f>
        <v>9392608.0799999982</v>
      </c>
      <c r="R23" s="372">
        <f t="shared" si="8"/>
        <v>17717185.064330004</v>
      </c>
      <c r="S23" s="373">
        <f t="shared" si="8"/>
        <v>957847915.68501198</v>
      </c>
      <c r="T23" s="372">
        <f>SUM(T10:T22)</f>
        <v>-4837655.75</v>
      </c>
      <c r="U23" s="374">
        <f t="shared" si="3"/>
        <v>-5.0505468256307837E-3</v>
      </c>
      <c r="V23" s="367"/>
    </row>
    <row r="24" spans="2:25" s="7" customFormat="1" x14ac:dyDescent="0.2">
      <c r="B24" s="144"/>
      <c r="C24" s="88"/>
      <c r="D24" s="375"/>
      <c r="E24" s="376"/>
      <c r="F24" s="376"/>
      <c r="G24" s="377"/>
      <c r="H24" s="378"/>
      <c r="I24" s="377"/>
      <c r="J24" s="377"/>
      <c r="K24" s="377"/>
      <c r="L24" s="376"/>
      <c r="M24" s="376"/>
      <c r="N24" s="376"/>
      <c r="O24" s="376"/>
      <c r="P24" s="377"/>
      <c r="Q24" s="376"/>
      <c r="R24" s="376"/>
      <c r="S24" s="376"/>
      <c r="T24" s="341"/>
      <c r="U24" s="342"/>
    </row>
    <row r="25" spans="2:25" s="7" customFormat="1" x14ac:dyDescent="0.2">
      <c r="B25" s="144" t="s">
        <v>450</v>
      </c>
      <c r="C25" s="144"/>
      <c r="D25" s="276">
        <v>397262</v>
      </c>
      <c r="E25" s="365">
        <v>5943249.8599999994</v>
      </c>
      <c r="F25" s="379">
        <f>E25/D25</f>
        <v>14.960529474251249</v>
      </c>
      <c r="G25" s="213">
        <v>291954</v>
      </c>
      <c r="H25" s="367">
        <f>F25*G25</f>
        <v>4367786.4221255491</v>
      </c>
      <c r="I25" s="380">
        <v>0</v>
      </c>
      <c r="J25" s="381">
        <v>0</v>
      </c>
      <c r="K25" s="381">
        <v>0</v>
      </c>
      <c r="L25" s="365">
        <v>0</v>
      </c>
      <c r="M25" s="365">
        <v>151816.08000000002</v>
      </c>
      <c r="N25" s="365">
        <v>190400.8</v>
      </c>
      <c r="O25" s="365">
        <v>-61393.66</v>
      </c>
      <c r="P25" s="365">
        <v>-20436.780000000002</v>
      </c>
      <c r="Q25" s="365">
        <v>0</v>
      </c>
      <c r="R25" s="382">
        <v>0</v>
      </c>
      <c r="S25" s="368">
        <f>SUM(H25:R25)</f>
        <v>4628172.8621255485</v>
      </c>
      <c r="T25" s="365"/>
      <c r="U25" s="369">
        <f>T25/S25</f>
        <v>0</v>
      </c>
      <c r="V25" s="342"/>
      <c r="W25" s="349"/>
      <c r="X25" s="146"/>
    </row>
    <row r="26" spans="2:25" s="7" customFormat="1" x14ac:dyDescent="0.2">
      <c r="B26" s="147" t="s">
        <v>73</v>
      </c>
      <c r="C26" s="147"/>
      <c r="D26" s="148"/>
      <c r="E26" s="383">
        <f>E23+E25</f>
        <v>427890601.26988763</v>
      </c>
      <c r="F26" s="8"/>
      <c r="G26" s="8"/>
      <c r="H26" s="383">
        <f>H23+H25</f>
        <v>456117174.28750432</v>
      </c>
      <c r="I26" s="383">
        <f t="shared" ref="I26:K26" si="9">I23+I25</f>
        <v>326348402.63999999</v>
      </c>
      <c r="J26" s="383">
        <f t="shared" si="9"/>
        <v>96799016.979999989</v>
      </c>
      <c r="K26" s="383">
        <f t="shared" si="9"/>
        <v>17403491.03616</v>
      </c>
      <c r="L26" s="383">
        <f>L23+L25</f>
        <v>5409482.2643403625</v>
      </c>
      <c r="M26" s="383">
        <f>M23+M25</f>
        <v>21748124.979839996</v>
      </c>
      <c r="N26" s="383">
        <f>N23+N25</f>
        <v>27990230.76204247</v>
      </c>
      <c r="O26" s="383">
        <f>O23+O25</f>
        <v>-6189171.1753796553</v>
      </c>
      <c r="P26" s="383">
        <f>P23+P25</f>
        <v>-10260456.371699998</v>
      </c>
      <c r="Q26" s="383">
        <f t="shared" ref="Q26:T26" si="10">Q23+Q25</f>
        <v>9392608.0799999982</v>
      </c>
      <c r="R26" s="383">
        <f t="shared" si="10"/>
        <v>17717185.064330004</v>
      </c>
      <c r="S26" s="383">
        <f t="shared" si="10"/>
        <v>962476088.5471375</v>
      </c>
      <c r="T26" s="383">
        <f t="shared" si="10"/>
        <v>-4837655.75</v>
      </c>
      <c r="U26" s="374">
        <f>T26/S26</f>
        <v>-5.0262607118920387E-3</v>
      </c>
      <c r="V26" s="342"/>
    </row>
    <row r="27" spans="2:25" x14ac:dyDescent="0.2">
      <c r="D27" s="360"/>
      <c r="E27" s="367"/>
      <c r="L27" s="367"/>
      <c r="O27" s="367"/>
      <c r="P27" s="367"/>
      <c r="Q27" s="367"/>
      <c r="S27" s="367"/>
      <c r="U27" s="369"/>
    </row>
    <row r="28" spans="2:25" x14ac:dyDescent="0.2">
      <c r="D28" s="360"/>
      <c r="E28" s="367"/>
      <c r="G28" s="360"/>
      <c r="L28" s="367"/>
      <c r="O28" s="367"/>
      <c r="P28" s="367"/>
      <c r="Q28" s="367"/>
      <c r="S28" s="367"/>
      <c r="U28" s="369"/>
    </row>
    <row r="29" spans="2:25" s="7" customFormat="1" x14ac:dyDescent="0.2">
      <c r="B29" s="149" t="s">
        <v>131</v>
      </c>
      <c r="C29" s="149"/>
      <c r="D29" s="148"/>
      <c r="E29" s="384"/>
      <c r="T29" s="368"/>
      <c r="U29" s="342"/>
    </row>
    <row r="30" spans="2:25" s="7" customFormat="1" x14ac:dyDescent="0.2">
      <c r="B30" s="147" t="s">
        <v>132</v>
      </c>
      <c r="C30" s="147"/>
      <c r="D30" s="150">
        <f>D10+D11</f>
        <v>577541090.47699988</v>
      </c>
      <c r="E30" s="287">
        <f>E10+E11</f>
        <v>299354468.56167698</v>
      </c>
      <c r="F30" s="8"/>
      <c r="H30" s="287">
        <f>H10+H11</f>
        <v>318255153.0135287</v>
      </c>
      <c r="L30" s="287"/>
      <c r="O30" s="287"/>
      <c r="P30" s="287"/>
      <c r="Q30" s="287"/>
      <c r="S30" s="287">
        <f>S10+S11</f>
        <v>653005678.82779872</v>
      </c>
      <c r="T30" s="367">
        <f>SUM(T10:T11)</f>
        <v>-4439198.32</v>
      </c>
      <c r="U30" s="369">
        <f t="shared" ref="U30:U37" si="11">T30/S30</f>
        <v>-6.7981006351564089E-3</v>
      </c>
      <c r="V30" s="385"/>
    </row>
    <row r="31" spans="2:25" s="7" customFormat="1" x14ac:dyDescent="0.2">
      <c r="B31" s="151" t="s">
        <v>133</v>
      </c>
      <c r="C31" s="151"/>
      <c r="D31" s="150">
        <f>D12+D17</f>
        <v>214587104.22299999</v>
      </c>
      <c r="E31" s="287">
        <f>E12+E17</f>
        <v>87006528.950000003</v>
      </c>
      <c r="F31" s="83"/>
      <c r="H31" s="287">
        <f>H12+H17</f>
        <v>97408386.633665755</v>
      </c>
      <c r="I31" s="72"/>
      <c r="J31" s="72"/>
      <c r="K31" s="72"/>
      <c r="L31" s="287"/>
      <c r="N31" s="72"/>
      <c r="O31" s="287"/>
      <c r="P31" s="287"/>
      <c r="Q31" s="287"/>
      <c r="R31" s="72"/>
      <c r="S31" s="287">
        <f>S12+S17</f>
        <v>217844426.91924584</v>
      </c>
      <c r="T31" s="367">
        <f>SUM(T12,T17)</f>
        <v>725529.74</v>
      </c>
      <c r="U31" s="369">
        <f t="shared" si="11"/>
        <v>3.3304948410222647E-3</v>
      </c>
    </row>
    <row r="32" spans="2:25" s="7" customFormat="1" x14ac:dyDescent="0.2">
      <c r="B32" s="147" t="s">
        <v>134</v>
      </c>
      <c r="C32" s="147"/>
      <c r="D32" s="150">
        <f t="shared" ref="D32:E35" si="12">D13+D18</f>
        <v>83692776.103</v>
      </c>
      <c r="E32" s="287">
        <f t="shared" si="12"/>
        <v>18193306.05245477</v>
      </c>
      <c r="F32" s="83"/>
      <c r="H32" s="287">
        <f>H13+H18</f>
        <v>19669339.553585082</v>
      </c>
      <c r="I32" s="72"/>
      <c r="J32" s="72"/>
      <c r="K32" s="72"/>
      <c r="L32" s="287"/>
      <c r="N32" s="72"/>
      <c r="O32" s="287"/>
      <c r="P32" s="287"/>
      <c r="Q32" s="287"/>
      <c r="R32" s="72"/>
      <c r="S32" s="287">
        <f>S13+S18</f>
        <v>50244841.018835075</v>
      </c>
      <c r="T32" s="367">
        <f>SUM(T13,T18)</f>
        <v>-1033558.3299999998</v>
      </c>
      <c r="U32" s="369">
        <f t="shared" si="11"/>
        <v>-2.0570436865598882E-2</v>
      </c>
    </row>
    <row r="33" spans="2:21" s="7" customFormat="1" x14ac:dyDescent="0.2">
      <c r="B33" s="147" t="s">
        <v>135</v>
      </c>
      <c r="C33" s="147"/>
      <c r="D33" s="150">
        <f t="shared" si="12"/>
        <v>96619860.699000001</v>
      </c>
      <c r="E33" s="287">
        <f t="shared" si="12"/>
        <v>9021134.5600000005</v>
      </c>
      <c r="F33" s="83"/>
      <c r="H33" s="287">
        <f>H14+H19</f>
        <v>8661701.9005446136</v>
      </c>
      <c r="I33" s="72"/>
      <c r="J33" s="72"/>
      <c r="K33" s="72"/>
      <c r="L33" s="287"/>
      <c r="N33" s="72"/>
      <c r="O33" s="287"/>
      <c r="P33" s="287"/>
      <c r="Q33" s="287"/>
      <c r="R33" s="72"/>
      <c r="S33" s="287">
        <f>S14+S19</f>
        <v>15858627.212896094</v>
      </c>
      <c r="T33" s="367">
        <f>SUM(T14,T19)</f>
        <v>0</v>
      </c>
      <c r="U33" s="369">
        <f t="shared" si="11"/>
        <v>0</v>
      </c>
    </row>
    <row r="34" spans="2:21" s="7" customFormat="1" x14ac:dyDescent="0.2">
      <c r="B34" s="147" t="s">
        <v>136</v>
      </c>
      <c r="C34" s="147"/>
      <c r="D34" s="150">
        <f t="shared" si="12"/>
        <v>10298663.83</v>
      </c>
      <c r="E34" s="287">
        <f t="shared" si="12"/>
        <v>2186532.87</v>
      </c>
      <c r="F34" s="83"/>
      <c r="H34" s="287">
        <f>H15+H20</f>
        <v>1610589.2065591605</v>
      </c>
      <c r="I34" s="72"/>
      <c r="J34" s="72"/>
      <c r="K34" s="72"/>
      <c r="L34" s="386"/>
      <c r="N34" s="72"/>
      <c r="O34" s="386"/>
      <c r="P34" s="386"/>
      <c r="Q34" s="386"/>
      <c r="R34" s="72"/>
      <c r="S34" s="287">
        <f>S15+S20</f>
        <v>4824750.9084891621</v>
      </c>
      <c r="T34" s="367">
        <f>SUM(T15,T20)</f>
        <v>-90428.84</v>
      </c>
      <c r="U34" s="369">
        <f t="shared" si="11"/>
        <v>-1.8742696092536138E-2</v>
      </c>
    </row>
    <row r="35" spans="2:21" s="7" customFormat="1" x14ac:dyDescent="0.2">
      <c r="B35" s="144" t="s">
        <v>137</v>
      </c>
      <c r="C35" s="144"/>
      <c r="D35" s="150">
        <f t="shared" si="12"/>
        <v>122588020.23800001</v>
      </c>
      <c r="E35" s="287">
        <f t="shared" si="12"/>
        <v>4719439.0600000005</v>
      </c>
      <c r="F35" s="83"/>
      <c r="G35" s="8"/>
      <c r="H35" s="287">
        <f>H16+H21</f>
        <v>4721258.4741255827</v>
      </c>
      <c r="I35" s="83"/>
      <c r="J35" s="83"/>
      <c r="K35" s="83"/>
      <c r="L35" s="386"/>
      <c r="N35" s="83"/>
      <c r="O35" s="386"/>
      <c r="P35" s="386"/>
      <c r="Q35" s="386"/>
      <c r="R35" s="83"/>
      <c r="S35" s="287">
        <f>S16+S21</f>
        <v>14415261.595214464</v>
      </c>
      <c r="T35" s="367">
        <f>SUM(T16,T21)</f>
        <v>0</v>
      </c>
      <c r="U35" s="369">
        <f t="shared" si="11"/>
        <v>0</v>
      </c>
    </row>
    <row r="36" spans="2:21" s="7" customFormat="1" x14ac:dyDescent="0.2">
      <c r="B36" s="387" t="s">
        <v>130</v>
      </c>
      <c r="C36" s="144"/>
      <c r="D36" s="150">
        <f>D22</f>
        <v>37223237.460000001</v>
      </c>
      <c r="E36" s="287">
        <f>E22</f>
        <v>1465941.3557558353</v>
      </c>
      <c r="F36" s="83"/>
      <c r="G36" s="8"/>
      <c r="H36" s="287">
        <f>H22</f>
        <v>1422959.0833698364</v>
      </c>
      <c r="I36" s="83"/>
      <c r="J36" s="83"/>
      <c r="K36" s="83"/>
      <c r="L36" s="386"/>
      <c r="N36" s="83"/>
      <c r="O36" s="386"/>
      <c r="P36" s="386"/>
      <c r="Q36" s="386"/>
      <c r="R36" s="83"/>
      <c r="S36" s="287">
        <f>S22</f>
        <v>1654329.2025326532</v>
      </c>
      <c r="T36" s="367">
        <f>T22</f>
        <v>0</v>
      </c>
      <c r="U36" s="369">
        <f t="shared" si="11"/>
        <v>0</v>
      </c>
    </row>
    <row r="37" spans="2:21" s="7" customFormat="1" x14ac:dyDescent="0.2">
      <c r="B37" s="388" t="s">
        <v>138</v>
      </c>
      <c r="C37" s="388"/>
      <c r="D37" s="152">
        <f>SUM(D30:D36)</f>
        <v>1142550753.03</v>
      </c>
      <c r="E37" s="389">
        <f>SUM(E30:E36)</f>
        <v>421947351.40988755</v>
      </c>
      <c r="F37" s="8"/>
      <c r="G37" s="8"/>
      <c r="H37" s="389">
        <f>SUM(H30:H36)</f>
        <v>451749387.8653788</v>
      </c>
      <c r="I37" s="8"/>
      <c r="J37" s="8"/>
      <c r="K37" s="83"/>
      <c r="L37" s="386"/>
      <c r="N37" s="83"/>
      <c r="O37" s="386"/>
      <c r="P37" s="386"/>
      <c r="Q37" s="386"/>
      <c r="R37" s="83"/>
      <c r="S37" s="389">
        <f>SUM(S30:S36)</f>
        <v>957847915.68501198</v>
      </c>
      <c r="T37" s="389">
        <f>SUM(T30:T36)</f>
        <v>-4837655.75</v>
      </c>
      <c r="U37" s="374">
        <f t="shared" si="11"/>
        <v>-5.0505468256307837E-3</v>
      </c>
    </row>
    <row r="38" spans="2:21" s="7" customFormat="1" x14ac:dyDescent="0.2">
      <c r="B38" s="144"/>
      <c r="C38" s="144"/>
      <c r="D38" s="150"/>
      <c r="E38" s="287"/>
      <c r="F38" s="8"/>
      <c r="G38" s="8"/>
      <c r="H38" s="287"/>
      <c r="I38" s="8"/>
      <c r="J38" s="8"/>
      <c r="K38" s="83"/>
      <c r="L38" s="386"/>
      <c r="N38" s="83"/>
      <c r="O38" s="386"/>
      <c r="P38" s="386"/>
      <c r="Q38" s="386"/>
      <c r="R38" s="83"/>
      <c r="S38" s="287"/>
      <c r="T38" s="287"/>
      <c r="U38" s="369"/>
    </row>
    <row r="39" spans="2:21" s="7" customFormat="1" x14ac:dyDescent="0.2">
      <c r="B39" s="144" t="s">
        <v>371</v>
      </c>
      <c r="C39" s="144"/>
      <c r="D39" s="150"/>
      <c r="E39" s="287">
        <f>E25</f>
        <v>5943249.8599999994</v>
      </c>
      <c r="F39" s="8"/>
      <c r="G39" s="8"/>
      <c r="H39" s="287">
        <f>H25</f>
        <v>4367786.4221255491</v>
      </c>
      <c r="I39" s="8"/>
      <c r="J39" s="8"/>
      <c r="K39" s="83"/>
      <c r="L39" s="386"/>
      <c r="N39" s="83"/>
      <c r="O39" s="386"/>
      <c r="P39" s="386"/>
      <c r="Q39" s="386"/>
      <c r="R39" s="83"/>
      <c r="S39" s="287">
        <f>S25</f>
        <v>4628172.8621255485</v>
      </c>
      <c r="T39" s="367">
        <f>T25</f>
        <v>0</v>
      </c>
      <c r="U39" s="369">
        <f>T39/S39</f>
        <v>0</v>
      </c>
    </row>
    <row r="40" spans="2:21" s="8" customFormat="1" x14ac:dyDescent="0.2">
      <c r="B40" s="147" t="s">
        <v>73</v>
      </c>
      <c r="C40" s="147"/>
      <c r="D40" s="152">
        <f>D39+D37</f>
        <v>1142550753.03</v>
      </c>
      <c r="E40" s="389">
        <f>E39+E37</f>
        <v>427890601.26988757</v>
      </c>
      <c r="G40" s="7"/>
      <c r="H40" s="389">
        <f>H39+H37</f>
        <v>456117174.28750437</v>
      </c>
      <c r="L40" s="386"/>
      <c r="O40" s="386"/>
      <c r="P40" s="386"/>
      <c r="Q40" s="386"/>
      <c r="S40" s="389">
        <f>S39+S37</f>
        <v>962476088.5471375</v>
      </c>
      <c r="T40" s="389">
        <f>T39+T37</f>
        <v>-4837655.75</v>
      </c>
      <c r="U40" s="374">
        <f>T40/S40</f>
        <v>-5.0262607118920387E-3</v>
      </c>
    </row>
    <row r="41" spans="2:21" s="7" customFormat="1" x14ac:dyDescent="0.2">
      <c r="B41" s="8"/>
      <c r="C41" s="8"/>
      <c r="D41" s="8"/>
      <c r="E41" s="8"/>
      <c r="F41" s="8"/>
      <c r="I41" s="72"/>
      <c r="L41" s="8"/>
      <c r="N41" s="8"/>
      <c r="O41" s="8"/>
      <c r="P41" s="8"/>
      <c r="Q41" s="8"/>
      <c r="R41" s="8"/>
      <c r="S41" s="8"/>
      <c r="T41" s="32"/>
    </row>
    <row r="42" spans="2:21" x14ac:dyDescent="0.2">
      <c r="B42" s="143" t="s">
        <v>484</v>
      </c>
      <c r="D42" s="360"/>
      <c r="E42" s="360"/>
      <c r="H42" s="298"/>
      <c r="L42" s="360"/>
      <c r="O42" s="360"/>
      <c r="P42" s="360"/>
      <c r="Q42" s="360"/>
      <c r="S42" s="360"/>
    </row>
    <row r="43" spans="2:21" x14ac:dyDescent="0.2">
      <c r="B43" s="143" t="s">
        <v>485</v>
      </c>
      <c r="D43" s="360"/>
      <c r="E43" s="360"/>
      <c r="L43" s="360"/>
      <c r="O43" s="360"/>
      <c r="P43" s="360"/>
      <c r="Q43" s="360"/>
      <c r="S43" s="360"/>
    </row>
    <row r="44" spans="2:21" x14ac:dyDescent="0.2">
      <c r="B44" s="143" t="s">
        <v>486</v>
      </c>
    </row>
  </sheetData>
  <mergeCells count="4">
    <mergeCell ref="B1:U1"/>
    <mergeCell ref="B2:U2"/>
    <mergeCell ref="B3:U3"/>
    <mergeCell ref="B4:U4"/>
  </mergeCells>
  <printOptions horizontalCentered="1"/>
  <pageMargins left="0.45" right="0.45" top="0.75" bottom="0.75" header="0.3" footer="0.3"/>
  <pageSetup paperSize="5" scale="48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00"/>
  <sheetViews>
    <sheetView zoomScaleNormal="100" workbookViewId="0">
      <pane ySplit="9" topLeftCell="A28" activePane="bottomLeft" state="frozen"/>
      <selection pane="bottomLeft" activeCell="A4" sqref="A4:H4"/>
    </sheetView>
  </sheetViews>
  <sheetFormatPr defaultColWidth="9.140625" defaultRowHeight="11.25" x14ac:dyDescent="0.2"/>
  <cols>
    <col min="1" max="1" width="2.5703125" style="90" customWidth="1"/>
    <col min="2" max="2" width="18.140625" style="90" bestFit="1" customWidth="1"/>
    <col min="3" max="3" width="7.42578125" style="90" bestFit="1" customWidth="1"/>
    <col min="4" max="4" width="15.28515625" style="90" bestFit="1" customWidth="1"/>
    <col min="5" max="6" width="9.140625" style="90" bestFit="1" customWidth="1"/>
    <col min="7" max="7" width="11" style="90" customWidth="1"/>
    <col min="8" max="8" width="12.5703125" style="90" customWidth="1"/>
    <col min="9" max="9" width="15.5703125" style="90" customWidth="1"/>
    <col min="10" max="11" width="9.140625" style="90"/>
    <col min="12" max="13" width="11.28515625" style="90" bestFit="1" customWidth="1"/>
    <col min="14" max="14" width="9.7109375" style="90" bestFit="1" customWidth="1"/>
    <col min="15" max="16384" width="9.140625" style="90"/>
  </cols>
  <sheetData>
    <row r="1" spans="1:13" x14ac:dyDescent="0.2">
      <c r="A1" s="441" t="s">
        <v>0</v>
      </c>
      <c r="B1" s="441"/>
      <c r="C1" s="441"/>
      <c r="D1" s="441"/>
      <c r="E1" s="441"/>
      <c r="F1" s="441"/>
      <c r="G1" s="441"/>
      <c r="H1" s="441"/>
      <c r="I1" s="291"/>
    </row>
    <row r="2" spans="1:13" x14ac:dyDescent="0.2">
      <c r="A2" s="436" t="str">
        <f>'Delivery Rate Change Calc'!A2:F2</f>
        <v>2020 Gas Decoupling Filing</v>
      </c>
      <c r="B2" s="436"/>
      <c r="C2" s="436"/>
      <c r="D2" s="436"/>
      <c r="E2" s="436"/>
      <c r="F2" s="436"/>
      <c r="G2" s="436"/>
      <c r="H2" s="436"/>
      <c r="I2" s="291"/>
    </row>
    <row r="3" spans="1:13" x14ac:dyDescent="0.2">
      <c r="A3" s="441" t="s">
        <v>380</v>
      </c>
      <c r="B3" s="441"/>
      <c r="C3" s="441"/>
      <c r="D3" s="441"/>
      <c r="E3" s="441"/>
      <c r="F3" s="441"/>
      <c r="G3" s="441"/>
      <c r="H3" s="441"/>
      <c r="I3" s="291"/>
    </row>
    <row r="4" spans="1:13" x14ac:dyDescent="0.2">
      <c r="A4" s="436" t="str">
        <f>'Delivery Rate Change Calc'!A4:F4</f>
        <v>Proposed Effective May 1, 2020</v>
      </c>
      <c r="B4" s="436"/>
      <c r="C4" s="436"/>
      <c r="D4" s="436"/>
      <c r="E4" s="436"/>
      <c r="F4" s="436"/>
      <c r="G4" s="436"/>
      <c r="H4" s="436"/>
      <c r="I4" s="291"/>
    </row>
    <row r="5" spans="1:13" x14ac:dyDescent="0.2">
      <c r="A5" s="292"/>
      <c r="B5" s="292"/>
      <c r="C5" s="292"/>
      <c r="D5" s="292"/>
      <c r="E5" s="292"/>
      <c r="F5" s="292"/>
      <c r="G5" s="292"/>
      <c r="H5" s="292"/>
      <c r="I5" s="291"/>
    </row>
    <row r="6" spans="1:13" x14ac:dyDescent="0.2">
      <c r="A6" s="139"/>
      <c r="B6" s="139"/>
      <c r="C6" s="139"/>
      <c r="D6" s="139"/>
      <c r="E6" s="139"/>
      <c r="F6" s="139"/>
      <c r="G6" s="139"/>
      <c r="H6" s="291"/>
    </row>
    <row r="7" spans="1:13" s="307" customFormat="1" ht="15" customHeight="1" x14ac:dyDescent="0.2">
      <c r="C7" s="274"/>
      <c r="D7" s="308" t="s">
        <v>121</v>
      </c>
      <c r="E7" s="393" t="s">
        <v>141</v>
      </c>
      <c r="F7" s="393" t="s">
        <v>140</v>
      </c>
      <c r="G7" s="308"/>
      <c r="H7" s="274" t="s">
        <v>139</v>
      </c>
    </row>
    <row r="8" spans="1:13" s="307" customFormat="1" ht="15" customHeight="1" x14ac:dyDescent="0.2">
      <c r="C8" s="274" t="s">
        <v>35</v>
      </c>
      <c r="D8" s="308" t="s">
        <v>122</v>
      </c>
      <c r="E8" s="273" t="s">
        <v>139</v>
      </c>
      <c r="F8" s="273" t="s">
        <v>139</v>
      </c>
      <c r="G8" s="308" t="s">
        <v>121</v>
      </c>
      <c r="H8" s="274" t="s">
        <v>44</v>
      </c>
    </row>
    <row r="9" spans="1:13" s="307" customFormat="1" ht="22.5" x14ac:dyDescent="0.2">
      <c r="A9" s="309" t="s">
        <v>375</v>
      </c>
      <c r="B9" s="309"/>
      <c r="C9" s="310" t="s">
        <v>47</v>
      </c>
      <c r="D9" s="392" t="str">
        <f>'Rate Impacts Sch142'!$G$8</f>
        <v>May 2020 - April 2021</v>
      </c>
      <c r="E9" s="311" t="s">
        <v>98</v>
      </c>
      <c r="F9" s="311" t="s">
        <v>98</v>
      </c>
      <c r="G9" s="358" t="s">
        <v>376</v>
      </c>
      <c r="H9" s="358" t="s">
        <v>377</v>
      </c>
    </row>
    <row r="10" spans="1:13" x14ac:dyDescent="0.2">
      <c r="A10" s="293"/>
      <c r="B10" s="293"/>
      <c r="C10" s="293"/>
      <c r="D10" s="294"/>
      <c r="E10" s="153"/>
      <c r="F10" s="153"/>
      <c r="G10" s="293"/>
      <c r="H10" s="295"/>
    </row>
    <row r="11" spans="1:13" x14ac:dyDescent="0.2">
      <c r="A11" s="90" t="s">
        <v>68</v>
      </c>
      <c r="C11" s="139" t="s">
        <v>145</v>
      </c>
      <c r="D11" s="276">
        <v>613997001</v>
      </c>
      <c r="E11" s="297">
        <v>1.9550000000000001E-2</v>
      </c>
      <c r="F11" s="297">
        <f>'Summary of Rates'!E11</f>
        <v>1.2319999999999999E-2</v>
      </c>
      <c r="G11" s="298">
        <f>ROUND(E11*D11,2)</f>
        <v>12003641.369999999</v>
      </c>
      <c r="H11" s="298">
        <f>ROUND((F11-E11)*D11,2)</f>
        <v>-4439198.32</v>
      </c>
      <c r="K11" s="298"/>
      <c r="L11" s="298"/>
      <c r="M11" s="298"/>
    </row>
    <row r="12" spans="1:13" x14ac:dyDescent="0.2">
      <c r="C12" s="139"/>
      <c r="D12" s="143"/>
      <c r="E12" s="296"/>
      <c r="F12" s="297"/>
      <c r="G12" s="298"/>
      <c r="H12" s="298"/>
      <c r="K12" s="298"/>
      <c r="L12" s="298"/>
      <c r="M12" s="298"/>
    </row>
    <row r="13" spans="1:13" x14ac:dyDescent="0.2">
      <c r="A13" s="90" t="s">
        <v>146</v>
      </c>
      <c r="C13" s="139">
        <v>31</v>
      </c>
      <c r="F13" s="143"/>
      <c r="K13" s="298"/>
      <c r="L13" s="298"/>
      <c r="M13" s="298"/>
    </row>
    <row r="14" spans="1:13" x14ac:dyDescent="0.2">
      <c r="B14" s="90" t="s">
        <v>110</v>
      </c>
      <c r="C14" s="139"/>
      <c r="D14" s="276">
        <v>240219450</v>
      </c>
      <c r="E14" s="297">
        <v>-1.0099999999999998E-2</v>
      </c>
      <c r="F14" s="297">
        <f>'Summary of Rates'!E17</f>
        <v>-7.1700000000000097E-3</v>
      </c>
      <c r="G14" s="298">
        <f>ROUND(E14*D14,2)</f>
        <v>-2426216.4500000002</v>
      </c>
      <c r="H14" s="298">
        <f>ROUND((F14-E14)*D14,2)</f>
        <v>703842.99</v>
      </c>
      <c r="K14" s="298"/>
      <c r="L14" s="298"/>
      <c r="M14" s="298"/>
    </row>
    <row r="15" spans="1:13" x14ac:dyDescent="0.2">
      <c r="B15" s="90" t="s">
        <v>106</v>
      </c>
      <c r="C15" s="139"/>
      <c r="D15" s="181">
        <f>D14</f>
        <v>240219450</v>
      </c>
      <c r="E15" s="297">
        <v>-2.9999999999999992E-4</v>
      </c>
      <c r="F15" s="297">
        <f>'Summary of Rates'!E19</f>
        <v>-2.1000000000000012E-4</v>
      </c>
      <c r="G15" s="298">
        <f>ROUND(E15*D15,2)</f>
        <v>-72065.84</v>
      </c>
      <c r="H15" s="298">
        <f>ROUND((F15-E15)*D15,2)</f>
        <v>21619.75</v>
      </c>
      <c r="K15" s="298"/>
      <c r="L15" s="298"/>
      <c r="M15" s="298"/>
    </row>
    <row r="16" spans="1:13" x14ac:dyDescent="0.2">
      <c r="B16" s="90" t="s">
        <v>73</v>
      </c>
      <c r="C16" s="139"/>
      <c r="D16" s="276"/>
      <c r="E16" s="296"/>
      <c r="F16" s="297"/>
      <c r="G16" s="299">
        <f>SUM(G14:G15)</f>
        <v>-2498282.29</v>
      </c>
      <c r="H16" s="299">
        <f>SUM(H14:H15)</f>
        <v>725462.74</v>
      </c>
      <c r="K16" s="298"/>
      <c r="L16" s="298"/>
      <c r="M16" s="298"/>
    </row>
    <row r="17" spans="1:13" x14ac:dyDescent="0.2">
      <c r="C17" s="139"/>
      <c r="D17" s="143"/>
      <c r="E17" s="296"/>
      <c r="F17" s="297"/>
      <c r="G17" s="298"/>
      <c r="H17" s="298"/>
      <c r="K17" s="298"/>
      <c r="L17" s="298"/>
      <c r="M17" s="298"/>
    </row>
    <row r="18" spans="1:13" x14ac:dyDescent="0.2">
      <c r="A18" s="90" t="s">
        <v>378</v>
      </c>
      <c r="C18" s="139" t="s">
        <v>72</v>
      </c>
      <c r="D18" s="143"/>
      <c r="E18" s="296"/>
      <c r="F18" s="297"/>
      <c r="G18" s="298"/>
      <c r="H18" s="298"/>
      <c r="K18" s="298"/>
      <c r="L18" s="298"/>
      <c r="M18" s="298"/>
    </row>
    <row r="19" spans="1:13" x14ac:dyDescent="0.2">
      <c r="B19" s="90" t="s">
        <v>110</v>
      </c>
      <c r="C19" s="139"/>
      <c r="D19" s="276">
        <v>23426</v>
      </c>
      <c r="E19" s="297">
        <v>-9.8799999999999999E-3</v>
      </c>
      <c r="F19" s="297">
        <f>'Summary of Rates'!E22</f>
        <v>-7.0200000000000262E-3</v>
      </c>
      <c r="G19" s="298">
        <f>ROUND(E19*D19,2)</f>
        <v>-231.45</v>
      </c>
      <c r="H19" s="298">
        <f t="shared" ref="H19:H55" si="0">ROUND((F19-E19)*D19,2)</f>
        <v>67</v>
      </c>
      <c r="K19" s="298"/>
      <c r="L19" s="298"/>
      <c r="M19" s="298"/>
    </row>
    <row r="20" spans="1:13" x14ac:dyDescent="0.2">
      <c r="B20" s="90" t="s">
        <v>379</v>
      </c>
      <c r="C20" s="139"/>
      <c r="D20" s="181">
        <f>D19</f>
        <v>23426</v>
      </c>
      <c r="E20" s="297">
        <v>0</v>
      </c>
      <c r="F20" s="297">
        <v>0</v>
      </c>
      <c r="G20" s="298">
        <f>ROUND(E20*D20,2)</f>
        <v>0</v>
      </c>
      <c r="H20" s="298">
        <f t="shared" si="0"/>
        <v>0</v>
      </c>
      <c r="K20" s="298"/>
      <c r="L20" s="298"/>
      <c r="M20" s="298"/>
    </row>
    <row r="21" spans="1:13" x14ac:dyDescent="0.2">
      <c r="B21" s="90" t="s">
        <v>73</v>
      </c>
      <c r="C21" s="139"/>
      <c r="D21" s="276"/>
      <c r="E21" s="296"/>
      <c r="F21" s="297"/>
      <c r="G21" s="299">
        <f>SUM(G19:G20)</f>
        <v>-231.45</v>
      </c>
      <c r="H21" s="299">
        <f>SUM(H19:H20)</f>
        <v>67</v>
      </c>
      <c r="K21" s="298"/>
      <c r="L21" s="298"/>
      <c r="M21" s="298"/>
    </row>
    <row r="22" spans="1:13" x14ac:dyDescent="0.2">
      <c r="C22" s="139"/>
      <c r="D22" s="143"/>
      <c r="E22" s="296"/>
      <c r="F22" s="297"/>
      <c r="G22" s="298"/>
      <c r="H22" s="298"/>
      <c r="K22" s="298"/>
      <c r="L22" s="298"/>
      <c r="M22" s="298"/>
    </row>
    <row r="23" spans="1:13" x14ac:dyDescent="0.2">
      <c r="A23" s="90" t="s">
        <v>147</v>
      </c>
      <c r="C23" s="139">
        <v>41</v>
      </c>
      <c r="D23" s="276"/>
      <c r="E23" s="296"/>
      <c r="F23" s="297"/>
      <c r="G23" s="298"/>
      <c r="H23" s="298"/>
      <c r="K23" s="298"/>
      <c r="L23" s="298"/>
      <c r="M23" s="298"/>
    </row>
    <row r="24" spans="1:13" x14ac:dyDescent="0.2">
      <c r="B24" s="90" t="s">
        <v>109</v>
      </c>
      <c r="C24" s="139"/>
      <c r="D24" s="276">
        <v>3902427.7730000005</v>
      </c>
      <c r="E24" s="300">
        <v>-1.0000000000000009E-2</v>
      </c>
      <c r="F24" s="300">
        <f>'Summary of Rates'!E25</f>
        <v>-9.000000000000008E-2</v>
      </c>
      <c r="G24" s="298">
        <f>ROUND(E24*D24,2)</f>
        <v>-39024.28</v>
      </c>
      <c r="H24" s="298">
        <f t="shared" si="0"/>
        <v>-312194.21999999997</v>
      </c>
      <c r="K24" s="298"/>
      <c r="L24" s="298"/>
      <c r="M24" s="298"/>
    </row>
    <row r="25" spans="1:13" x14ac:dyDescent="0.2">
      <c r="B25" s="90" t="s">
        <v>106</v>
      </c>
      <c r="C25" s="139"/>
      <c r="D25" s="148">
        <f>SUM(D27:D29)</f>
        <v>66815894</v>
      </c>
      <c r="E25" s="297">
        <v>-4.0000000000000105E-5</v>
      </c>
      <c r="F25" s="297">
        <f>'Summary of Rates'!E32</f>
        <v>-4.6000000000000034E-4</v>
      </c>
      <c r="G25" s="298">
        <f>ROUND(E25*D25,2)</f>
        <v>-2672.64</v>
      </c>
      <c r="H25" s="298">
        <f t="shared" si="0"/>
        <v>-28062.68</v>
      </c>
      <c r="K25" s="298"/>
      <c r="L25" s="298"/>
      <c r="M25" s="298"/>
    </row>
    <row r="26" spans="1:13" x14ac:dyDescent="0.2">
      <c r="B26" s="90" t="s">
        <v>110</v>
      </c>
      <c r="C26" s="139"/>
      <c r="D26" s="276"/>
      <c r="E26" s="296"/>
      <c r="F26" s="297"/>
      <c r="G26" s="298"/>
      <c r="H26" s="298"/>
      <c r="K26" s="298"/>
      <c r="L26" s="298"/>
      <c r="M26" s="298"/>
    </row>
    <row r="27" spans="1:13" x14ac:dyDescent="0.2">
      <c r="B27" s="90" t="s">
        <v>449</v>
      </c>
      <c r="C27" s="139"/>
      <c r="D27" s="276">
        <v>13755289.701508708</v>
      </c>
      <c r="E27" s="296">
        <v>0</v>
      </c>
      <c r="F27" s="296">
        <v>0</v>
      </c>
      <c r="G27" s="298">
        <f>ROUND(E27*D27,2)</f>
        <v>0</v>
      </c>
      <c r="H27" s="298">
        <f t="shared" ref="H27" si="1">ROUND((F27-E27)*D27,2)</f>
        <v>0</v>
      </c>
      <c r="K27" s="298"/>
      <c r="L27" s="298"/>
      <c r="M27" s="298"/>
    </row>
    <row r="28" spans="1:13" x14ac:dyDescent="0.2">
      <c r="B28" s="90" t="s">
        <v>148</v>
      </c>
      <c r="C28" s="139"/>
      <c r="D28" s="276">
        <v>30485900.811457004</v>
      </c>
      <c r="E28" s="297">
        <v>-7.5999999999998291E-4</v>
      </c>
      <c r="F28" s="297">
        <f>'Summary of Rates'!E29</f>
        <v>-9.6799999999999942E-3</v>
      </c>
      <c r="G28" s="298">
        <f>ROUND(E28*D28,2)</f>
        <v>-23169.279999999999</v>
      </c>
      <c r="H28" s="298">
        <f t="shared" si="0"/>
        <v>-271934.24</v>
      </c>
      <c r="K28" s="298"/>
      <c r="L28" s="298"/>
      <c r="M28" s="298"/>
    </row>
    <row r="29" spans="1:13" x14ac:dyDescent="0.2">
      <c r="B29" s="90" t="s">
        <v>149</v>
      </c>
      <c r="C29" s="139"/>
      <c r="D29" s="276">
        <v>22574703.487034295</v>
      </c>
      <c r="E29" s="297">
        <v>-6.0999999999999943E-4</v>
      </c>
      <c r="F29" s="297">
        <f>'Summary of Rates'!E30</f>
        <v>-7.7900000000000053E-3</v>
      </c>
      <c r="G29" s="301">
        <f>ROUND(E29*D29,2)</f>
        <v>-13770.57</v>
      </c>
      <c r="H29" s="298">
        <f t="shared" si="0"/>
        <v>-162086.37</v>
      </c>
      <c r="K29" s="298"/>
      <c r="L29" s="298"/>
      <c r="M29" s="298"/>
    </row>
    <row r="30" spans="1:13" x14ac:dyDescent="0.2">
      <c r="B30" s="90" t="s">
        <v>73</v>
      </c>
      <c r="C30" s="139"/>
      <c r="D30" s="276"/>
      <c r="E30" s="297"/>
      <c r="F30" s="297"/>
      <c r="G30" s="298">
        <f>SUM(G24:G29)</f>
        <v>-78636.76999999999</v>
      </c>
      <c r="H30" s="299">
        <f>SUM(H24:H29)</f>
        <v>-774277.50999999989</v>
      </c>
      <c r="K30" s="298"/>
      <c r="L30" s="298"/>
      <c r="M30" s="298"/>
    </row>
    <row r="31" spans="1:13" x14ac:dyDescent="0.2">
      <c r="C31" s="139"/>
      <c r="D31" s="143"/>
      <c r="E31" s="297"/>
      <c r="F31" s="297"/>
      <c r="G31" s="298"/>
      <c r="H31" s="298"/>
      <c r="K31" s="298"/>
      <c r="L31" s="298"/>
      <c r="M31" s="298"/>
    </row>
    <row r="32" spans="1:13" x14ac:dyDescent="0.2">
      <c r="A32" s="90" t="s">
        <v>150</v>
      </c>
      <c r="C32" s="139" t="s">
        <v>76</v>
      </c>
      <c r="D32" s="276"/>
      <c r="E32" s="297"/>
      <c r="F32" s="297"/>
      <c r="G32" s="298"/>
      <c r="H32" s="298"/>
      <c r="K32" s="298"/>
      <c r="L32" s="298"/>
      <c r="M32" s="298"/>
    </row>
    <row r="33" spans="1:13" x14ac:dyDescent="0.2">
      <c r="B33" s="90" t="s">
        <v>109</v>
      </c>
      <c r="C33" s="139"/>
      <c r="D33" s="276">
        <v>1169396.5019999999</v>
      </c>
      <c r="E33" s="300">
        <v>-1.0000000000000009E-2</v>
      </c>
      <c r="F33" s="300">
        <f>'Summary of Rates'!E35</f>
        <v>-8.9999999999999858E-2</v>
      </c>
      <c r="G33" s="298">
        <f>ROUND(E33*D33,2)</f>
        <v>-11693.97</v>
      </c>
      <c r="H33" s="298">
        <f t="shared" si="0"/>
        <v>-93551.72</v>
      </c>
      <c r="K33" s="298"/>
      <c r="L33" s="298"/>
      <c r="M33" s="298"/>
    </row>
    <row r="34" spans="1:13" x14ac:dyDescent="0.2">
      <c r="B34" s="90" t="s">
        <v>379</v>
      </c>
      <c r="C34" s="139"/>
      <c r="D34" s="148">
        <f>SUM(D36:D38)</f>
        <v>24122221.000000007</v>
      </c>
      <c r="E34" s="297">
        <v>0</v>
      </c>
      <c r="F34" s="297">
        <v>0</v>
      </c>
      <c r="G34" s="298">
        <f>ROUND(E34*D34,2)</f>
        <v>0</v>
      </c>
      <c r="H34" s="298">
        <f t="shared" si="0"/>
        <v>0</v>
      </c>
      <c r="K34" s="298"/>
      <c r="L34" s="298"/>
      <c r="M34" s="298"/>
    </row>
    <row r="35" spans="1:13" x14ac:dyDescent="0.2">
      <c r="B35" s="90" t="s">
        <v>110</v>
      </c>
      <c r="C35" s="139"/>
      <c r="D35" s="276"/>
      <c r="E35" s="297"/>
      <c r="F35" s="297"/>
      <c r="G35" s="298"/>
      <c r="H35" s="298"/>
      <c r="K35" s="298"/>
      <c r="L35" s="298"/>
      <c r="M35" s="298"/>
    </row>
    <row r="36" spans="1:13" x14ac:dyDescent="0.2">
      <c r="B36" s="90" t="s">
        <v>449</v>
      </c>
      <c r="C36" s="139"/>
      <c r="D36" s="276">
        <v>1361539.3578363373</v>
      </c>
      <c r="E36" s="296">
        <v>0</v>
      </c>
      <c r="F36" s="296">
        <v>0</v>
      </c>
      <c r="G36" s="298">
        <f>ROUND(E36*D36,2)</f>
        <v>0</v>
      </c>
      <c r="H36" s="298">
        <f>ROUND((F36-E36)*D36,2)</f>
        <v>0</v>
      </c>
      <c r="K36" s="298"/>
      <c r="L36" s="298"/>
      <c r="M36" s="298"/>
    </row>
    <row r="37" spans="1:13" x14ac:dyDescent="0.2">
      <c r="B37" s="90" t="s">
        <v>148</v>
      </c>
      <c r="C37" s="139"/>
      <c r="D37" s="276">
        <v>5179069.2731514135</v>
      </c>
      <c r="E37" s="297">
        <v>-7.4000000000001842E-4</v>
      </c>
      <c r="F37" s="297">
        <f>'Summary of Rates'!E39</f>
        <v>-9.3500000000000111E-3</v>
      </c>
      <c r="G37" s="298">
        <f>ROUND(E37*D37,2)</f>
        <v>-3832.51</v>
      </c>
      <c r="H37" s="298">
        <f t="shared" si="0"/>
        <v>-44591.79</v>
      </c>
      <c r="K37" s="298"/>
      <c r="L37" s="298"/>
      <c r="M37" s="298"/>
    </row>
    <row r="38" spans="1:13" x14ac:dyDescent="0.2">
      <c r="B38" s="90" t="s">
        <v>149</v>
      </c>
      <c r="C38" s="139"/>
      <c r="D38" s="302">
        <v>17581612.369012255</v>
      </c>
      <c r="E38" s="297">
        <v>-5.9000000000000719E-4</v>
      </c>
      <c r="F38" s="297">
        <f>'Summary of Rates'!E40</f>
        <v>-7.4800000000000005E-3</v>
      </c>
      <c r="G38" s="301">
        <f>ROUND(E38*D38,2)</f>
        <v>-10373.15</v>
      </c>
      <c r="H38" s="298">
        <f t="shared" si="0"/>
        <v>-121137.31</v>
      </c>
      <c r="K38" s="298"/>
      <c r="L38" s="298"/>
      <c r="M38" s="298"/>
    </row>
    <row r="39" spans="1:13" x14ac:dyDescent="0.2">
      <c r="B39" s="90" t="s">
        <v>73</v>
      </c>
      <c r="C39" s="139"/>
      <c r="D39" s="276"/>
      <c r="E39" s="296"/>
      <c r="F39" s="297"/>
      <c r="G39" s="298">
        <f>SUM(G33:G38)</f>
        <v>-25899.629999999997</v>
      </c>
      <c r="H39" s="299">
        <f>SUM(H33:H38)</f>
        <v>-259280.82</v>
      </c>
      <c r="K39" s="298"/>
      <c r="L39" s="298"/>
      <c r="M39" s="298"/>
    </row>
    <row r="40" spans="1:13" x14ac:dyDescent="0.2">
      <c r="C40" s="139"/>
      <c r="D40" s="276"/>
      <c r="E40" s="296"/>
      <c r="F40" s="297"/>
      <c r="G40" s="298"/>
      <c r="H40" s="298"/>
      <c r="K40" s="298"/>
      <c r="L40" s="298"/>
      <c r="M40" s="298"/>
    </row>
    <row r="41" spans="1:13" x14ac:dyDescent="0.2">
      <c r="B41" s="90" t="s">
        <v>151</v>
      </c>
      <c r="C41" s="139" t="s">
        <v>152</v>
      </c>
      <c r="D41" s="276"/>
      <c r="E41" s="296"/>
      <c r="F41" s="297"/>
      <c r="G41" s="298">
        <f t="shared" ref="G41:H41" si="2">G30+G39</f>
        <v>-104536.4</v>
      </c>
      <c r="H41" s="298">
        <f t="shared" si="2"/>
        <v>-1033558.3299999998</v>
      </c>
      <c r="K41" s="298"/>
      <c r="L41" s="298"/>
      <c r="M41" s="298"/>
    </row>
    <row r="42" spans="1:13" x14ac:dyDescent="0.2">
      <c r="C42" s="139"/>
      <c r="D42" s="143"/>
      <c r="E42" s="296"/>
      <c r="F42" s="297"/>
      <c r="G42" s="298"/>
      <c r="H42" s="298"/>
      <c r="K42" s="298"/>
      <c r="L42" s="298"/>
      <c r="M42" s="298"/>
    </row>
    <row r="43" spans="1:13" x14ac:dyDescent="0.2">
      <c r="A43" s="90" t="s">
        <v>77</v>
      </c>
      <c r="C43" s="139">
        <v>86</v>
      </c>
      <c r="D43" s="143"/>
      <c r="E43" s="296"/>
      <c r="F43" s="297"/>
      <c r="G43" s="298"/>
      <c r="H43" s="298"/>
      <c r="K43" s="298"/>
      <c r="L43" s="298"/>
      <c r="M43" s="298"/>
    </row>
    <row r="44" spans="1:13" x14ac:dyDescent="0.2">
      <c r="B44" s="90" t="s">
        <v>109</v>
      </c>
      <c r="C44" s="139"/>
      <c r="D44" s="276">
        <v>82161.953000000009</v>
      </c>
      <c r="E44" s="300">
        <v>-1.0000000000000009E-2</v>
      </c>
      <c r="F44" s="300">
        <f>'Summary of Rates'!E43</f>
        <v>-9.000000000000008E-2</v>
      </c>
      <c r="G44" s="298">
        <f>ROUND(E44*D44,2)</f>
        <v>-821.62</v>
      </c>
      <c r="H44" s="298">
        <f t="shared" si="0"/>
        <v>-6572.96</v>
      </c>
      <c r="K44" s="298"/>
      <c r="L44" s="298"/>
      <c r="M44" s="298"/>
    </row>
    <row r="45" spans="1:13" x14ac:dyDescent="0.2">
      <c r="B45" s="90" t="s">
        <v>106</v>
      </c>
      <c r="C45" s="139"/>
      <c r="D45" s="181">
        <f>SUM(D47:D48)</f>
        <v>7366110.9999999981</v>
      </c>
      <c r="E45" s="297">
        <v>-5.0000000000001432E-5</v>
      </c>
      <c r="F45" s="297">
        <f>'Summary of Rates'!E49</f>
        <v>-6.8000000000000005E-4</v>
      </c>
      <c r="G45" s="298">
        <f>ROUND(E45*D45,2)</f>
        <v>-368.31</v>
      </c>
      <c r="H45" s="298">
        <f t="shared" si="0"/>
        <v>-4640.6499999999996</v>
      </c>
      <c r="K45" s="298"/>
      <c r="L45" s="298"/>
      <c r="M45" s="298"/>
    </row>
    <row r="46" spans="1:13" x14ac:dyDescent="0.2">
      <c r="B46" s="90" t="s">
        <v>110</v>
      </c>
      <c r="C46" s="139"/>
      <c r="D46" s="143"/>
      <c r="E46" s="297"/>
      <c r="F46" s="297"/>
      <c r="G46" s="298"/>
      <c r="H46" s="298"/>
      <c r="K46" s="298"/>
      <c r="L46" s="298"/>
      <c r="M46" s="298"/>
    </row>
    <row r="47" spans="1:13" x14ac:dyDescent="0.2">
      <c r="B47" s="90" t="s">
        <v>113</v>
      </c>
      <c r="C47" s="139"/>
      <c r="D47" s="276">
        <v>1666474.6426819111</v>
      </c>
      <c r="E47" s="297">
        <v>-1.1400000000000021E-3</v>
      </c>
      <c r="F47" s="297">
        <f>'Summary of Rates'!E46</f>
        <v>-1.4520000000000005E-2</v>
      </c>
      <c r="G47" s="298">
        <f>ROUND(E47*D47,2)</f>
        <v>-1899.78</v>
      </c>
      <c r="H47" s="298">
        <f t="shared" si="0"/>
        <v>-22297.43</v>
      </c>
      <c r="K47" s="298"/>
      <c r="L47" s="298"/>
      <c r="M47" s="298"/>
    </row>
    <row r="48" spans="1:13" x14ac:dyDescent="0.2">
      <c r="B48" s="90" t="s">
        <v>153</v>
      </c>
      <c r="C48" s="139"/>
      <c r="D48" s="302">
        <v>5699636.3573180875</v>
      </c>
      <c r="E48" s="297">
        <v>-8.1000000000000516E-4</v>
      </c>
      <c r="F48" s="297">
        <f>'Summary of Rates'!E47</f>
        <v>-1.0290000000000021E-2</v>
      </c>
      <c r="G48" s="301">
        <f>ROUND(E48*D48,2)</f>
        <v>-4616.71</v>
      </c>
      <c r="H48" s="298">
        <f t="shared" si="0"/>
        <v>-54032.55</v>
      </c>
      <c r="K48" s="298"/>
      <c r="L48" s="298"/>
      <c r="M48" s="298"/>
    </row>
    <row r="49" spans="1:13" x14ac:dyDescent="0.2">
      <c r="B49" s="90" t="s">
        <v>73</v>
      </c>
      <c r="C49" s="139"/>
      <c r="D49" s="276"/>
      <c r="E49" s="296"/>
      <c r="F49" s="297"/>
      <c r="G49" s="298">
        <f>SUM(G44:G48)</f>
        <v>-7706.42</v>
      </c>
      <c r="H49" s="299">
        <f>SUM(H44:H48)</f>
        <v>-87543.59</v>
      </c>
      <c r="K49" s="298"/>
      <c r="L49" s="298"/>
      <c r="M49" s="298"/>
    </row>
    <row r="50" spans="1:13" x14ac:dyDescent="0.2">
      <c r="C50" s="139"/>
      <c r="D50" s="276"/>
      <c r="E50" s="296"/>
      <c r="F50" s="297"/>
      <c r="G50" s="298"/>
      <c r="H50" s="298"/>
      <c r="K50" s="298"/>
      <c r="L50" s="298"/>
      <c r="M50" s="298"/>
    </row>
    <row r="51" spans="1:13" x14ac:dyDescent="0.2">
      <c r="A51" s="90" t="s">
        <v>154</v>
      </c>
      <c r="C51" s="139" t="s">
        <v>79</v>
      </c>
      <c r="D51" s="143"/>
      <c r="E51" s="296"/>
      <c r="F51" s="297"/>
      <c r="G51" s="298"/>
      <c r="H51" s="298"/>
      <c r="K51" s="298"/>
      <c r="L51" s="298"/>
      <c r="M51" s="298"/>
    </row>
    <row r="52" spans="1:13" x14ac:dyDescent="0.2">
      <c r="B52" s="90" t="s">
        <v>109</v>
      </c>
      <c r="C52" s="139"/>
      <c r="D52" s="276">
        <v>9750</v>
      </c>
      <c r="E52" s="300">
        <v>-1.0000000000000009E-2</v>
      </c>
      <c r="F52" s="300">
        <f>'Summary of Rates'!E52</f>
        <v>-9.000000000000008E-2</v>
      </c>
      <c r="G52" s="298">
        <f>ROUND(E52*D52,2)</f>
        <v>-97.5</v>
      </c>
      <c r="H52" s="298">
        <f t="shared" si="0"/>
        <v>-780</v>
      </c>
      <c r="K52" s="298"/>
      <c r="L52" s="298"/>
      <c r="M52" s="298"/>
    </row>
    <row r="53" spans="1:13" x14ac:dyDescent="0.2">
      <c r="B53" s="90" t="s">
        <v>110</v>
      </c>
      <c r="C53" s="139"/>
      <c r="D53" s="143"/>
      <c r="E53" s="297"/>
      <c r="F53" s="297"/>
      <c r="G53" s="298"/>
      <c r="H53" s="298"/>
      <c r="K53" s="298"/>
      <c r="L53" s="298"/>
      <c r="M53" s="298"/>
    </row>
    <row r="54" spans="1:13" x14ac:dyDescent="0.2">
      <c r="B54" s="90" t="s">
        <v>113</v>
      </c>
      <c r="C54" s="139"/>
      <c r="D54" s="276">
        <v>15076.060254480148</v>
      </c>
      <c r="E54" s="297">
        <v>-1.1099999999999999E-3</v>
      </c>
      <c r="F54" s="297">
        <f>'Summary of Rates'!E55</f>
        <v>-1.4030000000000015E-2</v>
      </c>
      <c r="G54" s="298">
        <f>ROUND(E54*D54,2)</f>
        <v>-16.73</v>
      </c>
      <c r="H54" s="298">
        <f t="shared" si="0"/>
        <v>-194.78</v>
      </c>
      <c r="K54" s="298"/>
      <c r="L54" s="298"/>
      <c r="M54" s="298"/>
    </row>
    <row r="55" spans="1:13" x14ac:dyDescent="0.2">
      <c r="B55" s="90" t="s">
        <v>153</v>
      </c>
      <c r="C55" s="139"/>
      <c r="D55" s="276">
        <v>208338.93974551983</v>
      </c>
      <c r="E55" s="297">
        <v>-7.8000000000000291E-4</v>
      </c>
      <c r="F55" s="297">
        <f>'Summary of Rates'!E56</f>
        <v>-9.9500000000000144E-3</v>
      </c>
      <c r="G55" s="301">
        <f>ROUND(E55*D55,2)</f>
        <v>-162.5</v>
      </c>
      <c r="H55" s="298">
        <f t="shared" si="0"/>
        <v>-1910.47</v>
      </c>
      <c r="K55" s="298"/>
      <c r="L55" s="298"/>
      <c r="M55" s="298"/>
    </row>
    <row r="56" spans="1:13" x14ac:dyDescent="0.2">
      <c r="B56" s="90" t="s">
        <v>73</v>
      </c>
      <c r="C56" s="139"/>
      <c r="D56" s="276"/>
      <c r="E56" s="296"/>
      <c r="F56" s="296"/>
      <c r="G56" s="298">
        <f>SUM(G52:G55)</f>
        <v>-276.73</v>
      </c>
      <c r="H56" s="299">
        <f>SUM(H52:H55)</f>
        <v>-2885.25</v>
      </c>
      <c r="K56" s="298"/>
      <c r="L56" s="298"/>
      <c r="M56" s="298"/>
    </row>
    <row r="57" spans="1:13" x14ac:dyDescent="0.2">
      <c r="C57" s="139"/>
      <c r="D57" s="276"/>
      <c r="E57" s="296"/>
      <c r="F57" s="296"/>
      <c r="G57" s="298"/>
      <c r="K57" s="298"/>
      <c r="L57" s="298"/>
      <c r="M57" s="298"/>
    </row>
    <row r="58" spans="1:13" x14ac:dyDescent="0.2">
      <c r="B58" s="90" t="s">
        <v>155</v>
      </c>
      <c r="C58" s="139" t="s">
        <v>156</v>
      </c>
      <c r="D58" s="276"/>
      <c r="E58" s="296"/>
      <c r="F58" s="296"/>
      <c r="G58" s="298">
        <f t="shared" ref="G58:H58" si="3">G49+G56</f>
        <v>-7983.15</v>
      </c>
      <c r="H58" s="298">
        <f t="shared" si="3"/>
        <v>-90428.84</v>
      </c>
      <c r="K58" s="298"/>
      <c r="L58" s="298"/>
      <c r="M58" s="298"/>
    </row>
    <row r="59" spans="1:13" x14ac:dyDescent="0.2">
      <c r="C59" s="139"/>
      <c r="D59" s="276"/>
      <c r="E59" s="303"/>
      <c r="F59" s="303"/>
      <c r="G59" s="298"/>
      <c r="H59" s="298"/>
      <c r="K59" s="298"/>
      <c r="L59" s="298"/>
      <c r="M59" s="298"/>
    </row>
    <row r="60" spans="1:13" x14ac:dyDescent="0.2">
      <c r="B60" s="307" t="s">
        <v>73</v>
      </c>
      <c r="C60" s="343" t="s">
        <v>243</v>
      </c>
      <c r="D60" s="344">
        <f>SUM(D11,D14,D19,D27:D29,D36:D38,D47:D48,D54:D55)</f>
        <v>952767518.00000012</v>
      </c>
      <c r="E60" s="345"/>
      <c r="F60" s="345"/>
      <c r="G60" s="346">
        <f>G11+G16+G21+G30+G39+G49+G56</f>
        <v>9392608.0799999982</v>
      </c>
      <c r="H60" s="346">
        <f>H11+H16+H21+H30+H39+H49+H56</f>
        <v>-4837655.75</v>
      </c>
      <c r="K60" s="298"/>
      <c r="L60" s="298"/>
      <c r="M60" s="298"/>
    </row>
    <row r="61" spans="1:13" x14ac:dyDescent="0.2">
      <c r="B61" s="307"/>
      <c r="C61" s="343" t="s">
        <v>424</v>
      </c>
      <c r="D61" s="344">
        <f>SUM(D24,D33,D44,D52)</f>
        <v>5163736.2280000001</v>
      </c>
      <c r="E61" s="307"/>
      <c r="F61" s="307"/>
      <c r="G61" s="307"/>
      <c r="H61" s="307"/>
      <c r="M61" s="298"/>
    </row>
    <row r="62" spans="1:13" x14ac:dyDescent="0.2">
      <c r="A62" s="304"/>
      <c r="B62" s="43"/>
      <c r="C62" s="305"/>
      <c r="G62" s="298"/>
      <c r="H62" s="298"/>
      <c r="M62" s="298"/>
    </row>
    <row r="63" spans="1:13" ht="12.75" customHeight="1" x14ac:dyDescent="0.2">
      <c r="A63" s="304"/>
      <c r="B63" s="305"/>
      <c r="C63" s="306"/>
      <c r="D63" s="359"/>
      <c r="E63" s="306"/>
      <c r="F63" s="306"/>
      <c r="G63" s="306"/>
      <c r="H63" s="306"/>
      <c r="M63" s="298"/>
    </row>
    <row r="64" spans="1:13" x14ac:dyDescent="0.2">
      <c r="B64" s="43"/>
      <c r="D64" s="360"/>
      <c r="M64" s="298"/>
    </row>
    <row r="65" spans="13:13" x14ac:dyDescent="0.2">
      <c r="M65" s="298"/>
    </row>
    <row r="66" spans="13:13" x14ac:dyDescent="0.2">
      <c r="M66" s="298"/>
    </row>
    <row r="67" spans="13:13" x14ac:dyDescent="0.2">
      <c r="M67" s="298"/>
    </row>
    <row r="68" spans="13:13" x14ac:dyDescent="0.2">
      <c r="M68" s="298"/>
    </row>
    <row r="69" spans="13:13" x14ac:dyDescent="0.2">
      <c r="M69" s="298"/>
    </row>
    <row r="70" spans="13:13" x14ac:dyDescent="0.2">
      <c r="M70" s="298"/>
    </row>
    <row r="71" spans="13:13" x14ac:dyDescent="0.2">
      <c r="M71" s="298"/>
    </row>
    <row r="72" spans="13:13" x14ac:dyDescent="0.2">
      <c r="M72" s="298"/>
    </row>
    <row r="73" spans="13:13" x14ac:dyDescent="0.2">
      <c r="M73" s="298"/>
    </row>
    <row r="74" spans="13:13" x14ac:dyDescent="0.2">
      <c r="M74" s="298"/>
    </row>
    <row r="75" spans="13:13" x14ac:dyDescent="0.2">
      <c r="M75" s="298"/>
    </row>
    <row r="76" spans="13:13" x14ac:dyDescent="0.2">
      <c r="M76" s="298"/>
    </row>
    <row r="77" spans="13:13" x14ac:dyDescent="0.2">
      <c r="M77" s="298"/>
    </row>
    <row r="78" spans="13:13" x14ac:dyDescent="0.2">
      <c r="M78" s="298"/>
    </row>
    <row r="79" spans="13:13" x14ac:dyDescent="0.2">
      <c r="M79" s="298"/>
    </row>
    <row r="80" spans="13:13" x14ac:dyDescent="0.2">
      <c r="M80" s="298"/>
    </row>
    <row r="81" spans="13:13" x14ac:dyDescent="0.2">
      <c r="M81" s="298"/>
    </row>
    <row r="82" spans="13:13" x14ac:dyDescent="0.2">
      <c r="M82" s="298"/>
    </row>
    <row r="83" spans="13:13" x14ac:dyDescent="0.2">
      <c r="M83" s="298"/>
    </row>
    <row r="84" spans="13:13" x14ac:dyDescent="0.2">
      <c r="M84" s="298"/>
    </row>
    <row r="85" spans="13:13" x14ac:dyDescent="0.2">
      <c r="M85" s="298"/>
    </row>
    <row r="86" spans="13:13" x14ac:dyDescent="0.2">
      <c r="M86" s="298"/>
    </row>
    <row r="87" spans="13:13" x14ac:dyDescent="0.2">
      <c r="M87" s="298"/>
    </row>
    <row r="88" spans="13:13" x14ac:dyDescent="0.2">
      <c r="M88" s="298"/>
    </row>
    <row r="89" spans="13:13" x14ac:dyDescent="0.2">
      <c r="M89" s="298"/>
    </row>
    <row r="90" spans="13:13" x14ac:dyDescent="0.2">
      <c r="M90" s="298"/>
    </row>
    <row r="91" spans="13:13" x14ac:dyDescent="0.2">
      <c r="M91" s="298"/>
    </row>
    <row r="92" spans="13:13" x14ac:dyDescent="0.2">
      <c r="M92" s="298"/>
    </row>
    <row r="93" spans="13:13" x14ac:dyDescent="0.2">
      <c r="M93" s="298"/>
    </row>
    <row r="94" spans="13:13" x14ac:dyDescent="0.2">
      <c r="M94" s="298"/>
    </row>
    <row r="95" spans="13:13" x14ac:dyDescent="0.2">
      <c r="M95" s="298"/>
    </row>
    <row r="96" spans="13:13" x14ac:dyDescent="0.2">
      <c r="M96" s="298"/>
    </row>
    <row r="97" spans="13:13" x14ac:dyDescent="0.2">
      <c r="M97" s="298"/>
    </row>
    <row r="98" spans="13:13" x14ac:dyDescent="0.2">
      <c r="M98" s="298"/>
    </row>
    <row r="99" spans="13:13" x14ac:dyDescent="0.2">
      <c r="M99" s="298"/>
    </row>
    <row r="100" spans="13:13" x14ac:dyDescent="0.2">
      <c r="M100" s="298"/>
    </row>
  </sheetData>
  <mergeCells count="4">
    <mergeCell ref="A1:H1"/>
    <mergeCell ref="A3:H3"/>
    <mergeCell ref="A4:H4"/>
    <mergeCell ref="A2:H2"/>
  </mergeCells>
  <printOptions horizontalCentered="1"/>
  <pageMargins left="0.7" right="0.7" top="0.5" bottom="0.5" header="0.3" footer="0.3"/>
  <pageSetup scale="83"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0"/>
  <sheetViews>
    <sheetView zoomScaleNormal="100" workbookViewId="0">
      <pane ySplit="7" topLeftCell="A14" activePane="bottomLeft" state="frozen"/>
      <selection pane="bottomLeft" activeCell="H40" sqref="H40"/>
    </sheetView>
  </sheetViews>
  <sheetFormatPr defaultColWidth="9.140625" defaultRowHeight="11.25" x14ac:dyDescent="0.2"/>
  <cols>
    <col min="1" max="1" width="2.140625" style="7" customWidth="1"/>
    <col min="2" max="2" width="2.42578125" style="7" customWidth="1"/>
    <col min="3" max="3" width="34.5703125" style="7" customWidth="1"/>
    <col min="4" max="5" width="11.85546875" style="7" customWidth="1"/>
    <col min="6" max="6" width="2.7109375" style="7" customWidth="1"/>
    <col min="7" max="8" width="11.85546875" style="7" customWidth="1"/>
    <col min="9" max="16384" width="9.140625" style="7"/>
  </cols>
  <sheetData>
    <row r="1" spans="1:8" ht="12.75" customHeight="1" x14ac:dyDescent="0.25">
      <c r="A1" s="438" t="str">
        <f>'Delivery Rate Change Calc'!A1:F1</f>
        <v>Puget Sound Energy</v>
      </c>
      <c r="B1" s="442"/>
      <c r="C1" s="442"/>
      <c r="D1" s="442"/>
      <c r="E1" s="442"/>
      <c r="F1" s="442"/>
      <c r="G1" s="442"/>
      <c r="H1" s="442"/>
    </row>
    <row r="2" spans="1:8" ht="12.75" customHeight="1" x14ac:dyDescent="0.25">
      <c r="A2" s="438" t="str">
        <f>'Delivery Rate Change Calc'!A2:F2</f>
        <v>2020 Gas Decoupling Filing</v>
      </c>
      <c r="B2" s="442"/>
      <c r="C2" s="442"/>
      <c r="D2" s="442"/>
      <c r="E2" s="442"/>
      <c r="F2" s="442"/>
      <c r="G2" s="442"/>
      <c r="H2" s="442"/>
    </row>
    <row r="3" spans="1:8" ht="12.75" customHeight="1" x14ac:dyDescent="0.25">
      <c r="A3" s="437" t="s">
        <v>372</v>
      </c>
      <c r="B3" s="443"/>
      <c r="C3" s="443"/>
      <c r="D3" s="443"/>
      <c r="E3" s="443"/>
      <c r="F3" s="443"/>
      <c r="G3" s="443"/>
      <c r="H3" s="443"/>
    </row>
    <row r="4" spans="1:8" ht="12.75" customHeight="1" x14ac:dyDescent="0.25">
      <c r="A4" s="438" t="str">
        <f>'Delivery Rate Change Calc'!A4:F4</f>
        <v>Proposed Effective May 1, 2020</v>
      </c>
      <c r="B4" s="442"/>
      <c r="C4" s="442"/>
      <c r="D4" s="442"/>
      <c r="E4" s="442"/>
      <c r="F4" s="442"/>
      <c r="G4" s="442"/>
      <c r="H4" s="442"/>
    </row>
    <row r="6" spans="1:8" x14ac:dyDescent="0.2">
      <c r="D6" s="328" t="s">
        <v>144</v>
      </c>
      <c r="E6" s="328"/>
      <c r="G6" s="328" t="s">
        <v>373</v>
      </c>
      <c r="H6" s="328"/>
    </row>
    <row r="7" spans="1:8" x14ac:dyDescent="0.2">
      <c r="D7" s="68" t="s">
        <v>437</v>
      </c>
      <c r="E7" s="68" t="s">
        <v>157</v>
      </c>
      <c r="G7" s="68" t="s">
        <v>98</v>
      </c>
      <c r="H7" s="68" t="s">
        <v>157</v>
      </c>
    </row>
    <row r="8" spans="1:8" x14ac:dyDescent="0.2">
      <c r="B8" s="7" t="s">
        <v>158</v>
      </c>
      <c r="D8" s="21">
        <v>64</v>
      </c>
      <c r="E8" s="329"/>
      <c r="G8" s="21">
        <v>64</v>
      </c>
      <c r="H8" s="329"/>
    </row>
    <row r="9" spans="1:8" x14ac:dyDescent="0.2">
      <c r="D9" s="21"/>
      <c r="E9" s="329"/>
      <c r="G9" s="21"/>
      <c r="H9" s="329"/>
    </row>
    <row r="10" spans="1:8" x14ac:dyDescent="0.2">
      <c r="B10" s="7" t="s">
        <v>159</v>
      </c>
      <c r="D10" s="21"/>
      <c r="E10" s="329"/>
      <c r="G10" s="21"/>
      <c r="H10" s="329"/>
    </row>
    <row r="11" spans="1:8" x14ac:dyDescent="0.2">
      <c r="C11" s="7" t="s">
        <v>160</v>
      </c>
      <c r="D11" s="330">
        <v>11</v>
      </c>
      <c r="E11" s="329">
        <f>D11</f>
        <v>11</v>
      </c>
      <c r="G11" s="32">
        <f>$D$11</f>
        <v>11</v>
      </c>
      <c r="H11" s="329">
        <f>G11</f>
        <v>11</v>
      </c>
    </row>
    <row r="12" spans="1:8" x14ac:dyDescent="0.2">
      <c r="C12" s="7" t="s">
        <v>436</v>
      </c>
      <c r="D12" s="331">
        <v>0.67</v>
      </c>
      <c r="E12" s="332">
        <f>D12</f>
        <v>0.67</v>
      </c>
      <c r="G12" s="333">
        <f>$D$12</f>
        <v>0.67</v>
      </c>
      <c r="H12" s="332">
        <f>G12</f>
        <v>0.67</v>
      </c>
    </row>
    <row r="13" spans="1:8" x14ac:dyDescent="0.2">
      <c r="C13" s="7" t="s">
        <v>422</v>
      </c>
      <c r="D13" s="331">
        <v>-0.15</v>
      </c>
      <c r="E13" s="332">
        <f>D13</f>
        <v>-0.15</v>
      </c>
      <c r="G13" s="333">
        <f>$D$13</f>
        <v>-0.15</v>
      </c>
      <c r="H13" s="332">
        <f>G13</f>
        <v>-0.15</v>
      </c>
    </row>
    <row r="14" spans="1:8" x14ac:dyDescent="0.2">
      <c r="C14" s="7" t="s">
        <v>138</v>
      </c>
      <c r="D14" s="334">
        <f>SUM(D11:D13)</f>
        <v>11.52</v>
      </c>
      <c r="E14" s="334">
        <f>SUM(E11:E13)</f>
        <v>11.52</v>
      </c>
      <c r="G14" s="334">
        <f>SUM(G11:G13)</f>
        <v>11.52</v>
      </c>
      <c r="H14" s="334">
        <f>SUM(H11:H13)</f>
        <v>11.52</v>
      </c>
    </row>
    <row r="15" spans="1:8" x14ac:dyDescent="0.2">
      <c r="D15" s="330"/>
      <c r="E15" s="329"/>
      <c r="G15" s="32"/>
      <c r="H15" s="329"/>
    </row>
    <row r="16" spans="1:8" x14ac:dyDescent="0.2">
      <c r="B16" s="7" t="s">
        <v>161</v>
      </c>
      <c r="E16" s="329"/>
      <c r="H16" s="329"/>
    </row>
    <row r="17" spans="3:8" x14ac:dyDescent="0.2">
      <c r="C17" s="7" t="s">
        <v>162</v>
      </c>
      <c r="D17" s="335">
        <v>0.34603</v>
      </c>
      <c r="E17" s="329"/>
      <c r="G17" s="336">
        <f>$D$17</f>
        <v>0.34603</v>
      </c>
      <c r="H17" s="329"/>
    </row>
    <row r="18" spans="3:8" x14ac:dyDescent="0.2">
      <c r="C18" s="7" t="s">
        <v>165</v>
      </c>
      <c r="D18" s="337">
        <v>6.1900000000000002E-3</v>
      </c>
      <c r="E18" s="329"/>
      <c r="G18" s="336">
        <f>$D$18</f>
        <v>6.1900000000000002E-3</v>
      </c>
      <c r="H18" s="329"/>
    </row>
    <row r="19" spans="3:8" x14ac:dyDescent="0.2">
      <c r="C19" s="7" t="s">
        <v>163</v>
      </c>
      <c r="D19" s="335">
        <v>2.2349999999999998E-2</v>
      </c>
      <c r="E19" s="329"/>
      <c r="G19" s="303">
        <f>$D$19</f>
        <v>2.2349999999999998E-2</v>
      </c>
      <c r="H19" s="329"/>
    </row>
    <row r="20" spans="3:8" x14ac:dyDescent="0.2">
      <c r="C20" s="7" t="s">
        <v>436</v>
      </c>
      <c r="D20" s="335">
        <v>2.1229999999999999E-2</v>
      </c>
      <c r="E20" s="329"/>
      <c r="G20" s="336">
        <f>$D$20</f>
        <v>2.1229999999999999E-2</v>
      </c>
      <c r="H20" s="329"/>
    </row>
    <row r="21" spans="3:8" x14ac:dyDescent="0.2">
      <c r="C21" s="7" t="s">
        <v>422</v>
      </c>
      <c r="D21" s="335">
        <v>-4.79E-3</v>
      </c>
      <c r="E21" s="329"/>
      <c r="G21" s="336">
        <f>$D$21</f>
        <v>-4.79E-3</v>
      </c>
      <c r="H21" s="329"/>
    </row>
    <row r="22" spans="3:8" x14ac:dyDescent="0.2">
      <c r="C22" s="7" t="s">
        <v>423</v>
      </c>
      <c r="D22" s="335">
        <v>-1.0580000000000001E-2</v>
      </c>
      <c r="E22" s="329"/>
      <c r="G22" s="303">
        <f>$D$22</f>
        <v>-1.0580000000000001E-2</v>
      </c>
      <c r="H22" s="329"/>
    </row>
    <row r="23" spans="3:8" x14ac:dyDescent="0.2">
      <c r="C23" s="7" t="s">
        <v>164</v>
      </c>
      <c r="D23" s="335">
        <v>1.9550000000000001E-2</v>
      </c>
      <c r="E23" s="329"/>
      <c r="G23" s="424">
        <f>'Sch 142 Revenue (Decoupling)'!$F$11</f>
        <v>1.2319999999999999E-2</v>
      </c>
      <c r="H23" s="329"/>
    </row>
    <row r="24" spans="3:8" x14ac:dyDescent="0.2">
      <c r="C24" s="7" t="s">
        <v>374</v>
      </c>
      <c r="D24" s="337">
        <v>1.8800000000000001E-2</v>
      </c>
      <c r="E24" s="329"/>
      <c r="G24" s="303">
        <f>$D$24</f>
        <v>1.8800000000000001E-2</v>
      </c>
      <c r="H24" s="329"/>
    </row>
    <row r="25" spans="3:8" x14ac:dyDescent="0.2">
      <c r="C25" s="7" t="s">
        <v>138</v>
      </c>
      <c r="D25" s="338">
        <f>SUM(D17:D24)</f>
        <v>0.41877999999999993</v>
      </c>
      <c r="E25" s="329">
        <f>ROUND(D25*D$8,2)</f>
        <v>26.8</v>
      </c>
      <c r="G25" s="338">
        <f>SUM(G17:G24)</f>
        <v>0.41154999999999992</v>
      </c>
      <c r="H25" s="329">
        <f>ROUND(G25*G$8,2)</f>
        <v>26.34</v>
      </c>
    </row>
    <row r="27" spans="3:8" x14ac:dyDescent="0.2">
      <c r="C27" s="7" t="s">
        <v>166</v>
      </c>
      <c r="D27" s="335">
        <v>1.8149999999999999E-2</v>
      </c>
      <c r="E27" s="329">
        <f>ROUND(D27*D$8,2)</f>
        <v>1.1599999999999999</v>
      </c>
      <c r="G27" s="339">
        <f>$D$27</f>
        <v>1.8149999999999999E-2</v>
      </c>
      <c r="H27" s="329">
        <f>ROUND(G27*G$8,2)</f>
        <v>1.1599999999999999</v>
      </c>
    </row>
    <row r="28" spans="3:8" x14ac:dyDescent="0.2">
      <c r="D28" s="336"/>
      <c r="E28" s="329"/>
      <c r="G28" s="336"/>
      <c r="H28" s="329"/>
    </row>
    <row r="29" spans="3:8" x14ac:dyDescent="0.2">
      <c r="C29" s="7" t="s">
        <v>167</v>
      </c>
      <c r="D29" s="335">
        <v>0</v>
      </c>
      <c r="E29" s="329">
        <f>ROUND(D29*D$8,2)</f>
        <v>0</v>
      </c>
      <c r="G29" s="303">
        <f>$D$29</f>
        <v>0</v>
      </c>
      <c r="H29" s="329">
        <f>ROUND(G29*G$8,2)</f>
        <v>0</v>
      </c>
    </row>
    <row r="30" spans="3:8" x14ac:dyDescent="0.2">
      <c r="D30" s="336"/>
      <c r="E30" s="329"/>
      <c r="G30" s="336"/>
      <c r="H30" s="329"/>
    </row>
    <row r="31" spans="3:8" x14ac:dyDescent="0.2">
      <c r="C31" s="7" t="s">
        <v>168</v>
      </c>
      <c r="D31" s="335">
        <v>0.34614</v>
      </c>
      <c r="E31" s="329"/>
      <c r="G31" s="336">
        <f>$D$31</f>
        <v>0.34614</v>
      </c>
      <c r="H31" s="329"/>
    </row>
    <row r="32" spans="3:8" x14ac:dyDescent="0.2">
      <c r="C32" s="7" t="s">
        <v>169</v>
      </c>
      <c r="D32" s="335">
        <v>-1.6150000000000001E-2</v>
      </c>
      <c r="E32" s="329"/>
      <c r="G32" s="303">
        <f>$D$32</f>
        <v>-1.6150000000000001E-2</v>
      </c>
      <c r="H32" s="329"/>
    </row>
    <row r="33" spans="2:8" x14ac:dyDescent="0.2">
      <c r="C33" s="7" t="s">
        <v>438</v>
      </c>
      <c r="D33" s="335">
        <v>5.4429999999999999E-2</v>
      </c>
      <c r="E33" s="329"/>
      <c r="G33" s="303">
        <f>$D$33</f>
        <v>5.4429999999999999E-2</v>
      </c>
      <c r="H33" s="329"/>
    </row>
    <row r="34" spans="2:8" x14ac:dyDescent="0.2">
      <c r="C34" s="7" t="s">
        <v>439</v>
      </c>
      <c r="D34" s="335">
        <v>6.1969999999999997E-2</v>
      </c>
      <c r="E34" s="329"/>
      <c r="G34" s="303">
        <f>$D$34</f>
        <v>6.1969999999999997E-2</v>
      </c>
      <c r="H34" s="329"/>
    </row>
    <row r="35" spans="2:8" x14ac:dyDescent="0.2">
      <c r="C35" s="7" t="s">
        <v>138</v>
      </c>
      <c r="D35" s="338">
        <f>SUM(D31:D34)</f>
        <v>0.44638999999999995</v>
      </c>
      <c r="E35" s="329">
        <f>ROUND(D35*D$8,2)</f>
        <v>28.57</v>
      </c>
      <c r="G35" s="338">
        <f>SUM(G31:G34)</f>
        <v>0.44638999999999995</v>
      </c>
      <c r="H35" s="329">
        <f>ROUND(G35*G$8,2)</f>
        <v>28.57</v>
      </c>
    </row>
    <row r="36" spans="2:8" x14ac:dyDescent="0.2">
      <c r="C36" s="7" t="s">
        <v>170</v>
      </c>
      <c r="D36" s="338">
        <f>D25+D27+D29+D35</f>
        <v>0.88331999999999988</v>
      </c>
      <c r="E36" s="340">
        <f>SUM(E25,E27,E29,E35)</f>
        <v>56.53</v>
      </c>
      <c r="G36" s="338">
        <f>G25+G27+G29+G35</f>
        <v>0.87608999999999981</v>
      </c>
      <c r="H36" s="340">
        <f>SUM(H25,H27,H29,H35)</f>
        <v>56.07</v>
      </c>
    </row>
    <row r="37" spans="2:8" x14ac:dyDescent="0.2">
      <c r="E37" s="329"/>
      <c r="H37" s="329"/>
    </row>
    <row r="38" spans="2:8" x14ac:dyDescent="0.2">
      <c r="B38" s="7" t="s">
        <v>171</v>
      </c>
      <c r="D38" s="32"/>
      <c r="E38" s="329">
        <f>E14+E36</f>
        <v>68.05</v>
      </c>
      <c r="G38" s="32"/>
      <c r="H38" s="329">
        <f>H14+H36</f>
        <v>67.59</v>
      </c>
    </row>
    <row r="39" spans="2:8" x14ac:dyDescent="0.2">
      <c r="B39" s="7" t="s">
        <v>172</v>
      </c>
      <c r="D39" s="32"/>
      <c r="E39" s="329"/>
      <c r="G39" s="32"/>
      <c r="H39" s="329">
        <f>H38-$E38</f>
        <v>-0.45999999999999375</v>
      </c>
    </row>
    <row r="40" spans="2:8" x14ac:dyDescent="0.2">
      <c r="B40" s="7" t="s">
        <v>173</v>
      </c>
      <c r="D40" s="341"/>
      <c r="E40" s="341"/>
      <c r="G40" s="341"/>
      <c r="H40" s="342">
        <f>H39/$E38</f>
        <v>-6.7597354886112238E-3</v>
      </c>
    </row>
    <row r="41" spans="2:8" x14ac:dyDescent="0.2">
      <c r="E41" s="329"/>
    </row>
    <row r="42" spans="2:8" x14ac:dyDescent="0.2">
      <c r="B42" s="7" t="s">
        <v>174</v>
      </c>
      <c r="D42" s="336">
        <f>D25+D27+D29</f>
        <v>0.43692999999999993</v>
      </c>
      <c r="E42" s="329"/>
      <c r="G42" s="336">
        <f>G25+G27+G29</f>
        <v>0.42969999999999992</v>
      </c>
    </row>
    <row r="44" spans="2:8" x14ac:dyDescent="0.2">
      <c r="B44" s="93" t="s">
        <v>454</v>
      </c>
    </row>
    <row r="45" spans="2:8" x14ac:dyDescent="0.2">
      <c r="C45" s="93"/>
      <c r="D45" s="93"/>
      <c r="E45" s="93"/>
    </row>
    <row r="50" ht="14.25" customHeight="1" x14ac:dyDescent="0.2"/>
  </sheetData>
  <mergeCells count="4">
    <mergeCell ref="A1:H1"/>
    <mergeCell ref="A2:H2"/>
    <mergeCell ref="A3:H3"/>
    <mergeCell ref="A4:H4"/>
  </mergeCells>
  <printOptions horizontalCentered="1"/>
  <pageMargins left="0.5" right="0.5" top="1" bottom="1" header="0.5" footer="0.5"/>
  <pageSetup scale="56" orientation="landscape" blackAndWhite="1" r:id="rId1"/>
  <headerFooter alignWithMargins="0">
    <oddFooter>&amp;L&amp;F  
&amp;A&amp;C&amp;P&amp;R&amp;D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2E0B2BF9B7C545BC7A76DEDDEF8241" ma:contentTypeVersion="52" ma:contentTypeDescription="" ma:contentTypeScope="" ma:versionID="e440328dd4528d9b7199a2b8977e40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2020-04-22T07:00:00+00:00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200299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3380392-9A56-42EB-87C6-172C2F6152C5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D442F65-8CEC-4A01-B2D1-0B902996EA70}"/>
</file>

<file path=customXml/itemProps3.xml><?xml version="1.0" encoding="utf-8"?>
<ds:datastoreItem xmlns:ds="http://schemas.openxmlformats.org/officeDocument/2006/customXml" ds:itemID="{4ECD73D8-9FA8-4364-B96A-1971757D482D}"/>
</file>

<file path=customXml/itemProps4.xml><?xml version="1.0" encoding="utf-8"?>
<ds:datastoreItem xmlns:ds="http://schemas.openxmlformats.org/officeDocument/2006/customXml" ds:itemID="{1AAF3179-F326-4D9B-B0F9-0E3DC1F1D455}"/>
</file>

<file path=customXml/itemProps5.xml><?xml version="1.0" encoding="utf-8"?>
<ds:datastoreItem xmlns:ds="http://schemas.openxmlformats.org/officeDocument/2006/customXml" ds:itemID="{2D4A7595-5FC9-4EF7-8ABE-D84B77CF75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Delivery Rate Change Calc</vt:lpstr>
      <vt:lpstr>Summary of Rates</vt:lpstr>
      <vt:lpstr>RateDev (31,31T,41,41T,86,86T)</vt:lpstr>
      <vt:lpstr>Rate Test</vt:lpstr>
      <vt:lpstr>Earnings Test Alloc</vt:lpstr>
      <vt:lpstr>Rate Impacts--&gt;</vt:lpstr>
      <vt:lpstr>Rate Impacts Sch142</vt:lpstr>
      <vt:lpstr>Sch 142 Revenue (Decoupling)</vt:lpstr>
      <vt:lpstr>Typical Res Bill Combined</vt:lpstr>
      <vt:lpstr>Balances -&gt;</vt:lpstr>
      <vt:lpstr>Deferral Balance</vt:lpstr>
      <vt:lpstr>Account Balance</vt:lpstr>
      <vt:lpstr>Amort Estimate</vt:lpstr>
      <vt:lpstr>Work Papers--&gt;</vt:lpstr>
      <vt:lpstr>Sch23&amp;53 Deferral Calc</vt:lpstr>
      <vt:lpstr>Sch31&amp;31T Deferral Calc</vt:lpstr>
      <vt:lpstr>Sch 41&amp;86 Deferral Calc</vt:lpstr>
      <vt:lpstr>F2019 Forecast</vt:lpstr>
      <vt:lpstr>2019 Gas Margin Calc</vt:lpstr>
      <vt:lpstr>2019 Weather Adj</vt:lpstr>
      <vt:lpstr>2019 Gas Earnings Test</vt:lpstr>
      <vt:lpstr>2018 ERF Volumetric DeliveryRev</vt:lpstr>
      <vt:lpstr>2017 GRC Conversion Factor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Puget Sound Energy</cp:lastModifiedBy>
  <cp:lastPrinted>2019-03-15T21:46:08Z</cp:lastPrinted>
  <dcterms:created xsi:type="dcterms:W3CDTF">2018-03-12T16:56:24Z</dcterms:created>
  <dcterms:modified xsi:type="dcterms:W3CDTF">2020-04-17T21:08:32Z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0x0101006E56B4D1795A2E4DB2F0B01679ED314A00D72E0B2BF9B7C545BC7A76DEDDEF8241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