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ables/table1.xml" ContentType="application/vnd.openxmlformats-officedocument.spreadsheetml.tabl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5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acificorp.us\DFS\PDXCO\PSB1\SHARED\FILINGS\WA\2019\19-04 Sch 98\26 August 2019\Working docs\"/>
    </mc:Choice>
  </mc:AlternateContent>
  <bookViews>
    <workbookView xWindow="120" yWindow="180" windowWidth="15180" windowHeight="7695" activeTab="4"/>
  </bookViews>
  <sheets>
    <sheet name="Attachment A" sheetId="21" r:id="rId1"/>
    <sheet name="Attachment B" sheetId="14" r:id="rId2"/>
    <sheet name="Attachment C" sheetId="3" r:id="rId3"/>
    <sheet name="Attachment D" sheetId="24" r:id="rId4"/>
    <sheet name="305 Inputs" sheetId="23" r:id="rId5"/>
    <sheet name="Table Dec 18" sheetId="25" r:id="rId6"/>
    <sheet name="Billing Comp Schedule 40" sheetId="4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j1" hidden="1">{"PRINT",#N/A,TRUE,"APPA";"PRINT",#N/A,TRUE,"APS";"PRINT",#N/A,TRUE,"BHPL";"PRINT",#N/A,TRUE,"BHPL2";"PRINT",#N/A,TRUE,"CDWR";"PRINT",#N/A,TRUE,"EWEB";"PRINT",#N/A,TRUE,"LADWP";"PRINT",#N/A,TRUE,"NEVBASE"}</definedName>
    <definedName name="_________j2" hidden="1">{"PRINT",#N/A,TRUE,"APPA";"PRINT",#N/A,TRUE,"APS";"PRINT",#N/A,TRUE,"BHPL";"PRINT",#N/A,TRUE,"BHPL2";"PRINT",#N/A,TRUE,"CDWR";"PRINT",#N/A,TRUE,"EWEB";"PRINT",#N/A,TRUE,"LADWP";"PRINT",#N/A,TRUE,"NEVBASE"}</definedName>
    <definedName name="_________j3" hidden="1">{"PRINT",#N/A,TRUE,"APPA";"PRINT",#N/A,TRUE,"APS";"PRINT",#N/A,TRUE,"BHPL";"PRINT",#N/A,TRUE,"BHPL2";"PRINT",#N/A,TRUE,"CDWR";"PRINT",#N/A,TRUE,"EWEB";"PRINT",#N/A,TRUE,"LADWP";"PRINT",#N/A,TRUE,"NEVBASE"}</definedName>
    <definedName name="_________j4" hidden="1">{"PRINT",#N/A,TRUE,"APPA";"PRINT",#N/A,TRUE,"APS";"PRINT",#N/A,TRUE,"BHPL";"PRINT",#N/A,TRUE,"BHPL2";"PRINT",#N/A,TRUE,"CDWR";"PRINT",#N/A,TRUE,"EWEB";"PRINT",#N/A,TRUE,"LADWP";"PRINT",#N/A,TRUE,"NEVBASE"}</definedName>
    <definedName name="_________j5" hidden="1">{"PRINT",#N/A,TRUE,"APPA";"PRINT",#N/A,TRUE,"APS";"PRINT",#N/A,TRUE,"BHPL";"PRINT",#N/A,TRUE,"BHPL2";"PRINT",#N/A,TRUE,"CDWR";"PRINT",#N/A,TRUE,"EWEB";"PRINT",#N/A,TRUE,"LADWP";"PRINT",#N/A,TRUE,"NEVBASE"}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123Graph_A" localSheetId="4" hidden="1">[1]Inputs!#REF!</definedName>
    <definedName name="__123Graph_A" localSheetId="0" hidden="1">[2]Inputs!#REF!</definedName>
    <definedName name="__123Graph_A" localSheetId="1" hidden="1">[2]Inputs!#REF!</definedName>
    <definedName name="__123Graph_A" localSheetId="2" hidden="1">[3]Inputs!#REF!</definedName>
    <definedName name="__123Graph_A" localSheetId="3" hidden="1">[4]Inputs!#REF!</definedName>
    <definedName name="__123Graph_A" localSheetId="6" hidden="1">[3]Inputs!#REF!</definedName>
    <definedName name="__123Graph_A" hidden="1">[1]Inputs!#REF!</definedName>
    <definedName name="__123Graph_B" localSheetId="4" hidden="1">[1]Inputs!#REF!</definedName>
    <definedName name="__123Graph_B" localSheetId="0" hidden="1">[2]Inputs!#REF!</definedName>
    <definedName name="__123Graph_B" localSheetId="1" hidden="1">[2]Inputs!#REF!</definedName>
    <definedName name="__123Graph_B" localSheetId="2" hidden="1">[3]Inputs!#REF!</definedName>
    <definedName name="__123Graph_B" localSheetId="3" hidden="1">[4]Inputs!#REF!</definedName>
    <definedName name="__123Graph_B" localSheetId="6" hidden="1">[3]Inputs!#REF!</definedName>
    <definedName name="__123Graph_B" hidden="1">[1]Inputs!#REF!</definedName>
    <definedName name="__123Graph_D" localSheetId="4" hidden="1">[1]Inputs!#REF!</definedName>
    <definedName name="__123Graph_D" localSheetId="0" hidden="1">[2]Inputs!#REF!</definedName>
    <definedName name="__123Graph_D" localSheetId="1" hidden="1">[2]Inputs!#REF!</definedName>
    <definedName name="__123Graph_D" localSheetId="2" hidden="1">[3]Inputs!#REF!</definedName>
    <definedName name="__123Graph_D" localSheetId="3" hidden="1">[4]Inputs!#REF!</definedName>
    <definedName name="__123Graph_D" localSheetId="6" hidden="1">[3]Inputs!#REF!</definedName>
    <definedName name="__123Graph_D" hidden="1">[1]Inputs!#REF!</definedName>
    <definedName name="__123Graph_E" hidden="1">[5]Input!$E$22:$E$37</definedName>
    <definedName name="__123Graph_F" hidden="1">[5]Input!$D$22:$D$37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Fill" localSheetId="4" hidden="1">#REF!</definedName>
    <definedName name="_Fill" localSheetId="1" hidden="1">#REF!</definedName>
    <definedName name="_Fill" localSheetId="3" hidden="1">#REF!</definedName>
    <definedName name="_Fill" localSheetId="5" hidden="1">#REF!</definedName>
    <definedName name="_Fill" hidden="1">#REF!</definedName>
    <definedName name="_xlnm._FilterDatabase" localSheetId="4" hidden="1">'305 Inputs'!$B$4:$J$4</definedName>
    <definedName name="_xlnm._FilterDatabase" localSheetId="3" hidden="1">#REF!</definedName>
    <definedName name="_xlnm._FilterDatabase" localSheetId="5" hidden="1">'Table Dec 18'!$F$10:$F$11</definedName>
    <definedName name="_xlnm._FilterDatabase" hidden="1">#REF!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4" hidden="1">#REF!</definedName>
    <definedName name="_Key1" localSheetId="0" hidden="1">#REF!</definedName>
    <definedName name="_Key1" localSheetId="1" hidden="1">#REF!</definedName>
    <definedName name="_Key1" localSheetId="3" hidden="1">#REF!</definedName>
    <definedName name="_Key1" localSheetId="5" hidden="1">#REF!</definedName>
    <definedName name="_Key1" hidden="1">#REF!</definedName>
    <definedName name="_Key2" localSheetId="4" hidden="1">#REF!</definedName>
    <definedName name="_Key2" localSheetId="0" hidden="1">#REF!</definedName>
    <definedName name="_Key2" localSheetId="1" hidden="1">#REF!</definedName>
    <definedName name="_Key2" localSheetId="3" hidden="1">#REF!</definedName>
    <definedName name="_Key2" localSheetId="5" hidden="1">#REF!</definedName>
    <definedName name="_Key2" hidden="1">#REF!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0</definedName>
    <definedName name="_Order2" hidden="1">0</definedName>
    <definedName name="_Sort" localSheetId="4" hidden="1">#REF!</definedName>
    <definedName name="_Sort" localSheetId="0" hidden="1">#REF!</definedName>
    <definedName name="_Sort" localSheetId="1" hidden="1">#REF!</definedName>
    <definedName name="_Sort" localSheetId="3" hidden="1">#REF!</definedName>
    <definedName name="_Sort" localSheetId="5" hidden="1">#REF!</definedName>
    <definedName name="_Sort" hidden="1">#REF!</definedName>
    <definedName name="a" localSheetId="0" hidden="1">'[6]DSM Output'!$J$21:$J$23</definedName>
    <definedName name="a" localSheetId="2" hidden="1">#REF!</definedName>
    <definedName name="a" localSheetId="3" hidden="1">#REF!</definedName>
    <definedName name="a" localSheetId="6" hidden="1">#REF!</definedName>
    <definedName name="a" hidden="1">'[1]DSM Output'!$J$21:$J$23</definedName>
    <definedName name="Access_Button1" hidden="1">"Headcount_Workbook_Schedules_List"</definedName>
    <definedName name="AccessDatabase" hidden="1">"P:\HR\SharonPlummer\Headcount Workbook.mdb"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Camas" hidden="1">{#N/A,#N/A,FALSE,"Summary";#N/A,#N/A,FALSE,"SmPlants";#N/A,#N/A,FALSE,"Utah";#N/A,#N/A,FALSE,"Idaho";#N/A,#N/A,FALSE,"Lewis River";#N/A,#N/A,FALSE,"NrthUmpq";#N/A,#N/A,FALSE,"KlamRog"}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mbined1" hidden="1">{"YTD-Total",#N/A,TRUE,"Provision";"YTD-Utility",#N/A,TRUE,"Prov Utility";"YTD-NonUtility",#N/A,TRUE,"Prov NonUtility"}</definedName>
    <definedName name="DUDE" localSheetId="4" hidden="1">#REF!</definedName>
    <definedName name="DUDE" localSheetId="1" hidden="1">#REF!</definedName>
    <definedName name="DUDE" localSheetId="3" hidden="1">#REF!</definedName>
    <definedName name="DUDE" localSheetId="5" hidden="1">#REF!</definedName>
    <definedName name="DUDE" hidden="1">#REF!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xtra2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imcount" hidden="1">1</definedName>
    <definedName name="ListOffset" hidden="1">1</definedName>
    <definedName name="Master" hidden="1">{#N/A,#N/A,FALSE,"Actual";#N/A,#N/A,FALSE,"Normalized";#N/A,#N/A,FALSE,"Electric Actual";#N/A,#N/A,FALSE,"Electric Normalized"}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ricingInfo" localSheetId="3" hidden="1">[7]Inputs!#REF!</definedName>
    <definedName name="PricingInfo" hidden="1">[7]Inputs!#REF!</definedName>
    <definedName name="_xlnm.Print_Area" localSheetId="2">'Attachment C'!$A$1:$U$40</definedName>
    <definedName name="_xlnm.Print_Area" localSheetId="3">'Attachment D'!$A$1:$AO$53</definedName>
    <definedName name="_xlnm.Print_Area" localSheetId="5">'Table Dec 18'!$A$1:$Q$146</definedName>
    <definedName name="retail" hidden="1">{#N/A,#N/A,FALSE,"Loans";#N/A,#N/A,FALSE,"Program Costs";#N/A,#N/A,FALSE,"Measures";#N/A,#N/A,FALSE,"Net Lost Rev";#N/A,#N/A,FALSE,"Incentive"}</definedName>
    <definedName name="retail_CC" localSheetId="4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localSheetId="1" hidden="1">{#N/A,#N/A,FALSE,"Loans";#N/A,#N/A,FALSE,"Program Costs";#N/A,#N/A,FALSE,"Measures";#N/A,#N/A,FALSE,"Net Lost Rev";#N/A,#N/A,FALSE,"Incentive"}</definedName>
    <definedName name="retail_CC" localSheetId="2" hidden="1">{#N/A,#N/A,FALSE,"Loans";#N/A,#N/A,FALSE,"Program Costs";#N/A,#N/A,FALSE,"Measures";#N/A,#N/A,FALSE,"Net Lost Rev";#N/A,#N/A,FALSE,"Incentive"}</definedName>
    <definedName name="retail_CC" localSheetId="3" hidden="1">{#N/A,#N/A,FALSE,"Loans";#N/A,#N/A,FALSE,"Program Costs";#N/A,#N/A,FALSE,"Measures";#N/A,#N/A,FALSE,"Net Lost Rev";#N/A,#N/A,FALSE,"Incentive"}</definedName>
    <definedName name="retail_CC" localSheetId="6" hidden="1">{#N/A,#N/A,FALSE,"Loans";#N/A,#N/A,FALSE,"Program Costs";#N/A,#N/A,FALSE,"Measures";#N/A,#N/A,FALSE,"Net Lost Rev";#N/A,#N/A,FALSE,"Incentive"}</definedName>
    <definedName name="retail_CC" localSheetId="5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4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localSheetId="1" hidden="1">{#N/A,#N/A,FALSE,"Loans";#N/A,#N/A,FALSE,"Program Costs";#N/A,#N/A,FALSE,"Measures";#N/A,#N/A,FALSE,"Net Lost Rev";#N/A,#N/A,FALSE,"Incentive"}</definedName>
    <definedName name="retail_CC1" localSheetId="2" hidden="1">{#N/A,#N/A,FALSE,"Loans";#N/A,#N/A,FALSE,"Program Costs";#N/A,#N/A,FALSE,"Measures";#N/A,#N/A,FALSE,"Net Lost Rev";#N/A,#N/A,FALSE,"Incentive"}</definedName>
    <definedName name="retail_CC1" localSheetId="3" hidden="1">{#N/A,#N/A,FALSE,"Loans";#N/A,#N/A,FALSE,"Program Costs";#N/A,#N/A,FALSE,"Measures";#N/A,#N/A,FALSE,"Net Lost Rev";#N/A,#N/A,FALSE,"Incentive"}</definedName>
    <definedName name="retail_CC1" localSheetId="6" hidden="1">{#N/A,#N/A,FALSE,"Loans";#N/A,#N/A,FALSE,"Program Costs";#N/A,#N/A,FALSE,"Measures";#N/A,#N/A,FALSE,"Net Lost Rev";#N/A,#N/A,FALSE,"Incentive"}</definedName>
    <definedName name="retail_CC1" localSheetId="5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revision" hidden="1">1</definedName>
    <definedName name="SAPBEXsysID" hidden="1">"BWP"</definedName>
    <definedName name="SAPBEXwbID" hidden="1">"44KU92Q9LH2VK4DK86GZ93AXN"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hidden="1">{#N/A,#N/A,FALSE,"Actual";#N/A,#N/A,FALSE,"Normalized";#N/A,#N/A,FALSE,"Electric Actual";#N/A,#N/A,FALSE,"Electric Normalized"}</definedName>
    <definedName name="ss" hidden="1">{"PRINT",#N/A,TRUE,"APPA";"PRINT",#N/A,TRUE,"APS";"PRINT",#N/A,TRUE,"BHPL";"PRINT",#N/A,TRUE,"BHPL2";"PRINT",#N/A,TRUE,"CDWR";"PRINT",#N/A,TRUE,"EWEB";"PRINT",#N/A,TRUE,"LADWP";"PRINT",#N/A,TRUE,"NEVBASE"}</definedName>
    <definedName name="standard1" hidden="1">{"YTD-Total",#N/A,FALSE,"Provision"}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" localSheetId="3" hidden="1">[8]Inputs!#REF!</definedName>
    <definedName name="w" hidden="1">[8]Inputs!#REF!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dj._.Back_Up." hidden="1">{"Page 3.4.1",#N/A,FALSE,"Totals";"Page 3.4.2",#N/A,FALSE,"Totals"}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hidden="1">{#N/A,#N/A,FALSE,"cover";#N/A,#N/A,FALSE,"lead sheet";#N/A,#N/A,FALSE,"Adj backup";#N/A,#N/A,FALSE,"t Accounts"}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hidden="1">{"YTD-Total",#N/A,TRUE,"Provision";"YTD-Utility",#N/A,TRUE,"Prov Utility";"YTD-NonUtility",#N/A,TRUE,"Prov NonUtility"}</definedName>
    <definedName name="wrn.ConsolGrossGrp." hidden="1">{"Conol gross povision grouped",#N/A,FALSE,"Consol Gross";"Consol Gross Grouped",#N/A,FALSE,"Consol Gross"}</definedName>
    <definedName name="wrn.Exec._.Summary." hidden="1">{#N/A,#N/A,FALSE,"Output Ass";#N/A,#N/A,FALSE,"Sum Tot";#N/A,#N/A,FALSE,"Ex Sum Year";#N/A,#N/A,FALSE,"Sum Qtr"}</definedName>
    <definedName name="wrn.Factors._.Tab._.10." localSheetId="0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1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hidden="1">{"FullView",#N/A,FALSE,"Consltd-For contngcy"}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Open._.Issues._.Only." hidden="1">{"Open issues Only",#N/A,FALSE,"TIMELINE"}</definedName>
    <definedName name="wrn.OR._.Carrying._.Charge._.JV." localSheetId="4" hidden="1">{#N/A,#N/A,FALSE,"Loans";#N/A,#N/A,FALSE,"Program Costs";#N/A,#N/A,FALSE,"Measures";#N/A,#N/A,FALSE,"Net Lost Rev";#N/A,#N/A,FALSE,"Incentive"}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localSheetId="1" hidden="1">{#N/A,#N/A,FALSE,"Loans";#N/A,#N/A,FALSE,"Program Costs";#N/A,#N/A,FALSE,"Measures";#N/A,#N/A,FALSE,"Net Lost Rev";#N/A,#N/A,FALSE,"Incentive"}</definedName>
    <definedName name="wrn.OR._.Carrying._.Charge._.JV." localSheetId="2" hidden="1">{#N/A,#N/A,FALSE,"Loans";#N/A,#N/A,FALSE,"Program Costs";#N/A,#N/A,FALSE,"Measures";#N/A,#N/A,FALSE,"Net Lost Rev";#N/A,#N/A,FALSE,"Incentive"}</definedName>
    <definedName name="wrn.OR._.Carrying._.Charge._.JV." localSheetId="3" hidden="1">{#N/A,#N/A,FALSE,"Loans";#N/A,#N/A,FALSE,"Program Costs";#N/A,#N/A,FALSE,"Measures";#N/A,#N/A,FALSE,"Net Lost Rev";#N/A,#N/A,FALSE,"Incentive"}</definedName>
    <definedName name="wrn.OR._.Carrying._.Charge._.JV." localSheetId="6" hidden="1">{#N/A,#N/A,FALSE,"Loans";#N/A,#N/A,FALSE,"Program Costs";#N/A,#N/A,FALSE,"Measures";#N/A,#N/A,FALSE,"Net Lost Rev";#N/A,#N/A,FALSE,"Incentive"}</definedName>
    <definedName name="wrn.OR._.Carrying._.Charge._.JV." localSheetId="5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4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localSheetId="1" hidden="1">{#N/A,#N/A,FALSE,"Loans";#N/A,#N/A,FALSE,"Program Costs";#N/A,#N/A,FALSE,"Measures";#N/A,#N/A,FALSE,"Net Lost Rev";#N/A,#N/A,FALSE,"Incentive"}</definedName>
    <definedName name="wrn.OR._.Carrying._.Charge._.JV.1" localSheetId="2" hidden="1">{#N/A,#N/A,FALSE,"Loans";#N/A,#N/A,FALSE,"Program Costs";#N/A,#N/A,FALSE,"Measures";#N/A,#N/A,FALSE,"Net Lost Rev";#N/A,#N/A,FALSE,"Incentive"}</definedName>
    <definedName name="wrn.OR._.Carrying._.Charge._.JV.1" localSheetId="3" hidden="1">{#N/A,#N/A,FALSE,"Loans";#N/A,#N/A,FALSE,"Program Costs";#N/A,#N/A,FALSE,"Measures";#N/A,#N/A,FALSE,"Net Lost Rev";#N/A,#N/A,FALSE,"Incentive"}</definedName>
    <definedName name="wrn.OR._.Carrying._.Charge._.JV.1" localSheetId="6" hidden="1">{#N/A,#N/A,FALSE,"Loans";#N/A,#N/A,FALSE,"Program Costs";#N/A,#N/A,FALSE,"Measures";#N/A,#N/A,FALSE,"Net Lost Rev";#N/A,#N/A,FALSE,"Incentive"}</definedName>
    <definedName name="wrn.OR._.Carrying._.Charge._.JV.1" localSheetId="5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hidden="1">{#N/A,#N/A,FALSE,"Consltd-For contngcy";"PaymentView",#N/A,FALSE,"Consltd-For contngcy"}</definedName>
    <definedName name="wrn.PFSreconview." hidden="1">{"PFS recon view",#N/A,FALSE,"Hyperion Proof"}</definedName>
    <definedName name="wrn.PGHCreconview.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PMCoCodeView." hidden="1">{"PPM Co Code View",#N/A,FALSE,"Comp Codes"}</definedName>
    <definedName name="wrn.PPMreconview." hidden="1">{"PPM Recon View",#N/A,FALSE,"Hyperion Proof"}</definedName>
    <definedName name="wrn.ProofElectricOnly." hidden="1">{"Electric Only",#N/A,FALSE,"Hyperion Proof"}</definedName>
    <definedName name="wrn.ProofTotal." hidden="1">{"Proof Total",#N/A,FALSE,"Hyperion Proof"}</definedName>
    <definedName name="wrn.Reformat._.only." hidden="1">{#N/A,#N/A,FALSE,"Dec 1999 mapping"}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Utility._.Only." hidden="1">{"YTD-Utility",#N/A,FALSE,"Prov Utility"}</definedName>
    <definedName name="wrn.Summary." hidden="1">{#N/A,#N/A,FALSE,"Sum Qtr";#N/A,#N/A,FALSE,"Oper Sum";#N/A,#N/A,FALSE,"Land Sales";#N/A,#N/A,FALSE,"Finance";#N/A,#N/A,FALSE,"Oper Ass"}</definedName>
    <definedName name="wrn.Summary._.View." hidden="1">{#N/A,#N/A,FALSE,"Consltd-For contngcy"}</definedName>
    <definedName name="wrn.UK._.Conversion._.Only." hidden="1">{#N/A,#N/A,FALSE,"Dec 1999 UK Continuing Ops"}</definedName>
    <definedName name="wrn.YearEnd." localSheetId="0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1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y" localSheetId="0" hidden="1">#REF!</definedName>
    <definedName name="y" localSheetId="1" hidden="1">#REF!</definedName>
    <definedName name="y" localSheetId="2" hidden="1">#REF!</definedName>
    <definedName name="y" localSheetId="3" hidden="1">#REF!</definedName>
    <definedName name="y" localSheetId="6" hidden="1">#REF!</definedName>
    <definedName name="y" hidden="1">'[1]DSM Output'!$B$21:$B$23</definedName>
    <definedName name="z" localSheetId="0" hidden="1">#REF!</definedName>
    <definedName name="z" localSheetId="1" hidden="1">#REF!</definedName>
    <definedName name="z" localSheetId="2" hidden="1">#REF!</definedName>
    <definedName name="z" localSheetId="3" hidden="1">#REF!</definedName>
    <definedName name="z" localSheetId="6" hidden="1">#REF!</definedName>
    <definedName name="z" hidden="1">'[1]DSM Output'!$G$21:$G$23</definedName>
    <definedName name="Z_01844156_6462_4A28_9785_1A86F4D0C834_.wvu.PrintTitles" localSheetId="3" hidden="1">#REF!</definedName>
    <definedName name="Z_01844156_6462_4A28_9785_1A86F4D0C834_.wvu.PrintTitles" hidden="1">#REF!</definedName>
  </definedNames>
  <calcPr calcId="152511" iterate="1"/>
</workbook>
</file>

<file path=xl/calcChain.xml><?xml version="1.0" encoding="utf-8"?>
<calcChain xmlns="http://schemas.openxmlformats.org/spreadsheetml/2006/main">
  <c r="F28" i="3" l="1"/>
  <c r="R12" i="3"/>
  <c r="R11" i="3"/>
  <c r="T14" i="4" l="1"/>
  <c r="T33" i="4"/>
  <c r="AA47" i="24" l="1"/>
  <c r="AA45" i="24"/>
  <c r="AA38" i="24"/>
  <c r="AA37" i="24"/>
  <c r="AA36" i="24"/>
  <c r="AA35" i="24"/>
  <c r="AA34" i="24"/>
  <c r="AA28" i="24"/>
  <c r="AA27" i="24"/>
  <c r="AA26" i="24"/>
  <c r="AA25" i="24"/>
  <c r="AA24" i="24"/>
  <c r="AA22" i="24"/>
  <c r="AA16" i="24"/>
  <c r="B14" i="14" l="1"/>
  <c r="Q35" i="24"/>
  <c r="Q36" i="24"/>
  <c r="Q37" i="24"/>
  <c r="Q38" i="24"/>
  <c r="Q23" i="24"/>
  <c r="Q26" i="24"/>
  <c r="Q27" i="24"/>
  <c r="Q28" i="24"/>
  <c r="O34" i="24" l="1"/>
  <c r="O24" i="24"/>
  <c r="Q24" i="24" s="1"/>
  <c r="O25" i="24"/>
  <c r="Q25" i="24" s="1"/>
  <c r="O22" i="24"/>
  <c r="B10" i="14" l="1"/>
  <c r="Q22" i="24"/>
  <c r="B11" i="14"/>
  <c r="Q34" i="24"/>
  <c r="H134" i="25"/>
  <c r="N132" i="25"/>
  <c r="O132" i="25" s="1"/>
  <c r="H132" i="25"/>
  <c r="I132" i="25"/>
  <c r="H131" i="25"/>
  <c r="I131" i="25"/>
  <c r="H130" i="25"/>
  <c r="H128" i="25"/>
  <c r="I128" i="25"/>
  <c r="G126" i="25"/>
  <c r="G136" i="25" s="1"/>
  <c r="N125" i="25"/>
  <c r="O125" i="25" s="1"/>
  <c r="H125" i="25"/>
  <c r="I125" i="25" s="1"/>
  <c r="N124" i="25"/>
  <c r="O124" i="25" s="1"/>
  <c r="H124" i="25"/>
  <c r="I124" i="25" s="1"/>
  <c r="L38" i="24" s="1"/>
  <c r="I38" i="24"/>
  <c r="H123" i="25"/>
  <c r="I35" i="24"/>
  <c r="H122" i="25"/>
  <c r="I122" i="25"/>
  <c r="H121" i="25"/>
  <c r="I121" i="25"/>
  <c r="I37" i="24"/>
  <c r="N120" i="25"/>
  <c r="M126" i="25"/>
  <c r="M136" i="25" s="1"/>
  <c r="L126" i="25"/>
  <c r="H120" i="25"/>
  <c r="I120" i="25" s="1"/>
  <c r="I114" i="25"/>
  <c r="I112" i="25"/>
  <c r="I111" i="25"/>
  <c r="N110" i="25"/>
  <c r="O110" i="25" s="1"/>
  <c r="I110" i="25"/>
  <c r="N109" i="25"/>
  <c r="O109" i="25" s="1"/>
  <c r="I109" i="25"/>
  <c r="N108" i="25"/>
  <c r="O108" i="25" s="1"/>
  <c r="I108" i="25"/>
  <c r="I107" i="25"/>
  <c r="I106" i="25"/>
  <c r="I105" i="25"/>
  <c r="N103" i="25"/>
  <c r="O103" i="25" s="1"/>
  <c r="I103" i="25"/>
  <c r="L101" i="25"/>
  <c r="E101" i="25"/>
  <c r="E116" i="25" s="1"/>
  <c r="N100" i="25"/>
  <c r="O100" i="25"/>
  <c r="H100" i="25"/>
  <c r="F101" i="25"/>
  <c r="F116" i="25" s="1"/>
  <c r="M101" i="25"/>
  <c r="M116" i="25" s="1"/>
  <c r="G101" i="25"/>
  <c r="G116" i="25" s="1"/>
  <c r="H93" i="25"/>
  <c r="H91" i="25"/>
  <c r="I91" i="25"/>
  <c r="H90" i="25"/>
  <c r="I90" i="25" s="1"/>
  <c r="N89" i="25"/>
  <c r="O89" i="25" s="1"/>
  <c r="H89" i="25"/>
  <c r="I89" i="25"/>
  <c r="H88" i="25"/>
  <c r="H87" i="25"/>
  <c r="I87" i="25"/>
  <c r="H86" i="25"/>
  <c r="I86" i="25" s="1"/>
  <c r="H84" i="25"/>
  <c r="I84" i="25"/>
  <c r="F82" i="25"/>
  <c r="M82" i="25"/>
  <c r="L82" i="25"/>
  <c r="K82" i="25"/>
  <c r="J82" i="25"/>
  <c r="H81" i="25"/>
  <c r="E82" i="25"/>
  <c r="J79" i="25"/>
  <c r="G79" i="25"/>
  <c r="N78" i="25"/>
  <c r="O78" i="25" s="1"/>
  <c r="H78" i="25"/>
  <c r="I78" i="25"/>
  <c r="O77" i="25"/>
  <c r="N77" i="25"/>
  <c r="H77" i="25"/>
  <c r="I77" i="25" s="1"/>
  <c r="M79" i="25"/>
  <c r="H76" i="25"/>
  <c r="H79" i="25" s="1"/>
  <c r="M74" i="25"/>
  <c r="L74" i="25"/>
  <c r="N73" i="25"/>
  <c r="J74" i="25"/>
  <c r="I73" i="25"/>
  <c r="I74" i="25" s="1"/>
  <c r="H73" i="25"/>
  <c r="F74" i="25"/>
  <c r="E74" i="25"/>
  <c r="H71" i="25"/>
  <c r="G71" i="25"/>
  <c r="H70" i="25"/>
  <c r="I70" i="25"/>
  <c r="H69" i="25"/>
  <c r="I69" i="25"/>
  <c r="M71" i="25"/>
  <c r="L71" i="25"/>
  <c r="K71" i="25"/>
  <c r="J71" i="25"/>
  <c r="H68" i="25"/>
  <c r="E71" i="25"/>
  <c r="H63" i="25"/>
  <c r="N61" i="25"/>
  <c r="O61" i="25" s="1"/>
  <c r="H61" i="25"/>
  <c r="I61" i="25"/>
  <c r="N60" i="25"/>
  <c r="O60" i="25" s="1"/>
  <c r="H60" i="25"/>
  <c r="H59" i="25"/>
  <c r="I59" i="25" s="1"/>
  <c r="N58" i="25"/>
  <c r="O58" i="25" s="1"/>
  <c r="H58" i="25"/>
  <c r="I58" i="25" s="1"/>
  <c r="N57" i="25"/>
  <c r="O57" i="25" s="1"/>
  <c r="H57" i="25"/>
  <c r="I57" i="25" s="1"/>
  <c r="H56" i="25"/>
  <c r="H54" i="25"/>
  <c r="I54" i="25"/>
  <c r="G52" i="25"/>
  <c r="H51" i="25"/>
  <c r="I51" i="25"/>
  <c r="L28" i="24" s="1"/>
  <c r="I28" i="24"/>
  <c r="M52" i="25"/>
  <c r="N50" i="25"/>
  <c r="J52" i="25"/>
  <c r="H50" i="25"/>
  <c r="I50" i="25" s="1"/>
  <c r="I52" i="25" s="1"/>
  <c r="F52" i="25"/>
  <c r="E52" i="25"/>
  <c r="G48" i="25"/>
  <c r="M48" i="25"/>
  <c r="L48" i="25"/>
  <c r="K48" i="25"/>
  <c r="J48" i="25"/>
  <c r="H47" i="25"/>
  <c r="I47" i="25" s="1"/>
  <c r="I48" i="25" s="1"/>
  <c r="F48" i="25"/>
  <c r="E48" i="25"/>
  <c r="M45" i="25"/>
  <c r="G45" i="25"/>
  <c r="F45" i="25"/>
  <c r="L45" i="25"/>
  <c r="K45" i="25"/>
  <c r="J45" i="25"/>
  <c r="H44" i="25"/>
  <c r="E45" i="25"/>
  <c r="I24" i="24" s="1"/>
  <c r="L42" i="25"/>
  <c r="H41" i="25"/>
  <c r="H40" i="25"/>
  <c r="I40" i="25"/>
  <c r="M42" i="25"/>
  <c r="H39" i="25"/>
  <c r="I39" i="25" s="1"/>
  <c r="E42" i="25"/>
  <c r="I22" i="24" s="1"/>
  <c r="H34" i="25"/>
  <c r="I34" i="25"/>
  <c r="H32" i="25"/>
  <c r="N31" i="25"/>
  <c r="O31" i="25" s="1"/>
  <c r="H31" i="25"/>
  <c r="H30" i="25"/>
  <c r="I30" i="25"/>
  <c r="N29" i="25"/>
  <c r="O29" i="25" s="1"/>
  <c r="I29" i="25"/>
  <c r="H29" i="25"/>
  <c r="N28" i="25"/>
  <c r="O28" i="25" s="1"/>
  <c r="H28" i="25"/>
  <c r="I28" i="25" s="1"/>
  <c r="H27" i="25"/>
  <c r="I27" i="25" s="1"/>
  <c r="N25" i="25"/>
  <c r="H25" i="25"/>
  <c r="I25" i="25"/>
  <c r="G23" i="25"/>
  <c r="M23" i="25"/>
  <c r="K23" i="25"/>
  <c r="J23" i="25"/>
  <c r="H22" i="25"/>
  <c r="H23" i="25" s="1"/>
  <c r="F23" i="25"/>
  <c r="E23" i="25"/>
  <c r="N19" i="25"/>
  <c r="O19" i="25" s="1"/>
  <c r="I19" i="25"/>
  <c r="H19" i="25"/>
  <c r="N18" i="25"/>
  <c r="O18" i="25" s="1"/>
  <c r="H18" i="25"/>
  <c r="I18" i="25" s="1"/>
  <c r="N17" i="25"/>
  <c r="O17" i="25" s="1"/>
  <c r="H17" i="25"/>
  <c r="N16" i="25"/>
  <c r="O16" i="25" s="1"/>
  <c r="H16" i="25"/>
  <c r="I16" i="25" s="1"/>
  <c r="N15" i="25"/>
  <c r="H15" i="25"/>
  <c r="H14" i="25"/>
  <c r="I14" i="25" s="1"/>
  <c r="H13" i="25"/>
  <c r="I13" i="25" s="1"/>
  <c r="F20" i="25"/>
  <c r="F36" i="25" s="1"/>
  <c r="E20" i="25"/>
  <c r="I16" i="24" s="1"/>
  <c r="I19" i="24" s="1"/>
  <c r="AC45" i="24"/>
  <c r="N41" i="24"/>
  <c r="K41" i="24"/>
  <c r="H41" i="24"/>
  <c r="H43" i="24" s="1"/>
  <c r="H49" i="24" s="1"/>
  <c r="Y38" i="24"/>
  <c r="AE37" i="24"/>
  <c r="AF37" i="24" s="1"/>
  <c r="Y37" i="24"/>
  <c r="Y36" i="24"/>
  <c r="AE36" i="24" s="1"/>
  <c r="AE35" i="24"/>
  <c r="Y35" i="24"/>
  <c r="Y34" i="24"/>
  <c r="Y41" i="24" s="1"/>
  <c r="O41" i="24"/>
  <c r="N31" i="24"/>
  <c r="K31" i="24"/>
  <c r="H31" i="24"/>
  <c r="Y28" i="24"/>
  <c r="AE27" i="24"/>
  <c r="Y27" i="24"/>
  <c r="AE26" i="24"/>
  <c r="Y26" i="24"/>
  <c r="Y25" i="24"/>
  <c r="AE24" i="24"/>
  <c r="Y24" i="24"/>
  <c r="Y23" i="24"/>
  <c r="Y22" i="24"/>
  <c r="Y31" i="24" s="1"/>
  <c r="O31" i="24"/>
  <c r="AA19" i="24"/>
  <c r="N19" i="24"/>
  <c r="K19" i="24"/>
  <c r="H19" i="24"/>
  <c r="B19" i="24"/>
  <c r="B22" i="24" s="1"/>
  <c r="Y16" i="24"/>
  <c r="Y19" i="24" s="1"/>
  <c r="H36" i="23"/>
  <c r="J34" i="23"/>
  <c r="J33" i="23"/>
  <c r="J32" i="23"/>
  <c r="J31" i="23"/>
  <c r="J30" i="23"/>
  <c r="J29" i="23"/>
  <c r="J28" i="23"/>
  <c r="J27" i="23"/>
  <c r="J26" i="23"/>
  <c r="J25" i="23"/>
  <c r="J24" i="23"/>
  <c r="J23" i="23"/>
  <c r="J22" i="23"/>
  <c r="J21" i="23"/>
  <c r="J20" i="23"/>
  <c r="J19" i="23"/>
  <c r="J18" i="23"/>
  <c r="J17" i="23"/>
  <c r="J16" i="23"/>
  <c r="J15" i="23"/>
  <c r="J14" i="23"/>
  <c r="J13" i="23"/>
  <c r="J12" i="23"/>
  <c r="J11" i="23"/>
  <c r="J10" i="23"/>
  <c r="J9" i="23"/>
  <c r="J8" i="23"/>
  <c r="J7" i="23"/>
  <c r="J6" i="23"/>
  <c r="J5" i="23"/>
  <c r="E126" i="25" l="1"/>
  <c r="E136" i="25" s="1"/>
  <c r="I36" i="24"/>
  <c r="I15" i="25"/>
  <c r="N30" i="25"/>
  <c r="O30" i="25" s="1"/>
  <c r="G42" i="25"/>
  <c r="G65" i="25" s="1"/>
  <c r="K52" i="25"/>
  <c r="N59" i="25"/>
  <c r="O59" i="25" s="1"/>
  <c r="K74" i="25"/>
  <c r="N86" i="25"/>
  <c r="O86" i="25" s="1"/>
  <c r="N87" i="25"/>
  <c r="O87" i="25" s="1"/>
  <c r="N105" i="25"/>
  <c r="O105" i="25" s="1"/>
  <c r="N112" i="25"/>
  <c r="O112" i="25" s="1"/>
  <c r="I130" i="25"/>
  <c r="I134" i="25"/>
  <c r="O15" i="25"/>
  <c r="N22" i="25"/>
  <c r="N23" i="25" s="1"/>
  <c r="F42" i="25"/>
  <c r="F65" i="25" s="1"/>
  <c r="I56" i="25"/>
  <c r="F71" i="25"/>
  <c r="F79" i="25"/>
  <c r="I93" i="25"/>
  <c r="H99" i="25"/>
  <c r="I100" i="25"/>
  <c r="F126" i="25"/>
  <c r="F136" i="25" s="1"/>
  <c r="L37" i="24"/>
  <c r="AN37" i="24" s="1"/>
  <c r="I123" i="25"/>
  <c r="L35" i="24" s="1"/>
  <c r="AN35" i="24" s="1"/>
  <c r="N130" i="25"/>
  <c r="O130" i="25" s="1"/>
  <c r="N131" i="25"/>
  <c r="O131" i="25" s="1"/>
  <c r="N134" i="25"/>
  <c r="O134" i="25" s="1"/>
  <c r="G95" i="25"/>
  <c r="I32" i="25"/>
  <c r="I27" i="24"/>
  <c r="L52" i="25"/>
  <c r="L65" i="25" s="1"/>
  <c r="I76" i="25"/>
  <c r="L26" i="24" s="1"/>
  <c r="N93" i="25"/>
  <c r="O93" i="25" s="1"/>
  <c r="J101" i="25"/>
  <c r="J116" i="25" s="1"/>
  <c r="J126" i="25"/>
  <c r="J136" i="25" s="1"/>
  <c r="N123" i="25"/>
  <c r="O123" i="25" s="1"/>
  <c r="N84" i="25"/>
  <c r="O84" i="25" s="1"/>
  <c r="L116" i="25"/>
  <c r="N111" i="25"/>
  <c r="O111" i="25" s="1"/>
  <c r="L36" i="24"/>
  <c r="AN36" i="24" s="1"/>
  <c r="K20" i="25"/>
  <c r="K36" i="25" s="1"/>
  <c r="L20" i="25"/>
  <c r="L36" i="25" s="1"/>
  <c r="N14" i="25"/>
  <c r="O14" i="25" s="1"/>
  <c r="I34" i="24"/>
  <c r="I41" i="24" s="1"/>
  <c r="I31" i="25"/>
  <c r="J42" i="25"/>
  <c r="J65" i="25" s="1"/>
  <c r="N41" i="25"/>
  <c r="O41" i="25" s="1"/>
  <c r="H48" i="25"/>
  <c r="I60" i="25"/>
  <c r="I63" i="25"/>
  <c r="I68" i="25"/>
  <c r="I71" i="25" s="1"/>
  <c r="I95" i="25" s="1"/>
  <c r="I81" i="25"/>
  <c r="I82" i="25" s="1"/>
  <c r="I88" i="25"/>
  <c r="N90" i="25"/>
  <c r="O90" i="25" s="1"/>
  <c r="N91" i="25"/>
  <c r="O91" i="25" s="1"/>
  <c r="N99" i="25"/>
  <c r="N107" i="25"/>
  <c r="O107" i="25" s="1"/>
  <c r="K126" i="25"/>
  <c r="K136" i="25" s="1"/>
  <c r="N121" i="25"/>
  <c r="O121" i="25" s="1"/>
  <c r="N122" i="25"/>
  <c r="O122" i="25" s="1"/>
  <c r="N128" i="25"/>
  <c r="O128" i="25" s="1"/>
  <c r="E79" i="25"/>
  <c r="I26" i="24"/>
  <c r="E95" i="25"/>
  <c r="N27" i="25"/>
  <c r="O27" i="25" s="1"/>
  <c r="M20" i="25"/>
  <c r="I17" i="25"/>
  <c r="N32" i="25"/>
  <c r="O32" i="25" s="1"/>
  <c r="N34" i="25"/>
  <c r="O34" i="25" s="1"/>
  <c r="N39" i="25"/>
  <c r="N40" i="25"/>
  <c r="O40" i="25" s="1"/>
  <c r="N54" i="25"/>
  <c r="O54" i="25" s="1"/>
  <c r="N56" i="25"/>
  <c r="O56" i="25" s="1"/>
  <c r="J95" i="25"/>
  <c r="N76" i="25"/>
  <c r="O76" i="25" s="1"/>
  <c r="O79" i="25" s="1"/>
  <c r="N114" i="25"/>
  <c r="O114" i="25" s="1"/>
  <c r="L136" i="25"/>
  <c r="J20" i="25"/>
  <c r="J36" i="25" s="1"/>
  <c r="O25" i="25"/>
  <c r="E36" i="25"/>
  <c r="L27" i="24"/>
  <c r="N63" i="25"/>
  <c r="O63" i="25" s="1"/>
  <c r="N69" i="25"/>
  <c r="O69" i="25" s="1"/>
  <c r="N70" i="25"/>
  <c r="O70" i="25" s="1"/>
  <c r="L79" i="25"/>
  <c r="L95" i="25" s="1"/>
  <c r="N81" i="25"/>
  <c r="N88" i="25"/>
  <c r="O88" i="25" s="1"/>
  <c r="N106" i="25"/>
  <c r="O106" i="25" s="1"/>
  <c r="AN26" i="24"/>
  <c r="AE28" i="24"/>
  <c r="AF28" i="24" s="1"/>
  <c r="Q41" i="24"/>
  <c r="AE16" i="24"/>
  <c r="AF16" i="24" s="1"/>
  <c r="AE23" i="24"/>
  <c r="K43" i="24"/>
  <c r="K49" i="24" s="1"/>
  <c r="AA31" i="24"/>
  <c r="N43" i="24"/>
  <c r="N49" i="24" s="1"/>
  <c r="H95" i="25"/>
  <c r="I79" i="25"/>
  <c r="O99" i="25"/>
  <c r="O101" i="25" s="1"/>
  <c r="N101" i="25"/>
  <c r="M36" i="25"/>
  <c r="O39" i="25"/>
  <c r="N42" i="25"/>
  <c r="N74" i="25"/>
  <c r="O73" i="25"/>
  <c r="O74" i="25" s="1"/>
  <c r="N82" i="25"/>
  <c r="O81" i="25"/>
  <c r="O82" i="25" s="1"/>
  <c r="M65" i="25"/>
  <c r="N126" i="25"/>
  <c r="H45" i="25"/>
  <c r="I44" i="25"/>
  <c r="I45" i="25" s="1"/>
  <c r="L24" i="24" s="1"/>
  <c r="E65" i="25"/>
  <c r="M95" i="25"/>
  <c r="I20" i="25"/>
  <c r="L16" i="24" s="1"/>
  <c r="AN16" i="24" s="1"/>
  <c r="O22" i="25"/>
  <c r="O23" i="25" s="1"/>
  <c r="N13" i="25"/>
  <c r="K42" i="25"/>
  <c r="K65" i="25" s="1"/>
  <c r="H52" i="25"/>
  <c r="K101" i="25"/>
  <c r="K116" i="25" s="1"/>
  <c r="H126" i="25"/>
  <c r="H136" i="25" s="1"/>
  <c r="G20" i="25"/>
  <c r="G36" i="25" s="1"/>
  <c r="G139" i="25" s="1"/>
  <c r="O50" i="25"/>
  <c r="N68" i="25"/>
  <c r="K79" i="25"/>
  <c r="O120" i="25"/>
  <c r="H20" i="25"/>
  <c r="H36" i="25" s="1"/>
  <c r="N51" i="25"/>
  <c r="O51" i="25" s="1"/>
  <c r="N47" i="25"/>
  <c r="I41" i="25"/>
  <c r="I42" i="25" s="1"/>
  <c r="L23" i="25"/>
  <c r="H42" i="25"/>
  <c r="N44" i="25"/>
  <c r="I22" i="25"/>
  <c r="AF35" i="24"/>
  <c r="AF26" i="24"/>
  <c r="Y43" i="24"/>
  <c r="Y49" i="24" s="1"/>
  <c r="AF36" i="24"/>
  <c r="AF24" i="24"/>
  <c r="AF23" i="24" s="1"/>
  <c r="AF27" i="24"/>
  <c r="AE25" i="24"/>
  <c r="AN28" i="24"/>
  <c r="AE34" i="24"/>
  <c r="AE38" i="24"/>
  <c r="AN38" i="24"/>
  <c r="AE22" i="24"/>
  <c r="B23" i="24"/>
  <c r="Q31" i="24"/>
  <c r="AN27" i="24"/>
  <c r="AN25" i="24"/>
  <c r="AN24" i="24"/>
  <c r="AA41" i="24"/>
  <c r="I31" i="24" l="1"/>
  <c r="I43" i="24" s="1"/>
  <c r="I49" i="24" s="1"/>
  <c r="L139" i="25"/>
  <c r="L19" i="24"/>
  <c r="AN19" i="24" s="1"/>
  <c r="O126" i="25"/>
  <c r="O136" i="25" s="1"/>
  <c r="E139" i="25"/>
  <c r="O16" i="24"/>
  <c r="O19" i="24" s="1"/>
  <c r="K95" i="25"/>
  <c r="K139" i="25" s="1"/>
  <c r="N79" i="25"/>
  <c r="H101" i="25"/>
  <c r="H116" i="25" s="1"/>
  <c r="I99" i="25"/>
  <c r="I101" i="25" s="1"/>
  <c r="I116" i="25" s="1"/>
  <c r="N116" i="25"/>
  <c r="O116" i="25"/>
  <c r="I23" i="25"/>
  <c r="L34" i="24"/>
  <c r="H65" i="25"/>
  <c r="N136" i="25"/>
  <c r="I65" i="25"/>
  <c r="L22" i="24"/>
  <c r="O42" i="25"/>
  <c r="J139" i="25"/>
  <c r="I126" i="25"/>
  <c r="I136" i="25" s="1"/>
  <c r="F95" i="25"/>
  <c r="F139" i="25" s="1"/>
  <c r="AE19" i="24"/>
  <c r="AF19" i="24" s="1"/>
  <c r="O44" i="25"/>
  <c r="O45" i="25" s="1"/>
  <c r="N45" i="25"/>
  <c r="N20" i="25"/>
  <c r="N36" i="25" s="1"/>
  <c r="O13" i="25"/>
  <c r="O20" i="25" s="1"/>
  <c r="O36" i="25" s="1"/>
  <c r="N71" i="25"/>
  <c r="N95" i="25" s="1"/>
  <c r="O68" i="25"/>
  <c r="O71" i="25" s="1"/>
  <c r="O95" i="25" s="1"/>
  <c r="M139" i="25"/>
  <c r="O52" i="25"/>
  <c r="N48" i="25"/>
  <c r="O47" i="25"/>
  <c r="O48" i="25" s="1"/>
  <c r="I36" i="25"/>
  <c r="H139" i="25"/>
  <c r="N52" i="25"/>
  <c r="AF34" i="24"/>
  <c r="AE41" i="24"/>
  <c r="AA43" i="24"/>
  <c r="AA49" i="24" s="1"/>
  <c r="B24" i="24"/>
  <c r="AE31" i="24"/>
  <c r="AF22" i="24"/>
  <c r="AF38" i="24"/>
  <c r="AF25" i="24"/>
  <c r="O43" i="24" l="1"/>
  <c r="O49" i="24" s="1"/>
  <c r="U53" i="24" s="1"/>
  <c r="AN34" i="24"/>
  <c r="L41" i="24"/>
  <c r="Q16" i="24"/>
  <c r="Q19" i="24" s="1"/>
  <c r="Q43" i="24" s="1"/>
  <c r="Q49" i="24" s="1"/>
  <c r="B9" i="14"/>
  <c r="I139" i="25"/>
  <c r="N65" i="25"/>
  <c r="AN22" i="24"/>
  <c r="L31" i="24"/>
  <c r="AN31" i="24" s="1"/>
  <c r="O65" i="25"/>
  <c r="O139" i="25" s="1"/>
  <c r="N139" i="25"/>
  <c r="AE43" i="24"/>
  <c r="AF41" i="24"/>
  <c r="AL37" i="24"/>
  <c r="AG37" i="24" s="1"/>
  <c r="AL24" i="24"/>
  <c r="AL25" i="24"/>
  <c r="AG25" i="24" s="1"/>
  <c r="AL16" i="24"/>
  <c r="AG16" i="24" s="1"/>
  <c r="AL35" i="24"/>
  <c r="AG35" i="24" s="1"/>
  <c r="AL26" i="24"/>
  <c r="AG26" i="24" s="1"/>
  <c r="AL34" i="24"/>
  <c r="AG34" i="24" s="1"/>
  <c r="AL22" i="24"/>
  <c r="AG22" i="24" s="1"/>
  <c r="AL38" i="24"/>
  <c r="AG38" i="24" s="1"/>
  <c r="AL36" i="24"/>
  <c r="AG36" i="24" s="1"/>
  <c r="AL27" i="24"/>
  <c r="AG27" i="24" s="1"/>
  <c r="AL28" i="24"/>
  <c r="AG28" i="24" s="1"/>
  <c r="B25" i="24"/>
  <c r="AF31" i="24"/>
  <c r="S16" i="24" l="1"/>
  <c r="S37" i="24"/>
  <c r="U37" i="24" s="1"/>
  <c r="W37" i="24" s="1"/>
  <c r="S27" i="24"/>
  <c r="U27" i="24" s="1"/>
  <c r="W27" i="24" s="1"/>
  <c r="S23" i="24"/>
  <c r="U23" i="24" s="1"/>
  <c r="S35" i="24"/>
  <c r="U35" i="24" s="1"/>
  <c r="W35" i="24" s="1"/>
  <c r="S25" i="24"/>
  <c r="U25" i="24" s="1"/>
  <c r="W25" i="24" s="1"/>
  <c r="S24" i="24"/>
  <c r="U24" i="24" s="1"/>
  <c r="W24" i="24" s="1"/>
  <c r="S26" i="24"/>
  <c r="U26" i="24" s="1"/>
  <c r="W26" i="24" s="1"/>
  <c r="S22" i="24"/>
  <c r="U22" i="24" s="1"/>
  <c r="S34" i="24"/>
  <c r="U34" i="24" s="1"/>
  <c r="S28" i="24"/>
  <c r="U28" i="24" s="1"/>
  <c r="W28" i="24" s="1"/>
  <c r="S38" i="24"/>
  <c r="U38" i="24" s="1"/>
  <c r="W38" i="24" s="1"/>
  <c r="S36" i="24"/>
  <c r="U36" i="24" s="1"/>
  <c r="W36" i="24" s="1"/>
  <c r="AN41" i="24"/>
  <c r="L43" i="24"/>
  <c r="B26" i="24"/>
  <c r="B27" i="24" s="1"/>
  <c r="B28" i="24" s="1"/>
  <c r="AH26" i="24"/>
  <c r="AC26" i="24"/>
  <c r="AI26" i="24"/>
  <c r="AJ26" i="24" s="1"/>
  <c r="AH34" i="24"/>
  <c r="AG41" i="24"/>
  <c r="AC34" i="24"/>
  <c r="AI34" i="24"/>
  <c r="AJ34" i="24" s="1"/>
  <c r="AH35" i="24"/>
  <c r="AC35" i="24"/>
  <c r="AI35" i="24"/>
  <c r="AJ35" i="24" s="1"/>
  <c r="AH27" i="24"/>
  <c r="AI27" i="24"/>
  <c r="AJ27" i="24" s="1"/>
  <c r="AC27" i="24"/>
  <c r="AH25" i="24"/>
  <c r="AC25" i="24"/>
  <c r="AI25" i="24"/>
  <c r="AJ25" i="24" s="1"/>
  <c r="AH36" i="24"/>
  <c r="AC36" i="24"/>
  <c r="AI36" i="24"/>
  <c r="AJ36" i="24" s="1"/>
  <c r="AG24" i="24"/>
  <c r="AL23" i="24"/>
  <c r="AG23" i="24" s="1"/>
  <c r="AF43" i="24"/>
  <c r="AE49" i="24"/>
  <c r="AF49" i="24" s="1"/>
  <c r="AH38" i="24"/>
  <c r="AC38" i="24"/>
  <c r="AI38" i="24"/>
  <c r="AJ38" i="24" s="1"/>
  <c r="AC37" i="24"/>
  <c r="AH37" i="24"/>
  <c r="AI37" i="24"/>
  <c r="AJ37" i="24" s="1"/>
  <c r="AH28" i="24"/>
  <c r="AI28" i="24"/>
  <c r="AJ28" i="24" s="1"/>
  <c r="AC28" i="24"/>
  <c r="AH16" i="24"/>
  <c r="AC16" i="24"/>
  <c r="AC19" i="24" s="1"/>
  <c r="AG19" i="24"/>
  <c r="AI16" i="24"/>
  <c r="AJ16" i="24" s="1"/>
  <c r="AH22" i="24"/>
  <c r="AC22" i="24"/>
  <c r="AI22" i="24"/>
  <c r="AJ22" i="24" s="1"/>
  <c r="S41" i="24" l="1"/>
  <c r="L49" i="24"/>
  <c r="AN49" i="24" s="1"/>
  <c r="AL43" i="24"/>
  <c r="AN43" i="24"/>
  <c r="U16" i="24"/>
  <c r="W16" i="24" s="1"/>
  <c r="S19" i="24"/>
  <c r="U19" i="24" s="1"/>
  <c r="W19" i="24" s="1"/>
  <c r="B31" i="24"/>
  <c r="B34" i="24" s="1"/>
  <c r="AI23" i="24"/>
  <c r="AC23" i="24"/>
  <c r="AG31" i="24"/>
  <c r="AH24" i="24"/>
  <c r="AH23" i="24" s="1"/>
  <c r="AJ23" i="24" s="1"/>
  <c r="AI24" i="24"/>
  <c r="AJ24" i="24" s="1"/>
  <c r="AC24" i="24"/>
  <c r="AC41" i="24"/>
  <c r="AH41" i="24"/>
  <c r="AI41" i="24"/>
  <c r="AJ41" i="24" s="1"/>
  <c r="AH19" i="24"/>
  <c r="AI19" i="24"/>
  <c r="AJ19" i="24" s="1"/>
  <c r="U41" i="24"/>
  <c r="W34" i="24"/>
  <c r="U31" i="24"/>
  <c r="W31" i="24" s="1"/>
  <c r="W22" i="24"/>
  <c r="AC31" i="24" l="1"/>
  <c r="AC43" i="24" s="1"/>
  <c r="AC49" i="24" s="1"/>
  <c r="AH31" i="24"/>
  <c r="AI31" i="24"/>
  <c r="W41" i="24"/>
  <c r="U43" i="24"/>
  <c r="AG43" i="24"/>
  <c r="B35" i="24"/>
  <c r="B36" i="24" s="1"/>
  <c r="B37" i="24" l="1"/>
  <c r="B38" i="24" s="1"/>
  <c r="B41" i="24" s="1"/>
  <c r="B43" i="24" s="1"/>
  <c r="AG49" i="24"/>
  <c r="AH49" i="24" s="1"/>
  <c r="AH43" i="24"/>
  <c r="AI43" i="24"/>
  <c r="AJ43" i="24" s="1"/>
  <c r="U49" i="24"/>
  <c r="W43" i="24"/>
  <c r="W49" i="24" l="1"/>
  <c r="S31" i="24"/>
  <c r="S43" i="24" s="1"/>
  <c r="S49" i="24" s="1"/>
  <c r="D61" i="21" l="1"/>
  <c r="C61" i="21"/>
  <c r="F59" i="21"/>
  <c r="F58" i="21"/>
  <c r="F57" i="21"/>
  <c r="J42" i="21"/>
  <c r="J40" i="21"/>
  <c r="J38" i="21"/>
  <c r="J44" i="21" s="1"/>
  <c r="J36" i="21"/>
  <c r="J30" i="21"/>
  <c r="G30" i="21"/>
  <c r="G44" i="21" s="1"/>
  <c r="F30" i="21"/>
  <c r="H30" i="21" s="1"/>
  <c r="I30" i="21" s="1"/>
  <c r="D30" i="21"/>
  <c r="D44" i="21" s="1"/>
  <c r="F28" i="21"/>
  <c r="C28" i="21"/>
  <c r="C42" i="21" s="1"/>
  <c r="F26" i="21"/>
  <c r="C26" i="21"/>
  <c r="F24" i="21"/>
  <c r="F31" i="21" s="1"/>
  <c r="C24" i="21"/>
  <c r="C30" i="21" s="1"/>
  <c r="N16" i="21"/>
  <c r="J16" i="21"/>
  <c r="H16" i="21"/>
  <c r="F14" i="21"/>
  <c r="C14" i="21"/>
  <c r="F12" i="21"/>
  <c r="C12" i="21"/>
  <c r="C40" i="21" s="1"/>
  <c r="F10" i="21"/>
  <c r="F17" i="21" s="1"/>
  <c r="C10" i="21"/>
  <c r="C38" i="21" s="1"/>
  <c r="G42" i="21" l="1"/>
  <c r="C44" i="21"/>
  <c r="D42" i="21" s="1"/>
  <c r="G38" i="21"/>
  <c r="E44" i="21"/>
  <c r="H44" i="21"/>
  <c r="I44" i="21" s="1"/>
  <c r="F44" i="21"/>
  <c r="C16" i="21"/>
  <c r="E30" i="21"/>
  <c r="F61" i="21"/>
  <c r="G59" i="21" s="1"/>
  <c r="E42" i="21" l="1"/>
  <c r="G58" i="21"/>
  <c r="G57" i="21"/>
  <c r="G28" i="21"/>
  <c r="G14" i="21"/>
  <c r="D14" i="21"/>
  <c r="D28" i="21"/>
  <c r="E16" i="21"/>
  <c r="I16" i="21"/>
  <c r="G45" i="21"/>
  <c r="F40" i="21"/>
  <c r="F42" i="21"/>
  <c r="H42" i="21" s="1"/>
  <c r="F38" i="21"/>
  <c r="F45" i="21" s="1"/>
  <c r="D40" i="21"/>
  <c r="D38" i="21"/>
  <c r="G40" i="21"/>
  <c r="I42" i="21" l="1"/>
  <c r="K42" i="21"/>
  <c r="E40" i="21"/>
  <c r="H40" i="21"/>
  <c r="H38" i="21"/>
  <c r="D45" i="21"/>
  <c r="E38" i="21"/>
  <c r="H28" i="21"/>
  <c r="E28" i="21"/>
  <c r="E14" i="21"/>
  <c r="H14" i="21"/>
  <c r="G61" i="21"/>
  <c r="G10" i="21"/>
  <c r="G24" i="21"/>
  <c r="G31" i="21" s="1"/>
  <c r="D10" i="21"/>
  <c r="D24" i="21"/>
  <c r="G12" i="21"/>
  <c r="G26" i="21"/>
  <c r="D12" i="21"/>
  <c r="D26" i="21"/>
  <c r="H24" i="21" l="1"/>
  <c r="E24" i="21"/>
  <c r="D31" i="21"/>
  <c r="K28" i="21"/>
  <c r="I28" i="21"/>
  <c r="G17" i="21"/>
  <c r="K38" i="21"/>
  <c r="H45" i="21"/>
  <c r="I38" i="21"/>
  <c r="H10" i="21"/>
  <c r="D17" i="21"/>
  <c r="E10" i="21"/>
  <c r="H26" i="21"/>
  <c r="E26" i="21"/>
  <c r="K40" i="21"/>
  <c r="I40" i="21"/>
  <c r="H12" i="21"/>
  <c r="E12" i="21"/>
  <c r="N14" i="21"/>
  <c r="K14" i="21"/>
  <c r="I14" i="21"/>
  <c r="N42" i="21"/>
  <c r="L42" i="21"/>
  <c r="W42" i="21" l="1"/>
  <c r="U42" i="21"/>
  <c r="K26" i="21"/>
  <c r="I26" i="21"/>
  <c r="N40" i="21"/>
  <c r="L40" i="21"/>
  <c r="L38" i="21"/>
  <c r="K44" i="21"/>
  <c r="N44" i="21" s="1"/>
  <c r="N38" i="21"/>
  <c r="H17" i="21"/>
  <c r="N10" i="21"/>
  <c r="K10" i="21"/>
  <c r="I10" i="21"/>
  <c r="N12" i="21"/>
  <c r="K12" i="21"/>
  <c r="I12" i="21"/>
  <c r="K24" i="21"/>
  <c r="K30" i="21" s="1"/>
  <c r="I24" i="21"/>
  <c r="H31" i="21"/>
  <c r="L44" i="21" l="1"/>
  <c r="W38" i="21"/>
  <c r="U38" i="21"/>
  <c r="W40" i="21"/>
  <c r="U40" i="21"/>
  <c r="K16" i="21"/>
  <c r="W44" i="21" l="1"/>
  <c r="U44" i="21"/>
  <c r="B12" i="14" l="1"/>
  <c r="B16" i="14" s="1"/>
  <c r="B19" i="14" l="1"/>
  <c r="B20" i="14" s="1"/>
  <c r="B21" i="14" s="1"/>
  <c r="V26" i="4"/>
  <c r="T17" i="3"/>
  <c r="E33" i="4" l="1"/>
  <c r="E32" i="4"/>
  <c r="E31" i="4"/>
  <c r="E29" i="4"/>
  <c r="E28" i="4"/>
  <c r="E27" i="4"/>
  <c r="E25" i="4"/>
  <c r="E24" i="4"/>
  <c r="E23" i="4"/>
  <c r="V21" i="4"/>
  <c r="V20" i="4"/>
  <c r="E20" i="4"/>
  <c r="V19" i="4"/>
  <c r="E19" i="4"/>
  <c r="E18" i="4"/>
  <c r="T12" i="3"/>
  <c r="T11" i="3"/>
  <c r="T10" i="3"/>
  <c r="V14" i="4" l="1"/>
  <c r="G19" i="4"/>
  <c r="G20" i="4"/>
  <c r="I24" i="4"/>
  <c r="V17" i="4"/>
  <c r="I33" i="4"/>
  <c r="V18" i="4"/>
  <c r="D34" i="3"/>
  <c r="G18" i="4"/>
  <c r="I19" i="4"/>
  <c r="I23" i="4"/>
  <c r="G24" i="4"/>
  <c r="I25" i="4"/>
  <c r="G27" i="4"/>
  <c r="I28" i="4"/>
  <c r="I29" i="4"/>
  <c r="G31" i="4"/>
  <c r="I32" i="4"/>
  <c r="G33" i="4"/>
  <c r="I18" i="4"/>
  <c r="I20" i="4"/>
  <c r="G23" i="4"/>
  <c r="G25" i="4"/>
  <c r="I27" i="4"/>
  <c r="G28" i="4"/>
  <c r="G29" i="4"/>
  <c r="I31" i="4"/>
  <c r="G32" i="4"/>
  <c r="D13" i="3"/>
  <c r="D16" i="3"/>
  <c r="D18" i="3"/>
  <c r="D22" i="3"/>
  <c r="D24" i="3"/>
  <c r="D25" i="3"/>
  <c r="D28" i="3"/>
  <c r="D30" i="3"/>
  <c r="D33" i="3"/>
  <c r="D35" i="3"/>
  <c r="D12" i="3"/>
  <c r="D14" i="3"/>
  <c r="D17" i="3"/>
  <c r="D19" i="3"/>
  <c r="D21" i="3"/>
  <c r="D23" i="3"/>
  <c r="D27" i="3"/>
  <c r="D29" i="3"/>
  <c r="D31" i="3"/>
  <c r="M33" i="4" l="1"/>
  <c r="Q33" i="4" s="1"/>
  <c r="M31" i="4"/>
  <c r="Q31" i="4" s="1"/>
  <c r="M29" i="4"/>
  <c r="Q29" i="4" s="1"/>
  <c r="M32" i="4"/>
  <c r="Q32" i="4" s="1"/>
  <c r="M28" i="4"/>
  <c r="Q28" i="4" s="1"/>
  <c r="M27" i="4"/>
  <c r="Q27" i="4" s="1"/>
  <c r="M24" i="4"/>
  <c r="Q24" i="4" s="1"/>
  <c r="M23" i="4"/>
  <c r="Q23" i="4" s="1"/>
  <c r="M19" i="4"/>
  <c r="Q19" i="4" s="1"/>
  <c r="M18" i="4"/>
  <c r="M25" i="4"/>
  <c r="Q25" i="4" s="1"/>
  <c r="M20" i="4"/>
  <c r="Q20" i="4" s="1"/>
  <c r="Q18" i="4"/>
  <c r="K18" i="4" l="1"/>
  <c r="O18" i="4" s="1"/>
  <c r="K28" i="4" l="1"/>
  <c r="O28" i="4" s="1"/>
  <c r="K33" i="4"/>
  <c r="O33" i="4" s="1"/>
  <c r="K31" i="4"/>
  <c r="O31" i="4" s="1"/>
  <c r="K27" i="4"/>
  <c r="O27" i="4" s="1"/>
  <c r="K20" i="4"/>
  <c r="O20" i="4" s="1"/>
  <c r="K24" i="4"/>
  <c r="O24" i="4" s="1"/>
  <c r="K23" i="4"/>
  <c r="O23" i="4" s="1"/>
  <c r="K19" i="4"/>
  <c r="O19" i="4" s="1"/>
  <c r="K25" i="4"/>
  <c r="O25" i="4" s="1"/>
  <c r="K32" i="4"/>
  <c r="O32" i="4" s="1"/>
  <c r="K29" i="4"/>
  <c r="O29" i="4" s="1"/>
  <c r="F23" i="3"/>
  <c r="F22" i="3"/>
  <c r="F12" i="3"/>
  <c r="F35" i="3"/>
  <c r="F27" i="3"/>
  <c r="F31" i="3"/>
  <c r="F14" i="3"/>
  <c r="F19" i="3"/>
  <c r="F30" i="3"/>
  <c r="F18" i="3"/>
  <c r="F34" i="3"/>
  <c r="F16" i="3"/>
  <c r="F33" i="3"/>
  <c r="F24" i="3"/>
  <c r="F29" i="3"/>
  <c r="F21" i="3"/>
  <c r="F17" i="3"/>
  <c r="F25" i="3"/>
  <c r="F13" i="3"/>
  <c r="L13" i="3" l="1"/>
  <c r="J13" i="3"/>
  <c r="N13" i="3"/>
  <c r="N17" i="3"/>
  <c r="L17" i="3"/>
  <c r="J17" i="3"/>
  <c r="J29" i="3"/>
  <c r="N29" i="3"/>
  <c r="L29" i="3"/>
  <c r="L33" i="3"/>
  <c r="J33" i="3"/>
  <c r="N33" i="3"/>
  <c r="L28" i="3"/>
  <c r="J28" i="3"/>
  <c r="N28" i="3"/>
  <c r="L18" i="3"/>
  <c r="J18" i="3"/>
  <c r="N18" i="3"/>
  <c r="J19" i="3"/>
  <c r="N19" i="3"/>
  <c r="L19" i="3"/>
  <c r="N31" i="3"/>
  <c r="L31" i="3"/>
  <c r="J31" i="3"/>
  <c r="N35" i="3"/>
  <c r="L35" i="3"/>
  <c r="J35" i="3"/>
  <c r="L22" i="3"/>
  <c r="J22" i="3"/>
  <c r="N22" i="3"/>
  <c r="N25" i="3"/>
  <c r="L25" i="3"/>
  <c r="J25" i="3"/>
  <c r="N21" i="3"/>
  <c r="L21" i="3"/>
  <c r="J21" i="3"/>
  <c r="N24" i="3"/>
  <c r="L24" i="3"/>
  <c r="J24" i="3"/>
  <c r="N16" i="3"/>
  <c r="L16" i="3"/>
  <c r="J16" i="3"/>
  <c r="J34" i="3"/>
  <c r="N34" i="3"/>
  <c r="L34" i="3"/>
  <c r="N30" i="3"/>
  <c r="L30" i="3"/>
  <c r="J30" i="3"/>
  <c r="J14" i="3"/>
  <c r="N14" i="3"/>
  <c r="L14" i="3"/>
  <c r="N27" i="3"/>
  <c r="L27" i="3"/>
  <c r="J27" i="3"/>
  <c r="N12" i="3"/>
  <c r="L12" i="3"/>
  <c r="J12" i="3"/>
  <c r="J23" i="3"/>
  <c r="N23" i="3"/>
  <c r="L23" i="3"/>
</calcChain>
</file>

<file path=xl/sharedStrings.xml><?xml version="1.0" encoding="utf-8"?>
<sst xmlns="http://schemas.openxmlformats.org/spreadsheetml/2006/main" count="776" uniqueCount="327">
  <si>
    <t xml:space="preserve"> </t>
  </si>
  <si>
    <t>TABLE A. PRESENT AND PROPOSED RATES</t>
  </si>
  <si>
    <t>PACIFIC POWER &amp; LIGHT COMPANY</t>
  </si>
  <si>
    <t>ON REVENUES FROM ELECTRIC SALES TO ULTIMATE CONSUMERS</t>
  </si>
  <si>
    <t>IN WASHINGTON</t>
  </si>
  <si>
    <t>Actual</t>
  </si>
  <si>
    <t>Present</t>
  </si>
  <si>
    <t>Proposed</t>
  </si>
  <si>
    <t>Change</t>
  </si>
  <si>
    <t>Surcharge</t>
  </si>
  <si>
    <t>Curr.</t>
  </si>
  <si>
    <t>Avg.</t>
  </si>
  <si>
    <t>Base</t>
  </si>
  <si>
    <t>Net</t>
  </si>
  <si>
    <t>Line</t>
  </si>
  <si>
    <t>Sch.</t>
  </si>
  <si>
    <t>Cust.</t>
  </si>
  <si>
    <t>MWH</t>
  </si>
  <si>
    <t>Revenues</t>
  </si>
  <si>
    <t>Increase</t>
  </si>
  <si>
    <t>Rates</t>
  </si>
  <si>
    <t>No.</t>
  </si>
  <si>
    <t>Description</t>
  </si>
  <si>
    <t>($000)</t>
  </si>
  <si>
    <t>%</t>
  </si>
  <si>
    <t>(cents/kWh)</t>
  </si>
  <si>
    <t>kWh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</si>
  <si>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</si>
  <si>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</si>
  <si>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</si>
  <si>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</si>
  <si>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</si>
  <si>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</si>
  <si>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</si>
  <si>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</si>
  <si>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</si>
  <si>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</si>
  <si>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(7)/(5)</t>
  </si>
  <si>
    <t>(6/4)</t>
  </si>
  <si>
    <t>Residential</t>
  </si>
  <si>
    <t>Residential Service</t>
  </si>
  <si>
    <t xml:space="preserve">  Total Residential</t>
  </si>
  <si>
    <t>Commercial &amp; Industrial</t>
  </si>
  <si>
    <t>Small General Service</t>
  </si>
  <si>
    <t>Partial Requirements Service</t>
  </si>
  <si>
    <t>Large General Service &lt;1,000 kW</t>
  </si>
  <si>
    <t>Agricultural Pumping Service</t>
  </si>
  <si>
    <t>40</t>
  </si>
  <si>
    <t>Partial Requirements Service =&gt; 1,000 kW</t>
  </si>
  <si>
    <t>Large General Service =&gt; 1,000 kW</t>
  </si>
  <si>
    <t>Recreational Field Lighting</t>
  </si>
  <si>
    <t>54</t>
  </si>
  <si>
    <t xml:space="preserve">  Total Commercial &amp; Industrial</t>
  </si>
  <si>
    <t>Public Street Lighting</t>
  </si>
  <si>
    <t>Outdoor Area Lighting Service</t>
  </si>
  <si>
    <t>15</t>
  </si>
  <si>
    <t>Street Lighting Service</t>
  </si>
  <si>
    <t>51</t>
  </si>
  <si>
    <t xml:space="preserve">  Total Public Street Lighting</t>
  </si>
  <si>
    <t>Total AGA</t>
  </si>
  <si>
    <t>Total Sales to Ultimate Consumers</t>
  </si>
  <si>
    <t>Pacific Power &amp; Light Company</t>
  </si>
  <si>
    <t>Monthly Billing Comparison</t>
  </si>
  <si>
    <t>Schedule 16 - Residential Service</t>
  </si>
  <si>
    <r>
      <t xml:space="preserve">Monthly Billing </t>
    </r>
    <r>
      <rPr>
        <vertAlign val="superscript"/>
        <sz val="11"/>
        <rFont val="Times New Roman"/>
        <family val="1"/>
      </rPr>
      <t>1</t>
    </r>
  </si>
  <si>
    <t xml:space="preserve">Present </t>
  </si>
  <si>
    <t xml:space="preserve">Basic </t>
  </si>
  <si>
    <t>Energy</t>
  </si>
  <si>
    <t>Difference</t>
  </si>
  <si>
    <t>Present Price</t>
  </si>
  <si>
    <t>Proposed Price</t>
  </si>
  <si>
    <t>Schedule 16</t>
  </si>
  <si>
    <t>Charge</t>
  </si>
  <si>
    <r>
      <t xml:space="preserve">Charge </t>
    </r>
    <r>
      <rPr>
        <vertAlign val="superscript"/>
        <sz val="11"/>
        <rFont val="Times New Roman"/>
        <family val="1"/>
      </rPr>
      <t>2</t>
    </r>
  </si>
  <si>
    <t>Total</t>
  </si>
  <si>
    <t>Percent</t>
  </si>
  <si>
    <t>Basic</t>
  </si>
  <si>
    <t>Energy - 1st 600</t>
  </si>
  <si>
    <t>SBC</t>
  </si>
  <si>
    <t>BPA Credit</t>
  </si>
  <si>
    <t>Low Income-Current</t>
  </si>
  <si>
    <t>Overall:</t>
  </si>
  <si>
    <t>*</t>
  </si>
  <si>
    <t>Notes:</t>
  </si>
  <si>
    <t>* Average Washington Customer</t>
  </si>
  <si>
    <r>
      <t xml:space="preserve">       </t>
    </r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 Includes SBC Charge, Low Income Charge, BPA Credit and Deferral Amortization Surcharge</t>
    </r>
  </si>
  <si>
    <t>Billing Comparison</t>
  </si>
  <si>
    <t>Schedule 40 - Agricultural Pumping Service</t>
  </si>
  <si>
    <t>Present Price Schedule 40 *</t>
  </si>
  <si>
    <t>Proposed Price Schedule 40 *</t>
  </si>
  <si>
    <t>Percent Difference</t>
  </si>
  <si>
    <t>kW</t>
  </si>
  <si>
    <t>Annual</t>
  </si>
  <si>
    <t>Load Size/</t>
  </si>
  <si>
    <t>kWh per kW</t>
  </si>
  <si>
    <t>Schedule 40 ***</t>
  </si>
  <si>
    <t>Load Size</t>
  </si>
  <si>
    <t>Schedule 40 **</t>
  </si>
  <si>
    <t>Monthly **</t>
  </si>
  <si>
    <t>All kWh</t>
  </si>
  <si>
    <t>Demand</t>
  </si>
  <si>
    <t>(Equiv Hours)</t>
  </si>
  <si>
    <t>Monthly Bill</t>
  </si>
  <si>
    <t>Bill</t>
  </si>
  <si>
    <t>Single Phase</t>
  </si>
  <si>
    <t>0-50 kW</t>
  </si>
  <si>
    <t>51-300 kW</t>
  </si>
  <si>
    <t>&gt;300 kW</t>
  </si>
  <si>
    <t>Three Phase</t>
  </si>
  <si>
    <t>Low Income-current</t>
  </si>
  <si>
    <t xml:space="preserve">       * Includes SBC Charge, Low Income Charge, BPA Credit and Deferral Amortization Surcharge</t>
  </si>
  <si>
    <t xml:space="preserve">      ** Does not include November Load Size Charge</t>
  </si>
  <si>
    <t>Current</t>
  </si>
  <si>
    <t>BPA</t>
  </si>
  <si>
    <t>Percent of</t>
  </si>
  <si>
    <t xml:space="preserve">Qualifying </t>
  </si>
  <si>
    <t>MWh</t>
  </si>
  <si>
    <t>IRRIGATION SALES</t>
  </si>
  <si>
    <t>B</t>
  </si>
  <si>
    <t>02GNSB0024-WA GEN SRVC DO W/BPA</t>
  </si>
  <si>
    <t>COMMERCIAL SALES</t>
  </si>
  <si>
    <t>INDUSTRIAL SALES</t>
  </si>
  <si>
    <t>02GNSB024F-GEN SRVC DOM/F W/BPA</t>
  </si>
  <si>
    <t>02GNSB24FP-WA GEN SVC SEASONAL W/BPA</t>
  </si>
  <si>
    <t>02LGSB0036-LRG GENSVC IRG W/BPA</t>
  </si>
  <si>
    <t>02NETMT135 - WA RES NET METERING-BPA</t>
  </si>
  <si>
    <t>RESIDENTIAL SALES</t>
  </si>
  <si>
    <t>02OALTB15N-WA OUTD AR LGT NR W/BPA</t>
  </si>
  <si>
    <t>02OALTB15R-WA OUTD AR LGT RES W/BPA</t>
  </si>
  <si>
    <t>02RESD0017-BILL ASSISTANCE</t>
  </si>
  <si>
    <t>BPA Credit Proposed</t>
  </si>
  <si>
    <t>State of Washington</t>
  </si>
  <si>
    <t>Calculation of Adjustment Associated with the Pacific Northwest Electric</t>
  </si>
  <si>
    <t>Customer Class</t>
  </si>
  <si>
    <t>Street Lighting</t>
  </si>
  <si>
    <t>Benefit Dollars</t>
  </si>
  <si>
    <t>Credit Rate</t>
  </si>
  <si>
    <t>¢ per kWh</t>
  </si>
  <si>
    <t>Check</t>
  </si>
  <si>
    <t>Com/Ind/Irr</t>
  </si>
  <si>
    <t>Total Sales to Standard Tariff Customers</t>
  </si>
  <si>
    <t>(11)</t>
  </si>
  <si>
    <t>(12)</t>
  </si>
  <si>
    <t>16/17/18</t>
  </si>
  <si>
    <t>rev</t>
  </si>
  <si>
    <t>Revenue</t>
  </si>
  <si>
    <t>unbilled</t>
  </si>
  <si>
    <t>bpa</t>
  </si>
  <si>
    <t>dsm</t>
  </si>
  <si>
    <t>blue</t>
  </si>
  <si>
    <t>24f</t>
  </si>
  <si>
    <t>48t</t>
  </si>
  <si>
    <t>aga</t>
  </si>
  <si>
    <t>15n</t>
  </si>
  <si>
    <t>24fp</t>
  </si>
  <si>
    <t>irr</t>
  </si>
  <si>
    <t>40x</t>
  </si>
  <si>
    <t>bpaadj</t>
  </si>
  <si>
    <t>PUBLIC STREET&amp;HIGHWAY LIGHTING</t>
  </si>
  <si>
    <t>53m</t>
  </si>
  <si>
    <t>18x</t>
  </si>
  <si>
    <t>15r</t>
  </si>
  <si>
    <t>02RGNSB024-WA SMALL GENERAL SVC-RES-BPA</t>
  </si>
  <si>
    <t>Unbilled</t>
  </si>
  <si>
    <t>(7)-(6)</t>
  </si>
  <si>
    <t>ESTIMATED EFFECT OF PROPOSED BASE RATE INCREASE</t>
  </si>
  <si>
    <t>Deferrals</t>
  </si>
  <si>
    <t>(7)+(9)</t>
  </si>
  <si>
    <t>(11)/(5)</t>
  </si>
  <si>
    <t>02NMT40135-WA NET METERING BPA-IRG</t>
  </si>
  <si>
    <t>53f</t>
  </si>
  <si>
    <t>Deferral Surcharge</t>
  </si>
  <si>
    <t>new rate</t>
  </si>
  <si>
    <t>Allocation of Total PacifiCorp REP Benefits</t>
  </si>
  <si>
    <t>By State</t>
  </si>
  <si>
    <t>Total Proposed Benefit</t>
  </si>
  <si>
    <t>Net REP Benefits</t>
  </si>
  <si>
    <t>Qualifying</t>
  </si>
  <si>
    <t>Initial</t>
  </si>
  <si>
    <t>REP Credit</t>
  </si>
  <si>
    <t>LB</t>
  </si>
  <si>
    <t>IOU Allocated</t>
  </si>
  <si>
    <t>FY-2014</t>
  </si>
  <si>
    <t>State</t>
  </si>
  <si>
    <t>¢/kWh</t>
  </si>
  <si>
    <t>Adjust.</t>
  </si>
  <si>
    <t>Amount $</t>
  </si>
  <si>
    <t>Oregon</t>
  </si>
  <si>
    <t>Washington</t>
  </si>
  <si>
    <t>Idaho</t>
  </si>
  <si>
    <t>Total PacifiCorp</t>
  </si>
  <si>
    <t>Amount</t>
  </si>
  <si>
    <t>ANNUAL  AVERAGE</t>
  </si>
  <si>
    <t>REP</t>
  </si>
  <si>
    <t>Average</t>
  </si>
  <si>
    <t>2-YR Rate Period Total</t>
  </si>
  <si>
    <t xml:space="preserve">Benefits </t>
  </si>
  <si>
    <t>per Year</t>
  </si>
  <si>
    <t>Lookback</t>
  </si>
  <si>
    <t>Allocation</t>
  </si>
  <si>
    <t>2002-2008</t>
  </si>
  <si>
    <t>Allocated to state jurisdictions by ratio</t>
  </si>
  <si>
    <t xml:space="preserve">of beneifits received under overturned </t>
  </si>
  <si>
    <t>disallowed settlement 2002-2007.</t>
  </si>
  <si>
    <t>ACTUAL BASE YEAR + 12MOS.</t>
  </si>
  <si>
    <t>TOTAL</t>
  </si>
  <si>
    <t>Rate Period</t>
  </si>
  <si>
    <t>Share %</t>
  </si>
  <si>
    <t>From the 14-15 REP Allocation:</t>
  </si>
  <si>
    <t>IOU Realloc</t>
  </si>
  <si>
    <t>Balance 8-1-13</t>
  </si>
  <si>
    <t>Per Settlement Agreement IOU Section 6. Base period and subsequent period average</t>
  </si>
  <si>
    <r>
      <t xml:space="preserve">IOU Allocation Adjustments </t>
    </r>
    <r>
      <rPr>
        <b/>
        <vertAlign val="superscript"/>
        <sz val="10"/>
        <rFont val="Tahoma"/>
        <family val="2"/>
      </rPr>
      <t>(3)</t>
    </r>
  </si>
  <si>
    <r>
      <t>kWh</t>
    </r>
    <r>
      <rPr>
        <b/>
        <vertAlign val="superscript"/>
        <sz val="10"/>
        <rFont val="Tahoma"/>
        <family val="2"/>
      </rPr>
      <t>(1)</t>
    </r>
  </si>
  <si>
    <r>
      <t>Amount $</t>
    </r>
    <r>
      <rPr>
        <b/>
        <vertAlign val="superscript"/>
        <sz val="10"/>
        <rFont val="Tahoma"/>
        <family val="2"/>
      </rPr>
      <t>(2)</t>
    </r>
  </si>
  <si>
    <r>
      <t>Adjust.</t>
    </r>
    <r>
      <rPr>
        <b/>
        <vertAlign val="superscript"/>
        <sz val="10"/>
        <rFont val="Tahoma"/>
        <family val="2"/>
      </rPr>
      <t xml:space="preserve"> (4)</t>
    </r>
  </si>
  <si>
    <r>
      <t>MWh</t>
    </r>
    <r>
      <rPr>
        <b/>
        <vertAlign val="superscript"/>
        <sz val="10"/>
        <rFont val="Tahoma"/>
        <family val="2"/>
      </rPr>
      <t>(1)</t>
    </r>
  </si>
  <si>
    <t>For Two-Year Rate Period:  October 1, 2017 - September 30, 2019</t>
  </si>
  <si>
    <t>BP 18</t>
  </si>
  <si>
    <t xml:space="preserve">BPA BALANCING ACCOUNT                   </t>
  </si>
  <si>
    <t xml:space="preserve">CUSTOMER COUNT - BPA                    </t>
  </si>
  <si>
    <t xml:space="preserve">02APSV0040-WA AG PMP SRVC               </t>
  </si>
  <si>
    <t xml:space="preserve">02BPADEBIT-BPA ADJUST FEE               </t>
  </si>
  <si>
    <t xml:space="preserve">CUSTOMER CNT - IRRIG BPA                </t>
  </si>
  <si>
    <t xml:space="preserve">IRRIGATION BPA BAL ACCT                 </t>
  </si>
  <si>
    <t>02RESD0016-WA RES SRVC-BPA</t>
  </si>
  <si>
    <t>02RESD0018-WA 3 PHASE RES-BPA</t>
  </si>
  <si>
    <t>02RESD018X-WA 3 PHASE RES-BPA</t>
  </si>
  <si>
    <t>For FY-2020 and FY-2021</t>
  </si>
  <si>
    <t>For October 1, 2019 - September 30, 2020</t>
  </si>
  <si>
    <t>FY-2020</t>
  </si>
  <si>
    <t>Balance 7-31-19</t>
  </si>
  <si>
    <t>For October 1, 2020 - September 30, 2021</t>
  </si>
  <si>
    <t>FY-2021</t>
  </si>
  <si>
    <t>Balance 7-31-20</t>
  </si>
  <si>
    <t>BP 20</t>
  </si>
  <si>
    <t>Total REP Benefits from BP-20 Table 2.4.11</t>
  </si>
  <si>
    <t>CY-2017(kWH)</t>
  </si>
  <si>
    <t>CY-2018(kWH)</t>
  </si>
  <si>
    <t>02NMB24135, Net metering, WA-BPA</t>
  </si>
  <si>
    <t>02RNM24135-RES NET MTR SMALL GEN SVC-BPA</t>
  </si>
  <si>
    <t>02RGNSB036-RES LRG GEN SVC &lt; 1000 KW BPA</t>
  </si>
  <si>
    <t>305 by Class by Rate Group Cd</t>
  </si>
  <si>
    <t>State Desc</t>
  </si>
  <si>
    <t>Revenue Class Desc</t>
  </si>
  <si>
    <t>Rate Group Cd</t>
  </si>
  <si>
    <t>Rate Desc</t>
  </si>
  <si>
    <t>T Revenue</t>
  </si>
  <si>
    <t>T Avg Billing Count</t>
  </si>
  <si>
    <t>T kWh</t>
  </si>
  <si>
    <t>Code</t>
  </si>
  <si>
    <t>Code (BPA)</t>
  </si>
  <si>
    <t xml:space="preserve">STATE OF WASHINGTON - PPL               </t>
  </si>
  <si>
    <t xml:space="preserve">RESIDENTIAL SALES                       </t>
  </si>
  <si>
    <t>Power Planning and Conservation Act (BPA Credit) for October 1, 2019</t>
  </si>
  <si>
    <t>2018 Qualifying</t>
  </si>
  <si>
    <t>Table 2</t>
  </si>
  <si>
    <t>kWh &amp; Rev</t>
  </si>
  <si>
    <t xml:space="preserve">PacifiCorp </t>
  </si>
  <si>
    <t>Semi-Annual Report</t>
  </si>
  <si>
    <t>Restating</t>
  </si>
  <si>
    <t>Temperature</t>
  </si>
  <si>
    <t>Booked</t>
  </si>
  <si>
    <t>Annualized</t>
  </si>
  <si>
    <t>Pro Forma</t>
  </si>
  <si>
    <r>
      <t>Adjustments</t>
    </r>
    <r>
      <rPr>
        <vertAlign val="superscript"/>
        <sz val="12"/>
        <rFont val="Times New Roman"/>
        <family val="1"/>
      </rPr>
      <t>1</t>
    </r>
  </si>
  <si>
    <t xml:space="preserve">Adjustments </t>
  </si>
  <si>
    <t>Adjusted</t>
  </si>
  <si>
    <r>
      <t>Adjustments</t>
    </r>
    <r>
      <rPr>
        <vertAlign val="superscript"/>
        <sz val="12"/>
        <rFont val="Times New Roman"/>
        <family val="1"/>
      </rPr>
      <t>2</t>
    </r>
  </si>
  <si>
    <t>Adjustments</t>
  </si>
  <si>
    <t>Customers</t>
  </si>
  <si>
    <t>kWhs</t>
  </si>
  <si>
    <t>$</t>
  </si>
  <si>
    <t>02RESD00016</t>
  </si>
  <si>
    <t>02RESD00017</t>
  </si>
  <si>
    <t>02RESD00018</t>
  </si>
  <si>
    <t>02RESD0018X</t>
  </si>
  <si>
    <t>02NETMT135</t>
  </si>
  <si>
    <t>02RGNSB024</t>
  </si>
  <si>
    <t>02RGNSB036</t>
  </si>
  <si>
    <t>Subtotal</t>
  </si>
  <si>
    <t>02OALTO15R</t>
  </si>
  <si>
    <t>AGA</t>
  </si>
  <si>
    <t>Rev Adjustment</t>
  </si>
  <si>
    <t>DSM</t>
  </si>
  <si>
    <t>Blue Sky</t>
  </si>
  <si>
    <t>BPA Balance Acct.</t>
  </si>
  <si>
    <t>Income Tax Deferral</t>
  </si>
  <si>
    <t>itd</t>
  </si>
  <si>
    <t>Alt Revenue Program</t>
  </si>
  <si>
    <t>arp</t>
  </si>
  <si>
    <t>Unbilled Sales</t>
  </si>
  <si>
    <t>Commercial</t>
  </si>
  <si>
    <t>02GNSV0024</t>
  </si>
  <si>
    <t>02GNSV024F</t>
  </si>
  <si>
    <t>02GNSV24FP</t>
  </si>
  <si>
    <t>02LGSV0036</t>
  </si>
  <si>
    <t>02LGSV048T</t>
  </si>
  <si>
    <t>02OALT015N</t>
  </si>
  <si>
    <t>02RCFL0054</t>
  </si>
  <si>
    <t>BPA Balance Acct</t>
  </si>
  <si>
    <t>Industrial</t>
  </si>
  <si>
    <t>02PRSV47TM</t>
  </si>
  <si>
    <t>02LGSV048M</t>
  </si>
  <si>
    <t>48m</t>
  </si>
  <si>
    <t>BPA Balancing Acct</t>
  </si>
  <si>
    <t>Irrigation</t>
  </si>
  <si>
    <t>02APSV0040</t>
  </si>
  <si>
    <t>02APSV040X</t>
  </si>
  <si>
    <t>Irrigation Demand Charge</t>
  </si>
  <si>
    <t>BPA Adjustment Fee</t>
  </si>
  <si>
    <t>Public Street &amp; Highway Lighting</t>
  </si>
  <si>
    <t>02COSL0052</t>
  </si>
  <si>
    <t>02CUSL053F</t>
  </si>
  <si>
    <t>02CUSL053M</t>
  </si>
  <si>
    <t>02HPSV0051</t>
  </si>
  <si>
    <t>02MVSL0057</t>
  </si>
  <si>
    <t>02CFR0012</t>
  </si>
  <si>
    <t>Sub Total</t>
  </si>
  <si>
    <t xml:space="preserve">   </t>
  </si>
  <si>
    <r>
      <t>1</t>
    </r>
    <r>
      <rPr>
        <sz val="12"/>
        <rFont val="Times New Roman"/>
        <family val="1"/>
      </rPr>
      <t xml:space="preserve"> Temperature normalization.</t>
    </r>
  </si>
  <si>
    <r>
      <t>2</t>
    </r>
    <r>
      <rPr>
        <sz val="12"/>
        <rFont val="Times New Roman"/>
        <family val="1"/>
      </rPr>
      <t xml:space="preserve"> Removes Schedule 98 (BPA), Schedule 96 (Renewable Energy Revenue One-Time Credit), Schedule 191 (System Benefits Charge), Schedule 93 (Decoupling), Schedule 97 (PCAM),</t>
    </r>
  </si>
  <si>
    <t>Revenue Accounting Adjustments, DSM, Blue Sky, Income Tax Deferral, Alternate Revenue Program, and includes temperature adjustment.</t>
  </si>
  <si>
    <t>12 MONTHS ENDED DECEMBER 2018</t>
  </si>
  <si>
    <t>PCAM</t>
  </si>
  <si>
    <t>FTAA</t>
  </si>
  <si>
    <t>12 Months Ended December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</si>
</sst>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2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.000_);_(* \(#,##0.000\);_(* &quot;-&quot;??_);_(@_)"/>
    <numFmt numFmtId="166" formatCode="#,##0.000_);\(#,##0.000\)"/>
    <numFmt numFmtId="167" formatCode="0.000_)"/>
    <numFmt numFmtId="168" formatCode="_(* #,##0_);_(* \(#,##0\);_(* &quot;-&quot;??_);_(@_)"/>
    <numFmt numFmtId="169" formatCode="_(&quot;$&quot;* #,##0_);_(&quot;$&quot;* \(#,##0\);_(&quot;$&quot;* &quot;-&quot;??_);_(@_)"/>
    <numFmt numFmtId="170" formatCode="0.00000000000000%"/>
    <numFmt numFmtId="171" formatCode="########\-###\-###"/>
    <numFmt numFmtId="172" formatCode="General_)"/>
    <numFmt numFmtId="173" formatCode="0.000"/>
    <numFmt numFmtId="174" formatCode="0.00_)"/>
    <numFmt numFmtId="175" formatCode="&quot;$&quot;#,##0"/>
    <numFmt numFmtId="176" formatCode="&quot;$&quot;#,##0.000"/>
    <numFmt numFmtId="177" formatCode="#,##0;\-#,##0;#,##0"/>
    <numFmt numFmtId="178" formatCode="0.00000"/>
    <numFmt numFmtId="179" formatCode="_-* #,##0\ &quot;F&quot;_-;\-* #,##0\ &quot;F&quot;_-;_-* &quot;-&quot;\ &quot;F&quot;_-;_-@_-"/>
    <numFmt numFmtId="180" formatCode="_(* #,##0.00_);[Red]_(* \(#,##0.00\);_(* &quot;-&quot;??_);_(@_)"/>
    <numFmt numFmtId="181" formatCode="&quot;$&quot;###0;[Red]\(&quot;$&quot;###0\)"/>
    <numFmt numFmtId="182" formatCode="&quot;$&quot;#,##0\ ;\(&quot;$&quot;#,##0\)"/>
    <numFmt numFmtId="183" formatCode="mmmm\ d\,\ yyyy"/>
    <numFmt numFmtId="184" formatCode="0.000%"/>
    <numFmt numFmtId="185" formatCode="0.0"/>
    <numFmt numFmtId="186" formatCode="#,##0.000;[Red]\-#,##0.000"/>
    <numFmt numFmtId="187" formatCode="_(* #,##0_);[Red]_(* \(#,##0\);_(* &quot;-&quot;_);_(@_)"/>
    <numFmt numFmtId="188" formatCode="#,##0.0_);\(#,##0.0\);\-\ ;"/>
    <numFmt numFmtId="189" formatCode="#,##0.0000"/>
    <numFmt numFmtId="190" formatCode="mmm\ dd\,\ yyyy"/>
    <numFmt numFmtId="191" formatCode="0.0000000"/>
    <numFmt numFmtId="192" formatCode="_(* #,##0.00000_);_(* \(#,##0.00000\);_(* &quot;-&quot;??_);_(@_)"/>
    <numFmt numFmtId="193" formatCode="0.000000"/>
    <numFmt numFmtId="194" formatCode="_(* #,##0.0_);_(* \(#,##0.0\);_(* &quot;-&quot;_);_(@_)"/>
    <numFmt numFmtId="195" formatCode="#,##0.0000_);[Red]\(#,##0.0000\)"/>
    <numFmt numFmtId="196" formatCode="0_);\(0\)"/>
    <numFmt numFmtId="197" formatCode="0.0000"/>
    <numFmt numFmtId="198" formatCode="\$#,##0.00;&quot;($&quot;#,##0.00\)"/>
  </numFmts>
  <fonts count="108"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1"/>
      <name val="TimesNewRomanPS"/>
    </font>
    <font>
      <sz val="11"/>
      <name val="TimesNewRomanPS"/>
    </font>
    <font>
      <b/>
      <sz val="11"/>
      <color indexed="8"/>
      <name val="TimesNewRomanPS"/>
    </font>
    <font>
      <sz val="10"/>
      <name val="Arial"/>
      <family val="2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sz val="11"/>
      <name val="Times New Roman"/>
      <family val="1"/>
    </font>
    <font>
      <sz val="12"/>
      <color indexed="56"/>
      <name val="Times New Roman"/>
      <family val="1"/>
    </font>
    <font>
      <sz val="12"/>
      <color indexed="12"/>
      <name val="Times New Roman"/>
      <family val="1"/>
    </font>
    <font>
      <sz val="7"/>
      <name val="Arial"/>
      <family val="2"/>
    </font>
    <font>
      <sz val="10"/>
      <name val="LinePrinter"/>
    </font>
    <font>
      <b/>
      <sz val="14"/>
      <name val="Times New Roman"/>
      <family val="1"/>
    </font>
    <font>
      <vertAlign val="superscript"/>
      <sz val="11"/>
      <name val="Times New Roman"/>
      <family val="1"/>
    </font>
    <font>
      <sz val="11"/>
      <color indexed="8"/>
      <name val="Times New Roman"/>
      <family val="1"/>
    </font>
    <font>
      <sz val="11"/>
      <color indexed="12"/>
      <name val="Times New Roman"/>
      <family val="1"/>
    </font>
    <font>
      <u/>
      <sz val="11"/>
      <name val="Times New Roman"/>
      <family val="1"/>
    </font>
    <font>
      <sz val="10"/>
      <name val="Times New Roman"/>
      <family val="1"/>
    </font>
    <font>
      <vertAlign val="superscript"/>
      <sz val="10"/>
      <name val="Times New Roman"/>
      <family val="1"/>
    </font>
    <font>
      <sz val="14"/>
      <name val="Times New Roman"/>
      <family val="1"/>
    </font>
    <font>
      <b/>
      <sz val="10"/>
      <name val="Arial"/>
      <family val="2"/>
    </font>
    <font>
      <sz val="12"/>
      <name val="Times New Roman"/>
      <family val="1"/>
    </font>
    <font>
      <sz val="10"/>
      <name val="SWISS"/>
    </font>
    <font>
      <b/>
      <sz val="12"/>
      <name val="Times New Roman"/>
      <family val="1"/>
    </font>
    <font>
      <sz val="12"/>
      <name val="Arial"/>
      <family val="2"/>
    </font>
    <font>
      <b/>
      <sz val="14"/>
      <color indexed="8"/>
      <name val="Times New Roman"/>
      <family val="1"/>
    </font>
    <font>
      <sz val="12"/>
      <name val="Times New Roman"/>
      <family val="1"/>
    </font>
    <font>
      <sz val="12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color indexed="9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Courier"/>
      <family val="3"/>
    </font>
    <font>
      <sz val="10"/>
      <color indexed="8"/>
      <name val="Helv"/>
    </font>
    <font>
      <sz val="10"/>
      <name val="Geneva"/>
    </font>
    <font>
      <sz val="10"/>
      <color theme="1"/>
      <name val="Arial"/>
      <family val="2"/>
    </font>
    <font>
      <sz val="10"/>
      <color indexed="24"/>
      <name val="Courier New"/>
      <family val="3"/>
    </font>
    <font>
      <sz val="10"/>
      <name val="Helv"/>
    </font>
    <font>
      <sz val="10"/>
      <name val="MS Sans Serif"/>
      <family val="2"/>
    </font>
    <font>
      <sz val="8"/>
      <name val="Helv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6"/>
      <name val="Times New Roman"/>
      <family val="1"/>
    </font>
    <font>
      <b/>
      <sz val="12"/>
      <name val="Arial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b/>
      <i/>
      <sz val="10"/>
      <name val="Arial"/>
      <family val="2"/>
    </font>
    <font>
      <b/>
      <u/>
      <sz val="10"/>
      <color indexed="39"/>
      <name val="Arial"/>
      <family val="2"/>
    </font>
    <font>
      <sz val="11"/>
      <color indexed="52"/>
      <name val="Calibri"/>
      <family val="2"/>
    </font>
    <font>
      <sz val="8"/>
      <name val="Times New Roman"/>
      <family val="1"/>
    </font>
    <font>
      <b/>
      <sz val="8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color indexed="11"/>
      <name val="Geneva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8"/>
      <color indexed="18"/>
      <name val="Arial"/>
      <family val="2"/>
    </font>
    <font>
      <b/>
      <sz val="8"/>
      <color indexed="8"/>
      <name val="Arial"/>
      <family val="2"/>
    </font>
    <font>
      <sz val="10"/>
      <color indexed="39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b/>
      <sz val="18"/>
      <color indexed="56"/>
      <name val="Cambria"/>
      <family val="2"/>
    </font>
    <font>
      <sz val="8"/>
      <color indexed="12"/>
      <name val="Arial"/>
      <family val="2"/>
    </font>
    <font>
      <sz val="11"/>
      <color indexed="10"/>
      <name val="Calibri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b/>
      <sz val="12"/>
      <name val="Tahoma"/>
      <family val="2"/>
    </font>
    <font>
      <sz val="12"/>
      <name val="Tahoma"/>
      <family val="2"/>
    </font>
    <font>
      <b/>
      <sz val="12"/>
      <color rgb="FF0000FF"/>
      <name val="Tahoma"/>
      <family val="2"/>
    </font>
    <font>
      <sz val="10"/>
      <name val="Tahoma"/>
      <family val="2"/>
    </font>
    <font>
      <b/>
      <u/>
      <sz val="14"/>
      <color rgb="FF0000FF"/>
      <name val="Tahoma"/>
      <family val="2"/>
    </font>
    <font>
      <sz val="14"/>
      <name val="Tahoma"/>
      <family val="2"/>
    </font>
    <font>
      <b/>
      <sz val="14"/>
      <name val="Tahoma"/>
      <family val="2"/>
    </font>
    <font>
      <b/>
      <sz val="10"/>
      <name val="Tahoma"/>
      <family val="2"/>
    </font>
    <font>
      <b/>
      <sz val="10"/>
      <color rgb="FF0000FF"/>
      <name val="Tahoma"/>
      <family val="2"/>
    </font>
    <font>
      <b/>
      <vertAlign val="superscript"/>
      <sz val="10"/>
      <name val="Tahoma"/>
      <family val="2"/>
    </font>
    <font>
      <b/>
      <u/>
      <sz val="10"/>
      <name val="Tahoma"/>
      <family val="2"/>
    </font>
    <font>
      <sz val="10"/>
      <color rgb="FF0000FF"/>
      <name val="Tahoma"/>
      <family val="2"/>
    </font>
    <font>
      <sz val="8"/>
      <name val="Tahoma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8"/>
      <name val="Tahoma"/>
      <family val="2"/>
    </font>
    <font>
      <b/>
      <u/>
      <sz val="8"/>
      <name val="Tahoma"/>
      <family val="2"/>
    </font>
    <font>
      <b/>
      <vertAlign val="superscript"/>
      <sz val="8"/>
      <name val="Tahoma"/>
      <family val="2"/>
    </font>
    <font>
      <b/>
      <sz val="8"/>
      <color rgb="FF0000FF"/>
      <name val="Tahoma"/>
      <family val="2"/>
    </font>
    <font>
      <sz val="8"/>
      <color rgb="FF0000FF"/>
      <name val="Tahoma"/>
      <family val="2"/>
    </font>
    <font>
      <sz val="10"/>
      <name val="Arial"/>
      <family val="2"/>
    </font>
    <font>
      <sz val="12"/>
      <name val="Times New Roman"/>
      <family val="1"/>
    </font>
    <font>
      <sz val="9"/>
      <color indexed="63"/>
      <name val="Arial"/>
      <family val="2"/>
    </font>
    <font>
      <sz val="9"/>
      <name val="Arial"/>
      <family val="2"/>
    </font>
    <font>
      <u/>
      <sz val="16"/>
      <name val="Arial"/>
      <family val="2"/>
    </font>
    <font>
      <b/>
      <sz val="9"/>
      <name val="Arial"/>
      <family val="2"/>
    </font>
    <font>
      <sz val="9"/>
      <color indexed="63"/>
      <name val="Arial"/>
      <family val="2"/>
    </font>
    <font>
      <sz val="9"/>
      <name val="Arial"/>
      <family val="2"/>
    </font>
    <font>
      <vertAlign val="superscript"/>
      <sz val="12"/>
      <name val="Times New Roman"/>
      <family val="1"/>
    </font>
    <font>
      <u/>
      <sz val="12"/>
      <name val="Times New Roman"/>
      <family val="1"/>
    </font>
    <font>
      <u val="singleAccounting"/>
      <sz val="12"/>
      <name val="Times New Roman"/>
      <family val="1"/>
    </font>
    <font>
      <u val="double"/>
      <sz val="12"/>
      <name val="Times New Roman"/>
      <family val="1"/>
    </font>
  </fonts>
  <fills count="5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18"/>
      </patternFill>
    </fill>
    <fill>
      <patternFill patternType="solid">
        <fgColor indexed="1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1"/>
      </patternFill>
    </fill>
    <fill>
      <patternFill patternType="gray125">
        <fgColor indexed="21"/>
      </patternFill>
    </fill>
    <fill>
      <patternFill patternType="solid">
        <fgColor indexed="19"/>
      </patternFill>
    </fill>
    <fill>
      <patternFill patternType="mediumGray">
        <fgColor indexed="21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41"/>
      </patternFill>
    </fill>
    <fill>
      <patternFill patternType="solid">
        <fgColor indexed="9"/>
        <b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15"/>
      </patternFill>
    </fill>
    <fill>
      <patternFill patternType="lightGray"/>
    </fill>
    <fill>
      <patternFill patternType="solid">
        <fgColor indexed="14"/>
        <bgColor indexed="64"/>
      </patternFill>
    </fill>
    <fill>
      <patternFill patternType="gray125">
        <fgColor indexed="8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9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32"/>
      </left>
      <right style="thin">
        <color indexed="32"/>
      </right>
      <top style="thin">
        <color indexed="32"/>
      </top>
      <bottom style="thin">
        <color indexed="32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5"/>
      </bottom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543">
    <xf numFmtId="0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9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4" fillId="0" borderId="0" applyFont="0" applyFill="0" applyBorder="0" applyAlignment="0" applyProtection="0">
      <alignment horizontal="left"/>
    </xf>
    <xf numFmtId="171" fontId="8" fillId="0" borderId="0"/>
    <xf numFmtId="168" fontId="13" fillId="0" borderId="0" applyFont="0" applyAlignment="0" applyProtection="0"/>
    <xf numFmtId="0" fontId="8" fillId="0" borderId="0">
      <alignment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9" fontId="8" fillId="0" borderId="0" applyFont="0" applyFill="0" applyBorder="0" applyAlignment="0" applyProtection="0"/>
    <xf numFmtId="172" fontId="15" fillId="0" borderId="0">
      <alignment horizontal="left"/>
    </xf>
    <xf numFmtId="0" fontId="8" fillId="0" borderId="0"/>
    <xf numFmtId="0" fontId="3" fillId="0" borderId="0"/>
    <xf numFmtId="0" fontId="25" fillId="0" borderId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1" fontId="26" fillId="0" borderId="0" applyFont="0" applyFill="0" applyBorder="0" applyAlignment="0" applyProtection="0"/>
    <xf numFmtId="0" fontId="8" fillId="0" borderId="0"/>
    <xf numFmtId="0" fontId="8" fillId="0" borderId="0">
      <alignment wrapText="1"/>
    </xf>
    <xf numFmtId="0" fontId="8" fillId="0" borderId="0">
      <alignment wrapText="1"/>
    </xf>
    <xf numFmtId="0" fontId="2" fillId="0" borderId="0"/>
    <xf numFmtId="9" fontId="2" fillId="0" borderId="0" applyFont="0" applyFill="0" applyBorder="0" applyAlignment="0" applyProtection="0"/>
    <xf numFmtId="0" fontId="30" fillId="0" borderId="0"/>
    <xf numFmtId="44" fontId="28" fillId="0" borderId="0" applyFont="0" applyFill="0" applyBorder="0" applyAlignment="0" applyProtection="0"/>
    <xf numFmtId="0" fontId="28" fillId="0" borderId="0"/>
    <xf numFmtId="0" fontId="8" fillId="0" borderId="0"/>
    <xf numFmtId="0" fontId="31" fillId="0" borderId="0"/>
    <xf numFmtId="0" fontId="3" fillId="0" borderId="0"/>
    <xf numFmtId="9" fontId="8" fillId="0" borderId="0" applyFont="0" applyFill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4" fillId="20" borderId="21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24" fillId="21" borderId="0" applyNumberFormat="0" applyBorder="0" applyAlignment="0" applyProtection="0"/>
    <xf numFmtId="0" fontId="36" fillId="22" borderId="22" applyNumberFormat="0" applyAlignment="0" applyProtection="0"/>
    <xf numFmtId="0" fontId="36" fillId="22" borderId="22" applyNumberFormat="0" applyAlignment="0" applyProtection="0"/>
    <xf numFmtId="0" fontId="36" fillId="22" borderId="22" applyNumberFormat="0" applyAlignment="0" applyProtection="0"/>
    <xf numFmtId="0" fontId="36" fillId="22" borderId="22" applyNumberFormat="0" applyAlignment="0" applyProtection="0"/>
    <xf numFmtId="0" fontId="36" fillId="22" borderId="22" applyNumberFormat="0" applyAlignment="0" applyProtection="0"/>
    <xf numFmtId="0" fontId="37" fillId="23" borderId="23" applyNumberFormat="0" applyAlignment="0" applyProtection="0"/>
    <xf numFmtId="0" fontId="37" fillId="23" borderId="23" applyNumberFormat="0" applyAlignment="0" applyProtection="0"/>
    <xf numFmtId="0" fontId="37" fillId="23" borderId="23" applyNumberFormat="0" applyAlignment="0" applyProtection="0"/>
    <xf numFmtId="0" fontId="37" fillId="23" borderId="23" applyNumberFormat="0" applyAlignment="0" applyProtection="0"/>
    <xf numFmtId="0" fontId="37" fillId="23" borderId="23" applyNumberFormat="0" applyAlignment="0" applyProtection="0"/>
    <xf numFmtId="0" fontId="38" fillId="0" borderId="0"/>
    <xf numFmtId="179" fontId="8" fillId="0" borderId="0"/>
    <xf numFmtId="179" fontId="8" fillId="0" borderId="0"/>
    <xf numFmtId="179" fontId="8" fillId="0" borderId="0"/>
    <xf numFmtId="179" fontId="8" fillId="0" borderId="0"/>
    <xf numFmtId="179" fontId="8" fillId="0" borderId="0"/>
    <xf numFmtId="179" fontId="8" fillId="0" borderId="0"/>
    <xf numFmtId="179" fontId="8" fillId="0" borderId="0"/>
    <xf numFmtId="179" fontId="8" fillId="0" borderId="0"/>
    <xf numFmtId="179" fontId="8" fillId="0" borderId="0"/>
    <xf numFmtId="179" fontId="8" fillId="0" borderId="0"/>
    <xf numFmtId="179" fontId="8" fillId="0" borderId="0"/>
    <xf numFmtId="179" fontId="8" fillId="0" borderId="0"/>
    <xf numFmtId="179" fontId="8" fillId="0" borderId="0"/>
    <xf numFmtId="179" fontId="8" fillId="0" borderId="0"/>
    <xf numFmtId="179" fontId="8" fillId="0" borderId="0"/>
    <xf numFmtId="179" fontId="8" fillId="0" borderId="0"/>
    <xf numFmtId="179" fontId="8" fillId="0" borderId="0"/>
    <xf numFmtId="179" fontId="8" fillId="0" borderId="0"/>
    <xf numFmtId="179" fontId="8" fillId="0" borderId="0"/>
    <xf numFmtId="179" fontId="8" fillId="0" borderId="0"/>
    <xf numFmtId="179" fontId="8" fillId="0" borderId="0"/>
    <xf numFmtId="179" fontId="8" fillId="0" borderId="0"/>
    <xf numFmtId="179" fontId="8" fillId="0" borderId="0"/>
    <xf numFmtId="179" fontId="8" fillId="0" borderId="0"/>
    <xf numFmtId="1" fontId="39" fillId="0" borderId="0"/>
    <xf numFmtId="41" fontId="8" fillId="0" borderId="0" applyFont="0" applyFill="0" applyBorder="0" applyAlignment="0" applyProtection="0"/>
    <xf numFmtId="4" fontId="4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1" fillId="0" borderId="0" applyFont="0" applyFill="0" applyBorder="0" applyAlignment="0" applyProtection="0"/>
    <xf numFmtId="180" fontId="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80" fontId="8" fillId="0" borderId="0" applyFont="0" applyFill="0" applyBorder="0" applyAlignment="0" applyProtection="0"/>
    <xf numFmtId="18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42" fillId="0" borderId="0" applyFon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37" fontId="8" fillId="0" borderId="0" applyFill="0" applyBorder="0" applyAlignment="0" applyProtection="0"/>
    <xf numFmtId="0" fontId="43" fillId="0" borderId="0"/>
    <xf numFmtId="0" fontId="43" fillId="0" borderId="0"/>
    <xf numFmtId="0" fontId="43" fillId="0" borderId="0"/>
    <xf numFmtId="44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45" fillId="0" borderId="0" applyFont="0" applyFill="0" applyBorder="0" applyProtection="0">
      <alignment horizontal="right"/>
    </xf>
    <xf numFmtId="5" fontId="43" fillId="0" borderId="0"/>
    <xf numFmtId="182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/>
    <xf numFmtId="0" fontId="43" fillId="0" borderId="0"/>
    <xf numFmtId="183" fontId="8" fillId="0" borderId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2" fontId="42" fillId="0" borderId="0" applyFont="0" applyFill="0" applyBorder="0" applyAlignment="0" applyProtection="0"/>
    <xf numFmtId="0" fontId="43" fillId="0" borderId="0"/>
    <xf numFmtId="0" fontId="47" fillId="4" borderId="0" applyNumberFormat="0" applyBorder="0" applyAlignment="0" applyProtection="0"/>
    <xf numFmtId="0" fontId="47" fillId="4" borderId="0" applyNumberFormat="0" applyBorder="0" applyAlignment="0" applyProtection="0"/>
    <xf numFmtId="0" fontId="47" fillId="4" borderId="0" applyNumberFormat="0" applyBorder="0" applyAlignment="0" applyProtection="0"/>
    <xf numFmtId="0" fontId="47" fillId="4" borderId="0" applyNumberFormat="0" applyBorder="0" applyAlignment="0" applyProtection="0"/>
    <xf numFmtId="0" fontId="47" fillId="4" borderId="0" applyNumberFormat="0" applyBorder="0" applyAlignment="0" applyProtection="0"/>
    <xf numFmtId="38" fontId="48" fillId="24" borderId="0" applyNumberFormat="0" applyBorder="0" applyAlignment="0" applyProtection="0"/>
    <xf numFmtId="38" fontId="48" fillId="24" borderId="0" applyNumberFormat="0" applyBorder="0" applyAlignment="0" applyProtection="0"/>
    <xf numFmtId="38" fontId="48" fillId="24" borderId="0" applyNumberFormat="0" applyBorder="0" applyAlignment="0" applyProtection="0"/>
    <xf numFmtId="0" fontId="49" fillId="0" borderId="0"/>
    <xf numFmtId="0" fontId="50" fillId="0" borderId="24" applyNumberFormat="0" applyAlignment="0" applyProtection="0">
      <alignment horizontal="left" vertical="center"/>
    </xf>
    <xf numFmtId="0" fontId="50" fillId="0" borderId="19">
      <alignment horizontal="left" vertical="center"/>
    </xf>
    <xf numFmtId="0" fontId="51" fillId="0" borderId="25" applyNumberFormat="0" applyFill="0" applyAlignment="0" applyProtection="0"/>
    <xf numFmtId="0" fontId="51" fillId="0" borderId="25" applyNumberFormat="0" applyFill="0" applyAlignment="0" applyProtection="0"/>
    <xf numFmtId="0" fontId="51" fillId="0" borderId="25" applyNumberFormat="0" applyFill="0" applyAlignment="0" applyProtection="0"/>
    <xf numFmtId="0" fontId="51" fillId="0" borderId="25" applyNumberFormat="0" applyFill="0" applyAlignment="0" applyProtection="0"/>
    <xf numFmtId="0" fontId="51" fillId="0" borderId="25" applyNumberFormat="0" applyFill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84" fontId="8" fillId="0" borderId="0">
      <protection locked="0"/>
    </xf>
    <xf numFmtId="184" fontId="8" fillId="0" borderId="0"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10" fontId="48" fillId="25" borderId="21" applyNumberFormat="0" applyBorder="0" applyAlignment="0" applyProtection="0"/>
    <xf numFmtId="10" fontId="48" fillId="25" borderId="21" applyNumberFormat="0" applyBorder="0" applyAlignment="0" applyProtection="0"/>
    <xf numFmtId="10" fontId="48" fillId="25" borderId="21" applyNumberFormat="0" applyBorder="0" applyAlignment="0" applyProtection="0"/>
    <xf numFmtId="38" fontId="53" fillId="0" borderId="0">
      <alignment horizontal="left" wrapText="1"/>
    </xf>
    <xf numFmtId="38" fontId="54" fillId="0" borderId="0">
      <alignment horizontal="left" wrapText="1"/>
    </xf>
    <xf numFmtId="0" fontId="55" fillId="0" borderId="26" applyNumberFormat="0" applyFill="0" applyAlignment="0" applyProtection="0"/>
    <xf numFmtId="0" fontId="55" fillId="0" borderId="26" applyNumberFormat="0" applyFill="0" applyAlignment="0" applyProtection="0"/>
    <xf numFmtId="0" fontId="55" fillId="0" borderId="26" applyNumberFormat="0" applyFill="0" applyAlignment="0" applyProtection="0"/>
    <xf numFmtId="0" fontId="55" fillId="0" borderId="26" applyNumberFormat="0" applyFill="0" applyAlignment="0" applyProtection="0"/>
    <xf numFmtId="0" fontId="55" fillId="0" borderId="26" applyNumberFormat="0" applyFill="0" applyAlignment="0" applyProtection="0"/>
    <xf numFmtId="0" fontId="56" fillId="26" borderId="0"/>
    <xf numFmtId="0" fontId="56" fillId="27" borderId="0"/>
    <xf numFmtId="0" fontId="24" fillId="28" borderId="15" applyBorder="0"/>
    <xf numFmtId="0" fontId="8" fillId="29" borderId="14" applyNumberFormat="0" applyFont="0" applyBorder="0" applyAlignment="0" applyProtection="0"/>
    <xf numFmtId="185" fontId="57" fillId="0" borderId="0" applyNumberFormat="0" applyFill="0" applyBorder="0" applyAlignment="0" applyProtection="0"/>
    <xf numFmtId="0" fontId="58" fillId="30" borderId="0" applyNumberFormat="0" applyBorder="0" applyAlignment="0" applyProtection="0"/>
    <xf numFmtId="0" fontId="58" fillId="30" borderId="0" applyNumberFormat="0" applyBorder="0" applyAlignment="0" applyProtection="0"/>
    <xf numFmtId="0" fontId="58" fillId="30" borderId="0" applyNumberFormat="0" applyBorder="0" applyAlignment="0" applyProtection="0"/>
    <xf numFmtId="0" fontId="58" fillId="30" borderId="0" applyNumberFormat="0" applyBorder="0" applyAlignment="0" applyProtection="0"/>
    <xf numFmtId="0" fontId="58" fillId="30" borderId="0" applyNumberFormat="0" applyBorder="0" applyAlignment="0" applyProtection="0"/>
    <xf numFmtId="0" fontId="48" fillId="0" borderId="27" applyNumberFormat="0" applyBorder="0" applyAlignment="0"/>
    <xf numFmtId="0" fontId="48" fillId="0" borderId="27" applyNumberFormat="0" applyBorder="0" applyAlignment="0"/>
    <xf numFmtId="0" fontId="48" fillId="0" borderId="27" applyNumberFormat="0" applyBorder="0" applyAlignment="0"/>
    <xf numFmtId="186" fontId="8" fillId="0" borderId="0"/>
    <xf numFmtId="186" fontId="8" fillId="0" borderId="0"/>
    <xf numFmtId="186" fontId="8" fillId="0" borderId="0"/>
    <xf numFmtId="0" fontId="8" fillId="0" borderId="0"/>
    <xf numFmtId="0" fontId="8" fillId="0" borderId="0"/>
    <xf numFmtId="0" fontId="8" fillId="0" borderId="0">
      <alignment wrapText="1"/>
    </xf>
    <xf numFmtId="0" fontId="8" fillId="0" borderId="0">
      <alignment wrapText="1"/>
    </xf>
    <xf numFmtId="0" fontId="8" fillId="0" borderId="0"/>
    <xf numFmtId="0" fontId="8" fillId="0" borderId="0"/>
    <xf numFmtId="0" fontId="4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21" fillId="0" borderId="0"/>
    <xf numFmtId="41" fontId="21" fillId="0" borderId="0"/>
    <xf numFmtId="41" fontId="21" fillId="0" borderId="0"/>
    <xf numFmtId="41" fontId="21" fillId="0" borderId="0"/>
    <xf numFmtId="41" fontId="21" fillId="0" borderId="0"/>
    <xf numFmtId="41" fontId="21" fillId="0" borderId="0"/>
    <xf numFmtId="0" fontId="8" fillId="0" borderId="0"/>
    <xf numFmtId="41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187" fontId="8" fillId="0" borderId="0"/>
    <xf numFmtId="0" fontId="1" fillId="0" borderId="0"/>
    <xf numFmtId="0" fontId="8" fillId="0" borderId="0">
      <alignment wrapText="1"/>
    </xf>
    <xf numFmtId="0" fontId="8" fillId="0" borderId="0">
      <alignment wrapText="1"/>
    </xf>
    <xf numFmtId="41" fontId="8" fillId="0" borderId="0"/>
    <xf numFmtId="0" fontId="8" fillId="0" borderId="0"/>
    <xf numFmtId="37" fontId="43" fillId="0" borderId="0"/>
    <xf numFmtId="0" fontId="8" fillId="31" borderId="28" applyNumberFormat="0" applyFont="0" applyAlignment="0" applyProtection="0"/>
    <xf numFmtId="0" fontId="8" fillId="31" borderId="28" applyNumberFormat="0" applyFont="0" applyAlignment="0" applyProtection="0"/>
    <xf numFmtId="0" fontId="8" fillId="31" borderId="28" applyNumberFormat="0" applyFont="0" applyAlignment="0" applyProtection="0"/>
    <xf numFmtId="0" fontId="8" fillId="31" borderId="28" applyNumberFormat="0" applyFont="0" applyAlignment="0" applyProtection="0"/>
    <xf numFmtId="0" fontId="8" fillId="31" borderId="28" applyNumberFormat="0" applyFont="0" applyAlignment="0" applyProtection="0"/>
    <xf numFmtId="188" fontId="3" fillId="0" borderId="0" applyFont="0" applyFill="0" applyBorder="0" applyProtection="0"/>
    <xf numFmtId="188" fontId="3" fillId="0" borderId="0" applyFont="0" applyFill="0" applyBorder="0" applyProtection="0"/>
    <xf numFmtId="188" fontId="3" fillId="0" borderId="0" applyFont="0" applyFill="0" applyBorder="0" applyProtection="0"/>
    <xf numFmtId="188" fontId="3" fillId="0" borderId="0" applyFont="0" applyFill="0" applyBorder="0" applyProtection="0"/>
    <xf numFmtId="188" fontId="3" fillId="0" borderId="0" applyFont="0" applyFill="0" applyBorder="0" applyProtection="0"/>
    <xf numFmtId="188" fontId="3" fillId="0" borderId="0" applyFont="0" applyFill="0" applyBorder="0" applyProtection="0"/>
    <xf numFmtId="188" fontId="3" fillId="0" borderId="0" applyFont="0" applyFill="0" applyBorder="0" applyProtection="0"/>
    <xf numFmtId="188" fontId="3" fillId="0" borderId="0" applyFont="0" applyFill="0" applyBorder="0" applyProtection="0"/>
    <xf numFmtId="188" fontId="3" fillId="0" borderId="0" applyFont="0" applyFill="0" applyBorder="0" applyProtection="0"/>
    <xf numFmtId="188" fontId="3" fillId="0" borderId="0" applyFont="0" applyFill="0" applyBorder="0" applyProtection="0"/>
    <xf numFmtId="188" fontId="3" fillId="0" borderId="0" applyFont="0" applyFill="0" applyBorder="0" applyProtection="0"/>
    <xf numFmtId="188" fontId="3" fillId="0" borderId="0" applyFont="0" applyFill="0" applyBorder="0" applyProtection="0"/>
    <xf numFmtId="188" fontId="3" fillId="0" borderId="0" applyFont="0" applyFill="0" applyBorder="0" applyProtection="0"/>
    <xf numFmtId="188" fontId="3" fillId="0" borderId="0" applyFont="0" applyFill="0" applyBorder="0" applyProtection="0"/>
    <xf numFmtId="0" fontId="59" fillId="22" borderId="29" applyNumberFormat="0" applyAlignment="0" applyProtection="0"/>
    <xf numFmtId="0" fontId="59" fillId="22" borderId="29" applyNumberFormat="0" applyAlignment="0" applyProtection="0"/>
    <xf numFmtId="0" fontId="59" fillId="22" borderId="29" applyNumberFormat="0" applyAlignment="0" applyProtection="0"/>
    <xf numFmtId="0" fontId="59" fillId="22" borderId="29" applyNumberFormat="0" applyAlignment="0" applyProtection="0"/>
    <xf numFmtId="0" fontId="59" fillId="22" borderId="29" applyNumberFormat="0" applyAlignment="0" applyProtection="0"/>
    <xf numFmtId="12" fontId="50" fillId="32" borderId="30">
      <alignment horizontal="left"/>
    </xf>
    <xf numFmtId="0" fontId="43" fillId="0" borderId="0"/>
    <xf numFmtId="0" fontId="43" fillId="0" borderId="0"/>
    <xf numFmtId="1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0" fillId="0" borderId="0"/>
    <xf numFmtId="4" fontId="61" fillId="30" borderId="31" applyNumberFormat="0" applyProtection="0">
      <alignment vertical="center"/>
    </xf>
    <xf numFmtId="4" fontId="62" fillId="33" borderId="31" applyNumberFormat="0" applyProtection="0">
      <alignment vertical="center"/>
    </xf>
    <xf numFmtId="4" fontId="61" fillId="33" borderId="31" applyNumberFormat="0" applyProtection="0">
      <alignment horizontal="left" vertical="center" indent="1"/>
    </xf>
    <xf numFmtId="0" fontId="61" fillId="33" borderId="31" applyNumberFormat="0" applyProtection="0">
      <alignment horizontal="left" vertical="top" indent="1"/>
    </xf>
    <xf numFmtId="4" fontId="61" fillId="34" borderId="31" applyNumberFormat="0" applyProtection="0"/>
    <xf numFmtId="4" fontId="63" fillId="3" borderId="31" applyNumberFormat="0" applyProtection="0">
      <alignment horizontal="right" vertical="center"/>
    </xf>
    <xf numFmtId="4" fontId="63" fillId="9" borderId="31" applyNumberFormat="0" applyProtection="0">
      <alignment horizontal="right" vertical="center"/>
    </xf>
    <xf numFmtId="4" fontId="63" fillId="17" borderId="31" applyNumberFormat="0" applyProtection="0">
      <alignment horizontal="right" vertical="center"/>
    </xf>
    <xf numFmtId="4" fontId="63" fillId="11" borderId="31" applyNumberFormat="0" applyProtection="0">
      <alignment horizontal="right" vertical="center"/>
    </xf>
    <xf numFmtId="4" fontId="63" fillId="15" borderId="31" applyNumberFormat="0" applyProtection="0">
      <alignment horizontal="right" vertical="center"/>
    </xf>
    <xf numFmtId="4" fontId="63" fillId="19" borderId="31" applyNumberFormat="0" applyProtection="0">
      <alignment horizontal="right" vertical="center"/>
    </xf>
    <xf numFmtId="4" fontId="63" fillId="18" borderId="31" applyNumberFormat="0" applyProtection="0">
      <alignment horizontal="right" vertical="center"/>
    </xf>
    <xf numFmtId="4" fontId="63" fillId="35" borderId="31" applyNumberFormat="0" applyProtection="0">
      <alignment horizontal="right" vertical="center"/>
    </xf>
    <xf numFmtId="4" fontId="63" fillId="10" borderId="31" applyNumberFormat="0" applyProtection="0">
      <alignment horizontal="right" vertical="center"/>
    </xf>
    <xf numFmtId="4" fontId="61" fillId="36" borderId="32" applyNumberFormat="0" applyProtection="0">
      <alignment horizontal="left" vertical="center" indent="1"/>
    </xf>
    <xf numFmtId="4" fontId="63" fillId="37" borderId="0" applyNumberFormat="0" applyProtection="0">
      <alignment horizontal="left" indent="1"/>
    </xf>
    <xf numFmtId="4" fontId="64" fillId="38" borderId="0" applyNumberFormat="0" applyProtection="0">
      <alignment horizontal="left" vertical="center" indent="1"/>
    </xf>
    <xf numFmtId="4" fontId="64" fillId="38" borderId="0" applyNumberFormat="0" applyProtection="0">
      <alignment horizontal="left" vertical="center" indent="1"/>
    </xf>
    <xf numFmtId="4" fontId="64" fillId="38" borderId="0" applyNumberFormat="0" applyProtection="0">
      <alignment horizontal="left" vertical="center" indent="1"/>
    </xf>
    <xf numFmtId="4" fontId="63" fillId="39" borderId="31" applyNumberFormat="0" applyProtection="0">
      <alignment horizontal="right" vertical="center"/>
    </xf>
    <xf numFmtId="4" fontId="65" fillId="40" borderId="0" applyNumberFormat="0" applyProtection="0">
      <alignment horizontal="left" indent="1"/>
    </xf>
    <xf numFmtId="4" fontId="65" fillId="40" borderId="0" applyNumberFormat="0" applyProtection="0">
      <alignment horizontal="left" indent="1"/>
    </xf>
    <xf numFmtId="4" fontId="65" fillId="40" borderId="0" applyNumberFormat="0" applyProtection="0">
      <alignment horizontal="left" indent="1"/>
    </xf>
    <xf numFmtId="4" fontId="65" fillId="40" borderId="0" applyNumberFormat="0" applyProtection="0">
      <alignment horizontal="left" indent="1"/>
    </xf>
    <xf numFmtId="4" fontId="66" fillId="41" borderId="0" applyNumberFormat="0" applyProtection="0"/>
    <xf numFmtId="4" fontId="66" fillId="41" borderId="0" applyNumberFormat="0" applyProtection="0"/>
    <xf numFmtId="4" fontId="66" fillId="41" borderId="0" applyNumberFormat="0" applyProtection="0"/>
    <xf numFmtId="4" fontId="66" fillId="41" borderId="0" applyNumberFormat="0" applyProtection="0"/>
    <xf numFmtId="0" fontId="8" fillId="38" borderId="31" applyNumberFormat="0" applyProtection="0">
      <alignment horizontal="left" vertical="center" indent="1"/>
    </xf>
    <xf numFmtId="0" fontId="8" fillId="38" borderId="31" applyNumberFormat="0" applyProtection="0">
      <alignment horizontal="left" vertical="center" indent="1"/>
    </xf>
    <xf numFmtId="0" fontId="8" fillId="38" borderId="31" applyNumberFormat="0" applyProtection="0">
      <alignment horizontal="left" vertical="center" indent="1"/>
    </xf>
    <xf numFmtId="0" fontId="8" fillId="38" borderId="31" applyNumberFormat="0" applyProtection="0">
      <alignment horizontal="left" vertical="center" indent="1"/>
    </xf>
    <xf numFmtId="0" fontId="8" fillId="38" borderId="31" applyNumberFormat="0" applyProtection="0">
      <alignment horizontal="left" vertical="center" indent="1"/>
    </xf>
    <xf numFmtId="0" fontId="8" fillId="38" borderId="31" applyNumberFormat="0" applyProtection="0">
      <alignment horizontal="left" vertical="center" indent="1"/>
    </xf>
    <xf numFmtId="0" fontId="8" fillId="38" borderId="31" applyNumberFormat="0" applyProtection="0">
      <alignment horizontal="left" vertical="top" indent="1"/>
    </xf>
    <xf numFmtId="0" fontId="8" fillId="38" borderId="31" applyNumberFormat="0" applyProtection="0">
      <alignment horizontal="left" vertical="top" indent="1"/>
    </xf>
    <xf numFmtId="0" fontId="8" fillId="38" borderId="31" applyNumberFormat="0" applyProtection="0">
      <alignment horizontal="left" vertical="top" indent="1"/>
    </xf>
    <xf numFmtId="0" fontId="8" fillId="38" borderId="31" applyNumberFormat="0" applyProtection="0">
      <alignment horizontal="left" vertical="top" indent="1"/>
    </xf>
    <xf numFmtId="0" fontId="8" fillId="38" borderId="31" applyNumberFormat="0" applyProtection="0">
      <alignment horizontal="left" vertical="top" indent="1"/>
    </xf>
    <xf numFmtId="0" fontId="8" fillId="38" borderId="31" applyNumberFormat="0" applyProtection="0">
      <alignment horizontal="left" vertical="top" indent="1"/>
    </xf>
    <xf numFmtId="0" fontId="8" fillId="34" borderId="31" applyNumberFormat="0" applyProtection="0">
      <alignment horizontal="left" vertical="center" indent="1"/>
    </xf>
    <xf numFmtId="0" fontId="8" fillId="34" borderId="31" applyNumberFormat="0" applyProtection="0">
      <alignment horizontal="left" vertical="center" indent="1"/>
    </xf>
    <xf numFmtId="0" fontId="8" fillId="34" borderId="31" applyNumberFormat="0" applyProtection="0">
      <alignment horizontal="left" vertical="center" indent="1"/>
    </xf>
    <xf numFmtId="0" fontId="8" fillId="34" borderId="31" applyNumberFormat="0" applyProtection="0">
      <alignment horizontal="left" vertical="center" indent="1"/>
    </xf>
    <xf numFmtId="0" fontId="8" fillId="34" borderId="31" applyNumberFormat="0" applyProtection="0">
      <alignment horizontal="left" vertical="center" indent="1"/>
    </xf>
    <xf numFmtId="0" fontId="8" fillId="34" borderId="31" applyNumberFormat="0" applyProtection="0">
      <alignment horizontal="left" vertical="center" indent="1"/>
    </xf>
    <xf numFmtId="0" fontId="8" fillId="34" borderId="31" applyNumberFormat="0" applyProtection="0">
      <alignment horizontal="left" vertical="top" indent="1"/>
    </xf>
    <xf numFmtId="0" fontId="8" fillId="34" borderId="31" applyNumberFormat="0" applyProtection="0">
      <alignment horizontal="left" vertical="top" indent="1"/>
    </xf>
    <xf numFmtId="0" fontId="8" fillId="34" borderId="31" applyNumberFormat="0" applyProtection="0">
      <alignment horizontal="left" vertical="top" indent="1"/>
    </xf>
    <xf numFmtId="0" fontId="8" fillId="34" borderId="31" applyNumberFormat="0" applyProtection="0">
      <alignment horizontal="left" vertical="top" indent="1"/>
    </xf>
    <xf numFmtId="0" fontId="8" fillId="34" borderId="31" applyNumberFormat="0" applyProtection="0">
      <alignment horizontal="left" vertical="top" indent="1"/>
    </xf>
    <xf numFmtId="0" fontId="8" fillId="34" borderId="31" applyNumberFormat="0" applyProtection="0">
      <alignment horizontal="left" vertical="top" indent="1"/>
    </xf>
    <xf numFmtId="0" fontId="8" fillId="42" borderId="31" applyNumberFormat="0" applyProtection="0">
      <alignment horizontal="left" vertical="center" indent="1"/>
    </xf>
    <xf numFmtId="0" fontId="8" fillId="42" borderId="31" applyNumberFormat="0" applyProtection="0">
      <alignment horizontal="left" vertical="center" indent="1"/>
    </xf>
    <xf numFmtId="0" fontId="8" fillId="42" borderId="31" applyNumberFormat="0" applyProtection="0">
      <alignment horizontal="left" vertical="center" indent="1"/>
    </xf>
    <xf numFmtId="0" fontId="8" fillId="42" borderId="31" applyNumberFormat="0" applyProtection="0">
      <alignment horizontal="left" vertical="center" indent="1"/>
    </xf>
    <xf numFmtId="0" fontId="8" fillId="42" borderId="31" applyNumberFormat="0" applyProtection="0">
      <alignment horizontal="left" vertical="center" indent="1"/>
    </xf>
    <xf numFmtId="0" fontId="8" fillId="42" borderId="31" applyNumberFormat="0" applyProtection="0">
      <alignment horizontal="left" vertical="center" indent="1"/>
    </xf>
    <xf numFmtId="0" fontId="8" fillId="42" borderId="31" applyNumberFormat="0" applyProtection="0">
      <alignment horizontal="left" vertical="top" indent="1"/>
    </xf>
    <xf numFmtId="0" fontId="8" fillId="42" borderId="31" applyNumberFormat="0" applyProtection="0">
      <alignment horizontal="left" vertical="top" indent="1"/>
    </xf>
    <xf numFmtId="0" fontId="8" fillId="42" borderId="31" applyNumberFormat="0" applyProtection="0">
      <alignment horizontal="left" vertical="top" indent="1"/>
    </xf>
    <xf numFmtId="0" fontId="8" fillId="42" borderId="31" applyNumberFormat="0" applyProtection="0">
      <alignment horizontal="left" vertical="top" indent="1"/>
    </xf>
    <xf numFmtId="0" fontId="8" fillId="42" borderId="31" applyNumberFormat="0" applyProtection="0">
      <alignment horizontal="left" vertical="top" indent="1"/>
    </xf>
    <xf numFmtId="0" fontId="8" fillId="42" borderId="31" applyNumberFormat="0" applyProtection="0">
      <alignment horizontal="left" vertical="top" indent="1"/>
    </xf>
    <xf numFmtId="0" fontId="8" fillId="43" borderId="31" applyNumberFormat="0" applyProtection="0">
      <alignment horizontal="left" vertical="center" indent="1"/>
    </xf>
    <xf numFmtId="0" fontId="8" fillId="43" borderId="31" applyNumberFormat="0" applyProtection="0">
      <alignment horizontal="left" vertical="center" indent="1"/>
    </xf>
    <xf numFmtId="0" fontId="8" fillId="43" borderId="31" applyNumberFormat="0" applyProtection="0">
      <alignment horizontal="left" vertical="center" indent="1"/>
    </xf>
    <xf numFmtId="0" fontId="8" fillId="43" borderId="31" applyNumberFormat="0" applyProtection="0">
      <alignment horizontal="left" vertical="center" indent="1"/>
    </xf>
    <xf numFmtId="0" fontId="8" fillId="43" borderId="31" applyNumberFormat="0" applyProtection="0">
      <alignment horizontal="left" vertical="center" indent="1"/>
    </xf>
    <xf numFmtId="0" fontId="8" fillId="43" borderId="31" applyNumberFormat="0" applyProtection="0">
      <alignment horizontal="left" vertical="center" indent="1"/>
    </xf>
    <xf numFmtId="0" fontId="8" fillId="43" borderId="31" applyNumberFormat="0" applyProtection="0">
      <alignment horizontal="left" vertical="top" indent="1"/>
    </xf>
    <xf numFmtId="0" fontId="8" fillId="43" borderId="31" applyNumberFormat="0" applyProtection="0">
      <alignment horizontal="left" vertical="top" indent="1"/>
    </xf>
    <xf numFmtId="0" fontId="8" fillId="43" borderId="31" applyNumberFormat="0" applyProtection="0">
      <alignment horizontal="left" vertical="top" indent="1"/>
    </xf>
    <xf numFmtId="0" fontId="8" fillId="43" borderId="31" applyNumberFormat="0" applyProtection="0">
      <alignment horizontal="left" vertical="top" indent="1"/>
    </xf>
    <xf numFmtId="0" fontId="8" fillId="43" borderId="31" applyNumberFormat="0" applyProtection="0">
      <alignment horizontal="left" vertical="top" indent="1"/>
    </xf>
    <xf numFmtId="0" fontId="8" fillId="43" borderId="31" applyNumberFormat="0" applyProtection="0">
      <alignment horizontal="left" vertical="top" indent="1"/>
    </xf>
    <xf numFmtId="4" fontId="63" fillId="25" borderId="31" applyNumberFormat="0" applyProtection="0">
      <alignment vertical="center"/>
    </xf>
    <xf numFmtId="4" fontId="67" fillId="25" borderId="31" applyNumberFormat="0" applyProtection="0">
      <alignment vertical="center"/>
    </xf>
    <xf numFmtId="4" fontId="63" fillId="25" borderId="31" applyNumberFormat="0" applyProtection="0">
      <alignment horizontal="left" vertical="center" indent="1"/>
    </xf>
    <xf numFmtId="0" fontId="63" fillId="25" borderId="31" applyNumberFormat="0" applyProtection="0">
      <alignment horizontal="left" vertical="top" indent="1"/>
    </xf>
    <xf numFmtId="4" fontId="63" fillId="0" borderId="31" applyNumberFormat="0" applyProtection="0">
      <alignment horizontal="right" vertical="center"/>
    </xf>
    <xf numFmtId="4" fontId="67" fillId="37" borderId="31" applyNumberFormat="0" applyProtection="0">
      <alignment horizontal="right" vertical="center"/>
    </xf>
    <xf numFmtId="4" fontId="63" fillId="0" borderId="31" applyNumberFormat="0" applyProtection="0">
      <alignment horizontal="left" vertical="center" indent="1"/>
    </xf>
    <xf numFmtId="0" fontId="63" fillId="34" borderId="31" applyNumberFormat="0" applyProtection="0">
      <alignment horizontal="left" vertical="top"/>
    </xf>
    <xf numFmtId="4" fontId="68" fillId="44" borderId="0" applyNumberFormat="0" applyProtection="0">
      <alignment horizontal="left"/>
    </xf>
    <xf numFmtId="4" fontId="68" fillId="44" borderId="0" applyNumberFormat="0" applyProtection="0">
      <alignment horizontal="left"/>
    </xf>
    <xf numFmtId="4" fontId="68" fillId="44" borderId="0" applyNumberFormat="0" applyProtection="0">
      <alignment horizontal="left"/>
    </xf>
    <xf numFmtId="4" fontId="68" fillId="44" borderId="0" applyNumberFormat="0" applyProtection="0">
      <alignment horizontal="left"/>
    </xf>
    <xf numFmtId="4" fontId="69" fillId="37" borderId="31" applyNumberFormat="0" applyProtection="0">
      <alignment horizontal="right" vertical="center"/>
    </xf>
    <xf numFmtId="37" fontId="31" fillId="45" borderId="0" applyNumberFormat="0" applyFont="0" applyBorder="0" applyAlignment="0" applyProtection="0"/>
    <xf numFmtId="189" fontId="8" fillId="0" borderId="33">
      <alignment horizontal="justify" vertical="top" wrapText="1"/>
    </xf>
    <xf numFmtId="189" fontId="8" fillId="0" borderId="33">
      <alignment horizontal="justify" vertical="top" wrapText="1"/>
    </xf>
    <xf numFmtId="189" fontId="8" fillId="0" borderId="33">
      <alignment horizontal="justify" vertical="top" wrapText="1"/>
    </xf>
    <xf numFmtId="0" fontId="8" fillId="0" borderId="0">
      <alignment horizontal="left" wrapText="1"/>
    </xf>
    <xf numFmtId="190" fontId="8" fillId="0" borderId="0" applyFill="0" applyBorder="0" applyAlignment="0" applyProtection="0">
      <alignment wrapText="1"/>
    </xf>
    <xf numFmtId="0" fontId="24" fillId="0" borderId="0" applyNumberFormat="0" applyFill="0" applyBorder="0">
      <alignment horizontal="center" wrapText="1"/>
    </xf>
    <xf numFmtId="0" fontId="24" fillId="0" borderId="0" applyNumberFormat="0" applyFill="0" applyBorder="0">
      <alignment horizontal="center" wrapText="1"/>
    </xf>
    <xf numFmtId="38" fontId="8" fillId="0" borderId="0">
      <alignment horizontal="left" wrapText="1"/>
    </xf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24" fillId="0" borderId="21">
      <alignment horizontal="center" vertical="center" wrapText="1"/>
    </xf>
    <xf numFmtId="0" fontId="43" fillId="0" borderId="34"/>
    <xf numFmtId="0" fontId="43" fillId="0" borderId="3"/>
    <xf numFmtId="38" fontId="63" fillId="0" borderId="35" applyFill="0" applyBorder="0" applyAlignment="0" applyProtection="0">
      <protection locked="0"/>
    </xf>
    <xf numFmtId="37" fontId="48" fillId="33" borderId="0" applyNumberFormat="0" applyBorder="0" applyAlignment="0" applyProtection="0"/>
    <xf numFmtId="37" fontId="48" fillId="33" borderId="0" applyNumberFormat="0" applyBorder="0" applyAlignment="0" applyProtection="0"/>
    <xf numFmtId="37" fontId="48" fillId="33" borderId="0" applyNumberFormat="0" applyBorder="0" applyAlignment="0" applyProtection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33" borderId="0" applyNumberFormat="0" applyBorder="0" applyAlignment="0" applyProtection="0"/>
    <xf numFmtId="3" fontId="71" fillId="46" borderId="36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8" fillId="0" borderId="0"/>
    <xf numFmtId="191" fontId="8" fillId="0" borderId="0">
      <alignment horizontal="left" wrapText="1"/>
    </xf>
    <xf numFmtId="192" fontId="8" fillId="0" borderId="0">
      <alignment horizontal="left" wrapText="1"/>
    </xf>
    <xf numFmtId="192" fontId="8" fillId="0" borderId="0">
      <alignment horizontal="left" wrapText="1"/>
    </xf>
    <xf numFmtId="193" fontId="8" fillId="0" borderId="0">
      <alignment horizontal="left" wrapText="1"/>
    </xf>
    <xf numFmtId="192" fontId="8" fillId="0" borderId="0">
      <alignment horizontal="left" wrapText="1"/>
    </xf>
    <xf numFmtId="192" fontId="8" fillId="0" borderId="0">
      <alignment horizontal="left" wrapText="1"/>
    </xf>
    <xf numFmtId="192" fontId="8" fillId="0" borderId="0">
      <alignment horizontal="left" wrapText="1"/>
    </xf>
    <xf numFmtId="193" fontId="8" fillId="0" borderId="0">
      <alignment horizontal="left" wrapText="1"/>
    </xf>
    <xf numFmtId="193" fontId="8" fillId="0" borderId="0">
      <alignment horizontal="left" wrapText="1"/>
    </xf>
    <xf numFmtId="192" fontId="8" fillId="0" borderId="0">
      <alignment horizontal="left" wrapText="1"/>
    </xf>
    <xf numFmtId="192" fontId="8" fillId="0" borderId="0">
      <alignment horizontal="left" wrapText="1"/>
    </xf>
    <xf numFmtId="193" fontId="8" fillId="0" borderId="0">
      <alignment horizontal="left" wrapText="1"/>
    </xf>
    <xf numFmtId="0" fontId="3" fillId="0" borderId="0"/>
    <xf numFmtId="193" fontId="8" fillId="0" borderId="0">
      <alignment horizontal="left" wrapText="1"/>
    </xf>
    <xf numFmtId="193" fontId="8" fillId="0" borderId="0">
      <alignment horizontal="left" wrapText="1"/>
    </xf>
    <xf numFmtId="192" fontId="8" fillId="0" borderId="0">
      <alignment horizontal="left" wrapText="1"/>
    </xf>
    <xf numFmtId="192" fontId="8" fillId="0" borderId="0">
      <alignment horizontal="left" wrapText="1"/>
    </xf>
    <xf numFmtId="192" fontId="8" fillId="0" borderId="0">
      <alignment horizontal="left" wrapText="1"/>
    </xf>
    <xf numFmtId="0" fontId="3" fillId="0" borderId="0"/>
    <xf numFmtId="0" fontId="43" fillId="0" borderId="0"/>
    <xf numFmtId="0" fontId="43" fillId="0" borderId="0"/>
    <xf numFmtId="193" fontId="8" fillId="0" borderId="0"/>
    <xf numFmtId="0" fontId="43" fillId="0" borderId="0"/>
    <xf numFmtId="44" fontId="24" fillId="0" borderId="37" applyNumberFormat="0" applyFont="0" applyAlignment="0">
      <alignment horizontal="center"/>
    </xf>
    <xf numFmtId="44" fontId="24" fillId="0" borderId="38" applyNumberFormat="0" applyFont="0" applyAlignment="0">
      <alignment horizontal="center"/>
    </xf>
    <xf numFmtId="0" fontId="8" fillId="0" borderId="0"/>
    <xf numFmtId="168" fontId="57" fillId="0" borderId="0" applyBorder="0" applyAlignment="0"/>
    <xf numFmtId="194" fontId="8" fillId="0" borderId="0" applyFont="0" applyFill="0" applyAlignment="0">
      <alignment horizontal="right"/>
    </xf>
    <xf numFmtId="38" fontId="48" fillId="0" borderId="39"/>
    <xf numFmtId="38" fontId="57" fillId="0" borderId="2"/>
    <xf numFmtId="39" fontId="45" fillId="47" borderId="0"/>
    <xf numFmtId="0" fontId="75" fillId="0" borderId="0"/>
    <xf numFmtId="0" fontId="96" fillId="0" borderId="0"/>
    <xf numFmtId="0" fontId="97" fillId="0" borderId="0"/>
    <xf numFmtId="0" fontId="3" fillId="0" borderId="0"/>
  </cellStyleXfs>
  <cellXfs count="433">
    <xf numFmtId="0" fontId="0" fillId="0" borderId="0" xfId="0"/>
    <xf numFmtId="0" fontId="3" fillId="0" borderId="0" xfId="4" applyFill="1"/>
    <xf numFmtId="0" fontId="4" fillId="0" borderId="0" xfId="4" applyFont="1" applyFill="1"/>
    <xf numFmtId="0" fontId="3" fillId="0" borderId="0" xfId="4" applyFont="1" applyFill="1"/>
    <xf numFmtId="0" fontId="5" fillId="0" borderId="0" xfId="4" applyFont="1" applyFill="1" applyAlignment="1"/>
    <xf numFmtId="0" fontId="5" fillId="0" borderId="0" xfId="4" quotePrefix="1" applyFont="1" applyFill="1" applyAlignment="1"/>
    <xf numFmtId="0" fontId="3" fillId="0" borderId="0" xfId="4" applyFill="1" applyBorder="1"/>
    <xf numFmtId="0" fontId="5" fillId="0" borderId="0" xfId="4" applyFont="1" applyFill="1" applyBorder="1" applyAlignment="1">
      <alignment horizontal="center"/>
    </xf>
    <xf numFmtId="0" fontId="6" fillId="0" borderId="0" xfId="4" applyFont="1" applyFill="1" applyBorder="1" applyAlignment="1">
      <alignment horizontal="center"/>
    </xf>
    <xf numFmtId="0" fontId="3" fillId="0" borderId="0" xfId="4" applyFont="1" applyFill="1" applyAlignment="1">
      <alignment horizontal="center"/>
    </xf>
    <xf numFmtId="0" fontId="3" fillId="0" borderId="0" xfId="4" applyFont="1" applyFill="1" applyBorder="1" applyAlignment="1">
      <alignment horizontal="left"/>
    </xf>
    <xf numFmtId="0" fontId="3" fillId="0" borderId="0" xfId="4" applyFont="1" applyFill="1" applyBorder="1" applyAlignment="1"/>
    <xf numFmtId="0" fontId="4" fillId="0" borderId="0" xfId="4" applyFont="1" applyFill="1" applyAlignment="1">
      <alignment horizontal="center"/>
    </xf>
    <xf numFmtId="0" fontId="3" fillId="0" borderId="0" xfId="4" quotePrefix="1" applyFont="1" applyFill="1" applyBorder="1" applyAlignment="1">
      <alignment horizontal="center"/>
    </xf>
    <xf numFmtId="0" fontId="3" fillId="0" borderId="0" xfId="4" applyFill="1" applyAlignment="1">
      <alignment horizontal="center"/>
    </xf>
    <xf numFmtId="0" fontId="3" fillId="0" borderId="0" xfId="4" quotePrefix="1" applyFont="1" applyFill="1" applyAlignment="1">
      <alignment horizontal="center"/>
    </xf>
    <xf numFmtId="0" fontId="3" fillId="0" borderId="0" xfId="4" applyFill="1" applyBorder="1" applyAlignment="1">
      <alignment horizontal="center"/>
    </xf>
    <xf numFmtId="0" fontId="3" fillId="0" borderId="3" xfId="4" applyFill="1" applyBorder="1" applyAlignment="1">
      <alignment horizontal="center"/>
    </xf>
    <xf numFmtId="0" fontId="4" fillId="0" borderId="3" xfId="4" applyFont="1" applyFill="1" applyBorder="1" applyAlignment="1">
      <alignment horizontal="center"/>
    </xf>
    <xf numFmtId="0" fontId="4" fillId="0" borderId="0" xfId="4" applyFont="1" applyFill="1" applyBorder="1" applyAlignment="1">
      <alignment horizontal="center"/>
    </xf>
    <xf numFmtId="0" fontId="3" fillId="0" borderId="3" xfId="4" applyFont="1" applyFill="1" applyBorder="1" applyAlignment="1">
      <alignment horizontal="center"/>
    </xf>
    <xf numFmtId="6" fontId="3" fillId="0" borderId="3" xfId="4" quotePrefix="1" applyNumberFormat="1" applyFont="1" applyFill="1" applyBorder="1" applyAlignment="1">
      <alignment horizontal="center"/>
    </xf>
    <xf numFmtId="6" fontId="3" fillId="0" borderId="0" xfId="4" quotePrefix="1" applyNumberFormat="1" applyFont="1" applyFill="1" applyBorder="1" applyAlignment="1">
      <alignment horizontal="center"/>
    </xf>
    <xf numFmtId="0" fontId="3" fillId="0" borderId="1" xfId="4" quotePrefix="1" applyFont="1" applyFill="1" applyBorder="1" applyAlignment="1">
      <alignment horizontal="center"/>
    </xf>
    <xf numFmtId="6" fontId="3" fillId="0" borderId="1" xfId="4" quotePrefix="1" applyNumberFormat="1" applyFont="1" applyFill="1" applyBorder="1" applyAlignment="1">
      <alignment horizontal="center"/>
    </xf>
    <xf numFmtId="0" fontId="3" fillId="0" borderId="0" xfId="4" quotePrefix="1" applyFont="1" applyFill="1"/>
    <xf numFmtId="0" fontId="7" fillId="0" borderId="0" xfId="4" applyFont="1" applyFill="1"/>
    <xf numFmtId="0" fontId="4" fillId="0" borderId="0" xfId="4" quotePrefix="1" applyFont="1" applyFill="1" applyAlignment="1">
      <alignment horizontal="center"/>
    </xf>
    <xf numFmtId="37" fontId="3" fillId="0" borderId="0" xfId="4" applyNumberFormat="1" applyFont="1" applyFill="1" applyProtection="1"/>
    <xf numFmtId="5" fontId="4" fillId="0" borderId="0" xfId="4" applyNumberFormat="1" applyFont="1" applyFill="1" applyProtection="1">
      <protection locked="0"/>
    </xf>
    <xf numFmtId="10" fontId="4" fillId="0" borderId="0" xfId="3" applyNumberFormat="1" applyFont="1" applyFill="1" applyProtection="1">
      <protection locked="0"/>
    </xf>
    <xf numFmtId="5" fontId="4" fillId="0" borderId="0" xfId="3" applyNumberFormat="1" applyFont="1" applyFill="1" applyProtection="1">
      <protection locked="0"/>
    </xf>
    <xf numFmtId="164" fontId="4" fillId="0" borderId="0" xfId="3" applyNumberFormat="1" applyFont="1" applyFill="1" applyProtection="1">
      <protection locked="0"/>
    </xf>
    <xf numFmtId="165" fontId="4" fillId="0" borderId="0" xfId="1" applyNumberFormat="1" applyFont="1" applyFill="1" applyProtection="1">
      <protection locked="0"/>
    </xf>
    <xf numFmtId="166" fontId="3" fillId="0" borderId="0" xfId="4" applyNumberFormat="1" applyFont="1" applyFill="1" applyProtection="1"/>
    <xf numFmtId="0" fontId="3" fillId="0" borderId="0" xfId="4" applyFont="1" applyFill="1" applyBorder="1"/>
    <xf numFmtId="10" fontId="4" fillId="0" borderId="0" xfId="3" applyNumberFormat="1" applyFont="1" applyFill="1" applyBorder="1" applyProtection="1">
      <protection locked="0"/>
    </xf>
    <xf numFmtId="2" fontId="3" fillId="0" borderId="0" xfId="4" applyNumberFormat="1" applyFont="1" applyFill="1"/>
    <xf numFmtId="0" fontId="3" fillId="0" borderId="3" xfId="4" applyFill="1" applyBorder="1"/>
    <xf numFmtId="0" fontId="3" fillId="0" borderId="1" xfId="4" applyFill="1" applyBorder="1"/>
    <xf numFmtId="164" fontId="3" fillId="0" borderId="1" xfId="4" applyNumberFormat="1" applyFill="1" applyBorder="1"/>
    <xf numFmtId="165" fontId="3" fillId="0" borderId="1" xfId="4" applyNumberFormat="1" applyFill="1" applyBorder="1"/>
    <xf numFmtId="164" fontId="3" fillId="0" borderId="0" xfId="4" applyNumberFormat="1" applyFill="1"/>
    <xf numFmtId="165" fontId="3" fillId="0" borderId="0" xfId="4" applyNumberFormat="1" applyFill="1"/>
    <xf numFmtId="0" fontId="9" fillId="0" borderId="0" xfId="5" applyFont="1" applyFill="1" applyAlignment="1">
      <alignment horizontal="center"/>
    </xf>
    <xf numFmtId="37" fontId="3" fillId="0" borderId="0" xfId="4" applyNumberFormat="1" applyFill="1" applyProtection="1"/>
    <xf numFmtId="5" fontId="3" fillId="0" borderId="0" xfId="4" applyNumberFormat="1" applyFill="1" applyProtection="1"/>
    <xf numFmtId="165" fontId="4" fillId="0" borderId="0" xfId="3" applyNumberFormat="1" applyFont="1" applyFill="1" applyProtection="1">
      <protection locked="0"/>
    </xf>
    <xf numFmtId="37" fontId="3" fillId="0" borderId="0" xfId="4" applyNumberFormat="1" applyFill="1"/>
    <xf numFmtId="5" fontId="3" fillId="0" borderId="0" xfId="4" applyNumberFormat="1" applyFill="1"/>
    <xf numFmtId="164" fontId="3" fillId="0" borderId="0" xfId="3" applyNumberFormat="1" applyFont="1" applyFill="1"/>
    <xf numFmtId="0" fontId="9" fillId="0" borderId="0" xfId="5" applyFont="1" applyFill="1"/>
    <xf numFmtId="37" fontId="3" fillId="0" borderId="3" xfId="4" applyNumberFormat="1" applyFill="1" applyBorder="1" applyProtection="1"/>
    <xf numFmtId="5" fontId="3" fillId="0" borderId="3" xfId="4" applyNumberFormat="1" applyFill="1" applyBorder="1" applyProtection="1"/>
    <xf numFmtId="5" fontId="3" fillId="0" borderId="0" xfId="4" applyNumberFormat="1" applyFill="1" applyBorder="1" applyProtection="1"/>
    <xf numFmtId="164" fontId="4" fillId="0" borderId="1" xfId="3" applyNumberFormat="1" applyFont="1" applyFill="1" applyBorder="1" applyProtection="1">
      <protection locked="0"/>
    </xf>
    <xf numFmtId="166" fontId="3" fillId="0" borderId="1" xfId="4" applyNumberFormat="1" applyFont="1" applyFill="1" applyBorder="1" applyProtection="1"/>
    <xf numFmtId="37" fontId="3" fillId="0" borderId="0" xfId="4" applyNumberFormat="1" applyFill="1" applyBorder="1" applyProtection="1"/>
    <xf numFmtId="164" fontId="3" fillId="0" borderId="0" xfId="4" applyNumberFormat="1" applyFill="1" applyBorder="1" applyProtection="1"/>
    <xf numFmtId="10" fontId="3" fillId="0" borderId="0" xfId="4" applyNumberFormat="1" applyFill="1" applyBorder="1" applyProtection="1"/>
    <xf numFmtId="165" fontId="3" fillId="0" borderId="0" xfId="4" applyNumberFormat="1" applyFill="1" applyBorder="1" applyProtection="1"/>
    <xf numFmtId="37" fontId="3" fillId="0" borderId="4" xfId="4" applyNumberFormat="1" applyFill="1" applyBorder="1"/>
    <xf numFmtId="5" fontId="3" fillId="0" borderId="4" xfId="4" applyNumberFormat="1" applyFill="1" applyBorder="1"/>
    <xf numFmtId="5" fontId="3" fillId="0" borderId="0" xfId="4" applyNumberFormat="1" applyFill="1" applyBorder="1"/>
    <xf numFmtId="164" fontId="4" fillId="0" borderId="4" xfId="3" applyNumberFormat="1" applyFont="1" applyFill="1" applyBorder="1" applyProtection="1">
      <protection locked="0"/>
    </xf>
    <xf numFmtId="37" fontId="3" fillId="0" borderId="0" xfId="4" applyNumberFormat="1" applyFill="1" applyBorder="1"/>
    <xf numFmtId="10" fontId="4" fillId="0" borderId="0" xfId="3" quotePrefix="1" applyNumberFormat="1" applyFont="1" applyFill="1" applyBorder="1" applyProtection="1">
      <protection locked="0"/>
    </xf>
    <xf numFmtId="0" fontId="11" fillId="0" borderId="0" xfId="5" applyFont="1" applyFill="1"/>
    <xf numFmtId="37" fontId="3" fillId="0" borderId="4" xfId="4" applyNumberFormat="1" applyFont="1" applyFill="1" applyBorder="1" applyProtection="1"/>
    <xf numFmtId="5" fontId="4" fillId="0" borderId="4" xfId="3" applyNumberFormat="1" applyFont="1" applyFill="1" applyBorder="1" applyProtection="1">
      <protection locked="0"/>
    </xf>
    <xf numFmtId="5" fontId="3" fillId="0" borderId="0" xfId="4" applyNumberFormat="1" applyFont="1" applyFill="1"/>
    <xf numFmtId="0" fontId="3" fillId="0" borderId="0" xfId="4" applyFont="1" applyFill="1" applyAlignment="1">
      <alignment horizontal="right"/>
    </xf>
    <xf numFmtId="43" fontId="3" fillId="0" borderId="0" xfId="1" applyFont="1" applyFill="1"/>
    <xf numFmtId="10" fontId="3" fillId="0" borderId="0" xfId="3" applyNumberFormat="1" applyFont="1" applyFill="1"/>
    <xf numFmtId="169" fontId="12" fillId="0" borderId="0" xfId="2" applyNumberFormat="1" applyFont="1" applyFill="1"/>
    <xf numFmtId="164" fontId="12" fillId="0" borderId="0" xfId="3" applyNumberFormat="1" applyFont="1" applyFill="1" applyBorder="1" applyProtection="1">
      <protection locked="0"/>
    </xf>
    <xf numFmtId="1" fontId="3" fillId="0" borderId="0" xfId="4" applyNumberFormat="1" applyFill="1"/>
    <xf numFmtId="164" fontId="3" fillId="0" borderId="0" xfId="3" applyNumberFormat="1" applyFont="1" applyFill="1" applyBorder="1"/>
    <xf numFmtId="1" fontId="12" fillId="0" borderId="0" xfId="4" applyNumberFormat="1" applyFont="1" applyFill="1"/>
    <xf numFmtId="164" fontId="12" fillId="0" borderId="0" xfId="3" applyNumberFormat="1" applyFont="1" applyFill="1"/>
    <xf numFmtId="170" fontId="3" fillId="0" borderId="0" xfId="4" applyNumberFormat="1" applyFill="1"/>
    <xf numFmtId="164" fontId="13" fillId="0" borderId="0" xfId="3" applyNumberFormat="1" applyFont="1" applyFill="1"/>
    <xf numFmtId="0" fontId="9" fillId="0" borderId="0" xfId="16" applyFont="1" applyFill="1"/>
    <xf numFmtId="0" fontId="11" fillId="0" borderId="0" xfId="16" applyFont="1" applyFill="1"/>
    <xf numFmtId="0" fontId="11" fillId="0" borderId="0" xfId="16" applyFont="1" applyFill="1" applyAlignment="1">
      <alignment horizontal="centerContinuous"/>
    </xf>
    <xf numFmtId="0" fontId="16" fillId="0" borderId="0" xfId="16" applyFont="1" applyFill="1" applyBorder="1" applyAlignment="1">
      <alignment horizontal="centerContinuous"/>
    </xf>
    <xf numFmtId="0" fontId="16" fillId="0" borderId="0" xfId="16" applyFont="1" applyFill="1" applyAlignment="1">
      <alignment horizontal="centerContinuous"/>
    </xf>
    <xf numFmtId="0" fontId="9" fillId="0" borderId="0" xfId="16" applyFont="1" applyFill="1" applyAlignment="1">
      <alignment horizontal="centerContinuous"/>
    </xf>
    <xf numFmtId="0" fontId="9" fillId="0" borderId="1" xfId="16" applyFont="1" applyFill="1" applyBorder="1" applyAlignment="1">
      <alignment horizontal="centerContinuous"/>
    </xf>
    <xf numFmtId="0" fontId="9" fillId="0" borderId="1" xfId="16" applyFont="1" applyFill="1" applyBorder="1" applyAlignment="1"/>
    <xf numFmtId="0" fontId="9" fillId="0" borderId="0" xfId="16" applyFont="1" applyFill="1" applyBorder="1" applyAlignment="1"/>
    <xf numFmtId="0" fontId="9" fillId="0" borderId="0" xfId="16" applyFill="1"/>
    <xf numFmtId="0" fontId="9" fillId="0" borderId="0" xfId="16" applyFont="1" applyFill="1" applyBorder="1" applyAlignment="1">
      <alignment horizontal="center"/>
    </xf>
    <xf numFmtId="0" fontId="9" fillId="0" borderId="0" xfId="16" applyFont="1" applyFill="1" applyBorder="1" applyAlignment="1">
      <alignment horizontal="centerContinuous"/>
    </xf>
    <xf numFmtId="0" fontId="9" fillId="0" borderId="0" xfId="16" applyFont="1" applyFill="1" applyAlignment="1">
      <alignment horizontal="center"/>
    </xf>
    <xf numFmtId="0" fontId="18" fillId="0" borderId="5" xfId="16" applyFont="1" applyFill="1" applyBorder="1"/>
    <xf numFmtId="0" fontId="18" fillId="0" borderId="6" xfId="16" applyFont="1" applyFill="1" applyBorder="1"/>
    <xf numFmtId="0" fontId="9" fillId="0" borderId="1" xfId="16" applyFont="1" applyFill="1" applyBorder="1" applyAlignment="1">
      <alignment horizontal="center"/>
    </xf>
    <xf numFmtId="0" fontId="9" fillId="0" borderId="3" xfId="16" applyFont="1" applyFill="1" applyBorder="1" applyAlignment="1">
      <alignment horizontal="centerContinuous"/>
    </xf>
    <xf numFmtId="0" fontId="17" fillId="0" borderId="0" xfId="16" applyFont="1" applyFill="1"/>
    <xf numFmtId="0" fontId="18" fillId="0" borderId="7" xfId="16" applyFont="1" applyFill="1" applyBorder="1"/>
    <xf numFmtId="7" fontId="19" fillId="0" borderId="8" xfId="16" applyNumberFormat="1" applyFont="1" applyFill="1" applyBorder="1"/>
    <xf numFmtId="0" fontId="20" fillId="0" borderId="0" xfId="16" applyFont="1" applyFill="1"/>
    <xf numFmtId="173" fontId="19" fillId="0" borderId="8" xfId="16" applyNumberFormat="1" applyFont="1" applyFill="1" applyBorder="1"/>
    <xf numFmtId="165" fontId="19" fillId="0" borderId="8" xfId="1" applyNumberFormat="1" applyFont="1" applyFill="1" applyBorder="1" applyAlignment="1">
      <alignment horizontal="right"/>
    </xf>
    <xf numFmtId="43" fontId="9" fillId="0" borderId="0" xfId="16" applyNumberFormat="1" applyFont="1" applyFill="1"/>
    <xf numFmtId="37" fontId="9" fillId="0" borderId="0" xfId="16" applyNumberFormat="1" applyFont="1" applyFill="1" applyProtection="1"/>
    <xf numFmtId="7" fontId="9" fillId="0" borderId="0" xfId="16" applyNumberFormat="1" applyFill="1"/>
    <xf numFmtId="7" fontId="9" fillId="0" borderId="0" xfId="16" applyNumberFormat="1" applyFont="1" applyFill="1"/>
    <xf numFmtId="10" fontId="9" fillId="0" borderId="0" xfId="16" applyNumberFormat="1" applyFont="1" applyFill="1" applyProtection="1"/>
    <xf numFmtId="0" fontId="18" fillId="0" borderId="9" xfId="16" applyFont="1" applyFill="1" applyBorder="1"/>
    <xf numFmtId="173" fontId="19" fillId="0" borderId="10" xfId="16" applyNumberFormat="1" applyFont="1" applyFill="1" applyBorder="1"/>
    <xf numFmtId="0" fontId="18" fillId="0" borderId="0" xfId="16" applyFont="1" applyFill="1"/>
    <xf numFmtId="173" fontId="18" fillId="0" borderId="0" xfId="16" applyNumberFormat="1" applyFont="1" applyFill="1"/>
    <xf numFmtId="0" fontId="9" fillId="0" borderId="0" xfId="16" applyFont="1" applyFill="1" applyBorder="1"/>
    <xf numFmtId="7" fontId="9" fillId="0" borderId="0" xfId="16" applyNumberFormat="1" applyFont="1" applyFill="1" applyProtection="1"/>
    <xf numFmtId="164" fontId="18" fillId="0" borderId="0" xfId="16" applyNumberFormat="1" applyFont="1" applyFill="1"/>
    <xf numFmtId="0" fontId="9" fillId="0" borderId="0" xfId="16" applyFont="1" applyFill="1" applyAlignment="1">
      <alignment horizontal="right"/>
    </xf>
    <xf numFmtId="174" fontId="9" fillId="0" borderId="0" xfId="16" applyNumberFormat="1" applyFont="1" applyFill="1" applyProtection="1"/>
    <xf numFmtId="37" fontId="9" fillId="0" borderId="1" xfId="16" applyNumberFormat="1" applyFont="1" applyFill="1" applyBorder="1" applyProtection="1"/>
    <xf numFmtId="0" fontId="9" fillId="0" borderId="1" xfId="16" applyFont="1" applyFill="1" applyBorder="1"/>
    <xf numFmtId="7" fontId="9" fillId="0" borderId="1" xfId="16" applyNumberFormat="1" applyFont="1" applyFill="1" applyBorder="1" applyProtection="1"/>
    <xf numFmtId="174" fontId="9" fillId="0" borderId="1" xfId="16" applyNumberFormat="1" applyFont="1" applyFill="1" applyBorder="1" applyProtection="1"/>
    <xf numFmtId="0" fontId="21" fillId="0" borderId="0" xfId="16" applyFont="1" applyFill="1"/>
    <xf numFmtId="0" fontId="21" fillId="0" borderId="0" xfId="16" quotePrefix="1" applyFont="1" applyFill="1" applyBorder="1" applyAlignment="1">
      <alignment horizontal="left"/>
    </xf>
    <xf numFmtId="5" fontId="9" fillId="0" borderId="0" xfId="16" applyNumberFormat="1" applyFont="1" applyFill="1"/>
    <xf numFmtId="0" fontId="23" fillId="0" borderId="0" xfId="16" applyFont="1" applyFill="1" applyBorder="1" applyAlignment="1">
      <alignment horizontal="centerContinuous"/>
    </xf>
    <xf numFmtId="0" fontId="9" fillId="0" borderId="0" xfId="16" applyFont="1" applyFill="1" applyAlignment="1" applyProtection="1">
      <alignment horizontal="center"/>
    </xf>
    <xf numFmtId="0" fontId="9" fillId="0" borderId="5" xfId="16" applyFont="1" applyFill="1" applyBorder="1" applyAlignment="1">
      <alignment horizontal="center"/>
    </xf>
    <xf numFmtId="0" fontId="9" fillId="0" borderId="6" xfId="16" applyFont="1" applyFill="1" applyBorder="1"/>
    <xf numFmtId="0" fontId="9" fillId="0" borderId="11" xfId="16" applyFont="1" applyFill="1" applyBorder="1"/>
    <xf numFmtId="0" fontId="9" fillId="0" borderId="0" xfId="16" applyFont="1" applyFill="1" applyBorder="1" applyAlignment="1" applyProtection="1">
      <alignment horizontal="center"/>
    </xf>
    <xf numFmtId="0" fontId="9" fillId="0" borderId="1" xfId="16" applyFont="1" applyFill="1" applyBorder="1" applyAlignment="1" applyProtection="1">
      <alignment horizontal="center"/>
    </xf>
    <xf numFmtId="0" fontId="9" fillId="0" borderId="7" xfId="16" applyFont="1" applyFill="1" applyBorder="1"/>
    <xf numFmtId="0" fontId="19" fillId="0" borderId="0" xfId="16" applyFont="1" applyFill="1" applyBorder="1"/>
    <xf numFmtId="0" fontId="20" fillId="0" borderId="0" xfId="16" applyFont="1" applyFill="1" applyAlignment="1">
      <alignment horizontal="center"/>
    </xf>
    <xf numFmtId="0" fontId="18" fillId="0" borderId="8" xfId="16" applyFont="1" applyFill="1" applyBorder="1"/>
    <xf numFmtId="0" fontId="18" fillId="0" borderId="0" xfId="16" applyFont="1" applyFill="1" applyBorder="1"/>
    <xf numFmtId="0" fontId="9" fillId="0" borderId="12" xfId="16" applyFont="1" applyFill="1" applyBorder="1"/>
    <xf numFmtId="0" fontId="9" fillId="0" borderId="2" xfId="16" applyFont="1" applyFill="1" applyBorder="1"/>
    <xf numFmtId="0" fontId="9" fillId="0" borderId="13" xfId="16" applyFont="1" applyFill="1" applyBorder="1"/>
    <xf numFmtId="0" fontId="20" fillId="0" borderId="0" xfId="16" applyFont="1" applyFill="1" applyBorder="1"/>
    <xf numFmtId="0" fontId="9" fillId="0" borderId="14" xfId="16" applyFont="1" applyFill="1" applyBorder="1"/>
    <xf numFmtId="7" fontId="19" fillId="0" borderId="0" xfId="16" applyNumberFormat="1" applyFont="1" applyFill="1" applyBorder="1"/>
    <xf numFmtId="7" fontId="19" fillId="0" borderId="15" xfId="16" applyNumberFormat="1" applyFont="1" applyFill="1" applyBorder="1"/>
    <xf numFmtId="5" fontId="9" fillId="0" borderId="0" xfId="16" applyNumberFormat="1" applyFont="1" applyFill="1" applyProtection="1"/>
    <xf numFmtId="5" fontId="19" fillId="0" borderId="0" xfId="16" applyNumberFormat="1" applyFont="1" applyFill="1" applyBorder="1"/>
    <xf numFmtId="5" fontId="19" fillId="0" borderId="15" xfId="16" applyNumberFormat="1" applyFont="1" applyFill="1" applyBorder="1"/>
    <xf numFmtId="0" fontId="9" fillId="0" borderId="16" xfId="16" applyFont="1" applyFill="1" applyBorder="1"/>
    <xf numFmtId="5" fontId="19" fillId="0" borderId="1" xfId="16" applyNumberFormat="1" applyFont="1" applyFill="1" applyBorder="1"/>
    <xf numFmtId="0" fontId="19" fillId="0" borderId="1" xfId="16" applyFont="1" applyFill="1" applyBorder="1"/>
    <xf numFmtId="5" fontId="19" fillId="0" borderId="17" xfId="16" applyNumberFormat="1" applyFont="1" applyFill="1" applyBorder="1"/>
    <xf numFmtId="7" fontId="9" fillId="0" borderId="0" xfId="2" applyNumberFormat="1" applyFont="1" applyFill="1"/>
    <xf numFmtId="0" fontId="21" fillId="0" borderId="0" xfId="16" quotePrefix="1" applyFont="1" applyFill="1" applyBorder="1"/>
    <xf numFmtId="0" fontId="11" fillId="0" borderId="0" xfId="5" applyFont="1" applyFill="1" applyBorder="1" applyAlignment="1"/>
    <xf numFmtId="0" fontId="11" fillId="0" borderId="0" xfId="5" applyFont="1" applyFill="1" applyBorder="1" applyAlignment="1">
      <alignment horizontal="center"/>
    </xf>
    <xf numFmtId="0" fontId="9" fillId="0" borderId="0" xfId="5" applyFill="1"/>
    <xf numFmtId="0" fontId="11" fillId="0" borderId="0" xfId="5" applyFont="1" applyFill="1" applyAlignment="1">
      <alignment horizontal="center"/>
    </xf>
    <xf numFmtId="0" fontId="11" fillId="0" borderId="3" xfId="5" applyFont="1" applyFill="1" applyBorder="1" applyAlignment="1">
      <alignment horizontal="center"/>
    </xf>
    <xf numFmtId="0" fontId="11" fillId="0" borderId="3" xfId="5" quotePrefix="1" applyFont="1" applyFill="1" applyBorder="1" applyAlignment="1">
      <alignment horizontal="center"/>
    </xf>
    <xf numFmtId="5" fontId="9" fillId="0" borderId="0" xfId="5" applyNumberFormat="1" applyFont="1" applyFill="1" applyProtection="1"/>
    <xf numFmtId="164" fontId="9" fillId="0" borderId="0" xfId="3" applyNumberFormat="1" applyFont="1" applyFill="1"/>
    <xf numFmtId="0" fontId="0" fillId="0" borderId="0" xfId="4" applyFont="1" applyFill="1"/>
    <xf numFmtId="5" fontId="9" fillId="0" borderId="1" xfId="5" applyNumberFormat="1" applyFont="1" applyFill="1" applyBorder="1" applyProtection="1"/>
    <xf numFmtId="5" fontId="9" fillId="0" borderId="4" xfId="5" applyNumberFormat="1" applyFont="1" applyFill="1" applyBorder="1" applyProtection="1"/>
    <xf numFmtId="164" fontId="9" fillId="0" borderId="1" xfId="3" applyNumberFormat="1" applyFont="1" applyFill="1" applyBorder="1"/>
    <xf numFmtId="164" fontId="9" fillId="0" borderId="4" xfId="3" applyNumberFormat="1" applyFont="1" applyFill="1" applyBorder="1"/>
    <xf numFmtId="5" fontId="4" fillId="0" borderId="0" xfId="4" applyNumberFormat="1" applyFont="1" applyFill="1" applyBorder="1" applyProtection="1">
      <protection locked="0"/>
    </xf>
    <xf numFmtId="164" fontId="4" fillId="0" borderId="0" xfId="3" applyNumberFormat="1" applyFont="1" applyFill="1" applyBorder="1" applyProtection="1">
      <protection locked="0"/>
    </xf>
    <xf numFmtId="37" fontId="3" fillId="0" borderId="0" xfId="4" applyNumberFormat="1" applyFont="1" applyFill="1" applyBorder="1" applyProtection="1"/>
    <xf numFmtId="5" fontId="9" fillId="0" borderId="0" xfId="5" applyNumberFormat="1" applyFont="1" applyFill="1" applyBorder="1" applyProtection="1"/>
    <xf numFmtId="164" fontId="9" fillId="0" borderId="0" xfId="3" applyNumberFormat="1" applyFont="1" applyFill="1" applyBorder="1"/>
    <xf numFmtId="0" fontId="8" fillId="0" borderId="0" xfId="19" applyFont="1"/>
    <xf numFmtId="0" fontId="8" fillId="0" borderId="0" xfId="19"/>
    <xf numFmtId="0" fontId="8" fillId="0" borderId="0" xfId="19" applyFont="1" applyAlignment="1">
      <alignment horizontal="center"/>
    </xf>
    <xf numFmtId="0" fontId="8" fillId="0" borderId="0" xfId="19" applyAlignment="1">
      <alignment horizontal="left"/>
    </xf>
    <xf numFmtId="3" fontId="8" fillId="0" borderId="0" xfId="19" applyNumberFormat="1" applyFill="1"/>
    <xf numFmtId="0" fontId="8" fillId="0" borderId="4" xfId="19" applyFont="1" applyBorder="1" applyAlignment="1">
      <alignment horizontal="left"/>
    </xf>
    <xf numFmtId="175" fontId="8" fillId="0" borderId="0" xfId="19" applyNumberFormat="1"/>
    <xf numFmtId="0" fontId="24" fillId="0" borderId="18" xfId="19" applyFont="1" applyBorder="1"/>
    <xf numFmtId="176" fontId="24" fillId="0" borderId="19" xfId="19" applyNumberFormat="1" applyFont="1" applyBorder="1"/>
    <xf numFmtId="0" fontId="24" fillId="0" borderId="20" xfId="19" applyFont="1" applyBorder="1"/>
    <xf numFmtId="10" fontId="8" fillId="0" borderId="0" xfId="3" applyNumberFormat="1" applyFont="1"/>
    <xf numFmtId="37" fontId="8" fillId="0" borderId="4" xfId="19" applyNumberFormat="1" applyBorder="1"/>
    <xf numFmtId="0" fontId="10" fillId="0" borderId="0" xfId="4" applyFont="1" applyFill="1"/>
    <xf numFmtId="173" fontId="9" fillId="0" borderId="0" xfId="16" applyNumberFormat="1" applyFont="1" applyFill="1"/>
    <xf numFmtId="0" fontId="3" fillId="0" borderId="1" xfId="4" applyFont="1" applyFill="1" applyBorder="1" applyAlignment="1"/>
    <xf numFmtId="5" fontId="3" fillId="0" borderId="0" xfId="20" applyNumberFormat="1" applyBorder="1" applyAlignment="1">
      <alignment horizontal="center"/>
    </xf>
    <xf numFmtId="5" fontId="3" fillId="0" borderId="1" xfId="20" quotePrefix="1" applyNumberFormat="1" applyBorder="1" applyAlignment="1">
      <alignment horizontal="center"/>
    </xf>
    <xf numFmtId="164" fontId="3" fillId="0" borderId="1" xfId="3" applyNumberFormat="1" applyFont="1" applyFill="1" applyBorder="1"/>
    <xf numFmtId="178" fontId="9" fillId="0" borderId="0" xfId="5" applyNumberFormat="1" applyFill="1"/>
    <xf numFmtId="0" fontId="0" fillId="0" borderId="0" xfId="4" quotePrefix="1" applyFont="1" applyFill="1" applyAlignment="1">
      <alignment horizontal="center"/>
    </xf>
    <xf numFmtId="0" fontId="3" fillId="0" borderId="0" xfId="4" applyFont="1" applyFill="1" applyBorder="1" applyAlignment="1">
      <alignment horizontal="center"/>
    </xf>
    <xf numFmtId="0" fontId="16" fillId="0" borderId="0" xfId="4" applyFont="1" applyFill="1"/>
    <xf numFmtId="0" fontId="29" fillId="0" borderId="0" xfId="4" applyFont="1" applyFill="1"/>
    <xf numFmtId="0" fontId="30" fillId="0" borderId="0" xfId="31" applyFill="1" applyBorder="1"/>
    <xf numFmtId="167" fontId="30" fillId="0" borderId="0" xfId="31" applyNumberFormat="1" applyFill="1" applyBorder="1" applyProtection="1"/>
    <xf numFmtId="167" fontId="3" fillId="0" borderId="0" xfId="31" applyNumberFormat="1" applyFont="1" applyFill="1" applyBorder="1" applyProtection="1"/>
    <xf numFmtId="167" fontId="30" fillId="0" borderId="4" xfId="31" applyNumberFormat="1" applyFill="1" applyBorder="1" applyProtection="1"/>
    <xf numFmtId="5" fontId="3" fillId="0" borderId="0" xfId="4" applyNumberFormat="1" applyFont="1" applyFill="1" applyBorder="1"/>
    <xf numFmtId="37" fontId="3" fillId="0" borderId="1" xfId="4" applyNumberFormat="1" applyFill="1" applyBorder="1" applyProtection="1"/>
    <xf numFmtId="6" fontId="79" fillId="0" borderId="14" xfId="2" applyNumberFormat="1" applyFont="1" applyFill="1" applyBorder="1" applyAlignment="1">
      <alignment vertical="center"/>
    </xf>
    <xf numFmtId="8" fontId="79" fillId="0" borderId="15" xfId="2" applyNumberFormat="1" applyFont="1" applyFill="1" applyBorder="1" applyAlignment="1">
      <alignment vertical="center"/>
    </xf>
    <xf numFmtId="6" fontId="79" fillId="0" borderId="0" xfId="2" applyNumberFormat="1" applyFont="1" applyFill="1" applyBorder="1" applyAlignment="1">
      <alignment vertical="center"/>
    </xf>
    <xf numFmtId="8" fontId="79" fillId="0" borderId="0" xfId="2" applyNumberFormat="1" applyFont="1" applyFill="1" applyBorder="1" applyAlignment="1">
      <alignment vertical="center"/>
    </xf>
    <xf numFmtId="6" fontId="79" fillId="0" borderId="15" xfId="2" applyNumberFormat="1" applyFont="1" applyFill="1" applyBorder="1" applyAlignment="1">
      <alignment vertical="center"/>
    </xf>
    <xf numFmtId="195" fontId="79" fillId="0" borderId="15" xfId="2" applyNumberFormat="1" applyFont="1" applyFill="1" applyBorder="1" applyAlignment="1">
      <alignment vertical="center"/>
    </xf>
    <xf numFmtId="5" fontId="79" fillId="0" borderId="0" xfId="2" applyNumberFormat="1" applyFont="1" applyFill="1" applyBorder="1" applyAlignment="1">
      <alignment vertical="center"/>
    </xf>
    <xf numFmtId="5" fontId="87" fillId="0" borderId="14" xfId="2" applyNumberFormat="1" applyFont="1" applyFill="1" applyBorder="1" applyAlignment="1">
      <alignment vertical="center"/>
    </xf>
    <xf numFmtId="6" fontId="79" fillId="48" borderId="41" xfId="2" applyNumberFormat="1" applyFont="1" applyFill="1" applyBorder="1" applyAlignment="1">
      <alignment vertical="center"/>
    </xf>
    <xf numFmtId="6" fontId="87" fillId="0" borderId="16" xfId="2" applyNumberFormat="1" applyFont="1" applyBorder="1" applyAlignment="1">
      <alignment vertical="center"/>
    </xf>
    <xf numFmtId="195" fontId="79" fillId="0" borderId="17" xfId="2" applyNumberFormat="1" applyFont="1" applyBorder="1" applyAlignment="1">
      <alignment vertical="center"/>
    </xf>
    <xf numFmtId="5" fontId="87" fillId="0" borderId="1" xfId="2" applyNumberFormat="1" applyFont="1" applyBorder="1" applyAlignment="1">
      <alignment vertical="center"/>
    </xf>
    <xf numFmtId="6" fontId="79" fillId="0" borderId="1" xfId="2" applyNumberFormat="1" applyFont="1" applyBorder="1" applyAlignment="1">
      <alignment vertical="center"/>
    </xf>
    <xf numFmtId="6" fontId="79" fillId="0" borderId="16" xfId="2" applyNumberFormat="1" applyFont="1" applyBorder="1" applyAlignment="1">
      <alignment vertical="center"/>
    </xf>
    <xf numFmtId="5" fontId="79" fillId="0" borderId="1" xfId="2" applyNumberFormat="1" applyFont="1" applyBorder="1" applyAlignment="1">
      <alignment vertical="center"/>
    </xf>
    <xf numFmtId="5" fontId="79" fillId="0" borderId="14" xfId="2" applyNumberFormat="1" applyFont="1" applyFill="1" applyBorder="1" applyAlignment="1">
      <alignment vertical="center"/>
    </xf>
    <xf numFmtId="195" fontId="88" fillId="0" borderId="0" xfId="2" applyNumberFormat="1" applyFont="1" applyFill="1" applyBorder="1" applyAlignment="1">
      <alignment vertical="center"/>
    </xf>
    <xf numFmtId="164" fontId="79" fillId="0" borderId="0" xfId="3" applyNumberFormat="1" applyFont="1" applyAlignment="1">
      <alignment vertical="center"/>
    </xf>
    <xf numFmtId="6" fontId="73" fillId="0" borderId="35" xfId="2" applyNumberFormat="1" applyFont="1" applyFill="1" applyBorder="1" applyAlignment="1">
      <alignment vertical="center"/>
    </xf>
    <xf numFmtId="10" fontId="88" fillId="0" borderId="0" xfId="3" applyNumberFormat="1" applyFont="1" applyBorder="1" applyAlignment="1">
      <alignment vertical="center"/>
    </xf>
    <xf numFmtId="10" fontId="88" fillId="0" borderId="40" xfId="3" applyNumberFormat="1" applyFont="1" applyBorder="1" applyAlignment="1">
      <alignment vertical="center"/>
    </xf>
    <xf numFmtId="10" fontId="88" fillId="0" borderId="35" xfId="3" applyNumberFormat="1" applyFont="1" applyBorder="1" applyAlignment="1">
      <alignment vertical="center"/>
    </xf>
    <xf numFmtId="10" fontId="88" fillId="0" borderId="33" xfId="3" applyNumberFormat="1" applyFont="1" applyBorder="1" applyAlignment="1">
      <alignment vertical="center"/>
    </xf>
    <xf numFmtId="0" fontId="0" fillId="0" borderId="0" xfId="4" applyFont="1" applyFill="1" applyBorder="1" applyAlignment="1">
      <alignment horizontal="center"/>
    </xf>
    <xf numFmtId="0" fontId="3" fillId="0" borderId="1" xfId="4" applyFont="1" applyFill="1" applyBorder="1" applyAlignment="1">
      <alignment horizontal="center"/>
    </xf>
    <xf numFmtId="0" fontId="11" fillId="0" borderId="1" xfId="5" applyFont="1" applyFill="1" applyBorder="1" applyAlignment="1">
      <alignment horizontal="center"/>
    </xf>
    <xf numFmtId="0" fontId="76" fillId="0" borderId="0" xfId="540" applyFont="1" applyBorder="1" applyAlignment="1">
      <alignment horizontal="centerContinuous" vertical="center"/>
    </xf>
    <xf numFmtId="0" fontId="77" fillId="0" borderId="0" xfId="540" applyFont="1" applyBorder="1" applyAlignment="1">
      <alignment vertical="center"/>
    </xf>
    <xf numFmtId="0" fontId="77" fillId="0" borderId="0" xfId="540" applyFont="1" applyAlignment="1">
      <alignment vertical="center"/>
    </xf>
    <xf numFmtId="0" fontId="78" fillId="0" borderId="0" xfId="540" applyFont="1" applyBorder="1" applyAlignment="1">
      <alignment horizontal="centerContinuous" vertical="center"/>
    </xf>
    <xf numFmtId="0" fontId="79" fillId="0" borderId="0" xfId="540" applyFont="1" applyBorder="1" applyAlignment="1">
      <alignment vertical="center"/>
    </xf>
    <xf numFmtId="0" fontId="79" fillId="0" borderId="0" xfId="540" applyFont="1" applyAlignment="1">
      <alignment vertical="center"/>
    </xf>
    <xf numFmtId="0" fontId="76" fillId="0" borderId="0" xfId="540" applyFont="1" applyBorder="1" applyAlignment="1">
      <alignment horizontal="center" vertical="center"/>
    </xf>
    <xf numFmtId="0" fontId="80" fillId="0" borderId="0" xfId="540" applyFont="1" applyBorder="1" applyAlignment="1">
      <alignment vertical="center"/>
    </xf>
    <xf numFmtId="0" fontId="81" fillId="0" borderId="0" xfId="540" applyFont="1" applyBorder="1" applyAlignment="1">
      <alignment vertical="center"/>
    </xf>
    <xf numFmtId="6" fontId="81" fillId="0" borderId="0" xfId="540" applyNumberFormat="1" applyFont="1" applyBorder="1" applyAlignment="1">
      <alignment horizontal="centerContinuous" vertical="center"/>
    </xf>
    <xf numFmtId="0" fontId="81" fillId="0" borderId="0" xfId="540" applyFont="1" applyBorder="1" applyAlignment="1">
      <alignment horizontal="centerContinuous" vertical="center"/>
    </xf>
    <xf numFmtId="0" fontId="82" fillId="0" borderId="0" xfId="540" applyFont="1" applyBorder="1" applyAlignment="1">
      <alignment horizontal="center" vertical="center"/>
    </xf>
    <xf numFmtId="0" fontId="83" fillId="0" borderId="0" xfId="540" applyFont="1" applyBorder="1" applyAlignment="1">
      <alignment horizontal="left" vertical="center"/>
    </xf>
    <xf numFmtId="0" fontId="81" fillId="0" borderId="0" xfId="540" applyFont="1" applyAlignment="1">
      <alignment vertical="center"/>
    </xf>
    <xf numFmtId="0" fontId="83" fillId="0" borderId="0" xfId="540" applyFont="1" applyBorder="1" applyAlignment="1">
      <alignment vertical="center"/>
    </xf>
    <xf numFmtId="0" fontId="83" fillId="0" borderId="12" xfId="540" applyFont="1" applyBorder="1" applyAlignment="1">
      <alignment vertical="center"/>
    </xf>
    <xf numFmtId="0" fontId="84" fillId="0" borderId="40" xfId="540" applyFont="1" applyBorder="1" applyAlignment="1">
      <alignment horizontal="center" vertical="center"/>
    </xf>
    <xf numFmtId="0" fontId="83" fillId="0" borderId="12" xfId="540" applyFont="1" applyBorder="1" applyAlignment="1">
      <alignment horizontal="centerContinuous" vertical="center"/>
    </xf>
    <xf numFmtId="0" fontId="83" fillId="0" borderId="13" xfId="540" applyFont="1" applyFill="1" applyBorder="1" applyAlignment="1">
      <alignment horizontal="centerContinuous" vertical="center"/>
    </xf>
    <xf numFmtId="0" fontId="83" fillId="0" borderId="18" xfId="540" applyFont="1" applyBorder="1" applyAlignment="1">
      <alignment horizontal="centerContinuous" vertical="center"/>
    </xf>
    <xf numFmtId="0" fontId="83" fillId="0" borderId="19" xfId="540" applyFont="1" applyBorder="1" applyAlignment="1">
      <alignment horizontal="centerContinuous" vertical="center"/>
    </xf>
    <xf numFmtId="0" fontId="83" fillId="0" borderId="20" xfId="540" applyFont="1" applyBorder="1" applyAlignment="1">
      <alignment horizontal="centerContinuous" vertical="center"/>
    </xf>
    <xf numFmtId="0" fontId="83" fillId="49" borderId="0" xfId="540" applyFont="1" applyFill="1" applyBorder="1" applyAlignment="1">
      <alignment vertical="center"/>
    </xf>
    <xf numFmtId="0" fontId="79" fillId="49" borderId="0" xfId="540" applyFont="1" applyFill="1" applyBorder="1" applyAlignment="1">
      <alignment vertical="center"/>
    </xf>
    <xf numFmtId="0" fontId="83" fillId="0" borderId="0" xfId="540" applyFont="1" applyAlignment="1">
      <alignment vertical="center"/>
    </xf>
    <xf numFmtId="0" fontId="83" fillId="0" borderId="14" xfId="540" applyFont="1" applyBorder="1" applyAlignment="1">
      <alignment vertical="center"/>
    </xf>
    <xf numFmtId="0" fontId="83" fillId="0" borderId="35" xfId="540" applyFont="1" applyBorder="1" applyAlignment="1">
      <alignment horizontal="center" vertical="center"/>
    </xf>
    <xf numFmtId="0" fontId="83" fillId="0" borderId="12" xfId="540" applyFont="1" applyBorder="1" applyAlignment="1">
      <alignment horizontal="center" vertical="center"/>
    </xf>
    <xf numFmtId="0" fontId="83" fillId="0" borderId="13" xfId="540" applyFont="1" applyFill="1" applyBorder="1" applyAlignment="1">
      <alignment horizontal="center" vertical="center"/>
    </xf>
    <xf numFmtId="0" fontId="83" fillId="0" borderId="2" xfId="540" applyFont="1" applyBorder="1" applyAlignment="1">
      <alignment horizontal="center" vertical="center"/>
    </xf>
    <xf numFmtId="0" fontId="83" fillId="0" borderId="2" xfId="540" applyFont="1" applyFill="1" applyBorder="1" applyAlignment="1">
      <alignment horizontal="center" vertical="center"/>
    </xf>
    <xf numFmtId="0" fontId="83" fillId="0" borderId="14" xfId="540" applyFont="1" applyBorder="1" applyAlignment="1">
      <alignment horizontal="center" vertical="center"/>
    </xf>
    <xf numFmtId="0" fontId="84" fillId="0" borderId="15" xfId="540" applyFont="1" applyBorder="1" applyAlignment="1">
      <alignment horizontal="center" vertical="center"/>
    </xf>
    <xf numFmtId="0" fontId="86" fillId="0" borderId="14" xfId="540" applyFont="1" applyBorder="1" applyAlignment="1">
      <alignment horizontal="center" vertical="center"/>
    </xf>
    <xf numFmtId="0" fontId="83" fillId="0" borderId="33" xfId="540" applyFont="1" applyBorder="1" applyAlignment="1">
      <alignment horizontal="center" vertical="center"/>
    </xf>
    <xf numFmtId="6" fontId="83" fillId="0" borderId="16" xfId="540" quotePrefix="1" applyNumberFormat="1" applyFont="1" applyBorder="1" applyAlignment="1">
      <alignment horizontal="center" vertical="center"/>
    </xf>
    <xf numFmtId="0" fontId="83" fillId="0" borderId="17" xfId="540" applyFont="1" applyFill="1" applyBorder="1" applyAlignment="1">
      <alignment horizontal="center" vertical="center"/>
    </xf>
    <xf numFmtId="0" fontId="83" fillId="0" borderId="1" xfId="540" applyFont="1" applyBorder="1" applyAlignment="1">
      <alignment horizontal="center" vertical="center"/>
    </xf>
    <xf numFmtId="6" fontId="83" fillId="0" borderId="1" xfId="540" quotePrefix="1" applyNumberFormat="1" applyFont="1" applyBorder="1" applyAlignment="1">
      <alignment horizontal="center" vertical="center"/>
    </xf>
    <xf numFmtId="0" fontId="84" fillId="0" borderId="16" xfId="540" applyFont="1" applyBorder="1" applyAlignment="1">
      <alignment horizontal="center" vertical="center"/>
    </xf>
    <xf numFmtId="6" fontId="83" fillId="0" borderId="17" xfId="540" quotePrefix="1" applyNumberFormat="1" applyFont="1" applyBorder="1" applyAlignment="1">
      <alignment horizontal="center" vertical="center"/>
    </xf>
    <xf numFmtId="6" fontId="79" fillId="0" borderId="0" xfId="540" applyNumberFormat="1" applyFont="1" applyBorder="1" applyAlignment="1">
      <alignment vertical="center"/>
    </xf>
    <xf numFmtId="0" fontId="79" fillId="0" borderId="14" xfId="540" applyFont="1" applyBorder="1" applyAlignment="1">
      <alignment vertical="center"/>
    </xf>
    <xf numFmtId="37" fontId="79" fillId="0" borderId="35" xfId="540" applyNumberFormat="1" applyFont="1" applyBorder="1" applyAlignment="1">
      <alignment vertical="center"/>
    </xf>
    <xf numFmtId="8" fontId="79" fillId="0" borderId="0" xfId="540" applyNumberFormat="1" applyFont="1" applyBorder="1" applyAlignment="1">
      <alignment vertical="center"/>
    </xf>
    <xf numFmtId="0" fontId="83" fillId="0" borderId="14" xfId="540" applyFont="1" applyBorder="1" applyAlignment="1">
      <alignment horizontal="left" vertical="center"/>
    </xf>
    <xf numFmtId="195" fontId="79" fillId="0" borderId="0" xfId="540" applyNumberFormat="1" applyFont="1" applyBorder="1" applyAlignment="1">
      <alignment vertical="center"/>
    </xf>
    <xf numFmtId="0" fontId="83" fillId="0" borderId="16" xfId="540" applyFont="1" applyBorder="1" applyAlignment="1">
      <alignment horizontal="left" vertical="center"/>
    </xf>
    <xf numFmtId="37" fontId="79" fillId="0" borderId="33" xfId="540" applyNumberFormat="1" applyFont="1" applyBorder="1" applyAlignment="1">
      <alignment vertical="center"/>
    </xf>
    <xf numFmtId="0" fontId="88" fillId="0" borderId="0" xfId="540" applyFont="1" applyBorder="1" applyAlignment="1">
      <alignment horizontal="right" vertical="center"/>
    </xf>
    <xf numFmtId="0" fontId="88" fillId="0" borderId="0" xfId="540" applyFont="1" applyBorder="1" applyAlignment="1">
      <alignment horizontal="left" vertical="center"/>
    </xf>
    <xf numFmtId="6" fontId="88" fillId="0" borderId="0" xfId="540" applyNumberFormat="1" applyFont="1" applyBorder="1" applyAlignment="1">
      <alignment horizontal="left" vertical="center"/>
    </xf>
    <xf numFmtId="5" fontId="88" fillId="0" borderId="0" xfId="540" applyNumberFormat="1" applyFont="1" applyBorder="1" applyAlignment="1">
      <alignment horizontal="left" vertical="center"/>
    </xf>
    <xf numFmtId="5" fontId="82" fillId="0" borderId="0" xfId="540" applyNumberFormat="1" applyFont="1" applyBorder="1" applyAlignment="1">
      <alignment horizontal="center" vertical="center"/>
    </xf>
    <xf numFmtId="5" fontId="83" fillId="0" borderId="18" xfId="540" applyNumberFormat="1" applyFont="1" applyBorder="1" applyAlignment="1">
      <alignment horizontal="centerContinuous" vertical="center"/>
    </xf>
    <xf numFmtId="5" fontId="83" fillId="0" borderId="19" xfId="540" applyNumberFormat="1" applyFont="1" applyBorder="1" applyAlignment="1">
      <alignment horizontal="centerContinuous" vertical="center"/>
    </xf>
    <xf numFmtId="5" fontId="83" fillId="0" borderId="2" xfId="540" applyNumberFormat="1" applyFont="1" applyBorder="1" applyAlignment="1">
      <alignment horizontal="center" vertical="center"/>
    </xf>
    <xf numFmtId="5" fontId="83" fillId="0" borderId="1" xfId="540" applyNumberFormat="1" applyFont="1" applyBorder="1" applyAlignment="1">
      <alignment horizontal="center" vertical="center"/>
    </xf>
    <xf numFmtId="5" fontId="79" fillId="0" borderId="0" xfId="540" applyNumberFormat="1" applyFont="1" applyAlignment="1">
      <alignment vertical="center"/>
    </xf>
    <xf numFmtId="0" fontId="89" fillId="0" borderId="0" xfId="540" applyFont="1" applyBorder="1" applyAlignment="1">
      <alignment vertical="center"/>
    </xf>
    <xf numFmtId="0" fontId="74" fillId="0" borderId="0" xfId="540" applyFont="1" applyBorder="1" applyAlignment="1">
      <alignment vertical="center"/>
    </xf>
    <xf numFmtId="0" fontId="90" fillId="0" borderId="12" xfId="540" applyFont="1" applyBorder="1" applyAlignment="1">
      <alignment horizontal="center" vertical="center"/>
    </xf>
    <xf numFmtId="0" fontId="83" fillId="0" borderId="40" xfId="540" applyFont="1" applyBorder="1" applyAlignment="1">
      <alignment horizontal="center" vertical="center"/>
    </xf>
    <xf numFmtId="0" fontId="91" fillId="0" borderId="0" xfId="540" applyFont="1" applyBorder="1" applyAlignment="1">
      <alignment horizontal="center" vertical="center"/>
    </xf>
    <xf numFmtId="0" fontId="74" fillId="0" borderId="40" xfId="540" applyFont="1" applyBorder="1" applyAlignment="1">
      <alignment horizontal="center" vertical="center"/>
    </xf>
    <xf numFmtId="0" fontId="83" fillId="0" borderId="14" xfId="540" applyFont="1" applyBorder="1" applyAlignment="1">
      <alignment horizontal="centerContinuous" vertical="center"/>
    </xf>
    <xf numFmtId="0" fontId="83" fillId="0" borderId="15" xfId="540" applyFont="1" applyBorder="1" applyAlignment="1">
      <alignment horizontal="centerContinuous" vertical="center"/>
    </xf>
    <xf numFmtId="0" fontId="91" fillId="0" borderId="0" xfId="540" applyFont="1" applyFill="1" applyBorder="1" applyAlignment="1">
      <alignment horizontal="center" vertical="center"/>
    </xf>
    <xf numFmtId="0" fontId="74" fillId="0" borderId="35" xfId="540" applyFont="1" applyBorder="1" applyAlignment="1">
      <alignment horizontal="center" vertical="center"/>
    </xf>
    <xf numFmtId="0" fontId="83" fillId="0" borderId="16" xfId="540" applyFont="1" applyBorder="1" applyAlignment="1">
      <alignment horizontal="center" vertical="center"/>
    </xf>
    <xf numFmtId="0" fontId="92" fillId="0" borderId="0" xfId="540" applyFont="1" applyFill="1" applyBorder="1" applyAlignment="1">
      <alignment horizontal="center" vertical="center"/>
    </xf>
    <xf numFmtId="0" fontId="74" fillId="0" borderId="33" xfId="540" applyFont="1" applyBorder="1" applyAlignment="1">
      <alignment horizontal="center" vertical="center"/>
    </xf>
    <xf numFmtId="0" fontId="79" fillId="0" borderId="35" xfId="540" applyFont="1" applyBorder="1" applyAlignment="1">
      <alignment horizontal="center" vertical="center"/>
    </xf>
    <xf numFmtId="0" fontId="83" fillId="0" borderId="15" xfId="540" applyFont="1" applyFill="1" applyBorder="1" applyAlignment="1">
      <alignment horizontal="center" vertical="center"/>
    </xf>
    <xf numFmtId="0" fontId="79" fillId="0" borderId="0" xfId="540" applyFont="1" applyBorder="1" applyAlignment="1">
      <alignment horizontal="center" vertical="center"/>
    </xf>
    <xf numFmtId="5" fontId="79" fillId="0" borderId="0" xfId="540" applyNumberFormat="1" applyFont="1" applyBorder="1" applyAlignment="1">
      <alignment horizontal="center" vertical="center"/>
    </xf>
    <xf numFmtId="0" fontId="83" fillId="0" borderId="0" xfId="540" applyFont="1" applyFill="1" applyBorder="1" applyAlignment="1">
      <alignment horizontal="center" vertical="center"/>
    </xf>
    <xf numFmtId="0" fontId="79" fillId="0" borderId="14" xfId="540" applyFont="1" applyBorder="1" applyAlignment="1">
      <alignment horizontal="center" vertical="center"/>
    </xf>
    <xf numFmtId="0" fontId="79" fillId="0" borderId="35" xfId="540" applyFont="1" applyBorder="1" applyAlignment="1">
      <alignment vertical="center"/>
    </xf>
    <xf numFmtId="0" fontId="88" fillId="0" borderId="0" xfId="540" applyFont="1" applyBorder="1" applyAlignment="1">
      <alignment vertical="center"/>
    </xf>
    <xf numFmtId="0" fontId="73" fillId="0" borderId="35" xfId="540" applyFont="1" applyBorder="1" applyAlignment="1">
      <alignment vertical="center"/>
    </xf>
    <xf numFmtId="6" fontId="79" fillId="0" borderId="0" xfId="540" applyNumberFormat="1" applyFont="1" applyAlignment="1">
      <alignment vertical="center"/>
    </xf>
    <xf numFmtId="6" fontId="79" fillId="0" borderId="17" xfId="540" applyNumberFormat="1" applyFont="1" applyBorder="1" applyAlignment="1">
      <alignment vertical="center"/>
    </xf>
    <xf numFmtId="6" fontId="73" fillId="0" borderId="33" xfId="540" applyNumberFormat="1" applyFont="1" applyBorder="1" applyAlignment="1">
      <alignment vertical="center"/>
    </xf>
    <xf numFmtId="0" fontId="88" fillId="0" borderId="1" xfId="540" applyFont="1" applyBorder="1" applyAlignment="1">
      <alignment vertical="center"/>
    </xf>
    <xf numFmtId="0" fontId="88" fillId="0" borderId="1" xfId="540" applyFont="1" applyBorder="1" applyAlignment="1">
      <alignment horizontal="right" vertical="center"/>
    </xf>
    <xf numFmtId="0" fontId="88" fillId="0" borderId="1" xfId="540" applyFont="1" applyBorder="1" applyAlignment="1">
      <alignment horizontal="left" vertical="center"/>
    </xf>
    <xf numFmtId="6" fontId="88" fillId="0" borderId="1" xfId="540" applyNumberFormat="1" applyFont="1" applyBorder="1" applyAlignment="1">
      <alignment horizontal="left" vertical="center"/>
    </xf>
    <xf numFmtId="0" fontId="91" fillId="0" borderId="0" xfId="540" applyFont="1" applyAlignment="1">
      <alignment horizontal="center" vertical="center"/>
    </xf>
    <xf numFmtId="0" fontId="88" fillId="0" borderId="0" xfId="540" applyFont="1" applyAlignment="1">
      <alignment vertical="center"/>
    </xf>
    <xf numFmtId="196" fontId="93" fillId="0" borderId="0" xfId="540" applyNumberFormat="1" applyFont="1" applyBorder="1" applyAlignment="1">
      <alignment vertical="center"/>
    </xf>
    <xf numFmtId="0" fontId="91" fillId="0" borderId="0" xfId="540" applyFont="1" applyBorder="1" applyAlignment="1">
      <alignment horizontal="left" vertical="center"/>
    </xf>
    <xf numFmtId="0" fontId="88" fillId="0" borderId="0" xfId="540" applyFont="1" applyAlignment="1">
      <alignment horizontal="left" vertical="center"/>
    </xf>
    <xf numFmtId="164" fontId="88" fillId="0" borderId="0" xfId="540" applyNumberFormat="1" applyFont="1" applyAlignment="1">
      <alignment vertical="center"/>
    </xf>
    <xf numFmtId="10" fontId="88" fillId="0" borderId="0" xfId="540" applyNumberFormat="1" applyFont="1" applyAlignment="1">
      <alignment vertical="center"/>
    </xf>
    <xf numFmtId="0" fontId="92" fillId="0" borderId="0" xfId="540" applyFont="1" applyAlignment="1">
      <alignment horizontal="center" vertical="center"/>
    </xf>
    <xf numFmtId="164" fontId="88" fillId="0" borderId="0" xfId="540" applyNumberFormat="1" applyFont="1" applyAlignment="1">
      <alignment horizontal="center" vertical="center"/>
    </xf>
    <xf numFmtId="0" fontId="91" fillId="0" borderId="0" xfId="540" applyFont="1" applyAlignment="1">
      <alignment horizontal="left" vertical="center"/>
    </xf>
    <xf numFmtId="197" fontId="88" fillId="0" borderId="0" xfId="540" applyNumberFormat="1" applyFont="1" applyBorder="1" applyAlignment="1">
      <alignment vertical="center"/>
    </xf>
    <xf numFmtId="173" fontId="88" fillId="0" borderId="0" xfId="540" applyNumberFormat="1" applyFont="1" applyBorder="1" applyAlignment="1">
      <alignment vertical="center"/>
    </xf>
    <xf numFmtId="6" fontId="88" fillId="0" borderId="0" xfId="540" applyNumberFormat="1" applyFont="1" applyBorder="1" applyAlignment="1">
      <alignment vertical="center"/>
    </xf>
    <xf numFmtId="0" fontId="94" fillId="0" borderId="0" xfId="540" applyFont="1" applyAlignment="1">
      <alignment horizontal="center" vertical="center"/>
    </xf>
    <xf numFmtId="0" fontId="91" fillId="0" borderId="12" xfId="540" applyFont="1" applyBorder="1" applyAlignment="1">
      <alignment horizontal="left" vertical="center"/>
    </xf>
    <xf numFmtId="37" fontId="95" fillId="0" borderId="13" xfId="540" applyNumberFormat="1" applyFont="1" applyBorder="1" applyAlignment="1">
      <alignment vertical="center"/>
    </xf>
    <xf numFmtId="37" fontId="88" fillId="0" borderId="40" xfId="540" applyNumberFormat="1" applyFont="1" applyBorder="1" applyAlignment="1">
      <alignment vertical="center"/>
    </xf>
    <xf numFmtId="37" fontId="88" fillId="0" borderId="12" xfId="540" applyNumberFormat="1" applyFont="1" applyBorder="1" applyAlignment="1">
      <alignment vertical="center"/>
    </xf>
    <xf numFmtId="37" fontId="88" fillId="0" borderId="0" xfId="540" applyNumberFormat="1" applyFont="1" applyAlignment="1">
      <alignment vertical="center"/>
    </xf>
    <xf numFmtId="0" fontId="91" fillId="0" borderId="14" xfId="540" applyFont="1" applyBorder="1" applyAlignment="1">
      <alignment horizontal="left" vertical="center"/>
    </xf>
    <xf numFmtId="37" fontId="95" fillId="0" borderId="15" xfId="540" applyNumberFormat="1" applyFont="1" applyBorder="1" applyAlignment="1">
      <alignment vertical="center"/>
    </xf>
    <xf numFmtId="37" fontId="88" fillId="0" borderId="35" xfId="540" applyNumberFormat="1" applyFont="1" applyBorder="1" applyAlignment="1">
      <alignment vertical="center"/>
    </xf>
    <xf numFmtId="37" fontId="88" fillId="0" borderId="14" xfId="540" applyNumberFormat="1" applyFont="1" applyBorder="1" applyAlignment="1">
      <alignment vertical="center"/>
    </xf>
    <xf numFmtId="0" fontId="91" fillId="0" borderId="14" xfId="540" applyFont="1" applyBorder="1" applyAlignment="1">
      <alignment horizontal="left" vertical="center" indent="2"/>
    </xf>
    <xf numFmtId="37" fontId="88" fillId="0" borderId="15" xfId="540" applyNumberFormat="1" applyFont="1" applyBorder="1" applyAlignment="1">
      <alignment vertical="center"/>
    </xf>
    <xf numFmtId="0" fontId="88" fillId="0" borderId="14" xfId="540" applyFont="1" applyBorder="1" applyAlignment="1">
      <alignment vertical="center"/>
    </xf>
    <xf numFmtId="10" fontId="88" fillId="0" borderId="35" xfId="540" applyNumberFormat="1" applyFont="1" applyBorder="1" applyAlignment="1">
      <alignment vertical="center"/>
    </xf>
    <xf numFmtId="0" fontId="91" fillId="0" borderId="16" xfId="540" applyFont="1" applyBorder="1" applyAlignment="1">
      <alignment horizontal="left" vertical="center" indent="1"/>
    </xf>
    <xf numFmtId="37" fontId="88" fillId="0" borderId="17" xfId="540" applyNumberFormat="1" applyFont="1" applyBorder="1" applyAlignment="1">
      <alignment vertical="center"/>
    </xf>
    <xf numFmtId="37" fontId="88" fillId="0" borderId="33" xfId="540" applyNumberFormat="1" applyFont="1" applyBorder="1" applyAlignment="1">
      <alignment vertical="center"/>
    </xf>
    <xf numFmtId="37" fontId="88" fillId="0" borderId="16" xfId="540" applyNumberFormat="1" applyFont="1" applyBorder="1" applyAlignment="1">
      <alignment vertical="center"/>
    </xf>
    <xf numFmtId="0" fontId="91" fillId="0" borderId="0" xfId="540" applyFont="1" applyAlignment="1">
      <alignment horizontal="left" vertical="center" indent="1"/>
    </xf>
    <xf numFmtId="0" fontId="91" fillId="0" borderId="0" xfId="540" applyFont="1" applyAlignment="1">
      <alignment vertical="center"/>
    </xf>
    <xf numFmtId="37" fontId="79" fillId="0" borderId="0" xfId="540" applyNumberFormat="1" applyFont="1" applyAlignment="1">
      <alignment vertical="center"/>
    </xf>
    <xf numFmtId="0" fontId="3" fillId="0" borderId="0" xfId="541" applyFont="1" applyFill="1"/>
    <xf numFmtId="0" fontId="3" fillId="0" borderId="0" xfId="541" applyFont="1" applyFill="1" applyAlignment="1">
      <alignment horizontal="right"/>
    </xf>
    <xf numFmtId="0" fontId="3" fillId="0" borderId="0" xfId="541" applyFont="1" applyFill="1" applyBorder="1"/>
    <xf numFmtId="49" fontId="98" fillId="50" borderId="42" xfId="541" applyNumberFormat="1" applyFont="1" applyFill="1" applyBorder="1" applyAlignment="1">
      <alignment horizontal="left"/>
    </xf>
    <xf numFmtId="3" fontId="98" fillId="50" borderId="42" xfId="541" applyNumberFormat="1" applyFont="1" applyFill="1" applyBorder="1" applyAlignment="1">
      <alignment horizontal="right"/>
    </xf>
    <xf numFmtId="198" fontId="98" fillId="50" borderId="42" xfId="541" applyNumberFormat="1" applyFont="1" applyFill="1" applyBorder="1" applyAlignment="1">
      <alignment horizontal="right"/>
    </xf>
    <xf numFmtId="177" fontId="98" fillId="50" borderId="42" xfId="541" applyNumberFormat="1" applyFont="1" applyFill="1" applyBorder="1" applyAlignment="1">
      <alignment horizontal="right"/>
    </xf>
    <xf numFmtId="3" fontId="3" fillId="0" borderId="0" xfId="541" applyNumberFormat="1" applyFont="1" applyFill="1" applyBorder="1"/>
    <xf numFmtId="0" fontId="3" fillId="0" borderId="0" xfId="541" applyFont="1" applyFill="1" applyBorder="1" applyAlignment="1">
      <alignment horizontal="right"/>
    </xf>
    <xf numFmtId="175" fontId="3" fillId="0" borderId="0" xfId="541" applyNumberFormat="1" applyFont="1" applyFill="1"/>
    <xf numFmtId="0" fontId="27" fillId="0" borderId="0" xfId="541" applyFont="1" applyFill="1"/>
    <xf numFmtId="0" fontId="99" fillId="0" borderId="0" xfId="541" applyFont="1" applyFill="1" applyAlignment="1">
      <alignment horizontal="left"/>
    </xf>
    <xf numFmtId="49" fontId="100" fillId="0" borderId="0" xfId="541" applyNumberFormat="1" applyFont="1" applyFill="1" applyAlignment="1">
      <alignment horizontal="left" vertical="center"/>
    </xf>
    <xf numFmtId="49" fontId="101" fillId="0" borderId="43" xfId="541" applyNumberFormat="1" applyFont="1" applyFill="1" applyBorder="1" applyAlignment="1">
      <alignment horizontal="left"/>
    </xf>
    <xf numFmtId="49" fontId="98" fillId="50" borderId="0" xfId="541" applyNumberFormat="1" applyFont="1" applyFill="1" applyBorder="1" applyAlignment="1">
      <alignment horizontal="left"/>
    </xf>
    <xf numFmtId="49" fontId="102" fillId="50" borderId="42" xfId="541" applyNumberFormat="1" applyFont="1" applyFill="1" applyBorder="1" applyAlignment="1">
      <alignment horizontal="left"/>
    </xf>
    <xf numFmtId="198" fontId="102" fillId="50" borderId="42" xfId="541" applyNumberFormat="1" applyFont="1" applyFill="1" applyBorder="1" applyAlignment="1">
      <alignment horizontal="right"/>
    </xf>
    <xf numFmtId="177" fontId="102" fillId="50" borderId="42" xfId="541" applyNumberFormat="1" applyFont="1" applyFill="1" applyBorder="1" applyAlignment="1">
      <alignment horizontal="right"/>
    </xf>
    <xf numFmtId="0" fontId="102" fillId="50" borderId="42" xfId="541" applyFont="1" applyFill="1" applyBorder="1" applyAlignment="1">
      <alignment horizontal="right"/>
    </xf>
    <xf numFmtId="0" fontId="103" fillId="0" borderId="0" xfId="541" applyFont="1" applyFill="1" applyAlignment="1">
      <alignment horizontal="left"/>
    </xf>
    <xf numFmtId="0" fontId="103" fillId="0" borderId="0" xfId="541" applyNumberFormat="1" applyFont="1" applyFill="1" applyAlignment="1">
      <alignment horizontal="left"/>
    </xf>
    <xf numFmtId="3" fontId="0" fillId="0" borderId="0" xfId="541" applyNumberFormat="1" applyFont="1" applyFill="1"/>
    <xf numFmtId="0" fontId="3" fillId="0" borderId="0" xfId="541" applyFont="1" applyFill="1" applyAlignment="1">
      <alignment horizontal="center"/>
    </xf>
    <xf numFmtId="0" fontId="16" fillId="0" borderId="0" xfId="541" applyFont="1" applyFill="1" applyAlignment="1" applyProtection="1">
      <alignment horizontal="centerContinuous"/>
    </xf>
    <xf numFmtId="0" fontId="3" fillId="0" borderId="0" xfId="541" applyFont="1" applyFill="1" applyAlignment="1" applyProtection="1">
      <alignment horizontal="centerContinuous"/>
    </xf>
    <xf numFmtId="0" fontId="3" fillId="0" borderId="0" xfId="541" applyFont="1" applyFill="1" applyAlignment="1" applyProtection="1">
      <alignment horizontal="left"/>
    </xf>
    <xf numFmtId="0" fontId="3" fillId="0" borderId="0" xfId="541" applyFont="1" applyFill="1" applyProtection="1"/>
    <xf numFmtId="0" fontId="27" fillId="0" borderId="0" xfId="541" applyFont="1" applyFill="1" applyAlignment="1" applyProtection="1">
      <alignment horizontal="left"/>
    </xf>
    <xf numFmtId="0" fontId="16" fillId="0" borderId="0" xfId="541" applyFont="1" applyFill="1" applyAlignment="1" applyProtection="1">
      <alignment horizontal="center"/>
    </xf>
    <xf numFmtId="0" fontId="3" fillId="0" borderId="0" xfId="541" applyFont="1" applyFill="1" applyAlignment="1" applyProtection="1">
      <alignment horizontal="center"/>
    </xf>
    <xf numFmtId="0" fontId="3" fillId="0" borderId="0" xfId="541" applyFont="1" applyFill="1" applyBorder="1" applyAlignment="1" applyProtection="1">
      <alignment horizontal="center"/>
    </xf>
    <xf numFmtId="0" fontId="3" fillId="0" borderId="15" xfId="541" applyFont="1" applyFill="1" applyBorder="1" applyAlignment="1" applyProtection="1">
      <alignment horizontal="center"/>
    </xf>
    <xf numFmtId="0" fontId="27" fillId="0" borderId="0" xfId="541" applyFont="1" applyFill="1" applyAlignment="1" applyProtection="1">
      <alignment horizontal="centerContinuous"/>
    </xf>
    <xf numFmtId="0" fontId="3" fillId="0" borderId="0" xfId="541" applyFont="1" applyFill="1" applyBorder="1" applyAlignment="1">
      <alignment horizontal="center"/>
    </xf>
    <xf numFmtId="0" fontId="3" fillId="0" borderId="1" xfId="541" applyFont="1" applyFill="1" applyBorder="1" applyAlignment="1">
      <alignment horizontal="center"/>
    </xf>
    <xf numFmtId="0" fontId="3" fillId="0" borderId="17" xfId="541" applyFont="1" applyFill="1" applyBorder="1" applyAlignment="1">
      <alignment horizontal="center"/>
    </xf>
    <xf numFmtId="0" fontId="3" fillId="0" borderId="0" xfId="541" applyFont="1" applyFill="1" applyAlignment="1">
      <alignment horizontal="left"/>
    </xf>
    <xf numFmtId="168" fontId="3" fillId="0" borderId="0" xfId="541" applyNumberFormat="1" applyFont="1" applyFill="1" applyBorder="1"/>
    <xf numFmtId="168" fontId="3" fillId="0" borderId="15" xfId="541" applyNumberFormat="1" applyFont="1" applyFill="1" applyBorder="1"/>
    <xf numFmtId="3" fontId="3" fillId="0" borderId="15" xfId="541" applyNumberFormat="1" applyFont="1" applyFill="1" applyBorder="1"/>
    <xf numFmtId="175" fontId="3" fillId="0" borderId="0" xfId="541" applyNumberFormat="1" applyFont="1" applyFill="1" applyBorder="1"/>
    <xf numFmtId="168" fontId="3" fillId="0" borderId="0" xfId="541" applyNumberFormat="1" applyFont="1" applyFill="1"/>
    <xf numFmtId="3" fontId="105" fillId="0" borderId="0" xfId="541" applyNumberFormat="1" applyFont="1" applyFill="1" applyBorder="1"/>
    <xf numFmtId="3" fontId="105" fillId="0" borderId="15" xfId="541" applyNumberFormat="1" applyFont="1" applyFill="1" applyBorder="1"/>
    <xf numFmtId="175" fontId="105" fillId="0" borderId="0" xfId="541" applyNumberFormat="1" applyFont="1" applyFill="1" applyBorder="1"/>
    <xf numFmtId="0" fontId="105" fillId="0" borderId="0" xfId="541" applyFont="1" applyFill="1"/>
    <xf numFmtId="168" fontId="105" fillId="0" borderId="0" xfId="541" applyNumberFormat="1" applyFont="1" applyFill="1"/>
    <xf numFmtId="164" fontId="105" fillId="0" borderId="0" xfId="3" applyNumberFormat="1" applyFont="1" applyFill="1"/>
    <xf numFmtId="168" fontId="106" fillId="0" borderId="0" xfId="541" applyNumberFormat="1" applyFont="1" applyFill="1" applyBorder="1"/>
    <xf numFmtId="168" fontId="106" fillId="0" borderId="15" xfId="541" applyNumberFormat="1" applyFont="1" applyFill="1" applyBorder="1"/>
    <xf numFmtId="175" fontId="106" fillId="0" borderId="0" xfId="541" applyNumberFormat="1" applyFont="1" applyFill="1" applyBorder="1"/>
    <xf numFmtId="0" fontId="3" fillId="0" borderId="18" xfId="541" applyFont="1" applyFill="1" applyBorder="1"/>
    <xf numFmtId="0" fontId="3" fillId="0" borderId="19" xfId="541" applyFont="1" applyFill="1" applyBorder="1"/>
    <xf numFmtId="0" fontId="3" fillId="0" borderId="19" xfId="541" applyFont="1" applyFill="1" applyBorder="1" applyAlignment="1">
      <alignment horizontal="right"/>
    </xf>
    <xf numFmtId="3" fontId="3" fillId="0" borderId="19" xfId="541" applyNumberFormat="1" applyFont="1" applyFill="1" applyBorder="1"/>
    <xf numFmtId="3" fontId="3" fillId="0" borderId="20" xfId="541" applyNumberFormat="1" applyFont="1" applyFill="1" applyBorder="1"/>
    <xf numFmtId="175" fontId="3" fillId="0" borderId="18" xfId="541" applyNumberFormat="1" applyFont="1" applyFill="1" applyBorder="1"/>
    <xf numFmtId="175" fontId="3" fillId="0" borderId="19" xfId="541" applyNumberFormat="1" applyFont="1" applyFill="1" applyBorder="1"/>
    <xf numFmtId="49" fontId="3" fillId="0" borderId="0" xfId="542" applyNumberFormat="1" applyFont="1" applyFill="1"/>
    <xf numFmtId="168" fontId="3" fillId="0" borderId="17" xfId="541" applyNumberFormat="1" applyFont="1" applyFill="1" applyBorder="1"/>
    <xf numFmtId="0" fontId="3" fillId="0" borderId="44" xfId="541" applyFont="1" applyFill="1" applyBorder="1"/>
    <xf numFmtId="0" fontId="27" fillId="0" borderId="45" xfId="541" applyFont="1" applyFill="1" applyBorder="1"/>
    <xf numFmtId="168" fontId="3" fillId="0" borderId="45" xfId="541" applyNumberFormat="1" applyFont="1" applyFill="1" applyBorder="1"/>
    <xf numFmtId="3" fontId="3" fillId="0" borderId="45" xfId="541" applyNumberFormat="1" applyFont="1" applyFill="1" applyBorder="1"/>
    <xf numFmtId="175" fontId="3" fillId="0" borderId="45" xfId="541" applyNumberFormat="1" applyFont="1" applyFill="1" applyBorder="1"/>
    <xf numFmtId="0" fontId="107" fillId="0" borderId="0" xfId="541" applyFont="1" applyFill="1"/>
    <xf numFmtId="168" fontId="107" fillId="0" borderId="0" xfId="541" applyNumberFormat="1" applyFont="1" applyFill="1"/>
    <xf numFmtId="164" fontId="107" fillId="0" borderId="0" xfId="3" applyNumberFormat="1" applyFont="1" applyFill="1"/>
    <xf numFmtId="3" fontId="3" fillId="0" borderId="46" xfId="541" applyNumberFormat="1" applyFont="1" applyFill="1" applyBorder="1"/>
    <xf numFmtId="0" fontId="104" fillId="0" borderId="0" xfId="541" applyFont="1" applyFill="1" applyAlignment="1" applyProtection="1">
      <alignment horizontal="left"/>
    </xf>
    <xf numFmtId="0" fontId="104" fillId="0" borderId="0" xfId="541" applyFont="1" applyFill="1" applyAlignment="1"/>
    <xf numFmtId="37" fontId="0" fillId="0" borderId="0" xfId="4" applyNumberFormat="1" applyFont="1" applyFill="1" applyBorder="1" applyProtection="1"/>
    <xf numFmtId="0" fontId="0" fillId="0" borderId="0" xfId="4" applyFont="1" applyFill="1" applyBorder="1"/>
    <xf numFmtId="164" fontId="9" fillId="0" borderId="0" xfId="3" applyNumberFormat="1" applyFont="1" applyFill="1" applyAlignment="1">
      <alignment horizontal="center"/>
    </xf>
    <xf numFmtId="0" fontId="91" fillId="0" borderId="0" xfId="540" applyFont="1" applyAlignment="1">
      <alignment horizontal="center" vertical="center"/>
    </xf>
    <xf numFmtId="0" fontId="16" fillId="0" borderId="0" xfId="16" applyFont="1" applyFill="1" applyAlignment="1">
      <alignment horizontal="center"/>
    </xf>
    <xf numFmtId="0" fontId="9" fillId="0" borderId="1" xfId="16" applyFont="1" applyFill="1" applyBorder="1" applyAlignment="1">
      <alignment horizontal="center"/>
    </xf>
    <xf numFmtId="0" fontId="11" fillId="0" borderId="1" xfId="5" applyFont="1" applyFill="1" applyBorder="1" applyAlignment="1">
      <alignment horizontal="center"/>
    </xf>
    <xf numFmtId="0" fontId="3" fillId="0" borderId="1" xfId="4" applyFont="1" applyFill="1" applyBorder="1" applyAlignment="1">
      <alignment horizontal="center"/>
    </xf>
    <xf numFmtId="0" fontId="3" fillId="0" borderId="0" xfId="4" applyFont="1" applyFill="1" applyAlignment="1">
      <alignment horizontal="left"/>
    </xf>
    <xf numFmtId="0" fontId="3" fillId="0" borderId="0" xfId="4" quotePrefix="1" applyFont="1" applyFill="1" applyAlignment="1">
      <alignment horizontal="left"/>
    </xf>
    <xf numFmtId="0" fontId="5" fillId="0" borderId="0" xfId="4" quotePrefix="1" applyFont="1" applyFill="1" applyAlignment="1">
      <alignment horizontal="center"/>
    </xf>
    <xf numFmtId="0" fontId="5" fillId="0" borderId="0" xfId="4" applyFont="1" applyFill="1" applyAlignment="1">
      <alignment horizontal="center"/>
    </xf>
    <xf numFmtId="0" fontId="24" fillId="0" borderId="0" xfId="19" applyFont="1"/>
  </cellXfs>
  <cellStyles count="543">
    <cellStyle name="_x0013_" xfId="507"/>
    <cellStyle name="_Book1" xfId="508"/>
    <cellStyle name="_Book1 (2)" xfId="509"/>
    <cellStyle name="_Book2" xfId="510"/>
    <cellStyle name="_Chelan Debt Forecast 12.19.05" xfId="511"/>
    <cellStyle name="_Costs not in AURORA 06GRC" xfId="512"/>
    <cellStyle name="_Costs not in AURORA 2006GRC 6.15.06" xfId="513"/>
    <cellStyle name="_Costs not in AURORA 2007 Rate Case" xfId="514"/>
    <cellStyle name="_Costs not in KWI3000 '06Budget" xfId="515"/>
    <cellStyle name="_DEM-WP (C) Power Cost 2006GRC Order" xfId="516"/>
    <cellStyle name="_DEM-WP(C) Costs not in AURORA 2006GRC" xfId="517"/>
    <cellStyle name="_DEM-WP(C) Costs not in AURORA 2007GRC" xfId="518"/>
    <cellStyle name="_DEM-WP(C) Prod O&amp;M 2007GRC" xfId="519"/>
    <cellStyle name="_DEM-WP(C) Rate Year Sumas by Month Update Corrected" xfId="520"/>
    <cellStyle name="_Recon to Darrin's 5.11.05 proforma" xfId="521"/>
    <cellStyle name="_Tenaska Comparison" xfId="522"/>
    <cellStyle name="_VC 6.15.06 update on 06GRC power costs.xls Chart 1" xfId="523"/>
    <cellStyle name="_VC 6.15.06 update on 06GRC power costs.xls Chart 2" xfId="524"/>
    <cellStyle name="_VC 6.15.06 update on 06GRC power costs.xls Chart 3" xfId="525"/>
    <cellStyle name="0,0_x000d__x000a_NA_x000d__x000a_" xfId="526"/>
    <cellStyle name="20% - Accent1 2" xfId="38"/>
    <cellStyle name="20% - Accent1 3" xfId="39"/>
    <cellStyle name="20% - Accent1 4" xfId="40"/>
    <cellStyle name="20% - Accent1 5" xfId="41"/>
    <cellStyle name="20% - Accent1 6" xfId="42"/>
    <cellStyle name="20% - Accent2 2" xfId="43"/>
    <cellStyle name="20% - Accent2 3" xfId="44"/>
    <cellStyle name="20% - Accent2 4" xfId="45"/>
    <cellStyle name="20% - Accent2 5" xfId="46"/>
    <cellStyle name="20% - Accent2 6" xfId="47"/>
    <cellStyle name="20% - Accent3 2" xfId="48"/>
    <cellStyle name="20% - Accent3 3" xfId="49"/>
    <cellStyle name="20% - Accent3 4" xfId="50"/>
    <cellStyle name="20% - Accent3 5" xfId="51"/>
    <cellStyle name="20% - Accent3 6" xfId="52"/>
    <cellStyle name="20% - Accent4 2" xfId="53"/>
    <cellStyle name="20% - Accent4 3" xfId="54"/>
    <cellStyle name="20% - Accent4 4" xfId="55"/>
    <cellStyle name="20% - Accent4 5" xfId="56"/>
    <cellStyle name="20% - Accent4 6" xfId="57"/>
    <cellStyle name="20% - Accent5 2" xfId="58"/>
    <cellStyle name="20% - Accent5 3" xfId="59"/>
    <cellStyle name="20% - Accent5 4" xfId="60"/>
    <cellStyle name="20% - Accent5 5" xfId="61"/>
    <cellStyle name="20% - Accent5 6" xfId="62"/>
    <cellStyle name="20% - Accent6 2" xfId="63"/>
    <cellStyle name="20% - Accent6 3" xfId="64"/>
    <cellStyle name="20% - Accent6 4" xfId="65"/>
    <cellStyle name="20% - Accent6 5" xfId="66"/>
    <cellStyle name="20% - Accent6 6" xfId="67"/>
    <cellStyle name="40% - Accent1 2" xfId="68"/>
    <cellStyle name="40% - Accent1 3" xfId="69"/>
    <cellStyle name="40% - Accent1 4" xfId="70"/>
    <cellStyle name="40% - Accent1 5" xfId="71"/>
    <cellStyle name="40% - Accent1 6" xfId="72"/>
    <cellStyle name="40% - Accent2 2" xfId="73"/>
    <cellStyle name="40% - Accent2 3" xfId="74"/>
    <cellStyle name="40% - Accent2 4" xfId="75"/>
    <cellStyle name="40% - Accent2 5" xfId="76"/>
    <cellStyle name="40% - Accent2 6" xfId="77"/>
    <cellStyle name="40% - Accent3 2" xfId="78"/>
    <cellStyle name="40% - Accent3 3" xfId="79"/>
    <cellStyle name="40% - Accent3 4" xfId="80"/>
    <cellStyle name="40% - Accent3 5" xfId="81"/>
    <cellStyle name="40% - Accent3 6" xfId="82"/>
    <cellStyle name="40% - Accent4 2" xfId="83"/>
    <cellStyle name="40% - Accent4 3" xfId="84"/>
    <cellStyle name="40% - Accent4 4" xfId="85"/>
    <cellStyle name="40% - Accent4 5" xfId="86"/>
    <cellStyle name="40% - Accent4 6" xfId="87"/>
    <cellStyle name="40% - Accent5 2" xfId="88"/>
    <cellStyle name="40% - Accent5 3" xfId="89"/>
    <cellStyle name="40% - Accent5 4" xfId="90"/>
    <cellStyle name="40% - Accent5 5" xfId="91"/>
    <cellStyle name="40% - Accent5 6" xfId="92"/>
    <cellStyle name="40% - Accent6 2" xfId="93"/>
    <cellStyle name="40% - Accent6 3" xfId="94"/>
    <cellStyle name="40% - Accent6 4" xfId="95"/>
    <cellStyle name="40% - Accent6 5" xfId="96"/>
    <cellStyle name="40% - Accent6 6" xfId="97"/>
    <cellStyle name="60% - Accent1 2" xfId="98"/>
    <cellStyle name="60% - Accent1 3" xfId="99"/>
    <cellStyle name="60% - Accent1 4" xfId="100"/>
    <cellStyle name="60% - Accent1 5" xfId="101"/>
    <cellStyle name="60% - Accent1 6" xfId="102"/>
    <cellStyle name="60% - Accent2 2" xfId="103"/>
    <cellStyle name="60% - Accent2 3" xfId="104"/>
    <cellStyle name="60% - Accent2 4" xfId="105"/>
    <cellStyle name="60% - Accent2 5" xfId="106"/>
    <cellStyle name="60% - Accent2 6" xfId="107"/>
    <cellStyle name="60% - Accent3 2" xfId="108"/>
    <cellStyle name="60% - Accent3 3" xfId="109"/>
    <cellStyle name="60% - Accent3 4" xfId="110"/>
    <cellStyle name="60% - Accent3 5" xfId="111"/>
    <cellStyle name="60% - Accent3 6" xfId="112"/>
    <cellStyle name="60% - Accent4 2" xfId="113"/>
    <cellStyle name="60% - Accent4 3" xfId="114"/>
    <cellStyle name="60% - Accent4 4" xfId="115"/>
    <cellStyle name="60% - Accent4 5" xfId="116"/>
    <cellStyle name="60% - Accent4 6" xfId="117"/>
    <cellStyle name="60% - Accent5 2" xfId="118"/>
    <cellStyle name="60% - Accent5 3" xfId="119"/>
    <cellStyle name="60% - Accent5 4" xfId="120"/>
    <cellStyle name="60% - Accent5 5" xfId="121"/>
    <cellStyle name="60% - Accent5 6" xfId="122"/>
    <cellStyle name="60% - Accent6 2" xfId="123"/>
    <cellStyle name="60% - Accent6 3" xfId="124"/>
    <cellStyle name="60% - Accent6 4" xfId="125"/>
    <cellStyle name="60% - Accent6 5" xfId="126"/>
    <cellStyle name="60% - Accent6 6" xfId="127"/>
    <cellStyle name="Accent1 2" xfId="128"/>
    <cellStyle name="Accent1 3" xfId="129"/>
    <cellStyle name="Accent1 4" xfId="130"/>
    <cellStyle name="Accent1 5" xfId="131"/>
    <cellStyle name="Accent1 6" xfId="132"/>
    <cellStyle name="Accent2 2" xfId="133"/>
    <cellStyle name="Accent2 3" xfId="134"/>
    <cellStyle name="Accent2 4" xfId="135"/>
    <cellStyle name="Accent2 5" xfId="136"/>
    <cellStyle name="Accent2 6" xfId="137"/>
    <cellStyle name="Accent3 2" xfId="138"/>
    <cellStyle name="Accent3 3" xfId="139"/>
    <cellStyle name="Accent3 4" xfId="140"/>
    <cellStyle name="Accent3 5" xfId="141"/>
    <cellStyle name="Accent3 6" xfId="142"/>
    <cellStyle name="Accent4 2" xfId="143"/>
    <cellStyle name="Accent4 3" xfId="144"/>
    <cellStyle name="Accent4 4" xfId="145"/>
    <cellStyle name="Accent4 5" xfId="146"/>
    <cellStyle name="Accent4 6" xfId="147"/>
    <cellStyle name="Accent5 2" xfId="148"/>
    <cellStyle name="Accent5 3" xfId="149"/>
    <cellStyle name="Accent5 4" xfId="150"/>
    <cellStyle name="Accent5 5" xfId="151"/>
    <cellStyle name="Accent5 6" xfId="152"/>
    <cellStyle name="Accent6 2" xfId="153"/>
    <cellStyle name="Accent6 3" xfId="154"/>
    <cellStyle name="Accent6 4" xfId="155"/>
    <cellStyle name="Accent6 5" xfId="156"/>
    <cellStyle name="Accent6 6" xfId="157"/>
    <cellStyle name="ArrayHeading" xfId="158"/>
    <cellStyle name="Bad 2" xfId="159"/>
    <cellStyle name="Bad 3" xfId="160"/>
    <cellStyle name="Bad 4" xfId="161"/>
    <cellStyle name="Bad 5" xfId="162"/>
    <cellStyle name="Bad 6" xfId="163"/>
    <cellStyle name="BetweenMacros" xfId="164"/>
    <cellStyle name="Calculation 2" xfId="165"/>
    <cellStyle name="Calculation 3" xfId="166"/>
    <cellStyle name="Calculation 4" xfId="167"/>
    <cellStyle name="Calculation 5" xfId="168"/>
    <cellStyle name="Calculation 6" xfId="169"/>
    <cellStyle name="Check Cell 2" xfId="170"/>
    <cellStyle name="Check Cell 3" xfId="171"/>
    <cellStyle name="Check Cell 4" xfId="172"/>
    <cellStyle name="Check Cell 5" xfId="173"/>
    <cellStyle name="Check Cell 6" xfId="174"/>
    <cellStyle name="Column total in dollars" xfId="175"/>
    <cellStyle name="Comma" xfId="1" builtinId="3"/>
    <cellStyle name="Comma  - Style1" xfId="176"/>
    <cellStyle name="Comma  - Style1 2" xfId="177"/>
    <cellStyle name="Comma  - Style1 3" xfId="178"/>
    <cellStyle name="Comma  - Style2" xfId="179"/>
    <cellStyle name="Comma  - Style2 2" xfId="180"/>
    <cellStyle name="Comma  - Style2 3" xfId="181"/>
    <cellStyle name="Comma  - Style3" xfId="182"/>
    <cellStyle name="Comma  - Style3 2" xfId="183"/>
    <cellStyle name="Comma  - Style3 3" xfId="184"/>
    <cellStyle name="Comma  - Style4" xfId="185"/>
    <cellStyle name="Comma  - Style4 2" xfId="186"/>
    <cellStyle name="Comma  - Style4 3" xfId="187"/>
    <cellStyle name="Comma  - Style5" xfId="188"/>
    <cellStyle name="Comma  - Style5 2" xfId="189"/>
    <cellStyle name="Comma  - Style5 3" xfId="190"/>
    <cellStyle name="Comma  - Style6" xfId="191"/>
    <cellStyle name="Comma  - Style6 2" xfId="192"/>
    <cellStyle name="Comma  - Style6 3" xfId="193"/>
    <cellStyle name="Comma  - Style7" xfId="194"/>
    <cellStyle name="Comma  - Style7 2" xfId="195"/>
    <cellStyle name="Comma  - Style7 3" xfId="196"/>
    <cellStyle name="Comma  - Style8" xfId="197"/>
    <cellStyle name="Comma  - Style8 2" xfId="198"/>
    <cellStyle name="Comma  - Style8 3" xfId="199"/>
    <cellStyle name="Comma (0)" xfId="200"/>
    <cellStyle name="Comma [0] 2" xfId="201"/>
    <cellStyle name="Comma 10" xfId="202"/>
    <cellStyle name="Comma 2" xfId="6"/>
    <cellStyle name="Comma 2 2" xfId="7"/>
    <cellStyle name="Comma 2 2 2" xfId="203"/>
    <cellStyle name="Comma 2 3" xfId="204"/>
    <cellStyle name="Comma 2 4" xfId="205"/>
    <cellStyle name="Comma 2 5" xfId="206"/>
    <cellStyle name="Comma 2 6" xfId="207"/>
    <cellStyle name="Comma 3" xfId="22"/>
    <cellStyle name="Comma 3 2" xfId="208"/>
    <cellStyle name="Comma 4" xfId="23"/>
    <cellStyle name="Comma 4 2" xfId="209"/>
    <cellStyle name="Comma 5" xfId="210"/>
    <cellStyle name="Comma 6" xfId="211"/>
    <cellStyle name="Comma 6 2" xfId="212"/>
    <cellStyle name="Comma 7" xfId="213"/>
    <cellStyle name="Comma 8" xfId="214"/>
    <cellStyle name="Comma 9" xfId="215"/>
    <cellStyle name="Comma0" xfId="216"/>
    <cellStyle name="Comma0 - Style1" xfId="217"/>
    <cellStyle name="Comma0 - Style2" xfId="218"/>
    <cellStyle name="Comma0 - Style3" xfId="219"/>
    <cellStyle name="Comma0 - Style4" xfId="220"/>
    <cellStyle name="Comma0_1st Qtr 2009 Global Insight Factors" xfId="221"/>
    <cellStyle name="Comma1 - Style1" xfId="222"/>
    <cellStyle name="Curren - Style1" xfId="527"/>
    <cellStyle name="Curren - Style2" xfId="223"/>
    <cellStyle name="Curren - Style3" xfId="224"/>
    <cellStyle name="Curren - Style5" xfId="528"/>
    <cellStyle name="Currency" xfId="2" builtinId="4"/>
    <cellStyle name="Currency 2" xfId="24"/>
    <cellStyle name="Currency 2 2" xfId="225"/>
    <cellStyle name="Currency 2 2 2" xfId="226"/>
    <cellStyle name="Currency 3" xfId="32"/>
    <cellStyle name="Currency 3 2" xfId="227"/>
    <cellStyle name="Currency 4" xfId="228"/>
    <cellStyle name="Currency 5" xfId="229"/>
    <cellStyle name="Currency 6" xfId="230"/>
    <cellStyle name="Currency 7" xfId="231"/>
    <cellStyle name="Currency 8" xfId="232"/>
    <cellStyle name="Currency No Comma" xfId="233"/>
    <cellStyle name="Currency(0)" xfId="234"/>
    <cellStyle name="Currency0" xfId="235"/>
    <cellStyle name="Date" xfId="236"/>
    <cellStyle name="Date - Style1" xfId="237"/>
    <cellStyle name="Date - Style3" xfId="238"/>
    <cellStyle name="Date_1st Qtr 2009 Global Insight Factors" xfId="239"/>
    <cellStyle name="Entered" xfId="529"/>
    <cellStyle name="Explanatory Text 2" xfId="240"/>
    <cellStyle name="Explanatory Text 3" xfId="241"/>
    <cellStyle name="Explanatory Text 4" xfId="242"/>
    <cellStyle name="Explanatory Text 5" xfId="243"/>
    <cellStyle name="Explanatory Text 6" xfId="244"/>
    <cellStyle name="Fixed" xfId="245"/>
    <cellStyle name="Fixed2 - Style2" xfId="246"/>
    <cellStyle name="Fixed3 - Style3" xfId="530"/>
    <cellStyle name="General" xfId="8"/>
    <cellStyle name="Good 2" xfId="247"/>
    <cellStyle name="Good 3" xfId="248"/>
    <cellStyle name="Good 4" xfId="249"/>
    <cellStyle name="Good 5" xfId="250"/>
    <cellStyle name="Good 6" xfId="251"/>
    <cellStyle name="Grey" xfId="252"/>
    <cellStyle name="Grey 2" xfId="253"/>
    <cellStyle name="Grey 3" xfId="254"/>
    <cellStyle name="header" xfId="255"/>
    <cellStyle name="Header1" xfId="256"/>
    <cellStyle name="Header2" xfId="257"/>
    <cellStyle name="Heading 3 2" xfId="258"/>
    <cellStyle name="Heading 3 3" xfId="259"/>
    <cellStyle name="Heading 3 4" xfId="260"/>
    <cellStyle name="Heading 3 5" xfId="261"/>
    <cellStyle name="Heading 3 6" xfId="262"/>
    <cellStyle name="Heading 4 2" xfId="263"/>
    <cellStyle name="Heading 4 3" xfId="264"/>
    <cellStyle name="Heading 4 4" xfId="265"/>
    <cellStyle name="Heading 4 5" xfId="266"/>
    <cellStyle name="Heading 4 6" xfId="267"/>
    <cellStyle name="Heading1" xfId="268"/>
    <cellStyle name="Heading2" xfId="269"/>
    <cellStyle name="Hyperlink 2" xfId="270"/>
    <cellStyle name="Hyperlink 2 2" xfId="271"/>
    <cellStyle name="Hyperlink 2 3" xfId="272"/>
    <cellStyle name="Hyperlink 3" xfId="273"/>
    <cellStyle name="Hyperlink 4" xfId="274"/>
    <cellStyle name="Input [yellow]" xfId="275"/>
    <cellStyle name="Input [yellow] 2" xfId="276"/>
    <cellStyle name="Input [yellow] 3" xfId="277"/>
    <cellStyle name="Inst. Sections" xfId="278"/>
    <cellStyle name="Inst. Subheading" xfId="279"/>
    <cellStyle name="Linked Cell 2" xfId="280"/>
    <cellStyle name="Linked Cell 3" xfId="281"/>
    <cellStyle name="Linked Cell 4" xfId="282"/>
    <cellStyle name="Linked Cell 5" xfId="283"/>
    <cellStyle name="Linked Cell 6" xfId="284"/>
    <cellStyle name="Macro" xfId="285"/>
    <cellStyle name="macro descr" xfId="286"/>
    <cellStyle name="Macro_Comments" xfId="287"/>
    <cellStyle name="MacroText" xfId="288"/>
    <cellStyle name="Marathon" xfId="9"/>
    <cellStyle name="MCP" xfId="289"/>
    <cellStyle name="modified border" xfId="531"/>
    <cellStyle name="modified border1" xfId="532"/>
    <cellStyle name="Neutral 2" xfId="290"/>
    <cellStyle name="Neutral 3" xfId="291"/>
    <cellStyle name="Neutral 4" xfId="292"/>
    <cellStyle name="Neutral 5" xfId="293"/>
    <cellStyle name="Neutral 6" xfId="294"/>
    <cellStyle name="nONE" xfId="10"/>
    <cellStyle name="noninput" xfId="295"/>
    <cellStyle name="noninput 2" xfId="296"/>
    <cellStyle name="noninput 3" xfId="297"/>
    <cellStyle name="Normal" xfId="0" builtinId="0"/>
    <cellStyle name="Normal - Style1" xfId="298"/>
    <cellStyle name="Normal - Style1 2" xfId="299"/>
    <cellStyle name="Normal - Style1 3" xfId="300"/>
    <cellStyle name="Normal 10" xfId="31"/>
    <cellStyle name="Normal 11" xfId="33"/>
    <cellStyle name="Normal 117" xfId="301"/>
    <cellStyle name="Normal 12" xfId="34"/>
    <cellStyle name="Normal 122" xfId="302"/>
    <cellStyle name="Normal 13" xfId="35"/>
    <cellStyle name="Normal 14" xfId="36"/>
    <cellStyle name="Normal 15" xfId="303"/>
    <cellStyle name="Normal 16" xfId="304"/>
    <cellStyle name="Normal 17" xfId="539"/>
    <cellStyle name="Normal 18" xfId="540"/>
    <cellStyle name="Normal 19" xfId="541"/>
    <cellStyle name="Normal 2" xfId="11"/>
    <cellStyle name="Normal 2 2" xfId="25"/>
    <cellStyle name="Normal 2 2 2" xfId="305"/>
    <cellStyle name="Normal 2 2 2 10" xfId="306"/>
    <cellStyle name="Normal 2 3" xfId="307"/>
    <cellStyle name="Normal 2 3 2" xfId="308"/>
    <cellStyle name="Normal 2 3 2 2" xfId="309"/>
    <cellStyle name="Normal 2 3 3" xfId="310"/>
    <cellStyle name="Normal 2 3 4" xfId="311"/>
    <cellStyle name="Normal 2 3 5" xfId="312"/>
    <cellStyle name="Normal 2 3 6" xfId="313"/>
    <cellStyle name="Normal 2 4" xfId="314"/>
    <cellStyle name="Normal 2 5" xfId="315"/>
    <cellStyle name="Normal 2 5 2" xfId="316"/>
    <cellStyle name="Normal 2 6" xfId="317"/>
    <cellStyle name="Normal 2 7" xfId="318"/>
    <cellStyle name="Normal 2 8" xfId="319"/>
    <cellStyle name="Normal 2_Base Expense Data" xfId="533"/>
    <cellStyle name="Normal 3" xfId="12"/>
    <cellStyle name="Normal 3 2" xfId="26"/>
    <cellStyle name="Normal 3 2 2" xfId="320"/>
    <cellStyle name="Normal 3 2 2 2" xfId="321"/>
    <cellStyle name="Normal 3 2 3" xfId="322"/>
    <cellStyle name="Normal 3 2 4" xfId="323"/>
    <cellStyle name="Normal 3 2 5" xfId="324"/>
    <cellStyle name="Normal 3 2 6" xfId="325"/>
    <cellStyle name="Normal 3 3" xfId="326"/>
    <cellStyle name="Normal 3 4" xfId="327"/>
    <cellStyle name="Normal 3 5" xfId="328"/>
    <cellStyle name="Normal 3 5 2" xfId="329"/>
    <cellStyle name="Normal 3 6" xfId="330"/>
    <cellStyle name="Normal 3 7" xfId="331"/>
    <cellStyle name="Normal 3 8" xfId="332"/>
    <cellStyle name="Normal 4" xfId="13"/>
    <cellStyle name="Normal 4 2" xfId="27"/>
    <cellStyle name="Normal 4 3" xfId="333"/>
    <cellStyle name="Normal 4 4" xfId="334"/>
    <cellStyle name="Normal 4 5" xfId="335"/>
    <cellStyle name="Normal 4 6" xfId="336"/>
    <cellStyle name="Normal 4 7" xfId="337"/>
    <cellStyle name="Normal 5" xfId="14"/>
    <cellStyle name="Normal 5 2" xfId="338"/>
    <cellStyle name="Normal 6" xfId="15"/>
    <cellStyle name="Normal 6 2" xfId="339"/>
    <cellStyle name="Normal 6 3" xfId="340"/>
    <cellStyle name="Normal 7" xfId="21"/>
    <cellStyle name="Normal 7 2" xfId="341"/>
    <cellStyle name="Normal 7 2 2" xfId="342"/>
    <cellStyle name="Normal 8" xfId="28"/>
    <cellStyle name="Normal 8 2" xfId="343"/>
    <cellStyle name="Normal 8 3" xfId="344"/>
    <cellStyle name="Normal 9" xfId="29"/>
    <cellStyle name="Normal(0)" xfId="345"/>
    <cellStyle name="Normal_2007-2013 BPA Eligible kWh - calculation of estimated 2009 bpa rate under 4 scenarios" xfId="19"/>
    <cellStyle name="Normal_EAST Blocking 901 2" xfId="20"/>
    <cellStyle name="Normal_OR 1999 SAS VS 305" xfId="542"/>
    <cellStyle name="Normal_OR Blocking 04" xfId="5"/>
    <cellStyle name="Normal_OR Blocking 98 No Forecast" xfId="16"/>
    <cellStyle name="Normal_WA98" xfId="4"/>
    <cellStyle name="Note 2" xfId="346"/>
    <cellStyle name="Note 3" xfId="347"/>
    <cellStyle name="Note 4" xfId="348"/>
    <cellStyle name="Note 5" xfId="349"/>
    <cellStyle name="Note 6" xfId="350"/>
    <cellStyle name="Number" xfId="351"/>
    <cellStyle name="Number 10" xfId="352"/>
    <cellStyle name="Number 11" xfId="353"/>
    <cellStyle name="Number 12" xfId="354"/>
    <cellStyle name="Number 13" xfId="355"/>
    <cellStyle name="Number 14" xfId="356"/>
    <cellStyle name="Number 2" xfId="357"/>
    <cellStyle name="Number 3" xfId="358"/>
    <cellStyle name="Number 4" xfId="359"/>
    <cellStyle name="Number 5" xfId="360"/>
    <cellStyle name="Number 6" xfId="361"/>
    <cellStyle name="Number 7" xfId="362"/>
    <cellStyle name="Number 8" xfId="363"/>
    <cellStyle name="Number 9" xfId="364"/>
    <cellStyle name="Output 2" xfId="365"/>
    <cellStyle name="Output 3" xfId="366"/>
    <cellStyle name="Output 4" xfId="367"/>
    <cellStyle name="Output 5" xfId="368"/>
    <cellStyle name="Output 6" xfId="369"/>
    <cellStyle name="Password" xfId="370"/>
    <cellStyle name="Percen - Style1" xfId="371"/>
    <cellStyle name="Percen - Style2" xfId="372"/>
    <cellStyle name="Percent" xfId="3" builtinId="5"/>
    <cellStyle name="Percent [2]" xfId="373"/>
    <cellStyle name="Percent [2] 2" xfId="374"/>
    <cellStyle name="Percent [2] 3" xfId="375"/>
    <cellStyle name="Percent 2" xfId="17"/>
    <cellStyle name="Percent 2 2" xfId="376"/>
    <cellStyle name="Percent 2 2 2" xfId="377"/>
    <cellStyle name="Percent 2 3" xfId="378"/>
    <cellStyle name="Percent 3" xfId="30"/>
    <cellStyle name="Percent 3 2" xfId="37"/>
    <cellStyle name="Percent 4" xfId="379"/>
    <cellStyle name="Percent 4 2" xfId="380"/>
    <cellStyle name="Percent 5" xfId="381"/>
    <cellStyle name="Percent 6" xfId="382"/>
    <cellStyle name="Percent 7" xfId="383"/>
    <cellStyle name="Percent 8" xfId="384"/>
    <cellStyle name="Percent(0)" xfId="385"/>
    <cellStyle name="Reports" xfId="534"/>
    <cellStyle name="round100" xfId="535"/>
    <cellStyle name="SAPBEXaggData" xfId="386"/>
    <cellStyle name="SAPBEXaggDataEmph" xfId="387"/>
    <cellStyle name="SAPBEXaggItem" xfId="388"/>
    <cellStyle name="SAPBEXaggItemX" xfId="389"/>
    <cellStyle name="SAPBEXchaText" xfId="390"/>
    <cellStyle name="SAPBEXexcBad7" xfId="391"/>
    <cellStyle name="SAPBEXexcBad8" xfId="392"/>
    <cellStyle name="SAPBEXexcBad9" xfId="393"/>
    <cellStyle name="SAPBEXexcCritical4" xfId="394"/>
    <cellStyle name="SAPBEXexcCritical5" xfId="395"/>
    <cellStyle name="SAPBEXexcCritical6" xfId="396"/>
    <cellStyle name="SAPBEXexcGood1" xfId="397"/>
    <cellStyle name="SAPBEXexcGood2" xfId="398"/>
    <cellStyle name="SAPBEXexcGood3" xfId="399"/>
    <cellStyle name="SAPBEXfilterDrill" xfId="400"/>
    <cellStyle name="SAPBEXfilterItem" xfId="401"/>
    <cellStyle name="SAPBEXfilterText" xfId="402"/>
    <cellStyle name="SAPBEXfilterText 2" xfId="403"/>
    <cellStyle name="SAPBEXfilterText 3" xfId="404"/>
    <cellStyle name="SAPBEXformats" xfId="405"/>
    <cellStyle name="SAPBEXheaderItem" xfId="406"/>
    <cellStyle name="SAPBEXheaderItem 2" xfId="407"/>
    <cellStyle name="SAPBEXheaderItem 3" xfId="408"/>
    <cellStyle name="SAPBEXheaderItem 4" xfId="409"/>
    <cellStyle name="SAPBEXheaderText" xfId="410"/>
    <cellStyle name="SAPBEXheaderText 2" xfId="411"/>
    <cellStyle name="SAPBEXheaderText 3" xfId="412"/>
    <cellStyle name="SAPBEXheaderText 4" xfId="413"/>
    <cellStyle name="SAPBEXHLevel0" xfId="414"/>
    <cellStyle name="SAPBEXHLevel0 2" xfId="415"/>
    <cellStyle name="SAPBEXHLevel0 3" xfId="416"/>
    <cellStyle name="SAPBEXHLevel0 4" xfId="417"/>
    <cellStyle name="SAPBEXHLevel0 5" xfId="418"/>
    <cellStyle name="SAPBEXHLevel0 6" xfId="419"/>
    <cellStyle name="SAPBEXHLevel0X" xfId="420"/>
    <cellStyle name="SAPBEXHLevel0X 2" xfId="421"/>
    <cellStyle name="SAPBEXHLevel0X 3" xfId="422"/>
    <cellStyle name="SAPBEXHLevel0X 4" xfId="423"/>
    <cellStyle name="SAPBEXHLevel0X 5" xfId="424"/>
    <cellStyle name="SAPBEXHLevel0X 6" xfId="425"/>
    <cellStyle name="SAPBEXHLevel1" xfId="426"/>
    <cellStyle name="SAPBEXHLevel1 2" xfId="427"/>
    <cellStyle name="SAPBEXHLevel1 3" xfId="428"/>
    <cellStyle name="SAPBEXHLevel1 4" xfId="429"/>
    <cellStyle name="SAPBEXHLevel1 5" xfId="430"/>
    <cellStyle name="SAPBEXHLevel1 6" xfId="431"/>
    <cellStyle name="SAPBEXHLevel1X" xfId="432"/>
    <cellStyle name="SAPBEXHLevel1X 2" xfId="433"/>
    <cellStyle name="SAPBEXHLevel1X 3" xfId="434"/>
    <cellStyle name="SAPBEXHLevel1X 4" xfId="435"/>
    <cellStyle name="SAPBEXHLevel1X 5" xfId="436"/>
    <cellStyle name="SAPBEXHLevel1X 6" xfId="437"/>
    <cellStyle name="SAPBEXHLevel2" xfId="438"/>
    <cellStyle name="SAPBEXHLevel2 2" xfId="439"/>
    <cellStyle name="SAPBEXHLevel2 3" xfId="440"/>
    <cellStyle name="SAPBEXHLevel2 4" xfId="441"/>
    <cellStyle name="SAPBEXHLevel2 5" xfId="442"/>
    <cellStyle name="SAPBEXHLevel2 6" xfId="443"/>
    <cellStyle name="SAPBEXHLevel2X" xfId="444"/>
    <cellStyle name="SAPBEXHLevel2X 2" xfId="445"/>
    <cellStyle name="SAPBEXHLevel2X 3" xfId="446"/>
    <cellStyle name="SAPBEXHLevel2X 4" xfId="447"/>
    <cellStyle name="SAPBEXHLevel2X 5" xfId="448"/>
    <cellStyle name="SAPBEXHLevel2X 6" xfId="449"/>
    <cellStyle name="SAPBEXHLevel3" xfId="450"/>
    <cellStyle name="SAPBEXHLevel3 2" xfId="451"/>
    <cellStyle name="SAPBEXHLevel3 3" xfId="452"/>
    <cellStyle name="SAPBEXHLevel3 4" xfId="453"/>
    <cellStyle name="SAPBEXHLevel3 5" xfId="454"/>
    <cellStyle name="SAPBEXHLevel3 6" xfId="455"/>
    <cellStyle name="SAPBEXHLevel3X" xfId="456"/>
    <cellStyle name="SAPBEXHLevel3X 2" xfId="457"/>
    <cellStyle name="SAPBEXHLevel3X 3" xfId="458"/>
    <cellStyle name="SAPBEXHLevel3X 4" xfId="459"/>
    <cellStyle name="SAPBEXHLevel3X 5" xfId="460"/>
    <cellStyle name="SAPBEXHLevel3X 6" xfId="461"/>
    <cellStyle name="SAPBEXresData" xfId="462"/>
    <cellStyle name="SAPBEXresDataEmph" xfId="463"/>
    <cellStyle name="SAPBEXresItem" xfId="464"/>
    <cellStyle name="SAPBEXresItemX" xfId="465"/>
    <cellStyle name="SAPBEXstdData" xfId="466"/>
    <cellStyle name="SAPBEXstdDataEmph" xfId="467"/>
    <cellStyle name="SAPBEXstdItem" xfId="468"/>
    <cellStyle name="SAPBEXstdItemX" xfId="469"/>
    <cellStyle name="SAPBEXtitle" xfId="470"/>
    <cellStyle name="SAPBEXtitle 2" xfId="471"/>
    <cellStyle name="SAPBEXtitle 3" xfId="472"/>
    <cellStyle name="SAPBEXtitle 4" xfId="473"/>
    <cellStyle name="SAPBEXundefined" xfId="474"/>
    <cellStyle name="Shade" xfId="475"/>
    <cellStyle name="Special" xfId="476"/>
    <cellStyle name="Special 2" xfId="477"/>
    <cellStyle name="Special 3" xfId="478"/>
    <cellStyle name="StmtTtl1" xfId="536"/>
    <cellStyle name="StmtTtl2" xfId="537"/>
    <cellStyle name="STYL1 - Style1" xfId="538"/>
    <cellStyle name="Style 1" xfId="479"/>
    <cellStyle name="Style 27" xfId="480"/>
    <cellStyle name="Style 35" xfId="481"/>
    <cellStyle name="Style 36" xfId="482"/>
    <cellStyle name="Text" xfId="483"/>
    <cellStyle name="Title 2" xfId="484"/>
    <cellStyle name="Title 3" xfId="485"/>
    <cellStyle name="Title 4" xfId="486"/>
    <cellStyle name="Title 5" xfId="487"/>
    <cellStyle name="Title 6" xfId="488"/>
    <cellStyle name="Titles" xfId="489"/>
    <cellStyle name="Total2 - Style2" xfId="490"/>
    <cellStyle name="TRANSMISSION RELIABILITY PORTION OF PROJECT" xfId="18"/>
    <cellStyle name="Underl - Style4" xfId="491"/>
    <cellStyle name="UNLocked" xfId="492"/>
    <cellStyle name="Unprot" xfId="493"/>
    <cellStyle name="Unprot 2" xfId="494"/>
    <cellStyle name="Unprot 3" xfId="495"/>
    <cellStyle name="Unprot$" xfId="496"/>
    <cellStyle name="Unprot$ 2" xfId="497"/>
    <cellStyle name="Unprot$ 3" xfId="498"/>
    <cellStyle name="Unprot$ 4" xfId="499"/>
    <cellStyle name="Unprot_CA PTAM New Wind Sept-09 - Estimated Preview" xfId="500"/>
    <cellStyle name="Unprotect" xfId="501"/>
    <cellStyle name="Warning Text 2" xfId="502"/>
    <cellStyle name="Warning Text 3" xfId="503"/>
    <cellStyle name="Warning Text 4" xfId="504"/>
    <cellStyle name="Warning Text 5" xfId="505"/>
    <cellStyle name="Warning Text 6" xfId="506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63"/>
        <name val="Arial"/>
        <scheme val="none"/>
      </font>
      <fill>
        <patternFill patternType="solid">
          <fgColor indexed="9"/>
          <bgColor indexed="9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32"/>
        </left>
        <right style="thin">
          <color indexed="32"/>
        </right>
        <top style="thin">
          <color indexed="32"/>
        </top>
        <bottom style="thin">
          <color indexed="3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63"/>
        <name val="Arial"/>
        <scheme val="none"/>
      </font>
      <numFmt numFmtId="177" formatCode="#,##0;\-#,##0;#,##0"/>
      <fill>
        <patternFill patternType="solid">
          <fgColor indexed="9"/>
          <bgColor indexed="9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32"/>
        </left>
        <right style="thin">
          <color indexed="32"/>
        </right>
        <top style="thin">
          <color indexed="32"/>
        </top>
        <bottom style="thin">
          <color indexed="3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63"/>
        <name val="Arial"/>
        <scheme val="none"/>
      </font>
      <numFmt numFmtId="198" formatCode="\$#,##0.00;&quot;($&quot;#,##0.00\)"/>
      <fill>
        <patternFill patternType="solid">
          <fgColor indexed="9"/>
          <bgColor indexed="9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32"/>
        </left>
        <right style="thin">
          <color indexed="32"/>
        </right>
        <top style="thin">
          <color indexed="32"/>
        </top>
        <bottom style="thin">
          <color indexed="3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63"/>
        <name val="Arial"/>
        <scheme val="none"/>
      </font>
      <numFmt numFmtId="30" formatCode="@"/>
      <fill>
        <patternFill patternType="solid">
          <fgColor indexed="9"/>
          <bgColor indexed="9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32"/>
        </left>
        <right style="thin">
          <color indexed="32"/>
        </right>
        <top style="thin">
          <color indexed="32"/>
        </top>
        <bottom style="thin">
          <color indexed="3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63"/>
        <name val="Arial"/>
        <scheme val="none"/>
      </font>
      <numFmt numFmtId="30" formatCode="@"/>
      <fill>
        <patternFill patternType="solid">
          <fgColor indexed="9"/>
          <bgColor indexed="9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32"/>
        </left>
        <right style="thin">
          <color indexed="32"/>
        </right>
        <top style="thin">
          <color indexed="32"/>
        </top>
        <bottom style="thin">
          <color indexed="3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63"/>
        <name val="Arial"/>
        <scheme val="none"/>
      </font>
      <numFmt numFmtId="30" formatCode="@"/>
      <fill>
        <patternFill patternType="solid">
          <fgColor indexed="9"/>
          <bgColor indexed="9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32"/>
        </left>
        <right style="thin">
          <color indexed="32"/>
        </right>
        <top style="thin">
          <color indexed="32"/>
        </top>
        <bottom style="thin">
          <color indexed="3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customXml" Target="../customXml/item4.xml"/><Relationship Id="rId10" Type="http://schemas.openxmlformats.org/officeDocument/2006/relationships/externalLink" Target="externalLinks/externalLink3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SB1\GROUPS\CASES\Wyoming98\EAST97%20B.xlw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ash01\Year%202%20of%20stipulation%201-1-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ash%2002\Year%203%20of%20stipulation%201-1-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REGULATN\PA&amp;D\DSMRecov\2001\RECOV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y0902\EAST%20Blocking%209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T1"/>
      <sheetName val="RevT2"/>
      <sheetName val="Inputs"/>
      <sheetName val="Spec Conts"/>
      <sheetName val="Table 1"/>
      <sheetName val="Table 2"/>
      <sheetName val="Back-up"/>
      <sheetName val="Actual"/>
      <sheetName val="Unbilled"/>
      <sheetName val="Weather"/>
      <sheetName val="Weather Present"/>
      <sheetName val="Blocking"/>
      <sheetName val="TableA"/>
      <sheetName val="Franchise Tax"/>
      <sheetName val="Table1 check"/>
      <sheetName val="Table2 check"/>
      <sheetName val="Spec Cont"/>
      <sheetName val="KN ENERGY"/>
      <sheetName val="Table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hart1"/>
      <sheetName val="Tab A Yr 2002 Change revised"/>
      <sheetName val="Tab A Yr 2002 Change"/>
      <sheetName val="Tab A Yr 2002 All Filings cr=-"/>
      <sheetName val="Stip Table A w defer separate"/>
      <sheetName val="Blocking Yr 2002"/>
      <sheetName val="BPA qualifying kWh summary"/>
      <sheetName val="BPA qualifying kWh detail sent"/>
      <sheetName val="Sch16 Yr 2002 BPA"/>
      <sheetName val="Sch24 Yr 2002 (2)"/>
      <sheetName val="Sch36 Yr 2002 (2)"/>
      <sheetName val="Sch40 Yr 2002 (2)"/>
      <sheetName val="Sch48 Yr 2002 (2)"/>
      <sheetName val="BPA qualifying kWh detail"/>
      <sheetName val="merger credit 2001"/>
      <sheetName val="Tab A Yr 2001 All Filings cr=-"/>
      <sheetName val="RevReq"/>
      <sheetName val="Inputs"/>
      <sheetName val="Actual"/>
      <sheetName val="Blocking Yr 2003"/>
      <sheetName val="Table A yr 2001"/>
      <sheetName val="Table A yr 2002"/>
      <sheetName val="Table A yr 2003"/>
      <sheetName val="Table A summary"/>
      <sheetName val="Centralia Mining"/>
      <sheetName val="Spec Conts"/>
      <sheetName val="BPA Present"/>
      <sheetName val="Unbilled"/>
      <sheetName val="Weather"/>
      <sheetName val="Weather revised"/>
      <sheetName val="Weather Present"/>
      <sheetName val="Table 1"/>
      <sheetName val="Table 2"/>
      <sheetName val="Table 3"/>
      <sheetName val="New 24v36 yr 2001"/>
      <sheetName val="New 24v36 yr 2002"/>
      <sheetName val="New 24v36 yr 2003"/>
      <sheetName val="48 vs 36"/>
      <sheetName val="48 vs 36 Proposed"/>
      <sheetName val="Lighting SBC"/>
      <sheetName val="SBC"/>
      <sheetName val="SBC Stipulation P"/>
      <sheetName val="Stipulation Table A calculated"/>
      <sheetName val="Stipulation Blocking sch 16,18"/>
      <sheetName val="Sch16 Yr 2002"/>
      <sheetName val="Sch16 Yr 2003"/>
      <sheetName val="Stipulation Blocking sch 48T"/>
      <sheetName val="Stipulated Propose tariff rates"/>
      <sheetName val="Blocking Yr 2001"/>
      <sheetName val="Deferral"/>
      <sheetName val="Deferral (2)"/>
      <sheetName val="Merger Credit"/>
      <sheetName val="Centralia Credit"/>
      <sheetName val="Centralia Credit lighting avg"/>
      <sheetName val="SBC Stipulation revised"/>
      <sheetName val="Table A Year 2001 All Filings"/>
      <sheetName val="Tab A Yr 01 All Filings cr rev"/>
      <sheetName val="Table A Year 2001 base rates"/>
      <sheetName val="Sch16 Yr 2001"/>
      <sheetName val="Sch24 Yr 2001"/>
      <sheetName val="Sch36 Yr 2001"/>
      <sheetName val="Sch40 Yr 2001"/>
      <sheetName val="Sch48 Yr 2001"/>
      <sheetName val="Order to apply tariffs"/>
      <sheetName val="cover"/>
      <sheetName val="rate filings"/>
      <sheetName val="Sch38 to 24 Yr 2001 "/>
      <sheetName val="Sch42 to 24 Yr 2001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A Yr 2003 Change"/>
      <sheetName val="Blocking Yr 2003"/>
      <sheetName val="Sch16 Yr 2003 Net"/>
      <sheetName val="Sch24 Yr 2003 Net"/>
      <sheetName val="Sch36 Yr 2003 Net"/>
      <sheetName val="Sch40 Yr 2003 Net"/>
      <sheetName val="Sch48 Yr 2003 Net"/>
      <sheetName val="Tab A Yr 2003 incl SBC change"/>
      <sheetName val="Sheet1"/>
      <sheetName val="Tab A Yr 2002 Change revised"/>
      <sheetName val="Tab A Yr 2002 Change"/>
      <sheetName val="Tab A Yr 2002 All Filings cr=-"/>
      <sheetName val="Stip Table A w defer separate"/>
      <sheetName val="Blocking Yr 2002"/>
      <sheetName val="BPA qualifying kWh summary"/>
      <sheetName val="BPA qualifying kWh detail sent"/>
      <sheetName val="Sch16 Yr 2002 BPA"/>
      <sheetName val="Sch24 Yr 2002 (2)"/>
      <sheetName val="Sch36 Yr 2002 (2)"/>
      <sheetName val="Sch40 Yr 2002 (2)"/>
      <sheetName val="Sch48 Yr 2002 (2)"/>
      <sheetName val="BPA qualifying kWh detail"/>
      <sheetName val="merger credit 2001"/>
      <sheetName val="Tab A Yr 2001 All Filings cr=-"/>
      <sheetName val="RevReq"/>
      <sheetName val="Inputs"/>
      <sheetName val="Actual"/>
      <sheetName val="Table A yr 2001"/>
      <sheetName val="Table A yr 2002"/>
      <sheetName val="Table A yr 2003"/>
      <sheetName val="Table A summary"/>
      <sheetName val="Centralia Mining"/>
      <sheetName val="Spec Conts"/>
      <sheetName val="BPA Present"/>
      <sheetName val="Unbilled"/>
      <sheetName val="Weather"/>
      <sheetName val="Weather revised"/>
      <sheetName val="Weather Present"/>
      <sheetName val="Table 1"/>
      <sheetName val="Table 2"/>
      <sheetName val="Table 3"/>
      <sheetName val="New 24v36 yr 2001"/>
      <sheetName val="New 24v36 yr 2002"/>
      <sheetName val="New 24v36 yr 2003"/>
      <sheetName val="48 vs 36"/>
      <sheetName val="48 vs 36 Proposed"/>
      <sheetName val="Lighting SBC"/>
      <sheetName val="SBC"/>
      <sheetName val="SBC Stipulation P"/>
      <sheetName val="Stipulation Table A calculated"/>
      <sheetName val="Stipulation Blocking sch 16,18"/>
      <sheetName val="Sch16 Yr 2002"/>
      <sheetName val="Sch16 Yr 2003"/>
      <sheetName val="Stipulation Blocking sch 48T"/>
      <sheetName val="Stipulated Propose tariff rates"/>
      <sheetName val="Blocking Yr 2001"/>
      <sheetName val="Deferral"/>
      <sheetName val="Deferral (2)"/>
      <sheetName val="Merger Credit"/>
      <sheetName val="Centralia Credit"/>
      <sheetName val="Centralia Credit lighting avg"/>
      <sheetName val="SBC Stipulation revised"/>
      <sheetName val="Table A Year 2001 All Filings"/>
      <sheetName val="Tab A Yr 01 All Filings cr rev"/>
      <sheetName val="Table A Year 2001 base rates"/>
      <sheetName val="Sch16 Yr 2001"/>
      <sheetName val="Sch24 Yr 2001"/>
      <sheetName val="Sch36 Yr 2001"/>
      <sheetName val="Sch40 Yr 2001"/>
      <sheetName val="Sch48 Yr 2001"/>
      <sheetName val="Order to apply tariffs"/>
      <sheetName val="cover"/>
      <sheetName val="rate filings"/>
      <sheetName val="Sch38 to 24 Yr 2001 "/>
      <sheetName val="Sch42 to 24 Yr 200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J21">
            <v>0</v>
          </cell>
        </row>
        <row r="22">
          <cell r="J22">
            <v>1056426642</v>
          </cell>
        </row>
        <row r="23"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tables/table1.xml><?xml version="1.0" encoding="utf-8"?>
<table xmlns="http://schemas.openxmlformats.org/spreadsheetml/2006/main" id="1" name="Table22" displayName="Table22" ref="B4:J34" totalsRowShown="0" headerRowDxfId="9">
  <autoFilter ref="B4:J34"/>
  <tableColumns count="9">
    <tableColumn id="1" name="State Desc" dataDxfId="8"/>
    <tableColumn id="2" name="Revenue Class Desc" dataDxfId="7"/>
    <tableColumn id="3" name="Rate Group Cd" dataDxfId="6"/>
    <tableColumn id="4" name="Rate Desc" dataDxfId="5"/>
    <tableColumn id="5" name="T Revenue" dataDxfId="4"/>
    <tableColumn id="6" name="T Avg Billing Count" dataDxfId="3"/>
    <tableColumn id="7" name="T kWh" dataDxfId="2"/>
    <tableColumn id="8" name="Code" dataDxfId="1"/>
    <tableColumn id="9" name="Code (BPA)" dataDxfId="0">
      <calculatedColumnFormula>IF(Table22[[#This Row],[Rate Group Cd]]="B",IF(OR(Table22[[#This Row],[Code]]="bpa",Table22[[#This Row],[Code]]="bpaadj"),Table22[[#This Row],[Code]],"b"&amp;Table22[[#This Row],[Code]]),Table22[[#This Row],[Code]])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6"/>
  <sheetViews>
    <sheetView zoomScaleNormal="100" workbookViewId="0">
      <selection activeCell="C44" sqref="C44"/>
    </sheetView>
  </sheetViews>
  <sheetFormatPr defaultRowHeight="12.75"/>
  <cols>
    <col min="1" max="1" width="1.75" style="232" customWidth="1"/>
    <col min="2" max="2" width="19" style="232" customWidth="1"/>
    <col min="3" max="12" width="13.75" style="232" customWidth="1"/>
    <col min="13" max="13" width="1.875" style="232" customWidth="1"/>
    <col min="14" max="14" width="13" style="232" hidden="1" customWidth="1"/>
    <col min="15" max="15" width="2" style="232" hidden="1" customWidth="1"/>
    <col min="16" max="19" width="9.375" style="232" hidden="1" customWidth="1"/>
    <col min="20" max="20" width="5" style="232" hidden="1" customWidth="1"/>
    <col min="21" max="21" width="8.5" style="232" customWidth="1"/>
    <col min="22" max="22" width="14.25" style="232" customWidth="1"/>
    <col min="23" max="23" width="12.125" style="232" customWidth="1"/>
    <col min="24" max="24" width="8.5" style="232" customWidth="1"/>
    <col min="25" max="25" width="9" style="232" bestFit="1" customWidth="1"/>
    <col min="26" max="16384" width="9" style="232"/>
  </cols>
  <sheetData>
    <row r="1" spans="1:25" s="229" customFormat="1" ht="12.75" customHeight="1">
      <c r="A1" s="227" t="s">
        <v>173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8"/>
      <c r="M1" s="228"/>
      <c r="N1" s="228"/>
      <c r="O1" s="228"/>
      <c r="P1" s="228"/>
      <c r="Q1" s="228"/>
      <c r="R1" s="228"/>
      <c r="S1" s="228"/>
      <c r="T1" s="228"/>
    </row>
    <row r="2" spans="1:25" ht="12.75" customHeight="1">
      <c r="A2" s="230" t="s">
        <v>228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8"/>
      <c r="M2" s="228"/>
      <c r="N2" s="228"/>
      <c r="O2" s="228"/>
      <c r="P2" s="231"/>
      <c r="Q2" s="231"/>
      <c r="R2" s="231"/>
      <c r="S2" s="231"/>
      <c r="T2" s="231"/>
    </row>
    <row r="3" spans="1:25" ht="12.75" customHeight="1">
      <c r="A3" s="227" t="s">
        <v>174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8"/>
      <c r="M3" s="228"/>
      <c r="N3" s="228"/>
      <c r="O3" s="228"/>
      <c r="P3" s="231"/>
      <c r="Q3" s="231"/>
      <c r="R3" s="231"/>
      <c r="S3" s="231"/>
      <c r="T3" s="231"/>
    </row>
    <row r="4" spans="1:25" ht="12.75" customHeight="1">
      <c r="A4" s="233"/>
      <c r="B4" s="233"/>
      <c r="C4" s="233"/>
      <c r="D4" s="233"/>
      <c r="E4" s="233"/>
      <c r="F4" s="233"/>
      <c r="G4" s="233"/>
      <c r="H4" s="233"/>
      <c r="I4" s="233"/>
      <c r="J4" s="233"/>
      <c r="K4" s="233"/>
      <c r="L4" s="228"/>
      <c r="M4" s="228"/>
      <c r="N4" s="228"/>
      <c r="O4" s="228"/>
      <c r="P4" s="231"/>
      <c r="Q4" s="231"/>
      <c r="R4" s="231"/>
      <c r="S4" s="231"/>
      <c r="T4" s="231"/>
    </row>
    <row r="5" spans="1:25" s="240" customFormat="1" ht="12.75" customHeight="1">
      <c r="A5" s="234" t="s">
        <v>229</v>
      </c>
      <c r="B5" s="235"/>
      <c r="C5" s="236"/>
      <c r="D5" s="237"/>
      <c r="E5" s="237"/>
      <c r="F5" s="238"/>
      <c r="G5" s="238"/>
      <c r="H5" s="237"/>
      <c r="I5" s="235"/>
      <c r="J5" s="239"/>
      <c r="K5" s="237"/>
      <c r="L5" s="228"/>
      <c r="M5" s="228"/>
      <c r="N5" s="228"/>
      <c r="O5" s="228"/>
      <c r="P5" s="231"/>
      <c r="Q5" s="231"/>
      <c r="R5" s="231"/>
      <c r="S5" s="231"/>
      <c r="T5" s="231"/>
      <c r="U5" s="232"/>
      <c r="V5" s="232"/>
      <c r="W5" s="232"/>
    </row>
    <row r="6" spans="1:25" s="251" customFormat="1" ht="12.75" customHeight="1">
      <c r="A6" s="241"/>
      <c r="B6" s="242"/>
      <c r="C6" s="243"/>
      <c r="D6" s="244" t="s">
        <v>175</v>
      </c>
      <c r="E6" s="245"/>
      <c r="F6" s="246" t="s">
        <v>212</v>
      </c>
      <c r="G6" s="247"/>
      <c r="H6" s="247"/>
      <c r="I6" s="247"/>
      <c r="J6" s="246" t="s">
        <v>176</v>
      </c>
      <c r="K6" s="248"/>
      <c r="L6" s="228"/>
      <c r="M6" s="228"/>
      <c r="N6" s="228"/>
      <c r="O6" s="228"/>
      <c r="P6" s="249" t="s">
        <v>208</v>
      </c>
      <c r="Q6" s="250"/>
      <c r="R6" s="250"/>
      <c r="S6" s="250"/>
      <c r="T6" s="231"/>
      <c r="U6" s="232"/>
      <c r="V6" s="232"/>
      <c r="W6" s="232"/>
    </row>
    <row r="7" spans="1:25" s="251" customFormat="1" ht="12.75" customHeight="1">
      <c r="A7" s="241"/>
      <c r="B7" s="252"/>
      <c r="C7" s="253" t="s">
        <v>177</v>
      </c>
      <c r="D7" s="254" t="s">
        <v>178</v>
      </c>
      <c r="E7" s="255" t="s">
        <v>179</v>
      </c>
      <c r="F7" s="256" t="s">
        <v>180</v>
      </c>
      <c r="G7" s="256" t="s">
        <v>209</v>
      </c>
      <c r="H7" s="256" t="s">
        <v>181</v>
      </c>
      <c r="I7" s="257" t="s">
        <v>179</v>
      </c>
      <c r="J7" s="258" t="s">
        <v>112</v>
      </c>
      <c r="K7" s="259" t="s">
        <v>230</v>
      </c>
      <c r="L7" s="228"/>
      <c r="M7" s="228"/>
      <c r="N7" s="228"/>
      <c r="O7" s="228"/>
      <c r="P7" s="231" t="s">
        <v>181</v>
      </c>
      <c r="Q7" s="231" t="s">
        <v>179</v>
      </c>
      <c r="R7" s="231" t="s">
        <v>112</v>
      </c>
      <c r="S7" s="231" t="s">
        <v>182</v>
      </c>
      <c r="T7" s="231"/>
      <c r="U7" s="232"/>
      <c r="V7" s="232"/>
      <c r="W7" s="232"/>
    </row>
    <row r="8" spans="1:25" s="251" customFormat="1" ht="12.75" customHeight="1">
      <c r="A8" s="241"/>
      <c r="B8" s="260" t="s">
        <v>183</v>
      </c>
      <c r="C8" s="261" t="s">
        <v>213</v>
      </c>
      <c r="D8" s="262" t="s">
        <v>214</v>
      </c>
      <c r="E8" s="263" t="s">
        <v>184</v>
      </c>
      <c r="F8" s="264" t="s">
        <v>215</v>
      </c>
      <c r="G8" s="264" t="s">
        <v>185</v>
      </c>
      <c r="H8" s="265" t="s">
        <v>186</v>
      </c>
      <c r="I8" s="263" t="s">
        <v>184</v>
      </c>
      <c r="J8" s="266" t="s">
        <v>231</v>
      </c>
      <c r="K8" s="267" t="s">
        <v>186</v>
      </c>
      <c r="L8" s="228"/>
      <c r="M8" s="228"/>
      <c r="N8" s="228"/>
      <c r="O8" s="228"/>
      <c r="P8" s="268" t="s">
        <v>186</v>
      </c>
      <c r="Q8" s="231" t="s">
        <v>184</v>
      </c>
      <c r="R8" s="231" t="s">
        <v>210</v>
      </c>
      <c r="S8" s="268" t="s">
        <v>186</v>
      </c>
      <c r="T8" s="231"/>
      <c r="U8" s="232"/>
      <c r="V8" s="232"/>
      <c r="W8" s="232"/>
    </row>
    <row r="9" spans="1:25" ht="12.75" customHeight="1" thickBot="1">
      <c r="B9" s="269"/>
      <c r="C9" s="270"/>
      <c r="D9" s="201"/>
      <c r="E9" s="202"/>
      <c r="F9" s="231"/>
      <c r="G9" s="203"/>
      <c r="H9" s="203"/>
      <c r="I9" s="204"/>
      <c r="J9" s="201"/>
      <c r="K9" s="205"/>
      <c r="L9" s="228"/>
      <c r="M9" s="228"/>
      <c r="N9" s="228"/>
      <c r="O9" s="228"/>
      <c r="P9" s="268"/>
      <c r="Q9" s="271"/>
      <c r="R9" s="268"/>
      <c r="S9" s="268"/>
      <c r="T9" s="231"/>
      <c r="X9" s="251"/>
      <c r="Y9" s="251"/>
    </row>
    <row r="10" spans="1:25" ht="12.75" customHeight="1" thickBot="1">
      <c r="B10" s="272" t="s">
        <v>187</v>
      </c>
      <c r="C10" s="270">
        <f>F57</f>
        <v>6231981911.0282993</v>
      </c>
      <c r="D10" s="201">
        <f>G57*$D$16</f>
        <v>46142134.762150817</v>
      </c>
      <c r="E10" s="206">
        <f>D10/C10*100</f>
        <v>0.74040867609863137</v>
      </c>
      <c r="F10" s="207">
        <f>F$16*F$50</f>
        <v>-2328083.7979066977</v>
      </c>
      <c r="G10" s="207">
        <f>G57*$G$16</f>
        <v>67356.915092146068</v>
      </c>
      <c r="H10" s="203">
        <f>D10+F10+G10</f>
        <v>43881407.879336268</v>
      </c>
      <c r="I10" s="206">
        <f>H10/C10*100</f>
        <v>0.70413246549516506</v>
      </c>
      <c r="J10" s="208">
        <v>-7685861.5599999996</v>
      </c>
      <c r="K10" s="209">
        <f>H10+J10</f>
        <v>36195546.319336265</v>
      </c>
      <c r="L10" s="228"/>
      <c r="M10" s="228"/>
      <c r="N10" s="268">
        <f>+H10-P10</f>
        <v>19890420.913736951</v>
      </c>
      <c r="O10" s="228"/>
      <c r="P10" s="268">
        <v>23990986.965599317</v>
      </c>
      <c r="Q10" s="273">
        <v>0.39258164788671801</v>
      </c>
      <c r="R10" s="268">
        <v>1447172.3175668605</v>
      </c>
      <c r="S10" s="268">
        <v>25438159.283166178</v>
      </c>
      <c r="T10" s="231"/>
      <c r="X10" s="251"/>
      <c r="Y10" s="251"/>
    </row>
    <row r="11" spans="1:25" ht="12.75" customHeight="1" thickBot="1">
      <c r="B11" s="272"/>
      <c r="C11" s="270"/>
      <c r="D11" s="201"/>
      <c r="E11" s="206"/>
      <c r="F11" s="207"/>
      <c r="G11" s="207"/>
      <c r="H11" s="203"/>
      <c r="I11" s="206"/>
      <c r="J11" s="208"/>
      <c r="K11" s="205"/>
      <c r="L11" s="228"/>
      <c r="M11" s="228"/>
      <c r="N11" s="228"/>
      <c r="O11" s="228"/>
      <c r="P11" s="268"/>
      <c r="Q11" s="273"/>
      <c r="R11" s="268"/>
      <c r="S11" s="268"/>
      <c r="T11" s="231"/>
      <c r="X11" s="251"/>
      <c r="Y11" s="251"/>
    </row>
    <row r="12" spans="1:25" ht="12.75" customHeight="1" thickBot="1">
      <c r="B12" s="272" t="s">
        <v>188</v>
      </c>
      <c r="C12" s="270">
        <f>F58</f>
        <v>1892996860.1903498</v>
      </c>
      <c r="D12" s="201">
        <f>G58*$D$16</f>
        <v>14015800.757774729</v>
      </c>
      <c r="E12" s="206">
        <f>D12/C12*100</f>
        <v>0.74040274722723909</v>
      </c>
      <c r="F12" s="207">
        <f>F$16*F$51</f>
        <v>-737440.90836086904</v>
      </c>
      <c r="G12" s="207">
        <f>G58*$G$16</f>
        <v>20459.848822691609</v>
      </c>
      <c r="H12" s="203">
        <f>D12+F12+G12</f>
        <v>13298819.698236553</v>
      </c>
      <c r="I12" s="206">
        <f t="shared" ref="I12:I16" si="0">H12/C12*100</f>
        <v>0.70252729827028315</v>
      </c>
      <c r="J12" s="208">
        <v>-16348.77</v>
      </c>
      <c r="K12" s="209">
        <f>H12+J12</f>
        <v>13282470.928236553</v>
      </c>
      <c r="L12" s="228"/>
      <c r="M12" s="228"/>
      <c r="N12" s="268">
        <f>+H12-P12</f>
        <v>5736837.2566533964</v>
      </c>
      <c r="O12" s="228"/>
      <c r="P12" s="268">
        <v>7561982.4415831566</v>
      </c>
      <c r="Q12" s="273">
        <v>0.39227062716802991</v>
      </c>
      <c r="R12" s="268">
        <v>671571.35999999451</v>
      </c>
      <c r="S12" s="268">
        <v>8233553.8015831513</v>
      </c>
      <c r="T12" s="231"/>
      <c r="X12" s="251"/>
      <c r="Y12" s="251"/>
    </row>
    <row r="13" spans="1:25" ht="12.75" customHeight="1" thickBot="1">
      <c r="B13" s="272"/>
      <c r="C13" s="270"/>
      <c r="D13" s="201"/>
      <c r="E13" s="206"/>
      <c r="F13" s="207"/>
      <c r="G13" s="207"/>
      <c r="H13" s="203"/>
      <c r="I13" s="206"/>
      <c r="J13" s="208"/>
      <c r="K13" s="205"/>
      <c r="L13" s="228"/>
      <c r="M13" s="228"/>
      <c r="N13" s="228"/>
      <c r="O13" s="228"/>
      <c r="P13" s="268"/>
      <c r="Q13" s="273"/>
      <c r="R13" s="268"/>
      <c r="S13" s="268"/>
      <c r="T13" s="231"/>
      <c r="X13" s="251"/>
      <c r="Y13" s="251"/>
    </row>
    <row r="14" spans="1:25" ht="12.75" customHeight="1" thickBot="1">
      <c r="B14" s="272" t="s">
        <v>189</v>
      </c>
      <c r="C14" s="270">
        <f>F59</f>
        <v>1047005698.8668</v>
      </c>
      <c r="D14" s="201">
        <f>G59*$D$16</f>
        <v>7748075.9034016309</v>
      </c>
      <c r="E14" s="206">
        <f>D14/C14*100</f>
        <v>0.74002232383143318</v>
      </c>
      <c r="F14" s="207">
        <f>F$16*F$52</f>
        <v>-1221922.4353653935</v>
      </c>
      <c r="G14" s="207">
        <f>G59*$G$16</f>
        <v>11310.410613706941</v>
      </c>
      <c r="H14" s="203">
        <f>D14+F14+G14</f>
        <v>6537463.8786499444</v>
      </c>
      <c r="I14" s="206">
        <f t="shared" si="0"/>
        <v>0.62439620774992943</v>
      </c>
      <c r="J14" s="208">
        <v>3321483.15</v>
      </c>
      <c r="K14" s="209">
        <f>H14+J14</f>
        <v>9858947.0286499448</v>
      </c>
      <c r="L14" s="228"/>
      <c r="M14" s="228"/>
      <c r="N14" s="268">
        <f>+H14-P14</f>
        <v>3349674.6059926404</v>
      </c>
      <c r="O14" s="228"/>
      <c r="P14" s="268">
        <v>3187789.2726573041</v>
      </c>
      <c r="Q14" s="273">
        <v>0.26646797365545261</v>
      </c>
      <c r="R14" s="268">
        <v>168414.85</v>
      </c>
      <c r="S14" s="268">
        <v>3356204.1226573042</v>
      </c>
      <c r="T14" s="231"/>
      <c r="X14" s="251"/>
      <c r="Y14" s="251"/>
    </row>
    <row r="15" spans="1:25" ht="12.75" customHeight="1" thickBot="1">
      <c r="B15" s="272"/>
      <c r="C15" s="270"/>
      <c r="D15" s="201"/>
      <c r="E15" s="206"/>
      <c r="F15" s="207"/>
      <c r="G15" s="207"/>
      <c r="H15" s="203"/>
      <c r="I15" s="206"/>
      <c r="J15" s="201"/>
      <c r="K15" s="205"/>
      <c r="L15" s="228"/>
      <c r="M15" s="228"/>
      <c r="N15" s="228"/>
      <c r="O15" s="228"/>
      <c r="P15" s="268"/>
      <c r="Q15" s="273"/>
      <c r="R15" s="268"/>
      <c r="S15" s="268"/>
      <c r="T15" s="231"/>
      <c r="X15" s="251"/>
      <c r="Y15" s="251"/>
    </row>
    <row r="16" spans="1:25" ht="12.75" customHeight="1" thickBot="1">
      <c r="B16" s="274" t="s">
        <v>190</v>
      </c>
      <c r="C16" s="275">
        <f>C10+C12+C14</f>
        <v>9171984470.0854492</v>
      </c>
      <c r="D16" s="210">
        <v>67906011.423327178</v>
      </c>
      <c r="E16" s="211">
        <f>D16/C16*100</f>
        <v>0.74036334933627013</v>
      </c>
      <c r="F16" s="212">
        <v>-4287447.1416329602</v>
      </c>
      <c r="G16" s="212">
        <v>99127.174528544623</v>
      </c>
      <c r="H16" s="213">
        <f>D16+F16+G16</f>
        <v>63717691.456222765</v>
      </c>
      <c r="I16" s="211">
        <f t="shared" si="0"/>
        <v>0.69469907699951827</v>
      </c>
      <c r="J16" s="214">
        <f>SUM(J10:J14)</f>
        <v>-4380727.18</v>
      </c>
      <c r="K16" s="209">
        <f>SUM(K10:K14)</f>
        <v>59336964.276222765</v>
      </c>
      <c r="L16" s="228"/>
      <c r="M16" s="228"/>
      <c r="N16" s="268">
        <f>+H16-P16</f>
        <v>28976932.77638299</v>
      </c>
      <c r="O16" s="228"/>
      <c r="P16" s="268">
        <v>34740758.679839775</v>
      </c>
      <c r="Q16" s="273">
        <v>0.37618006630563461</v>
      </c>
      <c r="R16" s="268">
        <v>2287158.5275668553</v>
      </c>
      <c r="S16" s="268">
        <v>37027917.207406633</v>
      </c>
      <c r="T16" s="231"/>
      <c r="X16" s="251"/>
      <c r="Y16" s="251"/>
    </row>
    <row r="17" spans="1:25" ht="12.75" customHeight="1">
      <c r="A17" s="231"/>
      <c r="B17" s="276" t="s">
        <v>138</v>
      </c>
      <c r="C17" s="277"/>
      <c r="D17" s="278">
        <f>SUM(D10:D14)</f>
        <v>67906011.423327178</v>
      </c>
      <c r="E17" s="278"/>
      <c r="F17" s="279">
        <f>SUM(F10:F14)</f>
        <v>-4287447.1416329602</v>
      </c>
      <c r="G17" s="279">
        <f>SUM(G10:G14)</f>
        <v>99127.174528544623</v>
      </c>
      <c r="H17" s="278">
        <f>SUM(H10:H14)</f>
        <v>63717691.456222765</v>
      </c>
      <c r="I17" s="278"/>
      <c r="J17" s="278"/>
      <c r="K17" s="278"/>
      <c r="L17" s="228"/>
      <c r="M17" s="228"/>
      <c r="N17" s="228"/>
      <c r="O17" s="228"/>
      <c r="P17" s="231"/>
      <c r="Q17" s="231"/>
      <c r="R17" s="231"/>
      <c r="S17" s="231"/>
      <c r="T17" s="231"/>
      <c r="X17" s="251"/>
      <c r="Y17" s="251"/>
    </row>
    <row r="18" spans="1:25" ht="12.75" customHeight="1">
      <c r="A18" s="231"/>
      <c r="B18" s="276"/>
      <c r="C18" s="277"/>
      <c r="D18" s="278"/>
      <c r="E18" s="278"/>
      <c r="F18" s="279"/>
      <c r="G18" s="279"/>
      <c r="H18" s="278"/>
      <c r="I18" s="278"/>
      <c r="J18" s="278"/>
      <c r="K18" s="278"/>
      <c r="L18" s="228"/>
      <c r="M18" s="228"/>
      <c r="N18" s="228"/>
      <c r="O18" s="228"/>
      <c r="P18" s="231"/>
      <c r="Q18" s="231"/>
      <c r="R18" s="231"/>
      <c r="S18" s="231"/>
      <c r="T18" s="231"/>
      <c r="X18" s="251"/>
      <c r="Y18" s="251"/>
    </row>
    <row r="19" spans="1:25" s="240" customFormat="1" ht="12.75" customHeight="1">
      <c r="A19" s="234" t="s">
        <v>232</v>
      </c>
      <c r="B19" s="235"/>
      <c r="C19" s="236"/>
      <c r="D19" s="237"/>
      <c r="E19" s="237"/>
      <c r="F19" s="280"/>
      <c r="G19" s="280"/>
      <c r="H19" s="237"/>
      <c r="I19" s="235"/>
      <c r="J19" s="239"/>
      <c r="K19" s="237"/>
      <c r="L19" s="231"/>
      <c r="M19" s="231"/>
      <c r="N19" s="231"/>
      <c r="O19" s="203"/>
      <c r="P19" s="231"/>
      <c r="Q19" s="231"/>
      <c r="R19" s="231"/>
      <c r="S19" s="231"/>
      <c r="T19" s="231"/>
      <c r="U19" s="232"/>
      <c r="V19" s="232"/>
      <c r="W19" s="232"/>
      <c r="X19" s="251"/>
      <c r="Y19" s="251"/>
    </row>
    <row r="20" spans="1:25" ht="12.75" customHeight="1">
      <c r="A20" s="241"/>
      <c r="B20" s="242"/>
      <c r="C20" s="243"/>
      <c r="D20" s="244" t="s">
        <v>175</v>
      </c>
      <c r="E20" s="245"/>
      <c r="F20" s="281" t="s">
        <v>212</v>
      </c>
      <c r="G20" s="282"/>
      <c r="H20" s="247"/>
      <c r="I20" s="247"/>
      <c r="J20" s="246" t="s">
        <v>176</v>
      </c>
      <c r="K20" s="248"/>
      <c r="L20" s="231"/>
      <c r="M20" s="231"/>
      <c r="N20" s="231"/>
      <c r="O20" s="203"/>
      <c r="P20" s="231"/>
      <c r="Q20" s="231"/>
      <c r="R20" s="231"/>
      <c r="S20" s="231"/>
      <c r="T20" s="231"/>
      <c r="X20" s="251"/>
      <c r="Y20" s="251"/>
    </row>
    <row r="21" spans="1:25" ht="12.75" customHeight="1">
      <c r="A21" s="241"/>
      <c r="B21" s="252"/>
      <c r="C21" s="253" t="s">
        <v>177</v>
      </c>
      <c r="D21" s="254" t="s">
        <v>191</v>
      </c>
      <c r="E21" s="255" t="s">
        <v>179</v>
      </c>
      <c r="F21" s="283" t="s">
        <v>180</v>
      </c>
      <c r="G21" s="256" t="s">
        <v>209</v>
      </c>
      <c r="H21" s="256" t="s">
        <v>191</v>
      </c>
      <c r="I21" s="257" t="s">
        <v>179</v>
      </c>
      <c r="J21" s="258" t="s">
        <v>112</v>
      </c>
      <c r="K21" s="259" t="s">
        <v>233</v>
      </c>
      <c r="L21" s="231"/>
      <c r="M21" s="231"/>
      <c r="N21" s="231"/>
      <c r="O21" s="231"/>
      <c r="P21" s="231"/>
      <c r="Q21" s="231"/>
      <c r="R21" s="231"/>
      <c r="S21" s="231"/>
      <c r="T21" s="231"/>
      <c r="X21" s="251"/>
      <c r="Y21" s="251"/>
    </row>
    <row r="22" spans="1:25" ht="12.75" customHeight="1">
      <c r="A22" s="241"/>
      <c r="B22" s="260" t="s">
        <v>183</v>
      </c>
      <c r="C22" s="261" t="s">
        <v>216</v>
      </c>
      <c r="D22" s="262" t="s">
        <v>214</v>
      </c>
      <c r="E22" s="263" t="s">
        <v>184</v>
      </c>
      <c r="F22" s="284" t="s">
        <v>215</v>
      </c>
      <c r="G22" s="284" t="s">
        <v>185</v>
      </c>
      <c r="H22" s="265" t="s">
        <v>186</v>
      </c>
      <c r="I22" s="263" t="s">
        <v>184</v>
      </c>
      <c r="J22" s="266" t="s">
        <v>234</v>
      </c>
      <c r="K22" s="267" t="s">
        <v>186</v>
      </c>
      <c r="L22" s="231"/>
      <c r="M22" s="231"/>
      <c r="N22" s="231"/>
      <c r="O22" s="231"/>
      <c r="P22" s="231"/>
      <c r="Q22" s="231"/>
      <c r="R22" s="231"/>
      <c r="S22" s="231"/>
      <c r="T22" s="231"/>
    </row>
    <row r="23" spans="1:25" ht="12.75" customHeight="1" thickBot="1">
      <c r="B23" s="272"/>
      <c r="C23" s="270"/>
      <c r="D23" s="201"/>
      <c r="E23" s="202"/>
      <c r="F23" s="285"/>
      <c r="G23" s="207"/>
      <c r="H23" s="203"/>
      <c r="I23" s="204"/>
      <c r="J23" s="201"/>
      <c r="K23" s="205"/>
      <c r="L23" s="231"/>
      <c r="N23" s="231"/>
      <c r="O23" s="231"/>
      <c r="P23" s="231"/>
      <c r="Q23" s="231"/>
      <c r="R23" s="231"/>
      <c r="S23" s="231"/>
      <c r="T23" s="231"/>
    </row>
    <row r="24" spans="1:25" ht="12.75" customHeight="1" thickBot="1">
      <c r="B24" s="272" t="s">
        <v>187</v>
      </c>
      <c r="C24" s="270">
        <f>F57</f>
        <v>6231981911.0282993</v>
      </c>
      <c r="D24" s="201">
        <f>G57*$D$16</f>
        <v>46142134.762150817</v>
      </c>
      <c r="E24" s="206">
        <f>D24/C24*100</f>
        <v>0.74040867609863137</v>
      </c>
      <c r="F24" s="207">
        <f>F$30*F$50</f>
        <v>-2328083.7979066977</v>
      </c>
      <c r="G24" s="207">
        <f>G57*$G$16</f>
        <v>67356.915092146068</v>
      </c>
      <c r="H24" s="203">
        <f>D24+F24+G24</f>
        <v>43881407.879336268</v>
      </c>
      <c r="I24" s="206">
        <f>H24/C24*100</f>
        <v>0.70413246549516506</v>
      </c>
      <c r="J24" s="201">
        <v>0</v>
      </c>
      <c r="K24" s="209">
        <f>H24+J24</f>
        <v>43881407.879336268</v>
      </c>
      <c r="L24" s="231"/>
      <c r="N24" s="231"/>
      <c r="O24" s="231"/>
      <c r="P24" s="231"/>
      <c r="Q24" s="231"/>
      <c r="R24" s="231"/>
      <c r="S24" s="231"/>
      <c r="T24" s="231"/>
    </row>
    <row r="25" spans="1:25" ht="12.75" customHeight="1" thickBot="1">
      <c r="B25" s="272"/>
      <c r="C25" s="270"/>
      <c r="D25" s="201"/>
      <c r="E25" s="206"/>
      <c r="F25" s="207"/>
      <c r="G25" s="207"/>
      <c r="H25" s="203"/>
      <c r="I25" s="206"/>
      <c r="J25" s="201"/>
      <c r="K25" s="205"/>
      <c r="L25" s="231"/>
      <c r="N25" s="231"/>
      <c r="O25" s="231"/>
      <c r="P25" s="231"/>
      <c r="Q25" s="231"/>
      <c r="R25" s="231"/>
      <c r="S25" s="231"/>
      <c r="T25" s="231"/>
    </row>
    <row r="26" spans="1:25" ht="12.75" customHeight="1" thickBot="1">
      <c r="B26" s="272" t="s">
        <v>188</v>
      </c>
      <c r="C26" s="270">
        <f>F58</f>
        <v>1892996860.1903498</v>
      </c>
      <c r="D26" s="201">
        <f>G58*$D$16</f>
        <v>14015800.757774729</v>
      </c>
      <c r="E26" s="206">
        <f>D26/C26*100</f>
        <v>0.74040274722723909</v>
      </c>
      <c r="F26" s="207">
        <f>F$30*F$51</f>
        <v>-737440.90836086904</v>
      </c>
      <c r="G26" s="207">
        <f>G58*$G$16</f>
        <v>20459.848822691609</v>
      </c>
      <c r="H26" s="203">
        <f>D26+F26+G26</f>
        <v>13298819.698236553</v>
      </c>
      <c r="I26" s="206">
        <f t="shared" ref="I26:I30" si="1">H26/C26*100</f>
        <v>0.70252729827028315</v>
      </c>
      <c r="J26" s="201">
        <v>0</v>
      </c>
      <c r="K26" s="209">
        <f>H26+J26</f>
        <v>13298819.698236553</v>
      </c>
      <c r="L26" s="231"/>
      <c r="N26" s="231"/>
      <c r="O26" s="231"/>
      <c r="P26" s="231"/>
      <c r="Q26" s="231"/>
      <c r="R26" s="231"/>
      <c r="S26" s="231"/>
      <c r="T26" s="231"/>
    </row>
    <row r="27" spans="1:25" ht="12.75" customHeight="1" thickBot="1">
      <c r="B27" s="272"/>
      <c r="C27" s="270"/>
      <c r="D27" s="201"/>
      <c r="E27" s="206"/>
      <c r="F27" s="207"/>
      <c r="G27" s="207"/>
      <c r="H27" s="203"/>
      <c r="I27" s="206"/>
      <c r="J27" s="201"/>
      <c r="K27" s="205"/>
      <c r="L27" s="231"/>
      <c r="N27" s="231"/>
      <c r="O27" s="231"/>
      <c r="P27" s="231"/>
      <c r="Q27" s="231"/>
      <c r="R27" s="231"/>
      <c r="S27" s="231"/>
      <c r="T27" s="231"/>
    </row>
    <row r="28" spans="1:25" ht="12.75" customHeight="1" thickBot="1">
      <c r="B28" s="272" t="s">
        <v>189</v>
      </c>
      <c r="C28" s="270">
        <f>F59</f>
        <v>1047005698.8668</v>
      </c>
      <c r="D28" s="201">
        <f>G59*$D$16</f>
        <v>7748075.9034016309</v>
      </c>
      <c r="E28" s="206">
        <f>D28/C28*100</f>
        <v>0.74002232383143318</v>
      </c>
      <c r="F28" s="207">
        <f>F$30*F$52</f>
        <v>-1221922.4353653935</v>
      </c>
      <c r="G28" s="207">
        <f>G59*$G$16</f>
        <v>11310.410613706941</v>
      </c>
      <c r="H28" s="203">
        <f>D28+F28+G28</f>
        <v>6537463.8786499444</v>
      </c>
      <c r="I28" s="206">
        <f t="shared" si="1"/>
        <v>0.62439620774992943</v>
      </c>
      <c r="J28" s="201">
        <v>0</v>
      </c>
      <c r="K28" s="209">
        <f>H28+J28</f>
        <v>6537463.8786499444</v>
      </c>
      <c r="L28" s="231"/>
      <c r="N28" s="231"/>
      <c r="O28" s="231"/>
      <c r="P28" s="231"/>
      <c r="Q28" s="231"/>
      <c r="R28" s="231"/>
      <c r="S28" s="231"/>
      <c r="T28" s="231"/>
    </row>
    <row r="29" spans="1:25" ht="12.75" customHeight="1" thickBot="1">
      <c r="B29" s="272"/>
      <c r="C29" s="270"/>
      <c r="D29" s="201"/>
      <c r="E29" s="206"/>
      <c r="F29" s="207"/>
      <c r="G29" s="207"/>
      <c r="H29" s="203"/>
      <c r="I29" s="206"/>
      <c r="J29" s="201"/>
      <c r="K29" s="205"/>
      <c r="L29" s="231"/>
      <c r="N29" s="231"/>
      <c r="O29" s="231"/>
      <c r="P29" s="231"/>
      <c r="Q29" s="231"/>
      <c r="R29" s="231"/>
      <c r="S29" s="231"/>
      <c r="T29" s="231"/>
    </row>
    <row r="30" spans="1:25" ht="12.75" customHeight="1" thickBot="1">
      <c r="B30" s="274" t="s">
        <v>190</v>
      </c>
      <c r="C30" s="275">
        <f>C24+C26+C28</f>
        <v>9171984470.0854492</v>
      </c>
      <c r="D30" s="214">
        <f>D16</f>
        <v>67906011.423327178</v>
      </c>
      <c r="E30" s="211">
        <f>D30/C30*100</f>
        <v>0.74036334933627013</v>
      </c>
      <c r="F30" s="215">
        <f>F16</f>
        <v>-4287447.1416329602</v>
      </c>
      <c r="G30" s="215">
        <f>G16</f>
        <v>99127.174528544623</v>
      </c>
      <c r="H30" s="213">
        <f>D30+F30+G30</f>
        <v>63717691.456222765</v>
      </c>
      <c r="I30" s="211">
        <f t="shared" si="1"/>
        <v>0.69469907699951827</v>
      </c>
      <c r="J30" s="214">
        <f>SUM(J24:J28)</f>
        <v>0</v>
      </c>
      <c r="K30" s="209">
        <f>SUM(K24:K28)</f>
        <v>63717691.456222765</v>
      </c>
      <c r="L30" s="231"/>
      <c r="N30" s="231"/>
      <c r="O30" s="231"/>
      <c r="P30" s="231"/>
      <c r="Q30" s="231"/>
      <c r="R30" s="231"/>
      <c r="S30" s="231"/>
      <c r="T30" s="231"/>
    </row>
    <row r="31" spans="1:25" ht="12.75" customHeight="1">
      <c r="A31" s="231"/>
      <c r="B31" s="276" t="s">
        <v>138</v>
      </c>
      <c r="C31" s="277"/>
      <c r="D31" s="278">
        <f>SUM(D24:D28)</f>
        <v>67906011.423327178</v>
      </c>
      <c r="E31" s="278"/>
      <c r="F31" s="279">
        <f>SUM(F24:F28)</f>
        <v>-4287447.1416329602</v>
      </c>
      <c r="G31" s="279">
        <f>SUM(G24:G28)</f>
        <v>99127.174528544623</v>
      </c>
      <c r="H31" s="278">
        <f>SUM(H24:H28)</f>
        <v>63717691.456222765</v>
      </c>
      <c r="I31" s="278"/>
      <c r="J31" s="278"/>
      <c r="K31" s="278"/>
      <c r="L31" s="231"/>
      <c r="M31" s="231"/>
      <c r="N31" s="231"/>
      <c r="O31" s="231"/>
      <c r="P31" s="231"/>
      <c r="Q31" s="231"/>
      <c r="R31" s="231"/>
      <c r="S31" s="231"/>
      <c r="T31" s="231"/>
    </row>
    <row r="32" spans="1:25" ht="12.75" customHeight="1">
      <c r="A32" s="231"/>
      <c r="B32" s="276"/>
      <c r="C32" s="277"/>
      <c r="D32" s="278"/>
      <c r="E32" s="278"/>
      <c r="F32" s="278"/>
      <c r="G32" s="279"/>
      <c r="H32" s="278"/>
      <c r="I32" s="278"/>
      <c r="J32" s="278"/>
      <c r="K32" s="278"/>
      <c r="L32" s="231"/>
      <c r="M32" s="231"/>
      <c r="N32" s="231"/>
      <c r="O32" s="231"/>
      <c r="P32" s="231"/>
      <c r="Q32" s="231"/>
      <c r="R32" s="231"/>
      <c r="S32" s="231"/>
      <c r="T32" s="231"/>
    </row>
    <row r="33" spans="1:23" s="240" customFormat="1" ht="12.75" customHeight="1">
      <c r="A33" s="286" t="s">
        <v>217</v>
      </c>
      <c r="B33" s="235"/>
      <c r="C33" s="236"/>
      <c r="D33" s="237"/>
      <c r="E33" s="237"/>
      <c r="F33" s="238"/>
      <c r="G33" s="280"/>
      <c r="H33" s="237"/>
      <c r="I33" s="235"/>
      <c r="J33" s="239"/>
      <c r="K33" s="237"/>
      <c r="L33" s="241" t="s">
        <v>235</v>
      </c>
      <c r="M33" s="231"/>
      <c r="N33" s="231"/>
      <c r="O33" s="231"/>
      <c r="P33" s="231"/>
      <c r="Q33" s="231"/>
      <c r="R33" s="231"/>
      <c r="S33" s="231"/>
      <c r="T33" s="231"/>
      <c r="U33" s="232"/>
      <c r="V33" s="287" t="s">
        <v>218</v>
      </c>
      <c r="W33" s="232"/>
    </row>
    <row r="34" spans="1:23" ht="12.75" customHeight="1">
      <c r="A34" s="241"/>
      <c r="B34" s="288" t="s">
        <v>192</v>
      </c>
      <c r="C34" s="243"/>
      <c r="D34" s="244" t="s">
        <v>175</v>
      </c>
      <c r="E34" s="245"/>
      <c r="F34" s="281" t="s">
        <v>212</v>
      </c>
      <c r="G34" s="282"/>
      <c r="H34" s="247"/>
      <c r="I34" s="247"/>
      <c r="J34" s="246" t="s">
        <v>176</v>
      </c>
      <c r="K34" s="248"/>
      <c r="L34" s="289" t="s">
        <v>193</v>
      </c>
      <c r="M34" s="231"/>
      <c r="N34" s="290" t="s">
        <v>194</v>
      </c>
      <c r="O34" s="231"/>
      <c r="P34" s="231"/>
      <c r="Q34" s="231"/>
      <c r="R34" s="231"/>
      <c r="S34" s="231"/>
      <c r="T34" s="231"/>
      <c r="V34" s="291" t="s">
        <v>193</v>
      </c>
    </row>
    <row r="35" spans="1:23" ht="12.75" customHeight="1">
      <c r="A35" s="241"/>
      <c r="B35" s="252"/>
      <c r="C35" s="253" t="s">
        <v>177</v>
      </c>
      <c r="D35" s="254" t="s">
        <v>191</v>
      </c>
      <c r="E35" s="255" t="s">
        <v>179</v>
      </c>
      <c r="F35" s="283" t="s">
        <v>180</v>
      </c>
      <c r="G35" s="256" t="s">
        <v>209</v>
      </c>
      <c r="H35" s="256" t="s">
        <v>191</v>
      </c>
      <c r="I35" s="257" t="s">
        <v>179</v>
      </c>
      <c r="J35" s="292" t="s">
        <v>195</v>
      </c>
      <c r="K35" s="293"/>
      <c r="L35" s="253" t="s">
        <v>196</v>
      </c>
      <c r="M35" s="231"/>
      <c r="N35" s="294" t="s">
        <v>179</v>
      </c>
      <c r="O35" s="231"/>
      <c r="P35" s="231"/>
      <c r="Q35" s="231"/>
      <c r="R35" s="231"/>
      <c r="S35" s="231"/>
      <c r="T35" s="231"/>
      <c r="V35" s="295" t="s">
        <v>196</v>
      </c>
    </row>
    <row r="36" spans="1:23" ht="12.75" customHeight="1">
      <c r="A36" s="241"/>
      <c r="B36" s="260" t="s">
        <v>183</v>
      </c>
      <c r="C36" s="261" t="s">
        <v>216</v>
      </c>
      <c r="D36" s="262" t="s">
        <v>214</v>
      </c>
      <c r="E36" s="263" t="s">
        <v>184</v>
      </c>
      <c r="F36" s="284" t="s">
        <v>215</v>
      </c>
      <c r="G36" s="284" t="s">
        <v>185</v>
      </c>
      <c r="H36" s="265" t="s">
        <v>186</v>
      </c>
      <c r="I36" s="263" t="s">
        <v>184</v>
      </c>
      <c r="J36" s="296" t="str">
        <f>+J8</f>
        <v>Balance 7-31-19</v>
      </c>
      <c r="K36" s="267" t="s">
        <v>186</v>
      </c>
      <c r="L36" s="261" t="s">
        <v>197</v>
      </c>
      <c r="M36" s="231"/>
      <c r="N36" s="297" t="s">
        <v>184</v>
      </c>
      <c r="O36" s="231"/>
      <c r="P36" s="231"/>
      <c r="Q36" s="231"/>
      <c r="R36" s="231"/>
      <c r="S36" s="231"/>
      <c r="T36" s="231"/>
      <c r="V36" s="298" t="s">
        <v>197</v>
      </c>
    </row>
    <row r="37" spans="1:23" ht="12.75" customHeight="1" thickBot="1">
      <c r="A37" s="231"/>
      <c r="B37" s="269"/>
      <c r="C37" s="299"/>
      <c r="D37" s="258"/>
      <c r="E37" s="300"/>
      <c r="F37" s="301"/>
      <c r="G37" s="302"/>
      <c r="H37" s="303"/>
      <c r="I37" s="204"/>
      <c r="J37" s="304"/>
      <c r="K37" s="301"/>
      <c r="L37" s="305"/>
      <c r="M37" s="231"/>
      <c r="N37" s="306"/>
      <c r="O37" s="231"/>
      <c r="P37" s="231"/>
      <c r="Q37" s="231"/>
      <c r="R37" s="231"/>
      <c r="S37" s="231"/>
      <c r="T37" s="231"/>
      <c r="V37" s="307"/>
    </row>
    <row r="38" spans="1:23" ht="12.75" customHeight="1" thickBot="1">
      <c r="A38" s="231"/>
      <c r="B38" s="272" t="s">
        <v>187</v>
      </c>
      <c r="C38" s="270">
        <f>(C10+C24)</f>
        <v>12463963822.056599</v>
      </c>
      <c r="D38" s="201">
        <f>C38/$C$44*$D$44</f>
        <v>92278620.013039216</v>
      </c>
      <c r="E38" s="206">
        <f>D38/C38*100</f>
        <v>0.74036334933627013</v>
      </c>
      <c r="F38" s="207">
        <f>F$44*F$50</f>
        <v>-4656167.5958133955</v>
      </c>
      <c r="G38" s="207">
        <f>C38/$C$44*$G$44</f>
        <v>134705.58319588608</v>
      </c>
      <c r="H38" s="203">
        <f>D38+F38+G38</f>
        <v>87757158.000421703</v>
      </c>
      <c r="I38" s="206">
        <f>H38/C38*100</f>
        <v>0.704087072566145</v>
      </c>
      <c r="J38" s="216">
        <f>J10+J24</f>
        <v>-7685861.5599999996</v>
      </c>
      <c r="K38" s="209">
        <f>H38+J38</f>
        <v>80071296.4404217</v>
      </c>
      <c r="L38" s="205">
        <f>K38/2</f>
        <v>40035648.22021085</v>
      </c>
      <c r="M38" s="231"/>
      <c r="N38" s="217">
        <f>K38/C38/10</f>
        <v>6.4242240737834278E-4</v>
      </c>
      <c r="O38" s="231"/>
      <c r="P38" s="203"/>
      <c r="Q38" s="203"/>
      <c r="R38" s="231"/>
      <c r="S38" s="231"/>
      <c r="T38" s="231"/>
      <c r="U38" s="218">
        <f>+(L38-V38)/V38</f>
        <v>-9.7274091152861786E-2</v>
      </c>
      <c r="V38" s="219">
        <v>44349727.672422692</v>
      </c>
      <c r="W38" s="308">
        <f>+L38-V38</f>
        <v>-4314079.4522118419</v>
      </c>
    </row>
    <row r="39" spans="1:23" ht="12.75" customHeight="1" thickBot="1">
      <c r="B39" s="272"/>
      <c r="C39" s="270"/>
      <c r="D39" s="201"/>
      <c r="E39" s="206"/>
      <c r="F39" s="207"/>
      <c r="G39" s="207"/>
      <c r="H39" s="203"/>
      <c r="I39" s="206"/>
      <c r="J39" s="216"/>
      <c r="K39" s="203"/>
      <c r="L39" s="305"/>
      <c r="M39" s="231"/>
      <c r="N39" s="306"/>
      <c r="O39" s="231"/>
      <c r="P39" s="231"/>
      <c r="Q39" s="231"/>
      <c r="R39" s="231"/>
      <c r="S39" s="231"/>
      <c r="T39" s="231"/>
      <c r="V39" s="307"/>
    </row>
    <row r="40" spans="1:23" ht="12.75" customHeight="1" thickBot="1">
      <c r="B40" s="272" t="s">
        <v>188</v>
      </c>
      <c r="C40" s="270">
        <f>(C12+C26)</f>
        <v>3785993720.3806996</v>
      </c>
      <c r="D40" s="201">
        <f>C40/$C$44*$D$44</f>
        <v>28030109.913871408</v>
      </c>
      <c r="E40" s="206">
        <f>D40/C40*100</f>
        <v>0.74036334933627013</v>
      </c>
      <c r="F40" s="207">
        <f>F$44*F$51</f>
        <v>-1474881.8167217381</v>
      </c>
      <c r="G40" s="207">
        <f>C40/$C$44*$G$44</f>
        <v>40917.52024964508</v>
      </c>
      <c r="H40" s="203">
        <f>D40+F40+G40</f>
        <v>26596145.617399316</v>
      </c>
      <c r="I40" s="206">
        <f t="shared" ref="I40:I44" si="2">H40/C40*100</f>
        <v>0.70248784286744537</v>
      </c>
      <c r="J40" s="216">
        <f>J12+J26</f>
        <v>-16348.77</v>
      </c>
      <c r="K40" s="209">
        <f>H40+J40</f>
        <v>26579796.847399317</v>
      </c>
      <c r="L40" s="205">
        <f>K40/2</f>
        <v>13289898.423699658</v>
      </c>
      <c r="M40" s="231"/>
      <c r="N40" s="217">
        <f>K40/C40/10</f>
        <v>7.0205602043963756E-4</v>
      </c>
      <c r="O40" s="231"/>
      <c r="P40" s="203"/>
      <c r="Q40" s="203"/>
      <c r="R40" s="231"/>
      <c r="S40" s="231"/>
      <c r="T40" s="231"/>
      <c r="U40" s="218">
        <f>+(L40-V40)/V40</f>
        <v>-9.3843583481145215E-2</v>
      </c>
      <c r="V40" s="219">
        <v>14666230.003375063</v>
      </c>
      <c r="W40" s="308">
        <f>+L40-V40</f>
        <v>-1376331.5796754044</v>
      </c>
    </row>
    <row r="41" spans="1:23" ht="12.75" customHeight="1" thickBot="1">
      <c r="B41" s="272"/>
      <c r="C41" s="270"/>
      <c r="D41" s="201"/>
      <c r="E41" s="206"/>
      <c r="F41" s="207"/>
      <c r="G41" s="207"/>
      <c r="H41" s="203"/>
      <c r="I41" s="206"/>
      <c r="J41" s="216"/>
      <c r="K41" s="203"/>
      <c r="L41" s="305"/>
      <c r="M41" s="231"/>
      <c r="N41" s="306"/>
      <c r="O41" s="231"/>
      <c r="P41" s="231"/>
      <c r="Q41" s="231"/>
      <c r="R41" s="231"/>
      <c r="S41" s="231"/>
      <c r="T41" s="231"/>
      <c r="V41" s="307"/>
    </row>
    <row r="42" spans="1:23" ht="12.75" customHeight="1" thickBot="1">
      <c r="B42" s="272" t="s">
        <v>189</v>
      </c>
      <c r="C42" s="270">
        <f>(C14+C28)</f>
        <v>2094011397.7335999</v>
      </c>
      <c r="D42" s="201">
        <f>C42/$C$44*$D$44</f>
        <v>15503292.919743724</v>
      </c>
      <c r="E42" s="206">
        <f>D42/C42*100</f>
        <v>0.74036334933627013</v>
      </c>
      <c r="F42" s="207">
        <f>F$44*F$52</f>
        <v>-2443844.870730787</v>
      </c>
      <c r="G42" s="207">
        <f>C42/$C$44*$G$44</f>
        <v>22631.245611558083</v>
      </c>
      <c r="H42" s="203">
        <f>D42+F42+G42</f>
        <v>13082079.294624494</v>
      </c>
      <c r="I42" s="206">
        <f t="shared" si="2"/>
        <v>0.62473773107364894</v>
      </c>
      <c r="J42" s="216">
        <f>J14+J28</f>
        <v>3321483.15</v>
      </c>
      <c r="K42" s="209">
        <f>H42+J42</f>
        <v>16403562.444624495</v>
      </c>
      <c r="L42" s="205">
        <f>K42/2</f>
        <v>8201781.2223122474</v>
      </c>
      <c r="M42" s="231"/>
      <c r="N42" s="217">
        <f>K42/C42/10</f>
        <v>7.833559293124419E-4</v>
      </c>
      <c r="O42" s="231"/>
      <c r="P42" s="203"/>
      <c r="Q42" s="203"/>
      <c r="R42" s="231"/>
      <c r="S42" s="231"/>
      <c r="T42" s="231"/>
      <c r="U42" s="218">
        <f>+(L42-V42)/V42</f>
        <v>-3.3911283532056434E-2</v>
      </c>
      <c r="V42" s="219">
        <v>8489677.0684769675</v>
      </c>
      <c r="W42" s="308">
        <f>+L42-V42</f>
        <v>-287895.84616472013</v>
      </c>
    </row>
    <row r="43" spans="1:23" ht="12.75" customHeight="1" thickBot="1">
      <c r="B43" s="272"/>
      <c r="C43" s="270"/>
      <c r="D43" s="201"/>
      <c r="E43" s="206"/>
      <c r="F43" s="207"/>
      <c r="G43" s="207"/>
      <c r="H43" s="203"/>
      <c r="I43" s="206"/>
      <c r="J43" s="201"/>
      <c r="K43" s="203"/>
      <c r="L43" s="305"/>
      <c r="M43" s="231"/>
      <c r="N43" s="306"/>
      <c r="O43" s="231"/>
      <c r="P43" s="231"/>
      <c r="Q43" s="231"/>
      <c r="R43" s="231"/>
      <c r="S43" s="231"/>
      <c r="T43" s="231"/>
      <c r="V43" s="307"/>
    </row>
    <row r="44" spans="1:23" ht="12.75" customHeight="1" thickBot="1">
      <c r="B44" s="274" t="s">
        <v>190</v>
      </c>
      <c r="C44" s="275">
        <f>C38+C40+C42</f>
        <v>18343968940.170898</v>
      </c>
      <c r="D44" s="214">
        <f>D30*2</f>
        <v>135812022.84665436</v>
      </c>
      <c r="E44" s="211">
        <f>D44/C44*100</f>
        <v>0.74036334933627013</v>
      </c>
      <c r="F44" s="215">
        <f>F30*2</f>
        <v>-8574894.2832659204</v>
      </c>
      <c r="G44" s="215">
        <f>G30*2</f>
        <v>198254.34905708925</v>
      </c>
      <c r="H44" s="213">
        <f>D44+F44+G44</f>
        <v>127435382.91244553</v>
      </c>
      <c r="I44" s="211">
        <f t="shared" si="2"/>
        <v>0.69469907699951827</v>
      </c>
      <c r="J44" s="214">
        <f>SUM(J38:J42)</f>
        <v>-4380727.18</v>
      </c>
      <c r="K44" s="209">
        <f>SUM(K38:K42)</f>
        <v>123054655.73244552</v>
      </c>
      <c r="L44" s="309">
        <f>SUM(L38:L42)</f>
        <v>61527327.866222762</v>
      </c>
      <c r="M44" s="231"/>
      <c r="N44" s="217">
        <f>K44/C44/10</f>
        <v>6.708180554262273E-4</v>
      </c>
      <c r="O44" s="231"/>
      <c r="P44" s="290"/>
      <c r="Q44" s="290"/>
      <c r="R44" s="231"/>
      <c r="S44" s="231"/>
      <c r="T44" s="231"/>
      <c r="U44" s="218">
        <f>+(L44-V44)/V44</f>
        <v>-8.8560116510259024E-2</v>
      </c>
      <c r="V44" s="310">
        <v>67505634.744274721</v>
      </c>
      <c r="W44" s="308">
        <f>+L44-V44</f>
        <v>-5978306.878051959</v>
      </c>
    </row>
    <row r="45" spans="1:23" ht="12.75" customHeight="1">
      <c r="A45" s="231"/>
      <c r="B45" s="276" t="s">
        <v>138</v>
      </c>
      <c r="C45" s="277"/>
      <c r="D45" s="278">
        <f>SUM(D38:D42)</f>
        <v>135812022.84665436</v>
      </c>
      <c r="E45" s="278"/>
      <c r="F45" s="279">
        <f>SUM(F38:F42)</f>
        <v>-8574894.2832659204</v>
      </c>
      <c r="G45" s="279">
        <f>SUM(G38:G42)</f>
        <v>198254.34905708925</v>
      </c>
      <c r="H45" s="278">
        <f>SUM(H38:H42)</f>
        <v>127435382.91244552</v>
      </c>
      <c r="I45" s="278"/>
      <c r="J45" s="278"/>
      <c r="K45" s="278"/>
      <c r="L45" s="231"/>
      <c r="M45" s="231"/>
      <c r="N45" s="231"/>
      <c r="O45" s="231"/>
      <c r="P45" s="290"/>
      <c r="Q45" s="290"/>
      <c r="R45" s="231"/>
      <c r="S45" s="231"/>
      <c r="T45" s="231"/>
    </row>
    <row r="46" spans="1:23" s="316" customFormat="1" ht="12.75" customHeight="1">
      <c r="A46" s="311"/>
      <c r="B46" s="312"/>
      <c r="C46" s="313"/>
      <c r="D46" s="314"/>
      <c r="E46" s="278"/>
      <c r="F46" s="315"/>
      <c r="G46" s="278"/>
      <c r="H46" s="278"/>
      <c r="I46" s="278"/>
      <c r="J46" s="278"/>
      <c r="K46" s="278"/>
      <c r="L46" s="306"/>
      <c r="M46" s="231"/>
      <c r="N46" s="306"/>
      <c r="O46" s="306"/>
      <c r="P46" s="203"/>
      <c r="Q46" s="203"/>
      <c r="R46" s="306"/>
      <c r="S46" s="306"/>
      <c r="T46" s="306"/>
    </row>
    <row r="47" spans="1:23" s="316" customFormat="1" ht="9.9499999999999993" customHeight="1">
      <c r="A47" s="317">
        <v>-1</v>
      </c>
      <c r="B47" s="318" t="s">
        <v>211</v>
      </c>
      <c r="C47" s="277"/>
      <c r="D47" s="278"/>
      <c r="E47" s="278"/>
      <c r="F47" s="315" t="s">
        <v>198</v>
      </c>
      <c r="G47" s="278"/>
      <c r="L47" s="306"/>
      <c r="M47" s="306"/>
      <c r="N47" s="306"/>
      <c r="O47" s="306"/>
      <c r="P47" s="203"/>
      <c r="Q47" s="203"/>
      <c r="R47" s="306"/>
      <c r="S47" s="306"/>
      <c r="T47" s="306"/>
    </row>
    <row r="48" spans="1:23" s="316" customFormat="1" ht="9.9499999999999993" customHeight="1">
      <c r="A48" s="317">
        <v>-2</v>
      </c>
      <c r="B48" s="318" t="s">
        <v>236</v>
      </c>
      <c r="C48" s="277"/>
      <c r="D48" s="278"/>
      <c r="E48" s="278"/>
      <c r="F48" s="315" t="s">
        <v>199</v>
      </c>
      <c r="G48" s="278"/>
      <c r="H48" s="319"/>
      <c r="I48" s="320"/>
      <c r="J48" s="321"/>
      <c r="L48" s="306"/>
      <c r="M48" s="306"/>
      <c r="N48" s="306"/>
      <c r="O48" s="306"/>
      <c r="P48" s="203"/>
      <c r="Q48" s="203"/>
      <c r="R48" s="306"/>
      <c r="S48" s="306"/>
      <c r="T48" s="306"/>
    </row>
    <row r="49" spans="1:20" s="316" customFormat="1" ht="9.9499999999999993" customHeight="1">
      <c r="A49" s="317">
        <v>-3</v>
      </c>
      <c r="B49" s="318" t="s">
        <v>236</v>
      </c>
      <c r="C49" s="277"/>
      <c r="D49" s="278"/>
      <c r="E49" s="278"/>
      <c r="F49" s="322" t="s">
        <v>200</v>
      </c>
      <c r="G49" s="278"/>
      <c r="H49" s="319"/>
      <c r="I49" s="320"/>
      <c r="J49" s="321"/>
      <c r="L49" s="306"/>
      <c r="M49" s="306"/>
      <c r="N49" s="306"/>
      <c r="O49" s="306"/>
      <c r="P49" s="203"/>
      <c r="Q49" s="203"/>
      <c r="R49" s="306"/>
      <c r="S49" s="306"/>
      <c r="T49" s="306"/>
    </row>
    <row r="50" spans="1:20" s="316" customFormat="1" ht="9.9499999999999993" customHeight="1">
      <c r="A50" s="317">
        <v>-4</v>
      </c>
      <c r="B50" s="318" t="s">
        <v>201</v>
      </c>
      <c r="E50" s="318" t="s">
        <v>187</v>
      </c>
      <c r="F50" s="323">
        <v>0.54300000000000004</v>
      </c>
      <c r="G50" s="278"/>
      <c r="H50" s="319"/>
      <c r="I50" s="320"/>
      <c r="J50" s="321"/>
      <c r="L50" s="306"/>
      <c r="M50" s="306"/>
      <c r="N50" s="306"/>
      <c r="O50" s="306"/>
      <c r="P50" s="203"/>
      <c r="Q50" s="203"/>
      <c r="R50" s="306"/>
      <c r="S50" s="306"/>
      <c r="T50" s="306"/>
    </row>
    <row r="51" spans="1:20" s="316" customFormat="1" ht="9.9499999999999993" customHeight="1">
      <c r="B51" s="324" t="s">
        <v>202</v>
      </c>
      <c r="E51" s="318" t="s">
        <v>188</v>
      </c>
      <c r="F51" s="323">
        <v>0.17199999999999999</v>
      </c>
      <c r="G51" s="278"/>
      <c r="H51" s="319"/>
      <c r="I51" s="320"/>
      <c r="J51" s="321"/>
      <c r="L51" s="306"/>
      <c r="M51" s="306"/>
      <c r="N51" s="306"/>
      <c r="O51" s="306"/>
      <c r="P51" s="306"/>
      <c r="Q51" s="306"/>
      <c r="R51" s="306"/>
      <c r="S51" s="325"/>
      <c r="T51" s="326"/>
    </row>
    <row r="52" spans="1:20" s="316" customFormat="1" ht="9.9499999999999993" customHeight="1">
      <c r="B52" s="324" t="s">
        <v>203</v>
      </c>
      <c r="E52" s="318" t="s">
        <v>189</v>
      </c>
      <c r="F52" s="323">
        <v>0.28499999999999998</v>
      </c>
      <c r="G52" s="278"/>
      <c r="H52" s="319"/>
      <c r="I52" s="320"/>
      <c r="J52" s="321"/>
      <c r="L52" s="306"/>
      <c r="M52" s="306"/>
      <c r="N52" s="306"/>
      <c r="O52" s="306"/>
      <c r="P52" s="327"/>
      <c r="Q52" s="327"/>
      <c r="R52" s="220"/>
      <c r="S52" s="325"/>
      <c r="T52" s="326"/>
    </row>
    <row r="53" spans="1:20" s="316" customFormat="1" ht="12.75" customHeight="1">
      <c r="A53" s="319"/>
      <c r="B53" s="319"/>
      <c r="E53" s="319"/>
      <c r="F53" s="319"/>
      <c r="G53" s="278"/>
      <c r="H53" s="319"/>
      <c r="I53" s="320"/>
      <c r="J53" s="321"/>
      <c r="L53" s="306"/>
      <c r="M53" s="306"/>
      <c r="N53" s="306"/>
      <c r="O53" s="306"/>
      <c r="P53" s="306"/>
      <c r="Q53" s="306"/>
      <c r="R53" s="306"/>
      <c r="S53" s="325"/>
      <c r="T53" s="326"/>
    </row>
    <row r="54" spans="1:20" s="316" customFormat="1" ht="12.75" customHeight="1">
      <c r="A54" s="319"/>
      <c r="B54" s="319"/>
      <c r="E54" s="319"/>
      <c r="F54" s="319"/>
      <c r="G54" s="277"/>
      <c r="K54" s="306"/>
      <c r="L54" s="306"/>
      <c r="M54" s="306"/>
      <c r="N54" s="306"/>
      <c r="O54" s="306"/>
      <c r="P54" s="327"/>
      <c r="Q54" s="327"/>
      <c r="R54" s="220"/>
      <c r="S54" s="325"/>
      <c r="T54" s="326"/>
    </row>
    <row r="55" spans="1:20" s="316" customFormat="1" ht="12.75" customHeight="1">
      <c r="B55" s="319"/>
      <c r="C55" s="423" t="s">
        <v>204</v>
      </c>
      <c r="D55" s="423"/>
      <c r="E55" s="315" t="s">
        <v>205</v>
      </c>
      <c r="F55" s="315" t="s">
        <v>194</v>
      </c>
      <c r="G55" s="315" t="s">
        <v>183</v>
      </c>
      <c r="J55" s="321"/>
      <c r="L55" s="306"/>
      <c r="M55" s="306"/>
      <c r="N55" s="306"/>
      <c r="O55" s="306"/>
      <c r="P55" s="306"/>
      <c r="Q55" s="306"/>
      <c r="R55" s="306"/>
      <c r="S55" s="325"/>
      <c r="T55" s="326"/>
    </row>
    <row r="56" spans="1:20" s="316" customFormat="1" ht="12.75" customHeight="1">
      <c r="C56" s="328" t="s">
        <v>237</v>
      </c>
      <c r="D56" s="328" t="s">
        <v>238</v>
      </c>
      <c r="E56" s="315" t="s">
        <v>206</v>
      </c>
      <c r="F56" s="315" t="s">
        <v>206</v>
      </c>
      <c r="G56" s="315" t="s">
        <v>207</v>
      </c>
      <c r="K56" s="306"/>
      <c r="L56" s="306"/>
      <c r="M56" s="306"/>
      <c r="N56" s="306"/>
      <c r="O56" s="306"/>
      <c r="P56" s="327"/>
      <c r="Q56" s="327"/>
      <c r="R56" s="220"/>
      <c r="S56" s="325"/>
      <c r="T56" s="325"/>
    </row>
    <row r="57" spans="1:20" s="316" customFormat="1" ht="12.75" customHeight="1">
      <c r="B57" s="329" t="s">
        <v>187</v>
      </c>
      <c r="C57" s="330">
        <v>6411248618.9180002</v>
      </c>
      <c r="D57" s="330">
        <v>6052715203.1385994</v>
      </c>
      <c r="E57" s="331"/>
      <c r="F57" s="332">
        <f>AVERAGE(C57:D57)</f>
        <v>6231981911.0282993</v>
      </c>
      <c r="G57" s="221">
        <f>ROUND(F57/$F$61,4)</f>
        <v>0.67949999999999999</v>
      </c>
      <c r="H57" s="232"/>
      <c r="I57" s="333"/>
      <c r="J57" s="321"/>
      <c r="L57" s="306"/>
      <c r="M57" s="306"/>
      <c r="N57" s="306"/>
      <c r="O57" s="306"/>
      <c r="P57" s="306"/>
      <c r="Q57" s="306"/>
      <c r="R57" s="306"/>
      <c r="S57" s="325"/>
      <c r="T57" s="306"/>
    </row>
    <row r="58" spans="1:20" s="316" customFormat="1" ht="12.75" customHeight="1">
      <c r="B58" s="334" t="s">
        <v>188</v>
      </c>
      <c r="C58" s="335">
        <v>1967293768.4518998</v>
      </c>
      <c r="D58" s="335">
        <v>1818699951.9287999</v>
      </c>
      <c r="E58" s="336"/>
      <c r="F58" s="337">
        <f>AVERAGE(C58:D58)</f>
        <v>1892996860.1903498</v>
      </c>
      <c r="G58" s="222">
        <f>ROUND(F58/$F$61,4)</f>
        <v>0.2064</v>
      </c>
      <c r="H58" s="232"/>
      <c r="I58" s="333"/>
      <c r="J58" s="321"/>
      <c r="L58" s="306"/>
      <c r="M58" s="306"/>
      <c r="N58" s="306"/>
      <c r="O58" s="306"/>
      <c r="P58" s="306"/>
      <c r="Q58" s="306"/>
      <c r="R58" s="306"/>
      <c r="S58" s="306"/>
      <c r="T58" s="306"/>
    </row>
    <row r="59" spans="1:20" s="316" customFormat="1" ht="12.75" customHeight="1">
      <c r="B59" s="334" t="s">
        <v>189</v>
      </c>
      <c r="C59" s="335">
        <v>1054187967.4893999</v>
      </c>
      <c r="D59" s="335">
        <v>1039823430.2442</v>
      </c>
      <c r="E59" s="336"/>
      <c r="F59" s="337">
        <f>AVERAGE(C59:D59)</f>
        <v>1047005698.8668</v>
      </c>
      <c r="G59" s="222">
        <f>ROUND(F59/$F$61,4)-0.0001</f>
        <v>0.11409999999999999</v>
      </c>
      <c r="H59" s="232"/>
      <c r="I59" s="333"/>
      <c r="J59" s="321"/>
      <c r="L59" s="306"/>
      <c r="M59" s="306"/>
      <c r="N59" s="306"/>
      <c r="O59" s="306"/>
      <c r="P59" s="306"/>
      <c r="Q59" s="306"/>
      <c r="R59" s="306"/>
      <c r="S59" s="306"/>
      <c r="T59" s="306"/>
    </row>
    <row r="60" spans="1:20" s="316" customFormat="1" ht="12.75" customHeight="1">
      <c r="B60" s="338"/>
      <c r="C60" s="339"/>
      <c r="D60" s="339"/>
      <c r="E60" s="336"/>
      <c r="F60" s="340"/>
      <c r="G60" s="341"/>
      <c r="H60" s="232"/>
      <c r="I60" s="333"/>
      <c r="K60" s="306"/>
      <c r="L60" s="306"/>
      <c r="M60" s="306"/>
      <c r="N60" s="306"/>
      <c r="O60" s="306"/>
      <c r="P60" s="306"/>
      <c r="Q60" s="306"/>
      <c r="R60" s="306"/>
      <c r="S60" s="306"/>
      <c r="T60" s="306"/>
    </row>
    <row r="61" spans="1:20" s="316" customFormat="1" ht="12.75" customHeight="1">
      <c r="B61" s="342" t="s">
        <v>190</v>
      </c>
      <c r="C61" s="343">
        <f>C57+C58+C59</f>
        <v>9432730354.8592987</v>
      </c>
      <c r="D61" s="343">
        <f>D57+D58+D59</f>
        <v>8911238585.3115997</v>
      </c>
      <c r="E61" s="344"/>
      <c r="F61" s="345">
        <f>SUM(F57:F59)</f>
        <v>9171984470.0854492</v>
      </c>
      <c r="G61" s="223">
        <f>SUM(G57:G60)</f>
        <v>1</v>
      </c>
      <c r="H61" s="232"/>
      <c r="I61" s="333"/>
      <c r="J61" s="321"/>
      <c r="L61" s="306"/>
      <c r="M61" s="306"/>
      <c r="N61" s="306"/>
      <c r="O61" s="306"/>
      <c r="P61" s="306"/>
      <c r="Q61" s="306"/>
      <c r="R61" s="306"/>
      <c r="S61" s="306"/>
      <c r="T61" s="306"/>
    </row>
    <row r="62" spans="1:20" s="316" customFormat="1" ht="12.75" customHeight="1">
      <c r="H62" s="232"/>
      <c r="K62" s="306"/>
      <c r="L62" s="306"/>
      <c r="M62" s="306"/>
      <c r="N62" s="306"/>
      <c r="O62" s="306"/>
      <c r="P62" s="306"/>
      <c r="Q62" s="306"/>
      <c r="R62" s="306"/>
      <c r="S62" s="306"/>
      <c r="T62" s="306"/>
    </row>
    <row r="63" spans="1:20" ht="12.75" customHeight="1">
      <c r="B63" s="316"/>
      <c r="C63" s="346"/>
      <c r="D63" s="346"/>
      <c r="E63" s="347"/>
      <c r="F63" s="347"/>
      <c r="G63" s="320"/>
      <c r="I63" s="333"/>
      <c r="J63" s="321"/>
      <c r="K63" s="316"/>
      <c r="L63" s="306"/>
      <c r="M63" s="306"/>
    </row>
    <row r="64" spans="1:20">
      <c r="G64" s="320"/>
      <c r="I64" s="348"/>
    </row>
    <row r="65" spans="9:9">
      <c r="I65" s="348"/>
    </row>
    <row r="66" spans="9:9">
      <c r="I66" s="348"/>
    </row>
  </sheetData>
  <mergeCells count="1">
    <mergeCell ref="C55:D55"/>
  </mergeCells>
  <printOptions horizontalCentered="1"/>
  <pageMargins left="0" right="0" top="0.5" bottom="0" header="0" footer="0"/>
  <pageSetup scale="6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view="pageBreakPreview" zoomScaleNormal="100" workbookViewId="0">
      <selection activeCell="D44" sqref="D44"/>
    </sheetView>
  </sheetViews>
  <sheetFormatPr defaultRowHeight="12.75"/>
  <cols>
    <col min="1" max="1" width="15.875" style="173" customWidth="1"/>
    <col min="2" max="2" width="13.5" style="173" customWidth="1"/>
    <col min="3" max="3" width="10" style="173" customWidth="1"/>
    <col min="4" max="16384" width="9" style="173"/>
  </cols>
  <sheetData>
    <row r="1" spans="1:3">
      <c r="A1" s="432" t="s">
        <v>61</v>
      </c>
    </row>
    <row r="2" spans="1:3">
      <c r="A2" s="432" t="s">
        <v>131</v>
      </c>
    </row>
    <row r="3" spans="1:3">
      <c r="A3" s="432" t="s">
        <v>132</v>
      </c>
    </row>
    <row r="4" spans="1:3">
      <c r="A4" s="432" t="s">
        <v>254</v>
      </c>
    </row>
    <row r="7" spans="1:3">
      <c r="B7" s="174" t="s">
        <v>255</v>
      </c>
    </row>
    <row r="8" spans="1:3">
      <c r="A8" s="172" t="s">
        <v>133</v>
      </c>
      <c r="B8" s="174" t="s">
        <v>116</v>
      </c>
    </row>
    <row r="9" spans="1:3">
      <c r="A9" s="175" t="s">
        <v>39</v>
      </c>
      <c r="B9" s="176">
        <f>'Attachment D'!O16</f>
        <v>1620927.4628761883</v>
      </c>
    </row>
    <row r="10" spans="1:3">
      <c r="A10" s="175" t="s">
        <v>139</v>
      </c>
      <c r="B10" s="176">
        <f>'Attachment D'!O22+'Attachment D'!O24+'Attachment D'!O25</f>
        <v>203127.658</v>
      </c>
    </row>
    <row r="11" spans="1:3" ht="13.5" thickBot="1">
      <c r="A11" s="177" t="s">
        <v>134</v>
      </c>
      <c r="B11" s="183">
        <f>'Attachment D'!O34</f>
        <v>1489.066</v>
      </c>
    </row>
    <row r="12" spans="1:3" ht="13.5" thickTop="1">
      <c r="A12" s="175" t="s">
        <v>74</v>
      </c>
      <c r="B12" s="176">
        <f>SUM(B9:B11)</f>
        <v>1825544.1868761885</v>
      </c>
    </row>
    <row r="14" spans="1:3">
      <c r="A14" s="172" t="s">
        <v>135</v>
      </c>
      <c r="B14" s="178">
        <f>'Attachment D'!U52</f>
        <v>-13289898</v>
      </c>
    </row>
    <row r="16" spans="1:3">
      <c r="A16" s="179" t="s">
        <v>136</v>
      </c>
      <c r="B16" s="180">
        <f>ROUND(B14/B12/10,3)</f>
        <v>-0.72799999999999998</v>
      </c>
      <c r="C16" s="181" t="s">
        <v>137</v>
      </c>
    </row>
    <row r="19" spans="1:2">
      <c r="A19" s="172" t="s">
        <v>138</v>
      </c>
      <c r="B19" s="178">
        <f>B16/100*B12*1000</f>
        <v>-13289961.680458654</v>
      </c>
    </row>
    <row r="20" spans="1:2">
      <c r="B20" s="178">
        <f>B19-B14</f>
        <v>-63.680458653718233</v>
      </c>
    </row>
    <row r="21" spans="1:2">
      <c r="B21" s="182">
        <f>B20/B14</f>
        <v>4.7916438977724461E-6</v>
      </c>
    </row>
  </sheetData>
  <pageMargins left="0.75" right="0.75" top="1" bottom="1" header="0.5" footer="0.5"/>
  <pageSetup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49"/>
  <sheetViews>
    <sheetView view="pageBreakPreview" zoomScale="75" zoomScaleNormal="100" workbookViewId="0"/>
  </sheetViews>
  <sheetFormatPr defaultColWidth="8.5" defaultRowHeight="15"/>
  <cols>
    <col min="1" max="1" width="4.625" style="82" customWidth="1"/>
    <col min="2" max="2" width="8.5" style="82"/>
    <col min="3" max="3" width="2.75" style="82" customWidth="1"/>
    <col min="4" max="4" width="11.375" style="82" bestFit="1" customWidth="1"/>
    <col min="5" max="5" width="4" style="82" customWidth="1"/>
    <col min="6" max="6" width="12.875" style="82" bestFit="1" customWidth="1"/>
    <col min="7" max="7" width="3" style="82" customWidth="1"/>
    <col min="8" max="8" width="9.25" style="82" hidden="1" customWidth="1"/>
    <col min="9" max="9" width="2.875" style="82" hidden="1" customWidth="1"/>
    <col min="10" max="10" width="7.25" style="82" hidden="1" customWidth="1"/>
    <col min="11" max="11" width="3.375" style="82" hidden="1" customWidth="1"/>
    <col min="12" max="12" width="8" style="82" bestFit="1" customWidth="1"/>
    <col min="13" max="13" width="1.875" style="82" customWidth="1"/>
    <col min="14" max="14" width="9.75" style="82" customWidth="1"/>
    <col min="15" max="15" width="2.125" style="82" customWidth="1"/>
    <col min="16" max="16" width="2.25" style="82" customWidth="1"/>
    <col min="17" max="17" width="15.125" style="82" customWidth="1"/>
    <col min="18" max="18" width="18.625" style="82" customWidth="1"/>
    <col min="19" max="19" width="9.125" style="82" customWidth="1"/>
    <col min="20" max="20" width="8.25" style="82" customWidth="1"/>
    <col min="21" max="21" width="1.625" style="82" customWidth="1"/>
    <col min="22" max="16384" width="8.5" style="82"/>
  </cols>
  <sheetData>
    <row r="2" spans="1:24" ht="18.75">
      <c r="B2" s="83"/>
      <c r="C2" s="84"/>
      <c r="D2" s="84"/>
      <c r="E2" s="84"/>
      <c r="F2" s="84"/>
      <c r="G2" s="84"/>
      <c r="H2" s="84"/>
      <c r="I2" s="84"/>
      <c r="J2" s="84"/>
      <c r="K2" s="84"/>
      <c r="L2" s="84"/>
      <c r="M2" s="85" t="s">
        <v>0</v>
      </c>
    </row>
    <row r="3" spans="1:24" ht="18.75">
      <c r="B3" s="424" t="s">
        <v>61</v>
      </c>
      <c r="C3" s="424"/>
      <c r="D3" s="424"/>
      <c r="E3" s="424"/>
      <c r="F3" s="424"/>
      <c r="G3" s="424"/>
      <c r="H3" s="424"/>
      <c r="I3" s="424"/>
      <c r="J3" s="424"/>
      <c r="K3" s="424"/>
      <c r="L3" s="424"/>
      <c r="M3" s="424"/>
      <c r="N3" s="424"/>
      <c r="O3" s="86"/>
    </row>
    <row r="4" spans="1:24" ht="18.75">
      <c r="A4" s="87"/>
      <c r="B4" s="424" t="s">
        <v>62</v>
      </c>
      <c r="C4" s="424"/>
      <c r="D4" s="424"/>
      <c r="E4" s="424"/>
      <c r="F4" s="424"/>
      <c r="G4" s="424"/>
      <c r="H4" s="424"/>
      <c r="I4" s="424"/>
      <c r="J4" s="424"/>
      <c r="K4" s="424"/>
      <c r="L4" s="424"/>
      <c r="M4" s="424"/>
      <c r="N4" s="424"/>
      <c r="O4" s="86"/>
    </row>
    <row r="5" spans="1:24" ht="18.75">
      <c r="A5" s="87"/>
      <c r="B5" s="424" t="s">
        <v>63</v>
      </c>
      <c r="C5" s="424"/>
      <c r="D5" s="424"/>
      <c r="E5" s="424"/>
      <c r="F5" s="424"/>
      <c r="G5" s="424"/>
      <c r="H5" s="424"/>
      <c r="I5" s="424"/>
      <c r="J5" s="424"/>
      <c r="K5" s="424"/>
      <c r="L5" s="424"/>
      <c r="M5" s="424"/>
      <c r="N5" s="424"/>
      <c r="O5" s="86"/>
    </row>
    <row r="6" spans="1:24" ht="18.75">
      <c r="B6" s="86" t="s">
        <v>0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</row>
    <row r="8" spans="1:24" ht="18.75" thickBot="1">
      <c r="D8" s="88" t="s">
        <v>64</v>
      </c>
      <c r="E8" s="88"/>
      <c r="F8" s="88"/>
      <c r="I8" s="89"/>
      <c r="J8" s="89"/>
      <c r="K8" s="89"/>
      <c r="L8" s="90"/>
      <c r="O8" s="91"/>
      <c r="P8" s="87"/>
      <c r="Q8" s="91"/>
    </row>
    <row r="9" spans="1:24">
      <c r="D9" s="92" t="s">
        <v>65</v>
      </c>
      <c r="E9" s="93"/>
      <c r="F9" s="93" t="s">
        <v>7</v>
      </c>
      <c r="H9" s="94" t="s">
        <v>66</v>
      </c>
      <c r="J9" s="94" t="s">
        <v>67</v>
      </c>
      <c r="L9" s="425" t="s">
        <v>68</v>
      </c>
      <c r="M9" s="425"/>
      <c r="N9" s="425"/>
      <c r="P9" s="93"/>
      <c r="Q9" s="95" t="s">
        <v>69</v>
      </c>
      <c r="R9" s="96"/>
      <c r="S9" s="95" t="s">
        <v>70</v>
      </c>
      <c r="T9" s="96"/>
    </row>
    <row r="10" spans="1:24" ht="18">
      <c r="B10" s="97" t="s">
        <v>26</v>
      </c>
      <c r="D10" s="98" t="s">
        <v>71</v>
      </c>
      <c r="E10" s="99" t="s">
        <v>0</v>
      </c>
      <c r="F10" s="98" t="s">
        <v>71</v>
      </c>
      <c r="G10" s="99" t="s">
        <v>0</v>
      </c>
      <c r="H10" s="97" t="s">
        <v>72</v>
      </c>
      <c r="I10" s="99"/>
      <c r="J10" s="97" t="s">
        <v>73</v>
      </c>
      <c r="K10" s="99"/>
      <c r="L10" s="97" t="s">
        <v>74</v>
      </c>
      <c r="N10" s="98" t="s">
        <v>75</v>
      </c>
      <c r="Q10" s="100" t="s">
        <v>76</v>
      </c>
      <c r="R10" s="101">
        <v>7.75</v>
      </c>
      <c r="S10" s="100"/>
      <c r="T10" s="101">
        <f>R10</f>
        <v>7.75</v>
      </c>
    </row>
    <row r="11" spans="1:24">
      <c r="B11" s="102"/>
      <c r="D11" s="102"/>
      <c r="E11" s="102"/>
      <c r="F11" s="102"/>
      <c r="Q11" s="100" t="s">
        <v>77</v>
      </c>
      <c r="R11" s="103">
        <f>6.717+T22+T23+T13+T21</f>
        <v>6.2829999999999995</v>
      </c>
      <c r="S11" s="100"/>
      <c r="T11" s="104">
        <f>R11</f>
        <v>6.2829999999999995</v>
      </c>
      <c r="U11" s="105"/>
    </row>
    <row r="12" spans="1:24" ht="15.75" thickBot="1">
      <c r="B12" s="106">
        <v>50</v>
      </c>
      <c r="D12" s="107">
        <f>ROUND((($B12*R$11/100+R$10))+((B12*$T$16)/100),2)+T18</f>
        <v>11.22</v>
      </c>
      <c r="F12" s="107">
        <f>ROUND((($B12*T$11/100+T$10))+((B12*$T$17)/100),2)+$T$18</f>
        <v>11.27</v>
      </c>
      <c r="H12" s="107">
        <v>0.25</v>
      </c>
      <c r="J12" s="108">
        <f>F12-D12-H12</f>
        <v>-0.20000000000000107</v>
      </c>
      <c r="L12" s="108">
        <f>F12-D12</f>
        <v>4.9999999999998934E-2</v>
      </c>
      <c r="N12" s="109">
        <f>(F12-D12)/D12</f>
        <v>4.4563279857396552E-3</v>
      </c>
      <c r="Q12" s="110" t="s">
        <v>67</v>
      </c>
      <c r="R12" s="111">
        <f>10.613+T22+T23+T13+T21</f>
        <v>10.178999999999998</v>
      </c>
      <c r="S12" s="110"/>
      <c r="T12" s="111">
        <f>R12</f>
        <v>10.178999999999998</v>
      </c>
    </row>
    <row r="13" spans="1:24">
      <c r="B13" s="106">
        <v>100</v>
      </c>
      <c r="D13" s="107">
        <f>ROUND((($B13*R$11/100+R$10))+((B13*$T$16)/100),2)+T18</f>
        <v>13.96</v>
      </c>
      <c r="F13" s="107">
        <f t="shared" ref="F13:F19" si="0">ROUND((($B13*T$11/100+T$10))+((B13*$T$17)/100),2)+$T$18</f>
        <v>14.05</v>
      </c>
      <c r="H13" s="107">
        <v>0.25</v>
      </c>
      <c r="J13" s="108">
        <f t="shared" ref="J13:J35" si="1">F13-D13-H13</f>
        <v>-0.16000000000000014</v>
      </c>
      <c r="L13" s="108">
        <f>F13-D13</f>
        <v>8.9999999999999858E-2</v>
      </c>
      <c r="N13" s="109">
        <f>(F13-D13)/D13</f>
        <v>6.446991404011451E-3</v>
      </c>
      <c r="Q13" s="112"/>
      <c r="R13" s="112" t="s">
        <v>78</v>
      </c>
      <c r="S13" s="112"/>
      <c r="T13" s="113">
        <v>0.29299999999999998</v>
      </c>
      <c r="X13" s="108"/>
    </row>
    <row r="14" spans="1:24">
      <c r="B14" s="106">
        <v>150</v>
      </c>
      <c r="D14" s="107">
        <f>ROUND((($B14*R$11/100+R$10))+((B14*$T$16)/100),2)+T18</f>
        <v>16.689999999999998</v>
      </c>
      <c r="F14" s="107">
        <f t="shared" si="0"/>
        <v>16.819999999999997</v>
      </c>
      <c r="H14" s="107">
        <v>0.25</v>
      </c>
      <c r="J14" s="108">
        <f t="shared" si="1"/>
        <v>-0.12000000000000099</v>
      </c>
      <c r="L14" s="108">
        <f>F14-D14</f>
        <v>0.12999999999999901</v>
      </c>
      <c r="N14" s="109">
        <f>(F14-D14)/D14</f>
        <v>7.7890952666266637E-3</v>
      </c>
      <c r="Q14" s="112"/>
      <c r="R14" s="112"/>
      <c r="S14" s="112"/>
      <c r="T14" s="113">
        <v>0.29299999999999998</v>
      </c>
      <c r="U14" s="114"/>
      <c r="X14" s="108"/>
    </row>
    <row r="15" spans="1:24">
      <c r="D15" s="115"/>
      <c r="F15" s="107"/>
      <c r="Q15" s="112"/>
      <c r="R15" s="112"/>
      <c r="S15" s="112"/>
      <c r="T15" s="116"/>
      <c r="X15" s="108"/>
    </row>
    <row r="16" spans="1:24">
      <c r="B16" s="106">
        <v>200</v>
      </c>
      <c r="D16" s="107">
        <f>ROUND((($B16*R$11/100+R$10))+((B16*$T$16)/100),2)+T18</f>
        <v>19.43</v>
      </c>
      <c r="F16" s="107">
        <f t="shared" si="0"/>
        <v>19.599999999999998</v>
      </c>
      <c r="H16" s="107">
        <v>0.25</v>
      </c>
      <c r="J16" s="108">
        <f t="shared" si="1"/>
        <v>-8.0000000000001847E-2</v>
      </c>
      <c r="L16" s="108">
        <f>F16-D16</f>
        <v>0.16999999999999815</v>
      </c>
      <c r="N16" s="109">
        <f>(F16-D16)/D16</f>
        <v>8.7493566649510107E-3</v>
      </c>
      <c r="Q16" s="112"/>
      <c r="R16" s="112" t="s">
        <v>79</v>
      </c>
      <c r="S16" s="112"/>
      <c r="T16" s="113">
        <v>-0.81499999999999995</v>
      </c>
      <c r="V16" s="82" t="s">
        <v>0</v>
      </c>
      <c r="X16" s="108"/>
    </row>
    <row r="17" spans="2:24">
      <c r="B17" s="106">
        <v>300</v>
      </c>
      <c r="D17" s="107">
        <f>ROUND((($B17*R$11/100+R$10))+((B17*$T$16)/100),2)+T18</f>
        <v>24.889999999999997</v>
      </c>
      <c r="F17" s="107">
        <f t="shared" si="0"/>
        <v>25.16</v>
      </c>
      <c r="H17" s="107">
        <v>0.25</v>
      </c>
      <c r="J17" s="108">
        <f t="shared" si="1"/>
        <v>2.0000000000003126E-2</v>
      </c>
      <c r="L17" s="108">
        <f>F17-D17</f>
        <v>0.27000000000000313</v>
      </c>
      <c r="N17" s="109">
        <f>(F17-D17)/D17</f>
        <v>1.084773001205316E-2</v>
      </c>
      <c r="Q17" s="112"/>
      <c r="R17" s="82" t="s">
        <v>130</v>
      </c>
      <c r="S17" s="82" t="s">
        <v>0</v>
      </c>
      <c r="T17" s="185">
        <f>'Attachment B'!B16</f>
        <v>-0.72799999999999998</v>
      </c>
      <c r="X17" s="108"/>
    </row>
    <row r="18" spans="2:24">
      <c r="B18" s="106">
        <v>400</v>
      </c>
      <c r="D18" s="107">
        <f>ROUND((($B18*R$11/100+R$10))+((B18*$T$16)/100),2)+T18</f>
        <v>30.36</v>
      </c>
      <c r="F18" s="107">
        <f t="shared" si="0"/>
        <v>30.709999999999997</v>
      </c>
      <c r="H18" s="107">
        <v>0.25</v>
      </c>
      <c r="J18" s="108">
        <f t="shared" si="1"/>
        <v>9.9999999999997868E-2</v>
      </c>
      <c r="L18" s="108">
        <f>F18-D18</f>
        <v>0.34999999999999787</v>
      </c>
      <c r="N18" s="109">
        <f>(F18-D18)/D18</f>
        <v>1.1528326745717981E-2</v>
      </c>
      <c r="R18" s="82" t="s">
        <v>80</v>
      </c>
      <c r="T18" s="108">
        <v>0.74</v>
      </c>
      <c r="U18" s="82" t="s">
        <v>0</v>
      </c>
      <c r="X18" s="108"/>
    </row>
    <row r="19" spans="2:24">
      <c r="B19" s="106">
        <v>500</v>
      </c>
      <c r="D19" s="107">
        <f>ROUND((($B19*R$11/100+R$10))+((B19*$T$16)/100),2)+T18</f>
        <v>35.830000000000005</v>
      </c>
      <c r="F19" s="107">
        <f t="shared" si="0"/>
        <v>36.270000000000003</v>
      </c>
      <c r="H19" s="107">
        <v>0.25</v>
      </c>
      <c r="J19" s="108">
        <f t="shared" si="1"/>
        <v>0.18999999999999773</v>
      </c>
      <c r="L19" s="108">
        <f>F19-D19</f>
        <v>0.43999999999999773</v>
      </c>
      <c r="N19" s="109">
        <f>(F19-D19)/D19</f>
        <v>1.228021211275461E-2</v>
      </c>
      <c r="T19" s="108" t="s">
        <v>0</v>
      </c>
      <c r="X19" s="108"/>
    </row>
    <row r="20" spans="2:24">
      <c r="D20" s="115"/>
      <c r="F20" s="115"/>
      <c r="X20" s="108"/>
    </row>
    <row r="21" spans="2:24">
      <c r="B21" s="106">
        <v>600</v>
      </c>
      <c r="D21" s="107">
        <f>ROUND((($B21*R$11/100+R$10))+((B21*$T$16)/100),2)+T18</f>
        <v>41.300000000000004</v>
      </c>
      <c r="F21" s="107">
        <f>ROUND((($B21*T$11/100+T$10))+((B21*$T$17)/100),2)+$T$18</f>
        <v>41.82</v>
      </c>
      <c r="H21" s="107">
        <v>0.25</v>
      </c>
      <c r="J21" s="108">
        <f t="shared" si="1"/>
        <v>0.26999999999999602</v>
      </c>
      <c r="L21" s="108">
        <f>F21-D21</f>
        <v>0.51999999999999602</v>
      </c>
      <c r="N21" s="109">
        <f>(F21-D21)/D21</f>
        <v>1.2590799031476901E-2</v>
      </c>
      <c r="R21" s="82" t="s">
        <v>171</v>
      </c>
      <c r="T21" s="185">
        <v>4.0000000000000001E-3</v>
      </c>
      <c r="X21" s="108"/>
    </row>
    <row r="22" spans="2:24">
      <c r="B22" s="106">
        <v>700</v>
      </c>
      <c r="D22" s="107">
        <f>ROUND((((600*R$11/100)+(($B22-600)*R$12/100)+R$10))+((B22*$T$16)/100),2)+T18</f>
        <v>50.660000000000004</v>
      </c>
      <c r="F22" s="107">
        <f>ROUND((((600*T$11/100)+(($B22-600)*T$12/100)+T$10))+((B22*$T$17)/100),2)+$T$18</f>
        <v>51.27</v>
      </c>
      <c r="H22" s="107">
        <v>0.25</v>
      </c>
      <c r="J22" s="108">
        <f t="shared" si="1"/>
        <v>0.35999999999999943</v>
      </c>
      <c r="L22" s="108">
        <f>F22-D22</f>
        <v>0.60999999999999943</v>
      </c>
      <c r="N22" s="109">
        <f>(F22-D22)/D22</f>
        <v>1.2041058033951824E-2</v>
      </c>
      <c r="R22" s="82" t="s">
        <v>324</v>
      </c>
      <c r="T22" s="185">
        <v>-0.49</v>
      </c>
      <c r="X22" s="108"/>
    </row>
    <row r="23" spans="2:24">
      <c r="B23" s="106">
        <v>800</v>
      </c>
      <c r="D23" s="107">
        <f>ROUND((((600*R$11/100)+(($B23-600)*R$12/100)+R$10))+((B23*$T$16)/100),2)+T18</f>
        <v>60.03</v>
      </c>
      <c r="F23" s="107">
        <f t="shared" ref="F23:F35" si="2">ROUND((((600*T$11/100)+(($B23-600)*T$12/100)+T$10))+((B23*$T$17)/100),2)+$T$18</f>
        <v>60.72</v>
      </c>
      <c r="H23" s="107">
        <v>0.25</v>
      </c>
      <c r="J23" s="108">
        <f t="shared" si="1"/>
        <v>0.43999999999999773</v>
      </c>
      <c r="L23" s="108">
        <f>F23-D23</f>
        <v>0.68999999999999773</v>
      </c>
      <c r="N23" s="109">
        <f>(F23-D23)/D23</f>
        <v>1.149425287356318E-2</v>
      </c>
      <c r="R23" s="82" t="s">
        <v>325</v>
      </c>
      <c r="T23" s="82">
        <v>-0.24099999999999999</v>
      </c>
      <c r="X23" s="108"/>
    </row>
    <row r="24" spans="2:24">
      <c r="B24" s="106">
        <v>900</v>
      </c>
      <c r="D24" s="107">
        <f>ROUND((((600*R$11/100)+(($B24-600)*R$12/100)+R$10))+((B24*$T$16)/100),2)+T18</f>
        <v>69.39</v>
      </c>
      <c r="F24" s="107">
        <f t="shared" si="2"/>
        <v>70.17</v>
      </c>
      <c r="H24" s="107">
        <v>0.25</v>
      </c>
      <c r="J24" s="108">
        <f t="shared" si="1"/>
        <v>0.53000000000000114</v>
      </c>
      <c r="L24" s="108">
        <f>F24-D24</f>
        <v>0.78000000000000114</v>
      </c>
      <c r="N24" s="109">
        <f>(F24-D24)/D24</f>
        <v>1.1240812797233046E-2</v>
      </c>
      <c r="Q24" s="117"/>
      <c r="R24" s="422"/>
      <c r="X24" s="108"/>
    </row>
    <row r="25" spans="2:24">
      <c r="B25" s="106">
        <v>1000</v>
      </c>
      <c r="D25" s="107">
        <f>ROUND((((600*R$11/100)+(($B25-600)*R$12/100)+R$10))+((B25*$T$16)/100),2)+T18</f>
        <v>78.75</v>
      </c>
      <c r="F25" s="107">
        <f t="shared" si="2"/>
        <v>79.61999999999999</v>
      </c>
      <c r="H25" s="107">
        <v>0.25</v>
      </c>
      <c r="J25" s="108">
        <f t="shared" si="1"/>
        <v>0.61999999999999034</v>
      </c>
      <c r="L25" s="108">
        <f>F25-D25</f>
        <v>0.86999999999999034</v>
      </c>
      <c r="N25" s="109">
        <f>(F25-D25)/D25</f>
        <v>1.1047619047618924E-2</v>
      </c>
      <c r="X25" s="108"/>
    </row>
    <row r="26" spans="2:24">
      <c r="D26" s="115"/>
      <c r="F26" s="107"/>
      <c r="N26" s="118"/>
      <c r="X26" s="108"/>
    </row>
    <row r="27" spans="2:24">
      <c r="B27" s="106">
        <v>1100</v>
      </c>
      <c r="D27" s="107">
        <f>ROUND((((600*R$11/100)+(($B27-600)*R$12/100)+R$10))+((B27*$T$16)/100),2)+T18</f>
        <v>88.11999999999999</v>
      </c>
      <c r="F27" s="107">
        <f t="shared" si="2"/>
        <v>89.08</v>
      </c>
      <c r="H27" s="107">
        <v>0.25</v>
      </c>
      <c r="J27" s="108">
        <f t="shared" si="1"/>
        <v>0.71000000000000796</v>
      </c>
      <c r="L27" s="108">
        <f>F27-D27</f>
        <v>0.96000000000000796</v>
      </c>
      <c r="N27" s="109">
        <f>(F27-D27)/D27</f>
        <v>1.0894235133908399E-2</v>
      </c>
      <c r="X27" s="108"/>
    </row>
    <row r="28" spans="2:24">
      <c r="B28" s="106">
        <v>1200</v>
      </c>
      <c r="C28" s="82" t="s">
        <v>82</v>
      </c>
      <c r="D28" s="107">
        <f>ROUND((((600*R$11/100)+(($B28-600)*R$12/100)+R$10))+((B28*$T$16)/100),2)+T18</f>
        <v>97.47999999999999</v>
      </c>
      <c r="F28" s="107">
        <f>ROUND((((600*T$11/100)+(($B28-600)*T$12/100)+T$10))+((B28*$T$17)/100),2)+$T$18</f>
        <v>98.53</v>
      </c>
      <c r="H28" s="107">
        <v>0.25</v>
      </c>
      <c r="J28" s="108">
        <f t="shared" si="1"/>
        <v>0.80000000000001137</v>
      </c>
      <c r="L28" s="108">
        <f>F28-D28</f>
        <v>1.0500000000000114</v>
      </c>
      <c r="N28" s="109">
        <f>(F28-D28)/D28</f>
        <v>1.0771440295445337E-2</v>
      </c>
      <c r="X28" s="108"/>
    </row>
    <row r="29" spans="2:24">
      <c r="B29" s="106">
        <v>1300</v>
      </c>
      <c r="D29" s="107">
        <f>ROUND((((600*R$11/100)+(($B29-600)*R$12/100)+R$10))+((B29*$T$16)/100),2)+T18</f>
        <v>106.85</v>
      </c>
      <c r="F29" s="107">
        <f t="shared" si="2"/>
        <v>107.97999999999999</v>
      </c>
      <c r="H29" s="107">
        <v>0.25</v>
      </c>
      <c r="J29" s="108">
        <f t="shared" si="1"/>
        <v>0.87999999999999545</v>
      </c>
      <c r="L29" s="108">
        <f>F29-D29</f>
        <v>1.1299999999999955</v>
      </c>
      <c r="N29" s="109">
        <f>(F29-D29)/D29</f>
        <v>1.0575573233504871E-2</v>
      </c>
      <c r="X29" s="108"/>
    </row>
    <row r="30" spans="2:24">
      <c r="B30" s="106">
        <v>1400</v>
      </c>
      <c r="D30" s="107">
        <f>ROUND((((600*R$11/100)+(($B30-600)*R$12/100)+R$10))+((B30*$T$16)/100),2)+T18</f>
        <v>116.21</v>
      </c>
      <c r="F30" s="107">
        <f t="shared" si="2"/>
        <v>117.42999999999999</v>
      </c>
      <c r="H30" s="107">
        <v>0.25</v>
      </c>
      <c r="J30" s="108">
        <f t="shared" si="1"/>
        <v>0.96999999999999886</v>
      </c>
      <c r="L30" s="108">
        <f>F30-D30</f>
        <v>1.2199999999999989</v>
      </c>
      <c r="N30" s="109">
        <f>(F30-D30)/D30</f>
        <v>1.0498235952155571E-2</v>
      </c>
      <c r="X30" s="108"/>
    </row>
    <row r="31" spans="2:24">
      <c r="B31" s="106">
        <v>1500</v>
      </c>
      <c r="D31" s="107">
        <f>ROUND((((600*R$11/100)+(($B31-600)*R$12/100)+R$10))+((B31*$T$16)/100),2)+T18</f>
        <v>125.57</v>
      </c>
      <c r="F31" s="107">
        <f t="shared" si="2"/>
        <v>126.88</v>
      </c>
      <c r="H31" s="107">
        <v>0.25</v>
      </c>
      <c r="J31" s="108">
        <f t="shared" si="1"/>
        <v>1.0600000000000023</v>
      </c>
      <c r="L31" s="108">
        <f>F31-D31</f>
        <v>1.3100000000000023</v>
      </c>
      <c r="N31" s="109">
        <f>(F31-D31)/D31</f>
        <v>1.0432428127737536E-2</v>
      </c>
      <c r="X31" s="108"/>
    </row>
    <row r="32" spans="2:24">
      <c r="D32" s="115"/>
      <c r="F32" s="107"/>
      <c r="X32" s="108"/>
    </row>
    <row r="33" spans="2:24">
      <c r="B33" s="106">
        <v>1600</v>
      </c>
      <c r="D33" s="107">
        <f>ROUND((((600*R$11/100)+(($B33-600)*R$12/100)+R$10))+((B33*$T$16)/100),2)+T18</f>
        <v>134.94</v>
      </c>
      <c r="F33" s="107">
        <f t="shared" si="2"/>
        <v>136.33000000000001</v>
      </c>
      <c r="H33" s="107">
        <v>0.25</v>
      </c>
      <c r="J33" s="108">
        <f t="shared" si="1"/>
        <v>1.1400000000000148</v>
      </c>
      <c r="L33" s="108">
        <f>F33-D33</f>
        <v>1.3900000000000148</v>
      </c>
      <c r="N33" s="109">
        <f>(F33-D33)/D33</f>
        <v>1.0300874462724284E-2</v>
      </c>
      <c r="X33" s="108"/>
    </row>
    <row r="34" spans="2:24">
      <c r="B34" s="106">
        <v>2000</v>
      </c>
      <c r="D34" s="107">
        <f>ROUND((((600*R$11/100)+(($B34-600)*R$12/100)+R$10))+((B34*$T$16)/100),2)+T18</f>
        <v>172.39000000000001</v>
      </c>
      <c r="F34" s="107">
        <f t="shared" si="2"/>
        <v>174.13</v>
      </c>
      <c r="H34" s="107">
        <v>0.25</v>
      </c>
      <c r="J34" s="108">
        <f t="shared" si="1"/>
        <v>1.4899999999999807</v>
      </c>
      <c r="L34" s="108">
        <f>F34-D34</f>
        <v>1.7399999999999807</v>
      </c>
      <c r="N34" s="109">
        <f>(F34-D34)/D34</f>
        <v>1.0093392888218462E-2</v>
      </c>
      <c r="X34" s="108"/>
    </row>
    <row r="35" spans="2:24">
      <c r="B35" s="106">
        <v>3000</v>
      </c>
      <c r="D35" s="107">
        <f>ROUND((((600*R$11/100)+(($B35-600)*R$12/100)+R$10))+((B35*$T$16)/100),2)+T18</f>
        <v>266.03000000000003</v>
      </c>
      <c r="F35" s="107">
        <f t="shared" si="2"/>
        <v>268.64</v>
      </c>
      <c r="H35" s="107">
        <v>0.25</v>
      </c>
      <c r="J35" s="108">
        <f t="shared" si="1"/>
        <v>2.3599999999999568</v>
      </c>
      <c r="L35" s="108">
        <f>F35-D35</f>
        <v>2.6099999999999568</v>
      </c>
      <c r="N35" s="109">
        <f>(F35-D35)/D35</f>
        <v>9.8109235800472004E-3</v>
      </c>
      <c r="X35" s="108"/>
    </row>
    <row r="36" spans="2:24">
      <c r="B36" s="119"/>
      <c r="C36" s="120"/>
      <c r="D36" s="121"/>
      <c r="E36" s="120"/>
      <c r="F36" s="121"/>
      <c r="G36" s="120"/>
      <c r="H36" s="120"/>
      <c r="I36" s="120"/>
      <c r="J36" s="120"/>
      <c r="K36" s="120"/>
      <c r="L36" s="120"/>
      <c r="M36" s="120"/>
      <c r="N36" s="122"/>
      <c r="O36" s="120"/>
      <c r="X36" s="108"/>
    </row>
    <row r="37" spans="2:24">
      <c r="B37" s="123"/>
      <c r="O37" s="114"/>
    </row>
    <row r="38" spans="2:24">
      <c r="B38" s="82" t="s">
        <v>83</v>
      </c>
    </row>
    <row r="39" spans="2:24">
      <c r="B39" s="82" t="s">
        <v>84</v>
      </c>
    </row>
    <row r="40" spans="2:24" ht="16.5">
      <c r="B40" s="124" t="s">
        <v>85</v>
      </c>
    </row>
    <row r="49" spans="20:20">
      <c r="T49" s="125"/>
    </row>
  </sheetData>
  <mergeCells count="4">
    <mergeCell ref="B3:N3"/>
    <mergeCell ref="B4:N4"/>
    <mergeCell ref="B5:N5"/>
    <mergeCell ref="L9:N9"/>
  </mergeCells>
  <printOptions horizontalCentered="1"/>
  <pageMargins left="0.75" right="0.75" top="1" bottom="1" header="0.5" footer="0.5"/>
  <pageSetup scale="6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B1:AU60"/>
  <sheetViews>
    <sheetView view="pageBreakPreview" topLeftCell="B1" zoomScale="70" zoomScaleNormal="55" zoomScaleSheetLayoutView="70" workbookViewId="0">
      <selection activeCell="B1" sqref="B1"/>
    </sheetView>
  </sheetViews>
  <sheetFormatPr defaultColWidth="10.25" defaultRowHeight="15.75"/>
  <cols>
    <col min="1" max="1" width="0" style="1" hidden="1" customWidth="1"/>
    <col min="2" max="2" width="4.625" style="1" customWidth="1"/>
    <col min="3" max="3" width="2.125" style="1" customWidth="1"/>
    <col min="4" max="4" width="35.875" style="2" customWidth="1"/>
    <col min="5" max="5" width="2.125" style="2" customWidth="1"/>
    <col min="6" max="6" width="5.625" style="2" bestFit="1" customWidth="1"/>
    <col min="7" max="7" width="2.125" style="2" customWidth="1"/>
    <col min="8" max="8" width="9.25" style="1" hidden="1" customWidth="1"/>
    <col min="9" max="9" width="9.25" style="1" customWidth="1"/>
    <col min="10" max="10" width="2" style="1" customWidth="1"/>
    <col min="11" max="11" width="11" style="1" hidden="1" customWidth="1"/>
    <col min="12" max="12" width="11" style="1" bestFit="1" customWidth="1"/>
    <col min="13" max="13" width="2.875" style="1" customWidth="1"/>
    <col min="14" max="14" width="10.25" style="1" hidden="1" customWidth="1"/>
    <col min="15" max="15" width="12.125" style="1" customWidth="1"/>
    <col min="16" max="16" width="2.75" style="1" customWidth="1"/>
    <col min="17" max="17" width="13.375" style="1" customWidth="1"/>
    <col min="18" max="18" width="2.5" style="1" customWidth="1"/>
    <col min="19" max="19" width="12.5" style="1" customWidth="1"/>
    <col min="20" max="20" width="2.5" style="1" customWidth="1"/>
    <col min="21" max="21" width="14.5" style="1" customWidth="1"/>
    <col min="22" max="22" width="2.5" style="1" customWidth="1"/>
    <col min="23" max="23" width="14.5" style="1" customWidth="1"/>
    <col min="24" max="24" width="3.125" style="1" customWidth="1"/>
    <col min="25" max="25" width="12.625" style="1" hidden="1" customWidth="1"/>
    <col min="26" max="26" width="2.75" style="1" hidden="1" customWidth="1"/>
    <col min="27" max="27" width="14.625" style="1" customWidth="1"/>
    <col min="28" max="28" width="2" style="1" hidden="1" customWidth="1"/>
    <col min="29" max="29" width="20.25" style="1" hidden="1" customWidth="1"/>
    <col min="30" max="30" width="2.625" style="1" hidden="1" customWidth="1"/>
    <col min="31" max="31" width="10.5" style="1" hidden="1" customWidth="1"/>
    <col min="32" max="32" width="8.75" style="1" hidden="1" customWidth="1"/>
    <col min="33" max="33" width="14.125" style="1" hidden="1" customWidth="1"/>
    <col min="34" max="34" width="8.75" style="1" hidden="1" customWidth="1"/>
    <col min="35" max="35" width="8.875" style="1" hidden="1" customWidth="1"/>
    <col min="36" max="36" width="7.75" style="1" hidden="1" customWidth="1"/>
    <col min="37" max="37" width="2.625" style="1" hidden="1" customWidth="1"/>
    <col min="38" max="38" width="11.5" style="1" hidden="1" customWidth="1"/>
    <col min="39" max="39" width="3.875" style="1" hidden="1" customWidth="1"/>
    <col min="40" max="40" width="11.75" style="1" hidden="1" customWidth="1"/>
    <col min="41" max="41" width="2.125" style="1" customWidth="1"/>
    <col min="42" max="42" width="3.125" style="1" customWidth="1"/>
    <col min="43" max="43" width="7.25" style="1" customWidth="1"/>
    <col min="44" max="44" width="0.125" style="1" customWidth="1"/>
    <col min="45" max="45" width="10.25" style="1" customWidth="1"/>
    <col min="46" max="46" width="13.5" style="1" bestFit="1" customWidth="1"/>
    <col min="47" max="16384" width="10.25" style="1"/>
  </cols>
  <sheetData>
    <row r="1" spans="2:47" ht="18.75">
      <c r="C1" s="193"/>
      <c r="D1" s="194"/>
      <c r="AA1" s="3" t="s">
        <v>0</v>
      </c>
    </row>
    <row r="2" spans="2:47">
      <c r="B2" s="430" t="s">
        <v>1</v>
      </c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  <c r="R2" s="430"/>
      <c r="S2" s="430"/>
      <c r="T2" s="430"/>
      <c r="U2" s="430"/>
      <c r="V2" s="430"/>
      <c r="W2" s="430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</row>
    <row r="3" spans="2:47">
      <c r="B3" s="431" t="s">
        <v>2</v>
      </c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1"/>
      <c r="O3" s="431"/>
      <c r="P3" s="431"/>
      <c r="Q3" s="431"/>
      <c r="R3" s="431"/>
      <c r="S3" s="431"/>
      <c r="T3" s="431"/>
      <c r="U3" s="431"/>
      <c r="V3" s="431"/>
      <c r="W3" s="431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</row>
    <row r="4" spans="2:47">
      <c r="B4" s="431" t="s">
        <v>165</v>
      </c>
      <c r="C4" s="431"/>
      <c r="D4" s="431"/>
      <c r="E4" s="431"/>
      <c r="F4" s="431"/>
      <c r="G4" s="431"/>
      <c r="H4" s="431"/>
      <c r="I4" s="431"/>
      <c r="J4" s="431"/>
      <c r="K4" s="431"/>
      <c r="L4" s="431"/>
      <c r="M4" s="431"/>
      <c r="N4" s="431"/>
      <c r="O4" s="431"/>
      <c r="P4" s="431"/>
      <c r="Q4" s="431"/>
      <c r="R4" s="431"/>
      <c r="S4" s="431"/>
      <c r="T4" s="431"/>
      <c r="U4" s="431"/>
      <c r="V4" s="431"/>
      <c r="W4" s="431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</row>
    <row r="5" spans="2:47">
      <c r="B5" s="431" t="s">
        <v>3</v>
      </c>
      <c r="C5" s="431"/>
      <c r="D5" s="431"/>
      <c r="E5" s="431"/>
      <c r="F5" s="431"/>
      <c r="G5" s="431"/>
      <c r="H5" s="431"/>
      <c r="I5" s="431"/>
      <c r="J5" s="431"/>
      <c r="K5" s="431"/>
      <c r="L5" s="431"/>
      <c r="M5" s="431"/>
      <c r="N5" s="431"/>
      <c r="O5" s="431"/>
      <c r="P5" s="431"/>
      <c r="Q5" s="431"/>
      <c r="R5" s="431"/>
      <c r="S5" s="431"/>
      <c r="T5" s="431"/>
      <c r="U5" s="431"/>
      <c r="V5" s="431"/>
      <c r="W5" s="431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</row>
    <row r="6" spans="2:47">
      <c r="B6" s="431" t="s">
        <v>4</v>
      </c>
      <c r="C6" s="431"/>
      <c r="D6" s="431"/>
      <c r="E6" s="431"/>
      <c r="F6" s="431"/>
      <c r="G6" s="431"/>
      <c r="H6" s="431"/>
      <c r="I6" s="431"/>
      <c r="J6" s="431"/>
      <c r="K6" s="431"/>
      <c r="L6" s="431"/>
      <c r="M6" s="431"/>
      <c r="N6" s="431"/>
      <c r="O6" s="431"/>
      <c r="P6" s="431"/>
      <c r="Q6" s="431"/>
      <c r="R6" s="431"/>
      <c r="S6" s="431"/>
      <c r="T6" s="431"/>
      <c r="U6" s="431"/>
      <c r="V6" s="431"/>
      <c r="W6" s="431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</row>
    <row r="7" spans="2:47">
      <c r="B7" s="430" t="s">
        <v>323</v>
      </c>
      <c r="C7" s="430"/>
      <c r="D7" s="430"/>
      <c r="E7" s="430"/>
      <c r="F7" s="430"/>
      <c r="G7" s="430"/>
      <c r="H7" s="430"/>
      <c r="I7" s="430"/>
      <c r="J7" s="430"/>
      <c r="K7" s="430"/>
      <c r="L7" s="430"/>
      <c r="M7" s="430"/>
      <c r="N7" s="430"/>
      <c r="O7" s="430"/>
      <c r="P7" s="430"/>
      <c r="Q7" s="430"/>
      <c r="R7" s="430"/>
      <c r="S7" s="430"/>
      <c r="T7" s="430"/>
      <c r="U7" s="430"/>
      <c r="V7" s="430"/>
      <c r="W7" s="430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</row>
    <row r="8" spans="2:47">
      <c r="M8" s="6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8"/>
      <c r="AA8" s="8"/>
      <c r="AB8" s="7"/>
      <c r="AC8" s="7"/>
      <c r="AD8" s="7"/>
      <c r="AE8" s="8"/>
      <c r="AF8" s="8"/>
      <c r="AG8" s="8"/>
      <c r="AH8" s="8"/>
      <c r="AI8" s="8"/>
      <c r="AJ8" s="8"/>
      <c r="AK8" s="8"/>
      <c r="AL8" s="192" t="s">
        <v>166</v>
      </c>
      <c r="AM8" s="8"/>
      <c r="AN8" s="8"/>
      <c r="AO8" s="8"/>
      <c r="AP8" s="8"/>
      <c r="AQ8" s="8"/>
      <c r="AR8" s="8"/>
      <c r="AS8" s="6"/>
      <c r="AT8" s="6"/>
      <c r="AU8" s="6"/>
    </row>
    <row r="9" spans="2:47">
      <c r="N9" s="9" t="s">
        <v>5</v>
      </c>
      <c r="O9" s="154"/>
      <c r="P9" s="9"/>
      <c r="Q9" s="155" t="s">
        <v>112</v>
      </c>
      <c r="R9" s="9"/>
      <c r="S9" s="155" t="s">
        <v>7</v>
      </c>
      <c r="T9" s="9"/>
      <c r="U9" s="426" t="s">
        <v>8</v>
      </c>
      <c r="V9" s="426"/>
      <c r="W9" s="426"/>
      <c r="X9" s="9"/>
      <c r="Y9" s="9" t="s">
        <v>6</v>
      </c>
      <c r="Z9" s="10"/>
      <c r="AA9" s="224" t="s">
        <v>0</v>
      </c>
      <c r="AB9" s="186"/>
      <c r="AC9" s="186"/>
      <c r="AD9" s="11"/>
      <c r="AK9" s="10"/>
      <c r="AL9" s="225" t="s">
        <v>9</v>
      </c>
      <c r="AM9" s="10"/>
      <c r="AN9" s="192" t="s">
        <v>7</v>
      </c>
      <c r="AO9" s="10"/>
      <c r="AP9" s="10"/>
      <c r="AQ9" s="10"/>
      <c r="AR9" s="10"/>
    </row>
    <row r="10" spans="2:47">
      <c r="F10" s="12" t="s">
        <v>10</v>
      </c>
      <c r="G10" s="12"/>
      <c r="H10" s="9" t="s">
        <v>11</v>
      </c>
      <c r="N10" s="192" t="s">
        <v>12</v>
      </c>
      <c r="O10" s="44"/>
      <c r="P10" s="192"/>
      <c r="Q10" s="155" t="s">
        <v>113</v>
      </c>
      <c r="R10" s="192"/>
      <c r="S10" s="155" t="s">
        <v>113</v>
      </c>
      <c r="T10" s="192"/>
      <c r="U10" s="155" t="s">
        <v>113</v>
      </c>
      <c r="V10" s="192"/>
      <c r="W10" s="157" t="s">
        <v>114</v>
      </c>
      <c r="X10" s="192"/>
      <c r="Y10" s="192" t="s">
        <v>12</v>
      </c>
      <c r="Z10" s="13"/>
      <c r="AA10" s="192" t="s">
        <v>12</v>
      </c>
      <c r="AB10" s="192"/>
      <c r="AC10" s="192" t="s">
        <v>13</v>
      </c>
      <c r="AD10" s="192"/>
      <c r="AE10" s="11" t="s">
        <v>0</v>
      </c>
      <c r="AF10" s="11"/>
      <c r="AG10" s="427" t="s">
        <v>8</v>
      </c>
      <c r="AH10" s="427"/>
      <c r="AI10" s="427"/>
      <c r="AJ10" s="427"/>
      <c r="AK10" s="11"/>
      <c r="AL10" s="11"/>
      <c r="AM10" s="11"/>
      <c r="AN10" s="192" t="s">
        <v>8</v>
      </c>
      <c r="AO10" s="11"/>
      <c r="AP10" s="14"/>
      <c r="AQ10" s="11"/>
      <c r="AR10" s="14"/>
    </row>
    <row r="11" spans="2:47">
      <c r="B11" s="14" t="s">
        <v>14</v>
      </c>
      <c r="F11" s="12" t="s">
        <v>15</v>
      </c>
      <c r="G11" s="12"/>
      <c r="H11" s="9" t="s">
        <v>16</v>
      </c>
      <c r="I11" s="9" t="s">
        <v>11</v>
      </c>
      <c r="K11" s="9" t="s">
        <v>17</v>
      </c>
      <c r="N11" s="9" t="s">
        <v>18</v>
      </c>
      <c r="O11" s="155" t="s">
        <v>115</v>
      </c>
      <c r="P11" s="9"/>
      <c r="Q11" s="157" t="s">
        <v>18</v>
      </c>
      <c r="R11" s="9"/>
      <c r="S11" s="157" t="s">
        <v>18</v>
      </c>
      <c r="T11" s="9"/>
      <c r="U11" s="157" t="s">
        <v>18</v>
      </c>
      <c r="V11" s="9"/>
      <c r="W11" s="155" t="s">
        <v>12</v>
      </c>
      <c r="X11" s="9"/>
      <c r="Y11" s="9" t="s">
        <v>18</v>
      </c>
      <c r="Z11" s="14"/>
      <c r="AA11" s="187" t="s">
        <v>18</v>
      </c>
      <c r="AB11" s="9"/>
      <c r="AC11" s="9" t="s">
        <v>18</v>
      </c>
      <c r="AD11" s="9"/>
      <c r="AE11" s="15" t="s">
        <v>19</v>
      </c>
      <c r="AF11" s="9" t="s">
        <v>12</v>
      </c>
      <c r="AG11" s="15" t="s">
        <v>19</v>
      </c>
      <c r="AH11" s="9" t="s">
        <v>166</v>
      </c>
      <c r="AI11" s="15" t="s">
        <v>13</v>
      </c>
      <c r="AJ11" s="9" t="s">
        <v>13</v>
      </c>
      <c r="AK11" s="14"/>
      <c r="AL11" s="14"/>
      <c r="AM11" s="14"/>
      <c r="AN11" s="9" t="s">
        <v>20</v>
      </c>
      <c r="AO11" s="14"/>
      <c r="AP11" s="14"/>
      <c r="AQ11" s="192"/>
      <c r="AR11" s="16"/>
      <c r="AS11" s="6"/>
    </row>
    <row r="12" spans="2:47">
      <c r="B12" s="17" t="s">
        <v>21</v>
      </c>
      <c r="D12" s="18" t="s">
        <v>22</v>
      </c>
      <c r="F12" s="18" t="s">
        <v>21</v>
      </c>
      <c r="G12" s="19"/>
      <c r="H12" s="20" t="s">
        <v>5</v>
      </c>
      <c r="I12" s="225" t="s">
        <v>16</v>
      </c>
      <c r="K12" s="20" t="s">
        <v>5</v>
      </c>
      <c r="L12" s="225" t="s">
        <v>17</v>
      </c>
      <c r="N12" s="21" t="s">
        <v>23</v>
      </c>
      <c r="O12" s="158" t="s">
        <v>116</v>
      </c>
      <c r="P12" s="22"/>
      <c r="Q12" s="159" t="s">
        <v>23</v>
      </c>
      <c r="R12" s="22"/>
      <c r="S12" s="159" t="s">
        <v>23</v>
      </c>
      <c r="T12" s="22"/>
      <c r="U12" s="159" t="s">
        <v>23</v>
      </c>
      <c r="V12" s="22"/>
      <c r="W12" s="226" t="s">
        <v>18</v>
      </c>
      <c r="X12" s="22"/>
      <c r="Y12" s="21" t="s">
        <v>23</v>
      </c>
      <c r="Z12" s="192"/>
      <c r="AA12" s="188" t="s">
        <v>23</v>
      </c>
      <c r="AB12" s="22"/>
      <c r="AC12" s="21" t="s">
        <v>23</v>
      </c>
      <c r="AD12" s="22"/>
      <c r="AE12" s="23" t="s">
        <v>23</v>
      </c>
      <c r="AF12" s="225" t="s">
        <v>24</v>
      </c>
      <c r="AG12" s="23" t="s">
        <v>23</v>
      </c>
      <c r="AH12" s="225" t="s">
        <v>24</v>
      </c>
      <c r="AI12" s="23" t="s">
        <v>23</v>
      </c>
      <c r="AJ12" s="225" t="s">
        <v>24</v>
      </c>
      <c r="AK12" s="16"/>
      <c r="AL12" s="24" t="s">
        <v>25</v>
      </c>
      <c r="AM12" s="16"/>
      <c r="AN12" s="21" t="s">
        <v>25</v>
      </c>
      <c r="AO12" s="16"/>
      <c r="AP12" s="16"/>
      <c r="AQ12" s="192"/>
      <c r="AR12" s="16"/>
      <c r="AS12" s="6"/>
    </row>
    <row r="13" spans="2:47">
      <c r="B13" s="25"/>
      <c r="D13" s="15" t="s">
        <v>27</v>
      </c>
      <c r="F13" s="15" t="s">
        <v>28</v>
      </c>
      <c r="G13" s="12"/>
      <c r="H13" s="15"/>
      <c r="I13" s="15" t="s">
        <v>29</v>
      </c>
      <c r="K13" s="15"/>
      <c r="L13" s="15" t="s">
        <v>30</v>
      </c>
      <c r="N13" s="15"/>
      <c r="O13" s="191" t="s">
        <v>31</v>
      </c>
      <c r="P13" s="15"/>
      <c r="Q13" s="191" t="s">
        <v>32</v>
      </c>
      <c r="R13" s="15"/>
      <c r="S13" s="191" t="s">
        <v>33</v>
      </c>
      <c r="T13" s="15"/>
      <c r="U13" s="191" t="s">
        <v>34</v>
      </c>
      <c r="V13" s="15"/>
      <c r="W13" s="191" t="s">
        <v>35</v>
      </c>
      <c r="X13" s="15"/>
      <c r="Y13" s="15" t="s">
        <v>31</v>
      </c>
      <c r="Z13" s="15"/>
      <c r="AA13" s="15" t="s">
        <v>32</v>
      </c>
      <c r="AB13" s="15"/>
      <c r="AC13" s="15"/>
      <c r="AD13" s="15"/>
      <c r="AE13" s="15" t="s">
        <v>33</v>
      </c>
      <c r="AF13" s="15" t="s">
        <v>34</v>
      </c>
      <c r="AG13" s="15" t="s">
        <v>35</v>
      </c>
      <c r="AH13" s="15" t="s">
        <v>36</v>
      </c>
      <c r="AI13" s="15" t="s">
        <v>141</v>
      </c>
      <c r="AJ13" s="15" t="s">
        <v>142</v>
      </c>
      <c r="AK13" s="15"/>
      <c r="AL13" s="15"/>
      <c r="AM13" s="15"/>
      <c r="AN13" s="15" t="s">
        <v>35</v>
      </c>
      <c r="AO13" s="15"/>
      <c r="AP13" s="15"/>
      <c r="AQ13" s="13"/>
      <c r="AR13" s="13"/>
      <c r="AS13" s="6"/>
    </row>
    <row r="14" spans="2:47">
      <c r="U14" s="191" t="s">
        <v>164</v>
      </c>
      <c r="Z14" s="15"/>
      <c r="AA14" s="15" t="s">
        <v>0</v>
      </c>
      <c r="AF14" s="15" t="s">
        <v>37</v>
      </c>
      <c r="AH14" s="15" t="s">
        <v>0</v>
      </c>
      <c r="AI14" s="15" t="s">
        <v>167</v>
      </c>
      <c r="AJ14" s="15" t="s">
        <v>168</v>
      </c>
      <c r="AN14" s="15" t="s">
        <v>38</v>
      </c>
      <c r="AQ14" s="6"/>
      <c r="AR14" s="6"/>
      <c r="AS14" s="6"/>
    </row>
    <row r="15" spans="2:47">
      <c r="D15" s="26" t="s">
        <v>39</v>
      </c>
      <c r="O15" s="420" t="s">
        <v>0</v>
      </c>
      <c r="AQ15" s="6"/>
      <c r="AR15" s="6"/>
      <c r="AS15" s="6"/>
    </row>
    <row r="16" spans="2:47">
      <c r="B16" s="14">
        <v>1</v>
      </c>
      <c r="D16" s="2" t="s">
        <v>40</v>
      </c>
      <c r="F16" s="27" t="s">
        <v>143</v>
      </c>
      <c r="G16" s="27"/>
      <c r="H16" s="28">
        <v>101336.91666666667</v>
      </c>
      <c r="I16" s="28">
        <f>'Table Dec 18'!E20</f>
        <v>111172.58333333336</v>
      </c>
      <c r="J16" s="3"/>
      <c r="K16" s="28">
        <v>1569938.6044392167</v>
      </c>
      <c r="L16" s="28">
        <f>'Table Dec 18'!I20/1000</f>
        <v>1620927.4628761883</v>
      </c>
      <c r="N16" s="29">
        <v>102672.94442530281</v>
      </c>
      <c r="O16" s="169">
        <f>L16</f>
        <v>1620927.4628761883</v>
      </c>
      <c r="P16" s="167"/>
      <c r="Q16" s="170">
        <f>O16*-0.00815</f>
        <v>-13210.558822440933</v>
      </c>
      <c r="R16" s="167"/>
      <c r="S16" s="170">
        <f>O16*$U$53</f>
        <v>-11800.351929738652</v>
      </c>
      <c r="T16" s="167"/>
      <c r="U16" s="170">
        <f>S16-Q16</f>
        <v>1410.206892702281</v>
      </c>
      <c r="V16" s="167"/>
      <c r="W16" s="171">
        <f>U16/AA16</f>
        <v>9.3169874904833593E-3</v>
      </c>
      <c r="X16" s="29"/>
      <c r="Y16" s="29" t="e">
        <f>#REF!</f>
        <v>#REF!</v>
      </c>
      <c r="Z16" s="30"/>
      <c r="AA16" s="29">
        <f>('Table Dec 18'!O13+'Table Dec 18'!O14+'Table Dec 18'!O15+'Table Dec 18'!O16+'Table Dec 18'!O17)/1000</f>
        <v>151358.6761968616</v>
      </c>
      <c r="AB16" s="29"/>
      <c r="AC16" s="31">
        <f>AA16+AG16</f>
        <v>153806.27666580465</v>
      </c>
      <c r="AD16" s="29"/>
      <c r="AE16" s="29" t="e">
        <f>AA16-Y16</f>
        <v>#REF!</v>
      </c>
      <c r="AF16" s="32" t="e">
        <f>AE16/Y16</f>
        <v>#REF!</v>
      </c>
      <c r="AG16" s="29">
        <f>(AL16/100)*L16</f>
        <v>2447.6004689430447</v>
      </c>
      <c r="AH16" s="32" t="e">
        <f>AG16/Y16</f>
        <v>#REF!</v>
      </c>
      <c r="AI16" s="29" t="e">
        <f>AE16+AG16</f>
        <v>#REF!</v>
      </c>
      <c r="AJ16" s="32" t="e">
        <f>AI16/Y16</f>
        <v>#REF!</v>
      </c>
      <c r="AK16" s="30"/>
      <c r="AL16" s="33">
        <f>ROUND((((AA16/$AA$43)*$AG$52)/L16)*100,3)</f>
        <v>0.151</v>
      </c>
      <c r="AM16" s="30"/>
      <c r="AN16" s="34">
        <f>AA16/L16*100</f>
        <v>9.3377822057681339</v>
      </c>
      <c r="AO16" s="30"/>
      <c r="AP16" s="30"/>
      <c r="AQ16" s="35" t="s">
        <v>0</v>
      </c>
      <c r="AR16" s="36"/>
      <c r="AS16" s="37" t="s">
        <v>0</v>
      </c>
      <c r="AT16" s="3" t="s">
        <v>0</v>
      </c>
    </row>
    <row r="17" spans="2:47">
      <c r="H17" s="38"/>
      <c r="I17" s="38"/>
      <c r="K17" s="38"/>
      <c r="L17" s="38"/>
      <c r="N17" s="38"/>
      <c r="O17" s="200"/>
      <c r="P17" s="46"/>
      <c r="Q17" s="163"/>
      <c r="R17" s="46"/>
      <c r="S17" s="163"/>
      <c r="T17" s="46"/>
      <c r="U17" s="163"/>
      <c r="V17" s="46"/>
      <c r="W17" s="165"/>
      <c r="X17" s="46"/>
      <c r="Y17" s="38"/>
      <c r="Z17" s="6"/>
      <c r="AA17" s="38"/>
      <c r="AB17" s="6"/>
      <c r="AC17" s="39"/>
      <c r="AD17" s="6"/>
      <c r="AE17" s="38"/>
      <c r="AF17" s="189"/>
      <c r="AG17" s="38"/>
      <c r="AH17" s="40"/>
      <c r="AI17" s="38"/>
      <c r="AJ17" s="40"/>
      <c r="AK17" s="6"/>
      <c r="AL17" s="41"/>
      <c r="AM17" s="6"/>
      <c r="AN17" s="39"/>
      <c r="AO17" s="6"/>
      <c r="AP17" s="6"/>
      <c r="AQ17" s="195"/>
      <c r="AR17" s="6"/>
      <c r="AS17" s="6"/>
    </row>
    <row r="18" spans="2:47">
      <c r="Q18" s="160"/>
      <c r="S18" s="160"/>
      <c r="U18" s="160"/>
      <c r="W18" s="161"/>
      <c r="AF18" s="42"/>
      <c r="AH18" s="42"/>
      <c r="AJ18" s="42"/>
      <c r="AL18" s="43"/>
      <c r="AQ18" s="195"/>
      <c r="AR18" s="6"/>
      <c r="AS18" s="6"/>
    </row>
    <row r="19" spans="2:47">
      <c r="B19" s="44">
        <f>MAX(B$13:B18)+1</f>
        <v>2</v>
      </c>
      <c r="D19" s="26" t="s">
        <v>41</v>
      </c>
      <c r="H19" s="45">
        <f>SUM(H16:H16)</f>
        <v>101336.91666666667</v>
      </c>
      <c r="I19" s="45">
        <f>SUM(I16:I16)</f>
        <v>111172.58333333336</v>
      </c>
      <c r="K19" s="45">
        <f>SUM(K16:K16)</f>
        <v>1569938.6044392167</v>
      </c>
      <c r="L19" s="45">
        <f>SUM(L16:L16)</f>
        <v>1620927.4628761883</v>
      </c>
      <c r="M19" s="45"/>
      <c r="N19" s="46">
        <f>SUM(N16:N16)</f>
        <v>102672.94442530281</v>
      </c>
      <c r="O19" s="45">
        <f>SUM(O16:O18)</f>
        <v>1620927.4628761883</v>
      </c>
      <c r="P19" s="46"/>
      <c r="Q19" s="160">
        <f>SUM(Q16:Q18)</f>
        <v>-13210.558822440933</v>
      </c>
      <c r="R19" s="46"/>
      <c r="S19" s="160">
        <f>SUM(S16:S18)</f>
        <v>-11800.351929738652</v>
      </c>
      <c r="T19" s="46"/>
      <c r="U19" s="160">
        <f t="shared" ref="U19" si="0">S19-Q19</f>
        <v>1410.206892702281</v>
      </c>
      <c r="V19" s="46"/>
      <c r="W19" s="161">
        <f>U19/AA19</f>
        <v>9.3169874904833593E-3</v>
      </c>
      <c r="Y19" s="46" t="e">
        <f>SUM(Y16:Y16)</f>
        <v>#REF!</v>
      </c>
      <c r="Z19" s="30"/>
      <c r="AA19" s="46">
        <f>SUM(AA16:AA16)</f>
        <v>151358.6761968616</v>
      </c>
      <c r="AB19" s="46"/>
      <c r="AC19" s="46">
        <f>SUM(AC16:AC16)</f>
        <v>153806.27666580465</v>
      </c>
      <c r="AD19" s="46"/>
      <c r="AE19" s="29" t="e">
        <f>SUM(AE16)</f>
        <v>#REF!</v>
      </c>
      <c r="AF19" s="32" t="e">
        <f>AE19/Y19</f>
        <v>#REF!</v>
      </c>
      <c r="AG19" s="29">
        <f>SUM(AG16)</f>
        <v>2447.6004689430447</v>
      </c>
      <c r="AH19" s="32" t="e">
        <f>AG19/Y19</f>
        <v>#REF!</v>
      </c>
      <c r="AI19" s="29" t="e">
        <f>AE19+AG19</f>
        <v>#REF!</v>
      </c>
      <c r="AJ19" s="32" t="e">
        <f>AI19/Y19</f>
        <v>#REF!</v>
      </c>
      <c r="AK19" s="30"/>
      <c r="AL19" s="47"/>
      <c r="AM19" s="30"/>
      <c r="AN19" s="34">
        <f>AA19/L19*100</f>
        <v>9.3377822057681339</v>
      </c>
      <c r="AO19" s="30"/>
      <c r="AP19" s="30"/>
      <c r="AQ19" s="196"/>
      <c r="AR19" s="36"/>
      <c r="AS19" s="6"/>
    </row>
    <row r="20" spans="2:47">
      <c r="O20" s="28"/>
      <c r="P20" s="46"/>
      <c r="Q20" s="160"/>
      <c r="R20" s="46"/>
      <c r="S20" s="160"/>
      <c r="T20" s="46"/>
      <c r="U20" s="160"/>
      <c r="V20" s="46"/>
      <c r="W20" s="161"/>
      <c r="X20" s="46"/>
      <c r="AF20" s="42"/>
      <c r="AH20" s="42"/>
      <c r="AJ20" s="42"/>
      <c r="AL20" s="43"/>
      <c r="AQ20" s="195"/>
      <c r="AR20" s="6"/>
      <c r="AS20" s="6"/>
    </row>
    <row r="21" spans="2:47">
      <c r="D21" s="26" t="s">
        <v>42</v>
      </c>
      <c r="H21" s="48"/>
      <c r="I21" s="48"/>
      <c r="L21" s="48"/>
      <c r="O21" s="28"/>
      <c r="P21" s="29"/>
      <c r="Q21" s="160"/>
      <c r="R21" s="29"/>
      <c r="S21" s="160"/>
      <c r="T21" s="29"/>
      <c r="U21" s="160"/>
      <c r="V21" s="29"/>
      <c r="W21" s="161"/>
      <c r="X21" s="29"/>
      <c r="AF21" s="42"/>
      <c r="AH21" s="42"/>
      <c r="AJ21" s="42"/>
      <c r="AL21" s="43"/>
      <c r="AQ21" s="195"/>
      <c r="AR21" s="6"/>
      <c r="AS21" s="6"/>
    </row>
    <row r="22" spans="2:47">
      <c r="B22" s="44">
        <f>MAX(B$13:B21)+1</f>
        <v>3</v>
      </c>
      <c r="D22" s="2" t="s">
        <v>43</v>
      </c>
      <c r="F22" s="12">
        <v>24</v>
      </c>
      <c r="G22" s="12"/>
      <c r="H22" s="28">
        <v>17306.416666666664</v>
      </c>
      <c r="I22" s="28">
        <f>'Table Dec 18'!E42+'Table Dec 18'!E71</f>
        <v>16411.833333333332</v>
      </c>
      <c r="J22" s="3"/>
      <c r="K22" s="28">
        <v>1569938.6044392167</v>
      </c>
      <c r="L22" s="28">
        <f>('Table Dec 18'!I42+'Table Dec 18'!I71)/1000</f>
        <v>530092.92060906556</v>
      </c>
      <c r="N22" s="46">
        <v>33647.646251191611</v>
      </c>
      <c r="O22" s="28">
        <f>('305 Inputs'!H6+'305 Inputs'!H7+'305 Inputs'!H10+'305 Inputs'!H11+'305 Inputs'!H14+'305 Inputs'!H15+'305 Inputs'!H31+'305 Inputs'!H32)/1000</f>
        <v>49730.341999999997</v>
      </c>
      <c r="P22" s="46"/>
      <c r="Q22" s="160">
        <f>O22*-0.00815</f>
        <v>-405.30228729999993</v>
      </c>
      <c r="R22" s="46"/>
      <c r="S22" s="160">
        <f t="shared" ref="S22:S28" si="1">O22*$U$53</f>
        <v>-362.03688975999995</v>
      </c>
      <c r="T22" s="46"/>
      <c r="U22" s="160">
        <f t="shared" ref="U22:U28" si="2">S22-Q22</f>
        <v>43.265397539999981</v>
      </c>
      <c r="V22" s="46"/>
      <c r="W22" s="171">
        <f t="shared" ref="W22:W28" si="3">U22/AA22</f>
        <v>8.3478066698692134E-4</v>
      </c>
      <c r="X22" s="46"/>
      <c r="Y22" s="29" t="e">
        <f>#REF!</f>
        <v>#REF!</v>
      </c>
      <c r="Z22" s="30"/>
      <c r="AA22" s="29">
        <f>('Table Dec 18'!O18+'Table Dec 18'!O42+'Table Dec 18'!O71)/1000</f>
        <v>51828.461356398213</v>
      </c>
      <c r="AB22" s="29"/>
      <c r="AC22" s="31">
        <f t="shared" ref="AC22:AC28" si="4">AA22+AG22</f>
        <v>52666.008170960537</v>
      </c>
      <c r="AD22" s="29"/>
      <c r="AE22" s="29" t="e">
        <f>AA22-Y22</f>
        <v>#REF!</v>
      </c>
      <c r="AF22" s="32" t="e">
        <f>AE22/Y22</f>
        <v>#REF!</v>
      </c>
      <c r="AG22" s="29">
        <f t="shared" ref="AG22:AG28" si="5">(AL22/100)*L22</f>
        <v>837.54681456232356</v>
      </c>
      <c r="AH22" s="32" t="e">
        <f>AG22/Y22</f>
        <v>#REF!</v>
      </c>
      <c r="AI22" s="29" t="e">
        <f t="shared" ref="AI22:AI28" si="6">AE22+AG22</f>
        <v>#REF!</v>
      </c>
      <c r="AJ22" s="32" t="e">
        <f>AI22/Y22</f>
        <v>#REF!</v>
      </c>
      <c r="AK22" s="30"/>
      <c r="AL22" s="33">
        <f>ROUND((((AA22/$AA$43)*$AG$52)/L22)*100,3)</f>
        <v>0.158</v>
      </c>
      <c r="AM22" s="30"/>
      <c r="AN22" s="34">
        <f>AA22/L22*100</f>
        <v>9.7772408084319267</v>
      </c>
      <c r="AO22" s="30"/>
      <c r="AP22" s="30"/>
      <c r="AQ22" s="196"/>
      <c r="AR22" s="36"/>
      <c r="AS22" s="6"/>
      <c r="AT22" s="49"/>
      <c r="AU22" s="50"/>
    </row>
    <row r="23" spans="2:47">
      <c r="B23" s="44">
        <f>MAX(B$13:B22)+1</f>
        <v>4</v>
      </c>
      <c r="D23" s="2" t="s">
        <v>44</v>
      </c>
      <c r="E23" s="51"/>
      <c r="F23" s="12">
        <v>33</v>
      </c>
      <c r="G23" s="12"/>
      <c r="H23" s="28">
        <v>0</v>
      </c>
      <c r="I23" s="28">
        <v>0</v>
      </c>
      <c r="J23" s="3"/>
      <c r="K23" s="28">
        <v>1569938.6044392167</v>
      </c>
      <c r="L23" s="28">
        <v>0</v>
      </c>
      <c r="N23" s="29">
        <v>0</v>
      </c>
      <c r="O23" s="28">
        <v>0</v>
      </c>
      <c r="P23" s="29"/>
      <c r="Q23" s="160">
        <f t="shared" ref="Q23:Q28" si="7">O23*-0.00815</f>
        <v>0</v>
      </c>
      <c r="R23" s="29"/>
      <c r="S23" s="160">
        <f t="shared" si="1"/>
        <v>0</v>
      </c>
      <c r="T23" s="29"/>
      <c r="U23" s="160">
        <f t="shared" si="2"/>
        <v>0</v>
      </c>
      <c r="V23" s="29"/>
      <c r="W23" s="171">
        <v>0</v>
      </c>
      <c r="X23" s="46"/>
      <c r="Y23" s="29" t="e">
        <f>#REF!</f>
        <v>#REF!</v>
      </c>
      <c r="Z23" s="30"/>
      <c r="AA23" s="29">
        <v>0</v>
      </c>
      <c r="AB23" s="29"/>
      <c r="AC23" s="31">
        <f t="shared" si="4"/>
        <v>0</v>
      </c>
      <c r="AD23" s="29"/>
      <c r="AE23" s="29" t="e">
        <f t="shared" ref="AE23:AE28" si="8">AA23-Y23</f>
        <v>#REF!</v>
      </c>
      <c r="AF23" s="32" t="e">
        <f>AF24</f>
        <v>#REF!</v>
      </c>
      <c r="AG23" s="29">
        <f t="shared" si="5"/>
        <v>0</v>
      </c>
      <c r="AH23" s="32" t="e">
        <f>AH24</f>
        <v>#REF!</v>
      </c>
      <c r="AI23" s="29" t="e">
        <f t="shared" si="6"/>
        <v>#REF!</v>
      </c>
      <c r="AJ23" s="32" t="e">
        <f>AF23+AH23</f>
        <v>#REF!</v>
      </c>
      <c r="AK23" s="30"/>
      <c r="AL23" s="33">
        <f>AL24</f>
        <v>0.129</v>
      </c>
      <c r="AM23" s="30"/>
      <c r="AN23" s="34">
        <v>0</v>
      </c>
      <c r="AO23" s="30"/>
      <c r="AP23" s="30"/>
      <c r="AQ23" s="196"/>
      <c r="AR23" s="36"/>
      <c r="AS23" s="6"/>
      <c r="AT23" s="49"/>
      <c r="AU23" s="50"/>
    </row>
    <row r="24" spans="2:47">
      <c r="B24" s="44">
        <f>MAX(B$13:B23)+1</f>
        <v>5</v>
      </c>
      <c r="D24" s="2" t="s">
        <v>45</v>
      </c>
      <c r="F24" s="12">
        <v>36</v>
      </c>
      <c r="G24" s="12"/>
      <c r="H24" s="28">
        <v>1058.6666666666667</v>
      </c>
      <c r="I24" s="28">
        <f>'Table Dec 18'!E45+'Table Dec 18'!E74</f>
        <v>1073.4166666666667</v>
      </c>
      <c r="J24" s="3"/>
      <c r="K24" s="28">
        <v>1569938.6044392167</v>
      </c>
      <c r="L24" s="28">
        <f>('Table Dec 18'!I45+'Table Dec 18'!I74)/1000</f>
        <v>945364.25552616711</v>
      </c>
      <c r="N24" s="46">
        <v>49005.26783999426</v>
      </c>
      <c r="O24" s="28">
        <f>('305 Inputs'!H8+'305 Inputs'!H16+'305 Inputs'!H33)/1000</f>
        <v>60973.256000000001</v>
      </c>
      <c r="P24" s="46"/>
      <c r="Q24" s="160">
        <f t="shared" si="7"/>
        <v>-496.93203639999996</v>
      </c>
      <c r="R24" s="46"/>
      <c r="S24" s="160">
        <f t="shared" si="1"/>
        <v>-443.88530367999999</v>
      </c>
      <c r="T24" s="46"/>
      <c r="U24" s="160">
        <f t="shared" si="2"/>
        <v>53.046732719999966</v>
      </c>
      <c r="V24" s="46"/>
      <c r="W24" s="171">
        <f t="shared" si="3"/>
        <v>7.0200514048801793E-4</v>
      </c>
      <c r="X24" s="46"/>
      <c r="Y24" s="29" t="e">
        <f>#REF!</f>
        <v>#REF!</v>
      </c>
      <c r="Z24" s="30"/>
      <c r="AA24" s="29">
        <f>('Table Dec 18'!O19+'Table Dec 18'!O45+'Table Dec 18'!O74)/1000</f>
        <v>75564.592993041457</v>
      </c>
      <c r="AB24" s="29"/>
      <c r="AC24" s="31">
        <f t="shared" si="4"/>
        <v>76784.112882670219</v>
      </c>
      <c r="AD24" s="29"/>
      <c r="AE24" s="29" t="e">
        <f t="shared" si="8"/>
        <v>#REF!</v>
      </c>
      <c r="AF24" s="32" t="e">
        <f>AE24/Y24</f>
        <v>#REF!</v>
      </c>
      <c r="AG24" s="29">
        <f t="shared" si="5"/>
        <v>1219.5198896287557</v>
      </c>
      <c r="AH24" s="32" t="e">
        <f t="shared" ref="AH24:AH28" si="9">AG24/Y24</f>
        <v>#REF!</v>
      </c>
      <c r="AI24" s="29" t="e">
        <f t="shared" si="6"/>
        <v>#REF!</v>
      </c>
      <c r="AJ24" s="32" t="e">
        <f t="shared" ref="AJ24:AJ28" si="10">AI24/Y24</f>
        <v>#REF!</v>
      </c>
      <c r="AK24" s="30"/>
      <c r="AL24" s="33">
        <f>ROUND((((AA24/$AA$43)*$AG$52)/L24)*100,3)</f>
        <v>0.129</v>
      </c>
      <c r="AM24" s="30"/>
      <c r="AN24" s="34">
        <f>AA24/L24*100</f>
        <v>7.9931722139191752</v>
      </c>
      <c r="AO24" s="30"/>
      <c r="AP24" s="30"/>
      <c r="AQ24" s="196"/>
      <c r="AR24" s="36"/>
      <c r="AS24" s="6"/>
      <c r="AT24" s="49"/>
      <c r="AU24" s="50"/>
    </row>
    <row r="25" spans="2:47">
      <c r="B25" s="44">
        <f>MAX(B$13:B24)+1</f>
        <v>6</v>
      </c>
      <c r="D25" s="2" t="s">
        <v>46</v>
      </c>
      <c r="F25" s="12" t="s">
        <v>47</v>
      </c>
      <c r="G25" s="12"/>
      <c r="H25" s="28">
        <v>5259</v>
      </c>
      <c r="I25" s="28">
        <v>5170.583333333333</v>
      </c>
      <c r="J25" s="3"/>
      <c r="K25" s="28">
        <v>1569938.6044392167</v>
      </c>
      <c r="L25" s="28">
        <v>161998.40880059998</v>
      </c>
      <c r="N25" s="46">
        <v>10140.337</v>
      </c>
      <c r="O25" s="28">
        <f>('305 Inputs'!H20+'305 Inputs'!H21+'305 Inputs'!H22)/1000</f>
        <v>92424.06</v>
      </c>
      <c r="P25" s="46"/>
      <c r="Q25" s="160">
        <f t="shared" si="7"/>
        <v>-753.25608899999986</v>
      </c>
      <c r="R25" s="46"/>
      <c r="S25" s="160">
        <f t="shared" si="1"/>
        <v>-672.84715679999999</v>
      </c>
      <c r="T25" s="46"/>
      <c r="U25" s="160">
        <f t="shared" si="2"/>
        <v>80.408932199999867</v>
      </c>
      <c r="V25" s="46"/>
      <c r="W25" s="171">
        <f t="shared" si="3"/>
        <v>5.5691931642154295E-3</v>
      </c>
      <c r="X25" s="46"/>
      <c r="Y25" s="29" t="e">
        <f>#REF!</f>
        <v>#REF!</v>
      </c>
      <c r="Z25" s="30"/>
      <c r="AA25" s="29">
        <f>'Table Dec 18'!O101/1000</f>
        <v>14438.165427025124</v>
      </c>
      <c r="AB25" s="29"/>
      <c r="AC25" s="31">
        <f t="shared" si="4"/>
        <v>14671.443135697988</v>
      </c>
      <c r="AD25" s="29"/>
      <c r="AE25" s="29" t="e">
        <f t="shared" si="8"/>
        <v>#REF!</v>
      </c>
      <c r="AF25" s="32" t="e">
        <f>AE25/Y25</f>
        <v>#REF!</v>
      </c>
      <c r="AG25" s="29">
        <f t="shared" si="5"/>
        <v>233.27770867286395</v>
      </c>
      <c r="AH25" s="32" t="e">
        <f t="shared" si="9"/>
        <v>#REF!</v>
      </c>
      <c r="AI25" s="29" t="e">
        <f t="shared" si="6"/>
        <v>#REF!</v>
      </c>
      <c r="AJ25" s="32" t="e">
        <f t="shared" si="10"/>
        <v>#REF!</v>
      </c>
      <c r="AK25" s="30"/>
      <c r="AL25" s="33">
        <f>ROUND((((AA25/$AA$43)*$AG$52)/L25)*100,3)</f>
        <v>0.14399999999999999</v>
      </c>
      <c r="AM25" s="30"/>
      <c r="AN25" s="34">
        <f>AA25/L25*100</f>
        <v>8.9125353353295722</v>
      </c>
      <c r="AO25" s="30"/>
      <c r="AP25" s="30"/>
      <c r="AQ25" s="196"/>
      <c r="AR25" s="36"/>
      <c r="AS25" s="6"/>
    </row>
    <row r="26" spans="2:47">
      <c r="B26" s="44">
        <f>MAX(B$13:B25)+1</f>
        <v>7</v>
      </c>
      <c r="D26" s="2" t="s">
        <v>48</v>
      </c>
      <c r="F26" s="12">
        <v>47</v>
      </c>
      <c r="G26" s="12"/>
      <c r="H26" s="28">
        <v>1.0833333333333333</v>
      </c>
      <c r="I26" s="28">
        <f>'Table Dec 18'!E76</f>
        <v>1</v>
      </c>
      <c r="J26" s="3"/>
      <c r="K26" s="28">
        <v>1569938.6044392167</v>
      </c>
      <c r="L26" s="28">
        <f>'Table Dec 18'!I76/1000</f>
        <v>2532.625</v>
      </c>
      <c r="N26" s="46">
        <v>165.62561725051643</v>
      </c>
      <c r="O26" s="28">
        <v>0</v>
      </c>
      <c r="P26" s="46"/>
      <c r="Q26" s="160">
        <f t="shared" si="7"/>
        <v>0</v>
      </c>
      <c r="R26" s="46"/>
      <c r="S26" s="160">
        <f t="shared" si="1"/>
        <v>0</v>
      </c>
      <c r="T26" s="46"/>
      <c r="U26" s="160">
        <f t="shared" si="2"/>
        <v>0</v>
      </c>
      <c r="V26" s="46"/>
      <c r="W26" s="171">
        <f t="shared" si="3"/>
        <v>0</v>
      </c>
      <c r="X26" s="46"/>
      <c r="Y26" s="29" t="e">
        <f>#REF!</f>
        <v>#REF!</v>
      </c>
      <c r="Z26" s="30"/>
      <c r="AA26" s="29">
        <f>'Table Dec 18'!O76/1000</f>
        <v>395.09193624999995</v>
      </c>
      <c r="AB26" s="29"/>
      <c r="AC26" s="31">
        <f t="shared" si="4"/>
        <v>401.47415124999992</v>
      </c>
      <c r="AD26" s="29"/>
      <c r="AE26" s="29" t="e">
        <f t="shared" si="8"/>
        <v>#REF!</v>
      </c>
      <c r="AF26" s="32" t="e">
        <f>AE26/Y26</f>
        <v>#REF!</v>
      </c>
      <c r="AG26" s="29">
        <f t="shared" si="5"/>
        <v>6.3822150000000004</v>
      </c>
      <c r="AH26" s="32" t="e">
        <f t="shared" si="9"/>
        <v>#REF!</v>
      </c>
      <c r="AI26" s="29" t="e">
        <f t="shared" si="6"/>
        <v>#REF!</v>
      </c>
      <c r="AJ26" s="32" t="e">
        <f t="shared" si="10"/>
        <v>#REF!</v>
      </c>
      <c r="AK26" s="30"/>
      <c r="AL26" s="33">
        <f>ROUND((((AA26/$AA$43)*$AG$52)/L26)*100,3)</f>
        <v>0.252</v>
      </c>
      <c r="AM26" s="30"/>
      <c r="AN26" s="34">
        <f>AA26/L26*100</f>
        <v>15.600096194659688</v>
      </c>
      <c r="AO26" s="30"/>
      <c r="AP26" s="30"/>
      <c r="AQ26" s="196"/>
      <c r="AR26" s="36"/>
      <c r="AS26" s="6"/>
    </row>
    <row r="27" spans="2:47">
      <c r="B27" s="44">
        <f>MAX(B$13:B26)+1</f>
        <v>8</v>
      </c>
      <c r="D27" s="2" t="s">
        <v>49</v>
      </c>
      <c r="F27" s="12">
        <v>48</v>
      </c>
      <c r="G27" s="12"/>
      <c r="H27" s="28">
        <v>63.666666666666671</v>
      </c>
      <c r="I27" s="28">
        <f>'Table Dec 18'!E48+'Table Dec 18'!E78</f>
        <v>67.75</v>
      </c>
      <c r="J27" s="3"/>
      <c r="K27" s="28">
        <v>1569938.6044392167</v>
      </c>
      <c r="L27" s="28">
        <f>('Table Dec 18'!I48+'Table Dec 18'!I78)/1000</f>
        <v>801410.60373607895</v>
      </c>
      <c r="N27" s="46">
        <v>38996.209349631463</v>
      </c>
      <c r="O27" s="28">
        <v>0</v>
      </c>
      <c r="P27" s="46"/>
      <c r="Q27" s="160">
        <f t="shared" si="7"/>
        <v>0</v>
      </c>
      <c r="R27" s="46"/>
      <c r="S27" s="160">
        <f t="shared" si="1"/>
        <v>0</v>
      </c>
      <c r="T27" s="46"/>
      <c r="U27" s="160">
        <f t="shared" si="2"/>
        <v>0</v>
      </c>
      <c r="V27" s="46"/>
      <c r="W27" s="171">
        <f t="shared" si="3"/>
        <v>0</v>
      </c>
      <c r="X27" s="46"/>
      <c r="Y27" s="29" t="e">
        <f>#REF!</f>
        <v>#REF!</v>
      </c>
      <c r="Z27" s="30"/>
      <c r="AA27" s="29">
        <f>('Table Dec 18'!O48+'Table Dec 18'!O78)/1000</f>
        <v>53733.896748676038</v>
      </c>
      <c r="AB27" s="29"/>
      <c r="AC27" s="31">
        <f t="shared" si="4"/>
        <v>54599.420200711</v>
      </c>
      <c r="AD27" s="29"/>
      <c r="AE27" s="29" t="e">
        <f t="shared" si="8"/>
        <v>#REF!</v>
      </c>
      <c r="AF27" s="32" t="e">
        <f>AE27/Y27</f>
        <v>#REF!</v>
      </c>
      <c r="AG27" s="29">
        <f t="shared" si="5"/>
        <v>865.52345203496532</v>
      </c>
      <c r="AH27" s="32" t="e">
        <f t="shared" si="9"/>
        <v>#REF!</v>
      </c>
      <c r="AI27" s="29" t="e">
        <f t="shared" si="6"/>
        <v>#REF!</v>
      </c>
      <c r="AJ27" s="32" t="e">
        <f t="shared" si="10"/>
        <v>#REF!</v>
      </c>
      <c r="AK27" s="30"/>
      <c r="AL27" s="33">
        <f>ROUND((((AA27/$AA$43)*$AG$52)/L27)*100,3)</f>
        <v>0.108</v>
      </c>
      <c r="AM27" s="30"/>
      <c r="AN27" s="34">
        <f>AA27/L27*100</f>
        <v>6.7049146215654165</v>
      </c>
      <c r="AO27" s="30"/>
      <c r="AP27" s="30"/>
      <c r="AQ27" s="196"/>
      <c r="AR27" s="36"/>
      <c r="AS27" s="6"/>
      <c r="AT27" s="3" t="s">
        <v>0</v>
      </c>
    </row>
    <row r="28" spans="2:47">
      <c r="B28" s="44">
        <f>MAX(B$13:B27)+1</f>
        <v>9</v>
      </c>
      <c r="D28" s="2" t="s">
        <v>50</v>
      </c>
      <c r="F28" s="12" t="s">
        <v>51</v>
      </c>
      <c r="G28" s="12"/>
      <c r="H28" s="28">
        <v>28</v>
      </c>
      <c r="I28" s="28">
        <f>'Table Dec 18'!E51</f>
        <v>27</v>
      </c>
      <c r="J28" s="3"/>
      <c r="K28" s="28">
        <v>1569938.6044392167</v>
      </c>
      <c r="L28" s="28">
        <f>'Table Dec 18'!I51/1000</f>
        <v>280.43099999999998</v>
      </c>
      <c r="N28" s="46">
        <v>18.659249899021408</v>
      </c>
      <c r="O28" s="169">
        <v>0</v>
      </c>
      <c r="P28" s="54"/>
      <c r="Q28" s="160">
        <f t="shared" si="7"/>
        <v>0</v>
      </c>
      <c r="R28" s="54"/>
      <c r="S28" s="170">
        <f t="shared" si="1"/>
        <v>0</v>
      </c>
      <c r="T28" s="54"/>
      <c r="U28" s="170">
        <f t="shared" si="2"/>
        <v>0</v>
      </c>
      <c r="V28" s="54"/>
      <c r="W28" s="171">
        <f t="shared" si="3"/>
        <v>0</v>
      </c>
      <c r="Y28" s="29" t="e">
        <f>#REF!</f>
        <v>#REF!</v>
      </c>
      <c r="Z28" s="30"/>
      <c r="AA28" s="29">
        <f>'Table Dec 18'!O51/1000</f>
        <v>25.880985554600656</v>
      </c>
      <c r="AB28" s="29"/>
      <c r="AC28" s="31">
        <f t="shared" si="4"/>
        <v>26.298827744600658</v>
      </c>
      <c r="AD28" s="29"/>
      <c r="AE28" s="29" t="e">
        <f t="shared" si="8"/>
        <v>#REF!</v>
      </c>
      <c r="AF28" s="32" t="e">
        <f>AE28/Y28</f>
        <v>#REF!</v>
      </c>
      <c r="AG28" s="29">
        <f t="shared" si="5"/>
        <v>0.41784219</v>
      </c>
      <c r="AH28" s="32" t="e">
        <f t="shared" si="9"/>
        <v>#REF!</v>
      </c>
      <c r="AI28" s="29" t="e">
        <f t="shared" si="6"/>
        <v>#REF!</v>
      </c>
      <c r="AJ28" s="32" t="e">
        <f t="shared" si="10"/>
        <v>#REF!</v>
      </c>
      <c r="AK28" s="30"/>
      <c r="AL28" s="33">
        <f>ROUND((((AA28/$AA$43)*$AG$52)/L28)*100,3)</f>
        <v>0.14899999999999999</v>
      </c>
      <c r="AM28" s="30"/>
      <c r="AN28" s="34">
        <f>AA28/L28*100</f>
        <v>9.2290030540848402</v>
      </c>
      <c r="AO28" s="30"/>
      <c r="AP28" s="30"/>
      <c r="AQ28" s="196"/>
      <c r="AR28" s="36"/>
      <c r="AS28" s="6"/>
    </row>
    <row r="29" spans="2:47">
      <c r="B29" s="14"/>
      <c r="F29" s="12"/>
      <c r="G29" s="12"/>
      <c r="H29" s="38"/>
      <c r="I29" s="38"/>
      <c r="K29" s="38"/>
      <c r="L29" s="38"/>
      <c r="N29" s="38"/>
      <c r="O29" s="39"/>
      <c r="Q29" s="163"/>
      <c r="S29" s="163"/>
      <c r="U29" s="163"/>
      <c r="W29" s="165"/>
      <c r="Y29" s="38"/>
      <c r="Z29" s="6"/>
      <c r="AA29" s="38"/>
      <c r="AB29" s="6"/>
      <c r="AC29" s="39"/>
      <c r="AD29" s="6"/>
      <c r="AE29" s="38"/>
      <c r="AF29" s="40"/>
      <c r="AG29" s="38"/>
      <c r="AH29" s="40"/>
      <c r="AI29" s="38"/>
      <c r="AJ29" s="40"/>
      <c r="AK29" s="6"/>
      <c r="AL29" s="41"/>
      <c r="AM29" s="6"/>
      <c r="AN29" s="39"/>
      <c r="AO29" s="6"/>
      <c r="AP29" s="6"/>
      <c r="AQ29" s="195"/>
      <c r="AR29" s="6"/>
      <c r="AS29" s="6"/>
    </row>
    <row r="30" spans="2:47">
      <c r="B30" s="14"/>
      <c r="O30" s="28"/>
      <c r="P30" s="46"/>
      <c r="Q30" s="160"/>
      <c r="R30" s="46"/>
      <c r="S30" s="160"/>
      <c r="T30" s="46"/>
      <c r="U30" s="160"/>
      <c r="V30" s="46"/>
      <c r="W30" s="161"/>
      <c r="X30" s="46"/>
      <c r="AF30" s="42"/>
      <c r="AH30" s="42"/>
      <c r="AJ30" s="42"/>
      <c r="AL30" s="43"/>
      <c r="AQ30" s="195"/>
      <c r="AR30" s="6"/>
      <c r="AS30" s="6"/>
    </row>
    <row r="31" spans="2:47">
      <c r="B31" s="44">
        <f>MAX(B$13:B30)+1</f>
        <v>10</v>
      </c>
      <c r="D31" s="26" t="s">
        <v>52</v>
      </c>
      <c r="H31" s="45">
        <f>SUM(H22:H28)</f>
        <v>23716.833333333332</v>
      </c>
      <c r="I31" s="45">
        <f>SUM(I22:I28)</f>
        <v>22751.583333333332</v>
      </c>
      <c r="K31" s="45">
        <f>SUM(K22:K28)</f>
        <v>10989570.231074516</v>
      </c>
      <c r="L31" s="45">
        <f>SUM(L22:L28)</f>
        <v>2441679.2446719115</v>
      </c>
      <c r="M31" s="45"/>
      <c r="N31" s="29">
        <f>SUM(N22:N28)</f>
        <v>131973.74530796689</v>
      </c>
      <c r="O31" s="28">
        <f>SUM(O22:O30)</f>
        <v>203127.658</v>
      </c>
      <c r="P31" s="46"/>
      <c r="Q31" s="160">
        <f>SUM(Q22:Q30)</f>
        <v>-1655.4904126999998</v>
      </c>
      <c r="R31" s="46"/>
      <c r="S31" s="160">
        <f>SUM(S22:S30)</f>
        <v>-1478.76935024</v>
      </c>
      <c r="T31" s="46"/>
      <c r="U31" s="160">
        <f>SUM(U22:U30)</f>
        <v>176.72106245999981</v>
      </c>
      <c r="V31" s="46"/>
      <c r="W31" s="171">
        <f t="shared" ref="W31" si="11">U31/AA31</f>
        <v>9.0170206956366255E-4</v>
      </c>
      <c r="X31" s="46"/>
      <c r="Y31" s="29" t="e">
        <f>SUM(Y22:Y28)</f>
        <v>#REF!</v>
      </c>
      <c r="Z31" s="30"/>
      <c r="AA31" s="29">
        <f>SUM(AA22:AA28)</f>
        <v>195986.08944694547</v>
      </c>
      <c r="AB31" s="46"/>
      <c r="AC31" s="31">
        <f>SUM(AC22:AC28)</f>
        <v>199148.75736903434</v>
      </c>
      <c r="AD31" s="46"/>
      <c r="AE31" s="29" t="e">
        <f>SUM(AE22:AE28)</f>
        <v>#REF!</v>
      </c>
      <c r="AF31" s="32" t="e">
        <f>AE31/Y31</f>
        <v>#REF!</v>
      </c>
      <c r="AG31" s="29">
        <f>SUM(AG22:AG28)</f>
        <v>3162.6679220889087</v>
      </c>
      <c r="AH31" s="32" t="e">
        <f>AG31/Y31</f>
        <v>#REF!</v>
      </c>
      <c r="AI31" s="29" t="e">
        <f>AE31+AG31</f>
        <v>#REF!</v>
      </c>
      <c r="AJ31" s="32"/>
      <c r="AK31" s="30"/>
      <c r="AL31" s="33"/>
      <c r="AM31" s="30"/>
      <c r="AN31" s="34">
        <f>AA31/L31*100</f>
        <v>8.0266926900662625</v>
      </c>
      <c r="AO31" s="30"/>
      <c r="AP31" s="30"/>
      <c r="AQ31" s="196"/>
      <c r="AR31" s="36"/>
      <c r="AS31" s="6"/>
    </row>
    <row r="32" spans="2:47">
      <c r="B32" s="14"/>
      <c r="O32" s="28"/>
      <c r="P32" s="46"/>
      <c r="Q32" s="160"/>
      <c r="R32" s="46"/>
      <c r="S32" s="160"/>
      <c r="T32" s="46"/>
      <c r="U32" s="160"/>
      <c r="V32" s="46"/>
      <c r="W32" s="161"/>
      <c r="X32" s="46"/>
      <c r="AF32" s="42"/>
      <c r="AH32" s="42"/>
      <c r="AJ32" s="42"/>
      <c r="AL32" s="43"/>
      <c r="AQ32" s="195"/>
      <c r="AR32" s="6"/>
      <c r="AS32" s="6"/>
    </row>
    <row r="33" spans="2:46">
      <c r="B33" s="14"/>
      <c r="D33" s="26" t="s">
        <v>53</v>
      </c>
      <c r="O33" s="28"/>
      <c r="P33" s="28"/>
      <c r="Q33" s="160"/>
      <c r="R33" s="28"/>
      <c r="S33" s="160"/>
      <c r="T33" s="28"/>
      <c r="U33" s="160"/>
      <c r="V33" s="28"/>
      <c r="W33" s="161"/>
      <c r="X33" s="28"/>
      <c r="AF33" s="42"/>
      <c r="AH33" s="42"/>
      <c r="AJ33" s="42"/>
      <c r="AL33" s="43"/>
      <c r="AQ33" s="195"/>
      <c r="AR33" s="6"/>
      <c r="AS33" s="6"/>
    </row>
    <row r="34" spans="2:46">
      <c r="B34" s="44">
        <f>MAX(B$13:B33)+1</f>
        <v>11</v>
      </c>
      <c r="D34" s="2" t="s">
        <v>54</v>
      </c>
      <c r="F34" s="12" t="s">
        <v>55</v>
      </c>
      <c r="G34" s="12"/>
      <c r="H34" s="28">
        <v>2828</v>
      </c>
      <c r="I34" s="28">
        <f>'Table Dec 18'!E23+'Table Dec 18'!E50+'Table Dec 18'!E81</f>
        <v>2337.6666666666665</v>
      </c>
      <c r="J34" s="3"/>
      <c r="K34" s="28">
        <v>1569938.6044392167</v>
      </c>
      <c r="L34" s="28">
        <f>('Table Dec 18'!I22+'Table Dec 18'!I50+'Table Dec 18'!I81)/1000</f>
        <v>3042.701</v>
      </c>
      <c r="N34" s="46">
        <v>473.92026673033644</v>
      </c>
      <c r="O34" s="28">
        <f>('305 Inputs'!H9+'305 Inputs'!H17+'305 Inputs'!H29)/1000</f>
        <v>1489.066</v>
      </c>
      <c r="P34" s="46"/>
      <c r="Q34" s="160">
        <f>O34*-0.00815</f>
        <v>-12.135887899999998</v>
      </c>
      <c r="R34" s="46"/>
      <c r="S34" s="160">
        <f>O34*$U$53</f>
        <v>-10.84040048</v>
      </c>
      <c r="T34" s="46"/>
      <c r="U34" s="160">
        <f t="shared" ref="U34:U38" si="12">S34-Q34</f>
        <v>1.2954874199999988</v>
      </c>
      <c r="V34" s="46"/>
      <c r="W34" s="171">
        <f t="shared" ref="W34:W38" si="13">U34/AA34</f>
        <v>2.825803465154346E-3</v>
      </c>
      <c r="X34" s="28"/>
      <c r="Y34" s="29" t="e">
        <f>#REF!</f>
        <v>#REF!</v>
      </c>
      <c r="Z34" s="30"/>
      <c r="AA34" s="29">
        <f>('Table Dec 18'!O22+'Table Dec 18'!O50+'Table Dec 18'!O81)/1000</f>
        <v>458.44922903342786</v>
      </c>
      <c r="AB34" s="29"/>
      <c r="AC34" s="31">
        <f t="shared" ref="AC34:AC38" si="14">AA34+AG34</f>
        <v>465.87341947342787</v>
      </c>
      <c r="AD34" s="29"/>
      <c r="AE34" s="29" t="e">
        <f t="shared" ref="AE34:AE38" si="15">AA34-Y34</f>
        <v>#REF!</v>
      </c>
      <c r="AF34" s="32" t="e">
        <f>AE34/Y34</f>
        <v>#REF!</v>
      </c>
      <c r="AG34" s="29">
        <f>(AL34/100)*L34</f>
        <v>7.4241904399999994</v>
      </c>
      <c r="AH34" s="32" t="e">
        <f>AG34/Y34</f>
        <v>#REF!</v>
      </c>
      <c r="AI34" s="29" t="e">
        <f>AE34+AG34</f>
        <v>#REF!</v>
      </c>
      <c r="AJ34" s="32" t="e">
        <f>AI34/Y34</f>
        <v>#REF!</v>
      </c>
      <c r="AK34" s="30"/>
      <c r="AL34" s="33">
        <f t="shared" ref="AL34:AL38" si="16">ROUND((((AA34/$AA$43)*$AG$52)/L34)*100,3)</f>
        <v>0.24399999999999999</v>
      </c>
      <c r="AM34" s="30"/>
      <c r="AN34" s="34">
        <f>AA34/L34*100</f>
        <v>15.06717975356198</v>
      </c>
      <c r="AO34" s="30"/>
      <c r="AP34" s="30"/>
      <c r="AQ34" s="196"/>
      <c r="AR34" s="36"/>
      <c r="AS34" s="6"/>
    </row>
    <row r="35" spans="2:46">
      <c r="B35" s="44">
        <f>MAX(B$13:B34)+1</f>
        <v>12</v>
      </c>
      <c r="D35" s="2" t="s">
        <v>56</v>
      </c>
      <c r="F35" s="12" t="s">
        <v>57</v>
      </c>
      <c r="G35" s="12"/>
      <c r="H35" s="28">
        <v>178</v>
      </c>
      <c r="I35" s="28">
        <f>'Table Dec 18'!E123</f>
        <v>210.5</v>
      </c>
      <c r="J35" s="3"/>
      <c r="K35" s="28">
        <v>1569938.6044392167</v>
      </c>
      <c r="L35" s="28">
        <f>'Table Dec 18'!I123/1000</f>
        <v>3839.5549999999998</v>
      </c>
      <c r="N35" s="46">
        <v>522.31224201957195</v>
      </c>
      <c r="O35" s="28">
        <v>0</v>
      </c>
      <c r="P35" s="46"/>
      <c r="Q35" s="160">
        <f t="shared" ref="Q35:Q38" si="17">O35*-0.00815</f>
        <v>0</v>
      </c>
      <c r="R35" s="46"/>
      <c r="S35" s="160">
        <f>O35*$U$53</f>
        <v>0</v>
      </c>
      <c r="T35" s="46"/>
      <c r="U35" s="160">
        <f t="shared" si="12"/>
        <v>0</v>
      </c>
      <c r="V35" s="46"/>
      <c r="W35" s="171">
        <f t="shared" si="13"/>
        <v>0</v>
      </c>
      <c r="X35" s="6"/>
      <c r="Y35" s="29" t="e">
        <f>#REF!</f>
        <v>#REF!</v>
      </c>
      <c r="Z35" s="30"/>
      <c r="AA35" s="29">
        <f>'Table Dec 18'!O123/1000</f>
        <v>817.48683675630264</v>
      </c>
      <c r="AB35" s="29"/>
      <c r="AC35" s="31">
        <f t="shared" si="14"/>
        <v>830.73330150630261</v>
      </c>
      <c r="AD35" s="29"/>
      <c r="AE35" s="29" t="e">
        <f t="shared" si="15"/>
        <v>#REF!</v>
      </c>
      <c r="AF35" s="32" t="e">
        <f>AE35/Y35</f>
        <v>#REF!</v>
      </c>
      <c r="AG35" s="29">
        <f>(AL35/100)*L35</f>
        <v>13.246464749999999</v>
      </c>
      <c r="AH35" s="32" t="e">
        <f>AG35/Y35</f>
        <v>#REF!</v>
      </c>
      <c r="AI35" s="29" t="e">
        <f>AE35+AG35</f>
        <v>#REF!</v>
      </c>
      <c r="AJ35" s="32" t="e">
        <f>AI35/Y35</f>
        <v>#REF!</v>
      </c>
      <c r="AK35" s="30"/>
      <c r="AL35" s="33">
        <f t="shared" si="16"/>
        <v>0.34499999999999997</v>
      </c>
      <c r="AM35" s="30"/>
      <c r="AN35" s="34">
        <f>AA35/L35*100</f>
        <v>21.29118704527745</v>
      </c>
      <c r="AO35" s="30"/>
      <c r="AP35" s="30"/>
      <c r="AQ35" s="196"/>
      <c r="AR35" s="36"/>
      <c r="AS35" s="35" t="s">
        <v>0</v>
      </c>
    </row>
    <row r="36" spans="2:46">
      <c r="B36" s="44">
        <f>MAX(B$13:B35)+1</f>
        <v>13</v>
      </c>
      <c r="D36" s="2" t="s">
        <v>56</v>
      </c>
      <c r="F36" s="12">
        <v>52</v>
      </c>
      <c r="G36" s="12"/>
      <c r="H36" s="28">
        <v>30</v>
      </c>
      <c r="I36" s="28">
        <f>'Table Dec 18'!E120</f>
        <v>14</v>
      </c>
      <c r="J36" s="3"/>
      <c r="K36" s="28">
        <v>1569938.6044392167</v>
      </c>
      <c r="L36" s="28">
        <f>'Table Dec 18'!I120/1000</f>
        <v>143.36199999999999</v>
      </c>
      <c r="N36" s="46">
        <v>60.670270195709442</v>
      </c>
      <c r="O36" s="28">
        <v>0</v>
      </c>
      <c r="P36" s="46"/>
      <c r="Q36" s="160">
        <f t="shared" si="17"/>
        <v>0</v>
      </c>
      <c r="R36" s="46"/>
      <c r="S36" s="160">
        <f>O36*$U$53</f>
        <v>0</v>
      </c>
      <c r="T36" s="46"/>
      <c r="U36" s="160">
        <f t="shared" si="12"/>
        <v>0</v>
      </c>
      <c r="V36" s="46"/>
      <c r="W36" s="171">
        <f t="shared" si="13"/>
        <v>0</v>
      </c>
      <c r="Y36" s="29" t="e">
        <f>#REF!</f>
        <v>#REF!</v>
      </c>
      <c r="Z36" s="30"/>
      <c r="AA36" s="29">
        <f>'Table Dec 18'!O120/1000</f>
        <v>30.679274235526723</v>
      </c>
      <c r="AB36" s="29"/>
      <c r="AC36" s="31">
        <f t="shared" si="14"/>
        <v>31.175306755526723</v>
      </c>
      <c r="AD36" s="29"/>
      <c r="AE36" s="29" t="e">
        <f t="shared" si="15"/>
        <v>#REF!</v>
      </c>
      <c r="AF36" s="32" t="e">
        <f>AE36/Y36</f>
        <v>#REF!</v>
      </c>
      <c r="AG36" s="29">
        <f>(AL36/100)*L36</f>
        <v>0.49603251999999992</v>
      </c>
      <c r="AH36" s="32" t="e">
        <f>AG36/Y36</f>
        <v>#REF!</v>
      </c>
      <c r="AI36" s="29" t="e">
        <f>AE36+AG36</f>
        <v>#REF!</v>
      </c>
      <c r="AJ36" s="32" t="e">
        <f>AI36/Y36</f>
        <v>#REF!</v>
      </c>
      <c r="AK36" s="30"/>
      <c r="AL36" s="33">
        <f t="shared" si="16"/>
        <v>0.34599999999999997</v>
      </c>
      <c r="AM36" s="30"/>
      <c r="AN36" s="34">
        <f>AA36/L36*100</f>
        <v>21.399864842515257</v>
      </c>
      <c r="AO36" s="30"/>
      <c r="AP36" s="30"/>
      <c r="AQ36" s="196"/>
      <c r="AR36" s="36"/>
      <c r="AS36" s="6"/>
    </row>
    <row r="37" spans="2:46">
      <c r="B37" s="44">
        <f>MAX(B$13:B36)+1</f>
        <v>14</v>
      </c>
      <c r="D37" s="2" t="s">
        <v>56</v>
      </c>
      <c r="F37" s="12">
        <v>53</v>
      </c>
      <c r="G37" s="12"/>
      <c r="H37" s="28">
        <v>272.33333333333337</v>
      </c>
      <c r="I37" s="28">
        <f>'Table Dec 18'!E121+'Table Dec 18'!E122</f>
        <v>231.16666666666669</v>
      </c>
      <c r="J37" s="3"/>
      <c r="K37" s="28">
        <v>1569938.6044392167</v>
      </c>
      <c r="L37" s="28">
        <f>('Table Dec 18'!I121+'Table Dec 18'!I122)/1000</f>
        <v>3702.9580000000001</v>
      </c>
      <c r="N37" s="28">
        <v>278.83306975907675</v>
      </c>
      <c r="O37" s="28">
        <v>0</v>
      </c>
      <c r="P37" s="28"/>
      <c r="Q37" s="160">
        <f t="shared" si="17"/>
        <v>0</v>
      </c>
      <c r="R37" s="28"/>
      <c r="S37" s="160">
        <f>O37*$U$53</f>
        <v>0</v>
      </c>
      <c r="T37" s="28"/>
      <c r="U37" s="160">
        <f t="shared" si="12"/>
        <v>0</v>
      </c>
      <c r="V37" s="28"/>
      <c r="W37" s="171">
        <f t="shared" si="13"/>
        <v>0</v>
      </c>
      <c r="X37" s="54"/>
      <c r="Y37" s="29" t="e">
        <f>#REF!</f>
        <v>#REF!</v>
      </c>
      <c r="Z37" s="30"/>
      <c r="AA37" s="29">
        <f>('Table Dec 18'!O121+'Table Dec 18'!O122)/1000</f>
        <v>269.38942185382723</v>
      </c>
      <c r="AB37" s="29"/>
      <c r="AC37" s="31">
        <f t="shared" si="14"/>
        <v>273.75891229382722</v>
      </c>
      <c r="AD37" s="29"/>
      <c r="AE37" s="29" t="e">
        <f t="shared" si="15"/>
        <v>#REF!</v>
      </c>
      <c r="AF37" s="32" t="e">
        <f>AE37/Y37</f>
        <v>#REF!</v>
      </c>
      <c r="AG37" s="29">
        <f>(AL37/100)*L37</f>
        <v>4.3694904399999999</v>
      </c>
      <c r="AH37" s="32" t="e">
        <f>AG37/Y37</f>
        <v>#REF!</v>
      </c>
      <c r="AI37" s="29" t="e">
        <f>AE37+AG37</f>
        <v>#REF!</v>
      </c>
      <c r="AJ37" s="32" t="e">
        <f>AI37/Y37</f>
        <v>#REF!</v>
      </c>
      <c r="AK37" s="30"/>
      <c r="AL37" s="33">
        <f t="shared" si="16"/>
        <v>0.11799999999999999</v>
      </c>
      <c r="AM37" s="30"/>
      <c r="AN37" s="34">
        <f>AA37/L37*100</f>
        <v>7.2749791343522459</v>
      </c>
      <c r="AO37" s="30"/>
      <c r="AP37" s="30"/>
      <c r="AQ37" s="196"/>
      <c r="AR37" s="36"/>
      <c r="AS37" s="6"/>
      <c r="AT37" s="3" t="s">
        <v>0</v>
      </c>
    </row>
    <row r="38" spans="2:46">
      <c r="B38" s="44">
        <f>MAX(B$13:B37)+1</f>
        <v>15</v>
      </c>
      <c r="D38" s="2" t="s">
        <v>56</v>
      </c>
      <c r="F38" s="12">
        <v>57</v>
      </c>
      <c r="G38" s="12"/>
      <c r="H38" s="28">
        <v>50.666666666666664</v>
      </c>
      <c r="I38" s="28">
        <f>'Table Dec 18'!E124</f>
        <v>39.75</v>
      </c>
      <c r="J38" s="3"/>
      <c r="K38" s="28">
        <v>1569938.6044392167</v>
      </c>
      <c r="L38" s="28">
        <f>'Table Dec 18'!I124/1000</f>
        <v>1593.9359999999999</v>
      </c>
      <c r="N38" s="28">
        <v>235.8029580256418</v>
      </c>
      <c r="O38" s="28">
        <v>0</v>
      </c>
      <c r="P38" s="28"/>
      <c r="Q38" s="160">
        <f t="shared" si="17"/>
        <v>0</v>
      </c>
      <c r="R38" s="28"/>
      <c r="S38" s="160">
        <f>O38*$U$53</f>
        <v>0</v>
      </c>
      <c r="T38" s="28"/>
      <c r="U38" s="160">
        <f t="shared" si="12"/>
        <v>0</v>
      </c>
      <c r="V38" s="28"/>
      <c r="W38" s="171">
        <f t="shared" si="13"/>
        <v>0</v>
      </c>
      <c r="X38" s="54"/>
      <c r="Y38" s="29" t="e">
        <f>#REF!</f>
        <v>#REF!</v>
      </c>
      <c r="Z38" s="30"/>
      <c r="AA38" s="29">
        <f>'Table Dec 18'!O124/1000</f>
        <v>207.48250804691673</v>
      </c>
      <c r="AB38" s="29"/>
      <c r="AC38" s="31">
        <f t="shared" si="14"/>
        <v>210.84571300691672</v>
      </c>
      <c r="AD38" s="29"/>
      <c r="AE38" s="29" t="e">
        <f t="shared" si="15"/>
        <v>#REF!</v>
      </c>
      <c r="AF38" s="32" t="e">
        <f>AE38/Y38</f>
        <v>#REF!</v>
      </c>
      <c r="AG38" s="29">
        <f>(AL38/100)*L38</f>
        <v>3.3632049599999996</v>
      </c>
      <c r="AH38" s="32" t="e">
        <f>AG38/Y38</f>
        <v>#REF!</v>
      </c>
      <c r="AI38" s="29" t="e">
        <f>AE38+AG38</f>
        <v>#REF!</v>
      </c>
      <c r="AJ38" s="32" t="e">
        <f>AI38/Y38</f>
        <v>#REF!</v>
      </c>
      <c r="AK38" s="30"/>
      <c r="AL38" s="33">
        <f t="shared" si="16"/>
        <v>0.21099999999999999</v>
      </c>
      <c r="AM38" s="30"/>
      <c r="AN38" s="34">
        <f>AA38/L38*100</f>
        <v>13.016991149388479</v>
      </c>
      <c r="AO38" s="30"/>
      <c r="AP38" s="30"/>
      <c r="AQ38" s="196"/>
      <c r="AR38" s="36"/>
      <c r="AS38" s="6"/>
    </row>
    <row r="39" spans="2:46">
      <c r="B39" s="14"/>
      <c r="H39" s="38"/>
      <c r="I39" s="38"/>
      <c r="K39" s="38"/>
      <c r="L39" s="38"/>
      <c r="N39" s="38"/>
      <c r="O39" s="38"/>
      <c r="P39" s="6"/>
      <c r="Q39" s="163"/>
      <c r="R39" s="6"/>
      <c r="S39" s="163"/>
      <c r="T39" s="6"/>
      <c r="U39" s="163"/>
      <c r="V39" s="6"/>
      <c r="W39" s="165"/>
      <c r="X39" s="63"/>
      <c r="Y39" s="38"/>
      <c r="Z39" s="6"/>
      <c r="AA39" s="39"/>
      <c r="AB39" s="6"/>
      <c r="AC39" s="39"/>
      <c r="AD39" s="6"/>
      <c r="AE39" s="38"/>
      <c r="AF39" s="40"/>
      <c r="AG39" s="38"/>
      <c r="AH39" s="40"/>
      <c r="AI39" s="38"/>
      <c r="AJ39" s="40"/>
      <c r="AK39" s="6"/>
      <c r="AL39" s="41"/>
      <c r="AM39" s="6"/>
      <c r="AN39" s="39"/>
      <c r="AO39" s="6"/>
      <c r="AP39" s="6"/>
      <c r="AQ39" s="195"/>
      <c r="AR39" s="6"/>
      <c r="AS39" s="6"/>
    </row>
    <row r="40" spans="2:46">
      <c r="B40" s="14"/>
      <c r="Q40" s="160"/>
      <c r="S40" s="160"/>
      <c r="U40" s="160"/>
      <c r="W40" s="161"/>
      <c r="X40" s="63"/>
      <c r="AF40" s="42"/>
      <c r="AH40" s="42"/>
      <c r="AJ40" s="42"/>
      <c r="AL40" s="43"/>
      <c r="AQ40" s="195"/>
      <c r="AR40" s="6"/>
      <c r="AS40" s="6"/>
    </row>
    <row r="41" spans="2:46">
      <c r="B41" s="44">
        <f>MAX(B$13:B40)+1</f>
        <v>16</v>
      </c>
      <c r="D41" s="26" t="s">
        <v>58</v>
      </c>
      <c r="H41" s="52">
        <f>SUM(H34:H38)</f>
        <v>3359</v>
      </c>
      <c r="I41" s="52">
        <f>SUM(I34:I38)</f>
        <v>2833.083333333333</v>
      </c>
      <c r="K41" s="52">
        <f>SUM(K34:K38)</f>
        <v>7849693.0221960833</v>
      </c>
      <c r="L41" s="52">
        <f>SUM(L34:L38)</f>
        <v>12322.511999999999</v>
      </c>
      <c r="M41" s="45"/>
      <c r="N41" s="53">
        <f>SUM(N34:N38)</f>
        <v>1571.5388067303365</v>
      </c>
      <c r="O41" s="52">
        <f>SUM(O34:O38)</f>
        <v>1489.066</v>
      </c>
      <c r="P41" s="54"/>
      <c r="Q41" s="163">
        <f>SUM(Q34:Q38)</f>
        <v>-12.135887899999998</v>
      </c>
      <c r="R41" s="54"/>
      <c r="S41" s="163">
        <f>SUM(S34:S38)</f>
        <v>-10.84040048</v>
      </c>
      <c r="T41" s="54"/>
      <c r="U41" s="163">
        <f>SUM(U34:U40)</f>
        <v>1.2954874199999988</v>
      </c>
      <c r="V41" s="54"/>
      <c r="W41" s="165">
        <f>U41/AA41</f>
        <v>7.2637884320517177E-4</v>
      </c>
      <c r="X41" s="63"/>
      <c r="Y41" s="53" t="e">
        <f>SUM(Y34:Y38)</f>
        <v>#REF!</v>
      </c>
      <c r="Z41" s="36"/>
      <c r="AA41" s="53">
        <f>SUM(AA34:AA38)</f>
        <v>1783.4872699260013</v>
      </c>
      <c r="AB41" s="54"/>
      <c r="AC41" s="53">
        <f>SUM(AC34:AC38)</f>
        <v>1812.386653036001</v>
      </c>
      <c r="AD41" s="54"/>
      <c r="AE41" s="53" t="e">
        <f>SUM(AE34:AE38)</f>
        <v>#REF!</v>
      </c>
      <c r="AF41" s="55" t="e">
        <f>AE41/Y41</f>
        <v>#REF!</v>
      </c>
      <c r="AG41" s="53">
        <f>SUM(AG34:AG38)</f>
        <v>28.899383109999999</v>
      </c>
      <c r="AH41" s="55" t="e">
        <f>AG41/Y41</f>
        <v>#REF!</v>
      </c>
      <c r="AI41" s="53" t="e">
        <f>AE41+AG41</f>
        <v>#REF!</v>
      </c>
      <c r="AJ41" s="55" t="e">
        <f>AI41/Y41</f>
        <v>#REF!</v>
      </c>
      <c r="AK41" s="36"/>
      <c r="AL41" s="33"/>
      <c r="AM41" s="36"/>
      <c r="AN41" s="56">
        <f>AA41/L41*100</f>
        <v>14.473406639214485</v>
      </c>
      <c r="AO41" s="36"/>
      <c r="AP41" s="36"/>
      <c r="AQ41" s="197"/>
      <c r="AR41" s="36"/>
      <c r="AS41" s="6"/>
    </row>
    <row r="42" spans="2:46">
      <c r="B42" s="14"/>
      <c r="D42" s="26"/>
      <c r="H42" s="57"/>
      <c r="I42" s="57"/>
      <c r="K42" s="57"/>
      <c r="L42" s="57"/>
      <c r="M42" s="45"/>
      <c r="N42" s="54"/>
      <c r="O42" s="54"/>
      <c r="P42" s="54"/>
      <c r="Q42" s="160"/>
      <c r="R42" s="54"/>
      <c r="S42" s="160"/>
      <c r="T42" s="54"/>
      <c r="U42" s="160"/>
      <c r="V42" s="54"/>
      <c r="W42" s="161"/>
      <c r="X42" s="63"/>
      <c r="Y42" s="54"/>
      <c r="Z42" s="54"/>
      <c r="AA42" s="54"/>
      <c r="AB42" s="54"/>
      <c r="AC42" s="54"/>
      <c r="AD42" s="54"/>
      <c r="AE42" s="54"/>
      <c r="AF42" s="58"/>
      <c r="AG42" s="54"/>
      <c r="AH42" s="58"/>
      <c r="AI42" s="54"/>
      <c r="AJ42" s="59"/>
      <c r="AK42" s="54"/>
      <c r="AL42" s="60"/>
      <c r="AM42" s="54"/>
      <c r="AN42" s="54"/>
      <c r="AO42" s="54"/>
      <c r="AP42" s="54"/>
      <c r="AQ42" s="195"/>
      <c r="AR42" s="54"/>
      <c r="AS42" s="6"/>
    </row>
    <row r="43" spans="2:46" ht="16.5" thickBot="1">
      <c r="B43" s="44">
        <f>MAX(B$13:B42)+1</f>
        <v>17</v>
      </c>
      <c r="D43" s="184" t="s">
        <v>140</v>
      </c>
      <c r="H43" s="61">
        <f>H41+H31+H19</f>
        <v>128412.75</v>
      </c>
      <c r="I43" s="61">
        <f>I41+I31+I19</f>
        <v>136757.25000000003</v>
      </c>
      <c r="K43" s="61">
        <f>K41+K31+K19</f>
        <v>20409201.857709818</v>
      </c>
      <c r="L43" s="61">
        <f>L41+L31+L19</f>
        <v>4074929.2195480997</v>
      </c>
      <c r="N43" s="62">
        <f>N41+N31+N19</f>
        <v>236218.22854000004</v>
      </c>
      <c r="O43" s="61">
        <f>O41+O31+O19</f>
        <v>1825544.1868761883</v>
      </c>
      <c r="P43" s="63"/>
      <c r="Q43" s="164">
        <f>Q41+Q31+Q19</f>
        <v>-14878.185123040932</v>
      </c>
      <c r="R43" s="63"/>
      <c r="S43" s="164">
        <f>S41+S31+S19</f>
        <v>-13289.961680458651</v>
      </c>
      <c r="T43" s="63"/>
      <c r="U43" s="164">
        <f>U41+U31+U19</f>
        <v>1588.2234425822808</v>
      </c>
      <c r="V43" s="63"/>
      <c r="W43" s="166">
        <f>U43/AA43</f>
        <v>4.5491117643083404E-3</v>
      </c>
      <c r="X43" s="63"/>
      <c r="Y43" s="62" t="e">
        <f>Y41+Y31+Y19</f>
        <v>#REF!</v>
      </c>
      <c r="Z43" s="36"/>
      <c r="AA43" s="62">
        <f>AA41+AA31+AA19</f>
        <v>349128.25291373307</v>
      </c>
      <c r="AB43" s="63"/>
      <c r="AC43" s="62">
        <f>AC41+AC31+AC19</f>
        <v>354767.42068787501</v>
      </c>
      <c r="AD43" s="63"/>
      <c r="AE43" s="62" t="e">
        <f>AE41+AE31+AE19</f>
        <v>#REF!</v>
      </c>
      <c r="AF43" s="64" t="e">
        <f>AE43/Y43</f>
        <v>#REF!</v>
      </c>
      <c r="AG43" s="62">
        <f>AG41+AG31+AG19</f>
        <v>5639.1677741419535</v>
      </c>
      <c r="AH43" s="64" t="e">
        <f>AG43/Y43</f>
        <v>#REF!</v>
      </c>
      <c r="AI43" s="62" t="e">
        <f>AE43+AG43</f>
        <v>#REF!</v>
      </c>
      <c r="AJ43" s="64" t="e">
        <f>AI43/Y43</f>
        <v>#REF!</v>
      </c>
      <c r="AK43" s="36"/>
      <c r="AL43" s="33">
        <f>ROUND((((AA43/$AA$43)*$AG$52)/L43)*100,4)</f>
        <v>0.1386</v>
      </c>
      <c r="AM43" s="36"/>
      <c r="AN43" s="198">
        <f>AA43/L43*100</f>
        <v>8.5677133050289047</v>
      </c>
      <c r="AO43" s="36"/>
      <c r="AP43" s="36"/>
      <c r="AQ43" s="35" t="s">
        <v>0</v>
      </c>
      <c r="AR43" s="36"/>
      <c r="AS43" s="37" t="s">
        <v>0</v>
      </c>
    </row>
    <row r="44" spans="2:46" ht="16.5" thickTop="1">
      <c r="B44" s="428" t="s">
        <v>0</v>
      </c>
      <c r="C44" s="429"/>
      <c r="D44" s="429"/>
      <c r="H44" s="65"/>
      <c r="I44" s="65"/>
      <c r="K44" s="65"/>
      <c r="L44" s="65"/>
      <c r="N44" s="63"/>
      <c r="O44" s="63"/>
      <c r="P44" s="63"/>
      <c r="Q44" s="160"/>
      <c r="R44" s="63"/>
      <c r="S44" s="160"/>
      <c r="T44" s="63"/>
      <c r="U44" s="160"/>
      <c r="V44" s="63"/>
      <c r="W44" s="161"/>
      <c r="Y44" s="63"/>
      <c r="Z44" s="36"/>
      <c r="AA44" s="63"/>
      <c r="AB44" s="63"/>
      <c r="AC44" s="63"/>
      <c r="AD44" s="63"/>
      <c r="AE44" s="63"/>
      <c r="AF44" s="42"/>
      <c r="AG44" s="63"/>
      <c r="AH44" s="42"/>
      <c r="AI44" s="36"/>
      <c r="AK44" s="36"/>
      <c r="AL44" s="36"/>
      <c r="AM44" s="36"/>
      <c r="AN44" s="36"/>
      <c r="AO44" s="36"/>
      <c r="AP44" s="36"/>
      <c r="AQ44" s="196"/>
      <c r="AR44" s="36"/>
      <c r="AS44" s="6"/>
    </row>
    <row r="45" spans="2:46">
      <c r="B45" s="44">
        <v>18</v>
      </c>
      <c r="D45" s="2" t="s">
        <v>59</v>
      </c>
      <c r="H45" s="65"/>
      <c r="I45" s="65"/>
      <c r="K45" s="65"/>
      <c r="L45" s="65"/>
      <c r="N45" s="63">
        <v>311.00673999999998</v>
      </c>
      <c r="O45" s="63"/>
      <c r="P45" s="63"/>
      <c r="Q45" s="170"/>
      <c r="R45" s="63"/>
      <c r="S45" s="170"/>
      <c r="T45" s="63"/>
      <c r="U45" s="170"/>
      <c r="V45" s="63"/>
      <c r="W45" s="171"/>
      <c r="Y45" s="31">
        <v>652</v>
      </c>
      <c r="Z45" s="66"/>
      <c r="AA45" s="31">
        <f>('Table Dec 18'!O25+'Table Dec 18'!O54+'Table Dec 18'!O84+'Table Dec 18'!O103+'Table Dec 18'!O125)/1000</f>
        <v>694.41638</v>
      </c>
      <c r="AB45" s="63"/>
      <c r="AC45" s="31">
        <f>AA45</f>
        <v>694.41638</v>
      </c>
      <c r="AD45" s="63"/>
      <c r="AE45" s="49"/>
      <c r="AF45" s="32"/>
      <c r="AG45" s="49"/>
      <c r="AH45" s="32"/>
      <c r="AI45" s="36"/>
      <c r="AK45" s="36"/>
      <c r="AL45" s="36"/>
      <c r="AM45" s="36"/>
      <c r="AN45" s="34"/>
      <c r="AO45" s="30"/>
      <c r="AP45" s="36"/>
      <c r="AQ45" s="196"/>
      <c r="AR45" s="36"/>
      <c r="AS45" s="6"/>
    </row>
    <row r="46" spans="2:46">
      <c r="B46" s="44"/>
      <c r="H46" s="65"/>
      <c r="I46" s="65"/>
      <c r="K46" s="65"/>
      <c r="L46" s="65"/>
      <c r="N46" s="63"/>
      <c r="O46" s="63"/>
      <c r="P46" s="63"/>
      <c r="Q46" s="170"/>
      <c r="R46" s="63"/>
      <c r="S46" s="170"/>
      <c r="T46" s="63"/>
      <c r="U46" s="170"/>
      <c r="V46" s="63"/>
      <c r="W46" s="171"/>
      <c r="Y46" s="31"/>
      <c r="Z46" s="66"/>
      <c r="AA46" s="31"/>
      <c r="AB46" s="63"/>
      <c r="AC46" s="31"/>
      <c r="AD46" s="63"/>
      <c r="AE46" s="49"/>
      <c r="AF46" s="32"/>
      <c r="AG46" s="49"/>
      <c r="AH46" s="32"/>
      <c r="AI46" s="36"/>
      <c r="AK46" s="36"/>
      <c r="AL46" s="36"/>
      <c r="AM46" s="36"/>
      <c r="AN46" s="34"/>
      <c r="AO46" s="30"/>
      <c r="AP46" s="36"/>
      <c r="AQ46" s="196"/>
      <c r="AR46" s="36"/>
      <c r="AS46" s="421" t="s">
        <v>0</v>
      </c>
    </row>
    <row r="47" spans="2:46">
      <c r="B47" s="44">
        <v>19</v>
      </c>
      <c r="D47" s="2" t="s">
        <v>163</v>
      </c>
      <c r="H47" s="65"/>
      <c r="I47" s="65"/>
      <c r="K47" s="65"/>
      <c r="L47" s="65"/>
      <c r="N47" s="63"/>
      <c r="O47" s="63"/>
      <c r="P47" s="63"/>
      <c r="Q47" s="170"/>
      <c r="R47" s="63"/>
      <c r="S47" s="170"/>
      <c r="T47" s="63"/>
      <c r="U47" s="170"/>
      <c r="V47" s="63"/>
      <c r="W47" s="171"/>
      <c r="Y47" s="31"/>
      <c r="Z47" s="66"/>
      <c r="AA47" s="31">
        <f>('Table Dec 18'!O34+'Table Dec 18'!O63+'Table Dec 18'!O93+'Table Dec 18'!O114+'Table Dec 18'!O134)/1000</f>
        <v>-8157</v>
      </c>
      <c r="AB47" s="63"/>
      <c r="AC47" s="31"/>
      <c r="AD47" s="63"/>
      <c r="AE47" s="49"/>
      <c r="AF47" s="32"/>
      <c r="AG47" s="49"/>
      <c r="AH47" s="32"/>
      <c r="AI47" s="36"/>
      <c r="AK47" s="36"/>
      <c r="AL47" s="36"/>
      <c r="AM47" s="36"/>
      <c r="AN47" s="34"/>
      <c r="AO47" s="30"/>
      <c r="AP47" s="36"/>
      <c r="AQ47" s="196"/>
      <c r="AR47" s="36"/>
      <c r="AS47" s="421"/>
    </row>
    <row r="48" spans="2:46">
      <c r="B48" s="44"/>
      <c r="H48" s="65"/>
      <c r="I48" s="65"/>
      <c r="K48" s="65"/>
      <c r="L48" s="65"/>
      <c r="N48" s="63"/>
      <c r="O48" s="63"/>
      <c r="P48" s="63"/>
      <c r="Q48" s="160"/>
      <c r="R48" s="63"/>
      <c r="S48" s="160"/>
      <c r="T48" s="63"/>
      <c r="U48" s="160"/>
      <c r="V48" s="63"/>
      <c r="W48" s="161"/>
      <c r="X48" s="71"/>
      <c r="Y48" s="63"/>
      <c r="Z48" s="66"/>
      <c r="AA48" s="31"/>
      <c r="AB48" s="63"/>
      <c r="AC48" s="31"/>
      <c r="AD48" s="63"/>
      <c r="AE48" s="49"/>
      <c r="AF48" s="32"/>
      <c r="AG48" s="49"/>
      <c r="AH48" s="32"/>
      <c r="AI48" s="36"/>
      <c r="AK48" s="36"/>
      <c r="AL48" s="36"/>
      <c r="AM48" s="36"/>
      <c r="AN48" s="34"/>
      <c r="AO48" s="30"/>
      <c r="AP48" s="36"/>
      <c r="AQ48" s="196"/>
      <c r="AR48" s="36"/>
      <c r="AS48" s="6"/>
    </row>
    <row r="49" spans="2:45" ht="16.5" thickBot="1">
      <c r="B49" s="44">
        <v>20</v>
      </c>
      <c r="D49" s="67" t="s">
        <v>60</v>
      </c>
      <c r="H49" s="68">
        <f>SUM(H43:H45)</f>
        <v>128412.75</v>
      </c>
      <c r="I49" s="68">
        <f>SUM(I43:I45)</f>
        <v>136757.25000000003</v>
      </c>
      <c r="K49" s="68">
        <f>SUM(K43:K45)</f>
        <v>20409201.857709818</v>
      </c>
      <c r="L49" s="68">
        <f>SUM(L43:L45)</f>
        <v>4074929.2195480997</v>
      </c>
      <c r="N49" s="62">
        <f>SUM(N43:N45)</f>
        <v>236529.23528000005</v>
      </c>
      <c r="O49" s="68">
        <f>SUM(O43:O45)</f>
        <v>1825544.1868761883</v>
      </c>
      <c r="P49" s="63"/>
      <c r="Q49" s="164">
        <f>SUM(Q43:Q45)</f>
        <v>-14878.185123040932</v>
      </c>
      <c r="R49" s="63"/>
      <c r="S49" s="164">
        <f>SUM(S43:S45)</f>
        <v>-13289.961680458651</v>
      </c>
      <c r="T49" s="63"/>
      <c r="U49" s="164">
        <f>SUM(U43:U45)</f>
        <v>1588.2234425822808</v>
      </c>
      <c r="V49" s="63"/>
      <c r="W49" s="166">
        <f>U49/AA49</f>
        <v>4.6484724258815443E-3</v>
      </c>
      <c r="Y49" s="62" t="e">
        <f>SUM(Y43:Y45)</f>
        <v>#REF!</v>
      </c>
      <c r="AA49" s="69">
        <f>SUM(AA43:AA47)</f>
        <v>341665.66929373308</v>
      </c>
      <c r="AB49" s="63"/>
      <c r="AC49" s="69">
        <f>SUM(AC43:AC45)</f>
        <v>355461.83706787502</v>
      </c>
      <c r="AD49" s="63"/>
      <c r="AE49" s="62" t="e">
        <f>SUM(AE43:AE45)</f>
        <v>#REF!</v>
      </c>
      <c r="AF49" s="64" t="e">
        <f>AE49/Y49</f>
        <v>#REF!</v>
      </c>
      <c r="AG49" s="62">
        <f>SUM(AG43:AG45)</f>
        <v>5639.1677741419535</v>
      </c>
      <c r="AH49" s="64" t="e">
        <f>AG49/Y49</f>
        <v>#REF!</v>
      </c>
      <c r="AN49" s="198">
        <f>AA49/L49*100</f>
        <v>8.3845792377130657</v>
      </c>
      <c r="AO49" s="30"/>
      <c r="AQ49" s="6"/>
      <c r="AR49" s="6"/>
      <c r="AS49" s="6"/>
    </row>
    <row r="50" spans="2:45" ht="18.75" customHeight="1" thickTop="1">
      <c r="J50" s="3"/>
      <c r="AE50" s="29" t="s">
        <v>0</v>
      </c>
      <c r="AF50" s="70" t="s">
        <v>0</v>
      </c>
      <c r="AH50" s="70" t="s">
        <v>0</v>
      </c>
    </row>
    <row r="51" spans="2:45" ht="18.75" customHeight="1">
      <c r="AE51" s="199" t="s">
        <v>0</v>
      </c>
      <c r="AF51" s="168" t="s">
        <v>0</v>
      </c>
      <c r="AH51" s="70"/>
    </row>
    <row r="52" spans="2:45">
      <c r="N52" s="71"/>
      <c r="O52" s="71"/>
      <c r="P52" s="71"/>
      <c r="Q52" s="71"/>
      <c r="R52" s="71"/>
      <c r="S52" s="71"/>
      <c r="T52" s="71"/>
      <c r="U52" s="156">
        <v>-13289898</v>
      </c>
      <c r="V52" s="71"/>
      <c r="W52" s="71"/>
      <c r="Y52" s="71"/>
      <c r="Z52" s="6"/>
      <c r="AC52" s="49"/>
      <c r="AE52" s="49"/>
      <c r="AF52" s="72"/>
      <c r="AG52" s="49">
        <v>5649.1189999999997</v>
      </c>
      <c r="AH52" s="72"/>
      <c r="AI52" s="6"/>
      <c r="AK52" s="6"/>
      <c r="AL52" s="6"/>
      <c r="AM52" s="6"/>
      <c r="AN52" s="6"/>
      <c r="AO52" s="6"/>
      <c r="AP52" s="6"/>
      <c r="AQ52" s="6"/>
      <c r="AR52" s="6"/>
    </row>
    <row r="53" spans="2:45">
      <c r="U53" s="190">
        <f>ROUND(U52/O49,2)/1000</f>
        <v>-7.28E-3</v>
      </c>
      <c r="W53" s="162" t="s">
        <v>172</v>
      </c>
      <c r="Z53" s="6"/>
      <c r="AE53" s="73"/>
      <c r="AI53" s="6"/>
      <c r="AJ53" s="6"/>
      <c r="AK53" s="6"/>
      <c r="AL53" s="6"/>
      <c r="AM53" s="6"/>
      <c r="AN53" s="63"/>
      <c r="AO53" s="6"/>
      <c r="AP53" s="6"/>
      <c r="AQ53" s="6"/>
      <c r="AR53" s="6"/>
    </row>
    <row r="54" spans="2:45">
      <c r="AA54" s="35"/>
      <c r="AE54" s="74"/>
      <c r="AF54" s="75"/>
      <c r="AG54" s="74"/>
    </row>
    <row r="55" spans="2:45">
      <c r="AA55" s="6"/>
      <c r="AE55" s="76"/>
      <c r="AF55" s="77"/>
      <c r="AG55" s="76"/>
    </row>
    <row r="56" spans="2:45">
      <c r="AA56" s="25"/>
      <c r="AE56" s="78"/>
      <c r="AF56" s="79"/>
      <c r="AG56" s="78"/>
    </row>
    <row r="57" spans="2:45">
      <c r="AA57" s="80"/>
      <c r="AF57" s="42"/>
    </row>
    <row r="58" spans="2:45">
      <c r="AA58" s="3"/>
      <c r="AF58" s="81"/>
    </row>
    <row r="60" spans="2:45">
      <c r="AA60" s="25"/>
      <c r="AH60" s="50"/>
    </row>
  </sheetData>
  <mergeCells count="9">
    <mergeCell ref="U9:W9"/>
    <mergeCell ref="AG10:AJ10"/>
    <mergeCell ref="B44:D44"/>
    <mergeCell ref="B2:W2"/>
    <mergeCell ref="B3:W3"/>
    <mergeCell ref="B4:W4"/>
    <mergeCell ref="B5:W5"/>
    <mergeCell ref="B6:W6"/>
    <mergeCell ref="B7:W7"/>
  </mergeCells>
  <printOptions horizontalCentered="1"/>
  <pageMargins left="0.25" right="0.25" top="0.5" bottom="0.5" header="0.5" footer="0.25"/>
  <pageSetup scale="6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6"/>
  <sheetViews>
    <sheetView tabSelected="1" topLeftCell="B1" zoomScaleNormal="100" workbookViewId="0">
      <selection activeCell="D48" sqref="D48"/>
    </sheetView>
  </sheetViews>
  <sheetFormatPr defaultRowHeight="15.75"/>
  <cols>
    <col min="1" max="1" width="4.625" style="349" customWidth="1"/>
    <col min="2" max="2" width="28.625" style="349" bestFit="1" customWidth="1"/>
    <col min="3" max="3" width="39.125" style="349" bestFit="1" customWidth="1"/>
    <col min="4" max="4" width="13.75" style="349" bestFit="1" customWidth="1"/>
    <col min="5" max="5" width="37.625" style="349" bestFit="1" customWidth="1"/>
    <col min="6" max="6" width="16.25" style="349" bestFit="1" customWidth="1"/>
    <col min="7" max="7" width="17.875" style="349" bestFit="1" customWidth="1"/>
    <col min="8" max="8" width="14" style="349" bestFit="1" customWidth="1"/>
    <col min="9" max="9" width="9" style="349"/>
    <col min="10" max="10" width="10.875" style="349" bestFit="1" customWidth="1"/>
    <col min="11" max="251" width="9" style="349"/>
    <col min="252" max="252" width="4.625" style="349" customWidth="1"/>
    <col min="253" max="253" width="14" style="349" customWidth="1"/>
    <col min="254" max="254" width="16.25" style="349" customWidth="1"/>
    <col min="255" max="255" width="11.25" style="349" customWidth="1"/>
    <col min="256" max="256" width="36.375" style="349" customWidth="1"/>
    <col min="257" max="260" width="12.625" style="349" customWidth="1"/>
    <col min="261" max="507" width="9" style="349"/>
    <col min="508" max="508" width="4.625" style="349" customWidth="1"/>
    <col min="509" max="509" width="14" style="349" customWidth="1"/>
    <col min="510" max="510" width="16.25" style="349" customWidth="1"/>
    <col min="511" max="511" width="11.25" style="349" customWidth="1"/>
    <col min="512" max="512" width="36.375" style="349" customWidth="1"/>
    <col min="513" max="516" width="12.625" style="349" customWidth="1"/>
    <col min="517" max="763" width="9" style="349"/>
    <col min="764" max="764" width="4.625" style="349" customWidth="1"/>
    <col min="765" max="765" width="14" style="349" customWidth="1"/>
    <col min="766" max="766" width="16.25" style="349" customWidth="1"/>
    <col min="767" max="767" width="11.25" style="349" customWidth="1"/>
    <col min="768" max="768" width="36.375" style="349" customWidth="1"/>
    <col min="769" max="772" width="12.625" style="349" customWidth="1"/>
    <col min="773" max="1019" width="9" style="349"/>
    <col min="1020" max="1020" width="4.625" style="349" customWidth="1"/>
    <col min="1021" max="1021" width="14" style="349" customWidth="1"/>
    <col min="1022" max="1022" width="16.25" style="349" customWidth="1"/>
    <col min="1023" max="1023" width="11.25" style="349" customWidth="1"/>
    <col min="1024" max="1024" width="36.375" style="349" customWidth="1"/>
    <col min="1025" max="1028" width="12.625" style="349" customWidth="1"/>
    <col min="1029" max="1275" width="9" style="349"/>
    <col min="1276" max="1276" width="4.625" style="349" customWidth="1"/>
    <col min="1277" max="1277" width="14" style="349" customWidth="1"/>
    <col min="1278" max="1278" width="16.25" style="349" customWidth="1"/>
    <col min="1279" max="1279" width="11.25" style="349" customWidth="1"/>
    <col min="1280" max="1280" width="36.375" style="349" customWidth="1"/>
    <col min="1281" max="1284" width="12.625" style="349" customWidth="1"/>
    <col min="1285" max="1531" width="9" style="349"/>
    <col min="1532" max="1532" width="4.625" style="349" customWidth="1"/>
    <col min="1533" max="1533" width="14" style="349" customWidth="1"/>
    <col min="1534" max="1534" width="16.25" style="349" customWidth="1"/>
    <col min="1535" max="1535" width="11.25" style="349" customWidth="1"/>
    <col min="1536" max="1536" width="36.375" style="349" customWidth="1"/>
    <col min="1537" max="1540" width="12.625" style="349" customWidth="1"/>
    <col min="1541" max="1787" width="9" style="349"/>
    <col min="1788" max="1788" width="4.625" style="349" customWidth="1"/>
    <col min="1789" max="1789" width="14" style="349" customWidth="1"/>
    <col min="1790" max="1790" width="16.25" style="349" customWidth="1"/>
    <col min="1791" max="1791" width="11.25" style="349" customWidth="1"/>
    <col min="1792" max="1792" width="36.375" style="349" customWidth="1"/>
    <col min="1793" max="1796" width="12.625" style="349" customWidth="1"/>
    <col min="1797" max="2043" width="9" style="349"/>
    <col min="2044" max="2044" width="4.625" style="349" customWidth="1"/>
    <col min="2045" max="2045" width="14" style="349" customWidth="1"/>
    <col min="2046" max="2046" width="16.25" style="349" customWidth="1"/>
    <col min="2047" max="2047" width="11.25" style="349" customWidth="1"/>
    <col min="2048" max="2048" width="36.375" style="349" customWidth="1"/>
    <col min="2049" max="2052" width="12.625" style="349" customWidth="1"/>
    <col min="2053" max="2299" width="9" style="349"/>
    <col min="2300" max="2300" width="4.625" style="349" customWidth="1"/>
    <col min="2301" max="2301" width="14" style="349" customWidth="1"/>
    <col min="2302" max="2302" width="16.25" style="349" customWidth="1"/>
    <col min="2303" max="2303" width="11.25" style="349" customWidth="1"/>
    <col min="2304" max="2304" width="36.375" style="349" customWidth="1"/>
    <col min="2305" max="2308" width="12.625" style="349" customWidth="1"/>
    <col min="2309" max="2555" width="9" style="349"/>
    <col min="2556" max="2556" width="4.625" style="349" customWidth="1"/>
    <col min="2557" max="2557" width="14" style="349" customWidth="1"/>
    <col min="2558" max="2558" width="16.25" style="349" customWidth="1"/>
    <col min="2559" max="2559" width="11.25" style="349" customWidth="1"/>
    <col min="2560" max="2560" width="36.375" style="349" customWidth="1"/>
    <col min="2561" max="2564" width="12.625" style="349" customWidth="1"/>
    <col min="2565" max="2811" width="9" style="349"/>
    <col min="2812" max="2812" width="4.625" style="349" customWidth="1"/>
    <col min="2813" max="2813" width="14" style="349" customWidth="1"/>
    <col min="2814" max="2814" width="16.25" style="349" customWidth="1"/>
    <col min="2815" max="2815" width="11.25" style="349" customWidth="1"/>
    <col min="2816" max="2816" width="36.375" style="349" customWidth="1"/>
    <col min="2817" max="2820" width="12.625" style="349" customWidth="1"/>
    <col min="2821" max="3067" width="9" style="349"/>
    <col min="3068" max="3068" width="4.625" style="349" customWidth="1"/>
    <col min="3069" max="3069" width="14" style="349" customWidth="1"/>
    <col min="3070" max="3070" width="16.25" style="349" customWidth="1"/>
    <col min="3071" max="3071" width="11.25" style="349" customWidth="1"/>
    <col min="3072" max="3072" width="36.375" style="349" customWidth="1"/>
    <col min="3073" max="3076" width="12.625" style="349" customWidth="1"/>
    <col min="3077" max="3323" width="9" style="349"/>
    <col min="3324" max="3324" width="4.625" style="349" customWidth="1"/>
    <col min="3325" max="3325" width="14" style="349" customWidth="1"/>
    <col min="3326" max="3326" width="16.25" style="349" customWidth="1"/>
    <col min="3327" max="3327" width="11.25" style="349" customWidth="1"/>
    <col min="3328" max="3328" width="36.375" style="349" customWidth="1"/>
    <col min="3329" max="3332" width="12.625" style="349" customWidth="1"/>
    <col min="3333" max="3579" width="9" style="349"/>
    <col min="3580" max="3580" width="4.625" style="349" customWidth="1"/>
    <col min="3581" max="3581" width="14" style="349" customWidth="1"/>
    <col min="3582" max="3582" width="16.25" style="349" customWidth="1"/>
    <col min="3583" max="3583" width="11.25" style="349" customWidth="1"/>
    <col min="3584" max="3584" width="36.375" style="349" customWidth="1"/>
    <col min="3585" max="3588" width="12.625" style="349" customWidth="1"/>
    <col min="3589" max="3835" width="9" style="349"/>
    <col min="3836" max="3836" width="4.625" style="349" customWidth="1"/>
    <col min="3837" max="3837" width="14" style="349" customWidth="1"/>
    <col min="3838" max="3838" width="16.25" style="349" customWidth="1"/>
    <col min="3839" max="3839" width="11.25" style="349" customWidth="1"/>
    <col min="3840" max="3840" width="36.375" style="349" customWidth="1"/>
    <col min="3841" max="3844" width="12.625" style="349" customWidth="1"/>
    <col min="3845" max="4091" width="9" style="349"/>
    <col min="4092" max="4092" width="4.625" style="349" customWidth="1"/>
    <col min="4093" max="4093" width="14" style="349" customWidth="1"/>
    <col min="4094" max="4094" width="16.25" style="349" customWidth="1"/>
    <col min="4095" max="4095" width="11.25" style="349" customWidth="1"/>
    <col min="4096" max="4096" width="36.375" style="349" customWidth="1"/>
    <col min="4097" max="4100" width="12.625" style="349" customWidth="1"/>
    <col min="4101" max="4347" width="9" style="349"/>
    <col min="4348" max="4348" width="4.625" style="349" customWidth="1"/>
    <col min="4349" max="4349" width="14" style="349" customWidth="1"/>
    <col min="4350" max="4350" width="16.25" style="349" customWidth="1"/>
    <col min="4351" max="4351" width="11.25" style="349" customWidth="1"/>
    <col min="4352" max="4352" width="36.375" style="349" customWidth="1"/>
    <col min="4353" max="4356" width="12.625" style="349" customWidth="1"/>
    <col min="4357" max="4603" width="9" style="349"/>
    <col min="4604" max="4604" width="4.625" style="349" customWidth="1"/>
    <col min="4605" max="4605" width="14" style="349" customWidth="1"/>
    <col min="4606" max="4606" width="16.25" style="349" customWidth="1"/>
    <col min="4607" max="4607" width="11.25" style="349" customWidth="1"/>
    <col min="4608" max="4608" width="36.375" style="349" customWidth="1"/>
    <col min="4609" max="4612" width="12.625" style="349" customWidth="1"/>
    <col min="4613" max="4859" width="9" style="349"/>
    <col min="4860" max="4860" width="4.625" style="349" customWidth="1"/>
    <col min="4861" max="4861" width="14" style="349" customWidth="1"/>
    <col min="4862" max="4862" width="16.25" style="349" customWidth="1"/>
    <col min="4863" max="4863" width="11.25" style="349" customWidth="1"/>
    <col min="4864" max="4864" width="36.375" style="349" customWidth="1"/>
    <col min="4865" max="4868" width="12.625" style="349" customWidth="1"/>
    <col min="4869" max="5115" width="9" style="349"/>
    <col min="5116" max="5116" width="4.625" style="349" customWidth="1"/>
    <col min="5117" max="5117" width="14" style="349" customWidth="1"/>
    <col min="5118" max="5118" width="16.25" style="349" customWidth="1"/>
    <col min="5119" max="5119" width="11.25" style="349" customWidth="1"/>
    <col min="5120" max="5120" width="36.375" style="349" customWidth="1"/>
    <col min="5121" max="5124" width="12.625" style="349" customWidth="1"/>
    <col min="5125" max="5371" width="9" style="349"/>
    <col min="5372" max="5372" width="4.625" style="349" customWidth="1"/>
    <col min="5373" max="5373" width="14" style="349" customWidth="1"/>
    <col min="5374" max="5374" width="16.25" style="349" customWidth="1"/>
    <col min="5375" max="5375" width="11.25" style="349" customWidth="1"/>
    <col min="5376" max="5376" width="36.375" style="349" customWidth="1"/>
    <col min="5377" max="5380" width="12.625" style="349" customWidth="1"/>
    <col min="5381" max="5627" width="9" style="349"/>
    <col min="5628" max="5628" width="4.625" style="349" customWidth="1"/>
    <col min="5629" max="5629" width="14" style="349" customWidth="1"/>
    <col min="5630" max="5630" width="16.25" style="349" customWidth="1"/>
    <col min="5631" max="5631" width="11.25" style="349" customWidth="1"/>
    <col min="5632" max="5632" width="36.375" style="349" customWidth="1"/>
    <col min="5633" max="5636" width="12.625" style="349" customWidth="1"/>
    <col min="5637" max="5883" width="9" style="349"/>
    <col min="5884" max="5884" width="4.625" style="349" customWidth="1"/>
    <col min="5885" max="5885" width="14" style="349" customWidth="1"/>
    <col min="5886" max="5886" width="16.25" style="349" customWidth="1"/>
    <col min="5887" max="5887" width="11.25" style="349" customWidth="1"/>
    <col min="5888" max="5888" width="36.375" style="349" customWidth="1"/>
    <col min="5889" max="5892" width="12.625" style="349" customWidth="1"/>
    <col min="5893" max="6139" width="9" style="349"/>
    <col min="6140" max="6140" width="4.625" style="349" customWidth="1"/>
    <col min="6141" max="6141" width="14" style="349" customWidth="1"/>
    <col min="6142" max="6142" width="16.25" style="349" customWidth="1"/>
    <col min="6143" max="6143" width="11.25" style="349" customWidth="1"/>
    <col min="6144" max="6144" width="36.375" style="349" customWidth="1"/>
    <col min="6145" max="6148" width="12.625" style="349" customWidth="1"/>
    <col min="6149" max="6395" width="9" style="349"/>
    <col min="6396" max="6396" width="4.625" style="349" customWidth="1"/>
    <col min="6397" max="6397" width="14" style="349" customWidth="1"/>
    <col min="6398" max="6398" width="16.25" style="349" customWidth="1"/>
    <col min="6399" max="6399" width="11.25" style="349" customWidth="1"/>
    <col min="6400" max="6400" width="36.375" style="349" customWidth="1"/>
    <col min="6401" max="6404" width="12.625" style="349" customWidth="1"/>
    <col min="6405" max="6651" width="9" style="349"/>
    <col min="6652" max="6652" width="4.625" style="349" customWidth="1"/>
    <col min="6653" max="6653" width="14" style="349" customWidth="1"/>
    <col min="6654" max="6654" width="16.25" style="349" customWidth="1"/>
    <col min="6655" max="6655" width="11.25" style="349" customWidth="1"/>
    <col min="6656" max="6656" width="36.375" style="349" customWidth="1"/>
    <col min="6657" max="6660" width="12.625" style="349" customWidth="1"/>
    <col min="6661" max="6907" width="9" style="349"/>
    <col min="6908" max="6908" width="4.625" style="349" customWidth="1"/>
    <col min="6909" max="6909" width="14" style="349" customWidth="1"/>
    <col min="6910" max="6910" width="16.25" style="349" customWidth="1"/>
    <col min="6911" max="6911" width="11.25" style="349" customWidth="1"/>
    <col min="6912" max="6912" width="36.375" style="349" customWidth="1"/>
    <col min="6913" max="6916" width="12.625" style="349" customWidth="1"/>
    <col min="6917" max="7163" width="9" style="349"/>
    <col min="7164" max="7164" width="4.625" style="349" customWidth="1"/>
    <col min="7165" max="7165" width="14" style="349" customWidth="1"/>
    <col min="7166" max="7166" width="16.25" style="349" customWidth="1"/>
    <col min="7167" max="7167" width="11.25" style="349" customWidth="1"/>
    <col min="7168" max="7168" width="36.375" style="349" customWidth="1"/>
    <col min="7169" max="7172" width="12.625" style="349" customWidth="1"/>
    <col min="7173" max="7419" width="9" style="349"/>
    <col min="7420" max="7420" width="4.625" style="349" customWidth="1"/>
    <col min="7421" max="7421" width="14" style="349" customWidth="1"/>
    <col min="7422" max="7422" width="16.25" style="349" customWidth="1"/>
    <col min="7423" max="7423" width="11.25" style="349" customWidth="1"/>
    <col min="7424" max="7424" width="36.375" style="349" customWidth="1"/>
    <col min="7425" max="7428" width="12.625" style="349" customWidth="1"/>
    <col min="7429" max="7675" width="9" style="349"/>
    <col min="7676" max="7676" width="4.625" style="349" customWidth="1"/>
    <col min="7677" max="7677" width="14" style="349" customWidth="1"/>
    <col min="7678" max="7678" width="16.25" style="349" customWidth="1"/>
    <col min="7679" max="7679" width="11.25" style="349" customWidth="1"/>
    <col min="7680" max="7680" width="36.375" style="349" customWidth="1"/>
    <col min="7681" max="7684" width="12.625" style="349" customWidth="1"/>
    <col min="7685" max="7931" width="9" style="349"/>
    <col min="7932" max="7932" width="4.625" style="349" customWidth="1"/>
    <col min="7933" max="7933" width="14" style="349" customWidth="1"/>
    <col min="7934" max="7934" width="16.25" style="349" customWidth="1"/>
    <col min="7935" max="7935" width="11.25" style="349" customWidth="1"/>
    <col min="7936" max="7936" width="36.375" style="349" customWidth="1"/>
    <col min="7937" max="7940" width="12.625" style="349" customWidth="1"/>
    <col min="7941" max="8187" width="9" style="349"/>
    <col min="8188" max="8188" width="4.625" style="349" customWidth="1"/>
    <col min="8189" max="8189" width="14" style="349" customWidth="1"/>
    <col min="8190" max="8190" width="16.25" style="349" customWidth="1"/>
    <col min="8191" max="8191" width="11.25" style="349" customWidth="1"/>
    <col min="8192" max="8192" width="36.375" style="349" customWidth="1"/>
    <col min="8193" max="8196" width="12.625" style="349" customWidth="1"/>
    <col min="8197" max="8443" width="9" style="349"/>
    <col min="8444" max="8444" width="4.625" style="349" customWidth="1"/>
    <col min="8445" max="8445" width="14" style="349" customWidth="1"/>
    <col min="8446" max="8446" width="16.25" style="349" customWidth="1"/>
    <col min="8447" max="8447" width="11.25" style="349" customWidth="1"/>
    <col min="8448" max="8448" width="36.375" style="349" customWidth="1"/>
    <col min="8449" max="8452" width="12.625" style="349" customWidth="1"/>
    <col min="8453" max="8699" width="9" style="349"/>
    <col min="8700" max="8700" width="4.625" style="349" customWidth="1"/>
    <col min="8701" max="8701" width="14" style="349" customWidth="1"/>
    <col min="8702" max="8702" width="16.25" style="349" customWidth="1"/>
    <col min="8703" max="8703" width="11.25" style="349" customWidth="1"/>
    <col min="8704" max="8704" width="36.375" style="349" customWidth="1"/>
    <col min="8705" max="8708" width="12.625" style="349" customWidth="1"/>
    <col min="8709" max="8955" width="9" style="349"/>
    <col min="8956" max="8956" width="4.625" style="349" customWidth="1"/>
    <col min="8957" max="8957" width="14" style="349" customWidth="1"/>
    <col min="8958" max="8958" width="16.25" style="349" customWidth="1"/>
    <col min="8959" max="8959" width="11.25" style="349" customWidth="1"/>
    <col min="8960" max="8960" width="36.375" style="349" customWidth="1"/>
    <col min="8961" max="8964" width="12.625" style="349" customWidth="1"/>
    <col min="8965" max="9211" width="9" style="349"/>
    <col min="9212" max="9212" width="4.625" style="349" customWidth="1"/>
    <col min="9213" max="9213" width="14" style="349" customWidth="1"/>
    <col min="9214" max="9214" width="16.25" style="349" customWidth="1"/>
    <col min="9215" max="9215" width="11.25" style="349" customWidth="1"/>
    <col min="9216" max="9216" width="36.375" style="349" customWidth="1"/>
    <col min="9217" max="9220" width="12.625" style="349" customWidth="1"/>
    <col min="9221" max="9467" width="9" style="349"/>
    <col min="9468" max="9468" width="4.625" style="349" customWidth="1"/>
    <col min="9469" max="9469" width="14" style="349" customWidth="1"/>
    <col min="9470" max="9470" width="16.25" style="349" customWidth="1"/>
    <col min="9471" max="9471" width="11.25" style="349" customWidth="1"/>
    <col min="9472" max="9472" width="36.375" style="349" customWidth="1"/>
    <col min="9473" max="9476" width="12.625" style="349" customWidth="1"/>
    <col min="9477" max="9723" width="9" style="349"/>
    <col min="9724" max="9724" width="4.625" style="349" customWidth="1"/>
    <col min="9725" max="9725" width="14" style="349" customWidth="1"/>
    <col min="9726" max="9726" width="16.25" style="349" customWidth="1"/>
    <col min="9727" max="9727" width="11.25" style="349" customWidth="1"/>
    <col min="9728" max="9728" width="36.375" style="349" customWidth="1"/>
    <col min="9729" max="9732" width="12.625" style="349" customWidth="1"/>
    <col min="9733" max="9979" width="9" style="349"/>
    <col min="9980" max="9980" width="4.625" style="349" customWidth="1"/>
    <col min="9981" max="9981" width="14" style="349" customWidth="1"/>
    <col min="9982" max="9982" width="16.25" style="349" customWidth="1"/>
    <col min="9983" max="9983" width="11.25" style="349" customWidth="1"/>
    <col min="9984" max="9984" width="36.375" style="349" customWidth="1"/>
    <col min="9985" max="9988" width="12.625" style="349" customWidth="1"/>
    <col min="9989" max="10235" width="9" style="349"/>
    <col min="10236" max="10236" width="4.625" style="349" customWidth="1"/>
    <col min="10237" max="10237" width="14" style="349" customWidth="1"/>
    <col min="10238" max="10238" width="16.25" style="349" customWidth="1"/>
    <col min="10239" max="10239" width="11.25" style="349" customWidth="1"/>
    <col min="10240" max="10240" width="36.375" style="349" customWidth="1"/>
    <col min="10241" max="10244" width="12.625" style="349" customWidth="1"/>
    <col min="10245" max="10491" width="9" style="349"/>
    <col min="10492" max="10492" width="4.625" style="349" customWidth="1"/>
    <col min="10493" max="10493" width="14" style="349" customWidth="1"/>
    <col min="10494" max="10494" width="16.25" style="349" customWidth="1"/>
    <col min="10495" max="10495" width="11.25" style="349" customWidth="1"/>
    <col min="10496" max="10496" width="36.375" style="349" customWidth="1"/>
    <col min="10497" max="10500" width="12.625" style="349" customWidth="1"/>
    <col min="10501" max="10747" width="9" style="349"/>
    <col min="10748" max="10748" width="4.625" style="349" customWidth="1"/>
    <col min="10749" max="10749" width="14" style="349" customWidth="1"/>
    <col min="10750" max="10750" width="16.25" style="349" customWidth="1"/>
    <col min="10751" max="10751" width="11.25" style="349" customWidth="1"/>
    <col min="10752" max="10752" width="36.375" style="349" customWidth="1"/>
    <col min="10753" max="10756" width="12.625" style="349" customWidth="1"/>
    <col min="10757" max="11003" width="9" style="349"/>
    <col min="11004" max="11004" width="4.625" style="349" customWidth="1"/>
    <col min="11005" max="11005" width="14" style="349" customWidth="1"/>
    <col min="11006" max="11006" width="16.25" style="349" customWidth="1"/>
    <col min="11007" max="11007" width="11.25" style="349" customWidth="1"/>
    <col min="11008" max="11008" width="36.375" style="349" customWidth="1"/>
    <col min="11009" max="11012" width="12.625" style="349" customWidth="1"/>
    <col min="11013" max="11259" width="9" style="349"/>
    <col min="11260" max="11260" width="4.625" style="349" customWidth="1"/>
    <col min="11261" max="11261" width="14" style="349" customWidth="1"/>
    <col min="11262" max="11262" width="16.25" style="349" customWidth="1"/>
    <col min="11263" max="11263" width="11.25" style="349" customWidth="1"/>
    <col min="11264" max="11264" width="36.375" style="349" customWidth="1"/>
    <col min="11265" max="11268" width="12.625" style="349" customWidth="1"/>
    <col min="11269" max="11515" width="9" style="349"/>
    <col min="11516" max="11516" width="4.625" style="349" customWidth="1"/>
    <col min="11517" max="11517" width="14" style="349" customWidth="1"/>
    <col min="11518" max="11518" width="16.25" style="349" customWidth="1"/>
    <col min="11519" max="11519" width="11.25" style="349" customWidth="1"/>
    <col min="11520" max="11520" width="36.375" style="349" customWidth="1"/>
    <col min="11521" max="11524" width="12.625" style="349" customWidth="1"/>
    <col min="11525" max="11771" width="9" style="349"/>
    <col min="11772" max="11772" width="4.625" style="349" customWidth="1"/>
    <col min="11773" max="11773" width="14" style="349" customWidth="1"/>
    <col min="11774" max="11774" width="16.25" style="349" customWidth="1"/>
    <col min="11775" max="11775" width="11.25" style="349" customWidth="1"/>
    <col min="11776" max="11776" width="36.375" style="349" customWidth="1"/>
    <col min="11777" max="11780" width="12.625" style="349" customWidth="1"/>
    <col min="11781" max="12027" width="9" style="349"/>
    <col min="12028" max="12028" width="4.625" style="349" customWidth="1"/>
    <col min="12029" max="12029" width="14" style="349" customWidth="1"/>
    <col min="12030" max="12030" width="16.25" style="349" customWidth="1"/>
    <col min="12031" max="12031" width="11.25" style="349" customWidth="1"/>
    <col min="12032" max="12032" width="36.375" style="349" customWidth="1"/>
    <col min="12033" max="12036" width="12.625" style="349" customWidth="1"/>
    <col min="12037" max="12283" width="9" style="349"/>
    <col min="12284" max="12284" width="4.625" style="349" customWidth="1"/>
    <col min="12285" max="12285" width="14" style="349" customWidth="1"/>
    <col min="12286" max="12286" width="16.25" style="349" customWidth="1"/>
    <col min="12287" max="12287" width="11.25" style="349" customWidth="1"/>
    <col min="12288" max="12288" width="36.375" style="349" customWidth="1"/>
    <col min="12289" max="12292" width="12.625" style="349" customWidth="1"/>
    <col min="12293" max="12539" width="9" style="349"/>
    <col min="12540" max="12540" width="4.625" style="349" customWidth="1"/>
    <col min="12541" max="12541" width="14" style="349" customWidth="1"/>
    <col min="12542" max="12542" width="16.25" style="349" customWidth="1"/>
    <col min="12543" max="12543" width="11.25" style="349" customWidth="1"/>
    <col min="12544" max="12544" width="36.375" style="349" customWidth="1"/>
    <col min="12545" max="12548" width="12.625" style="349" customWidth="1"/>
    <col min="12549" max="12795" width="9" style="349"/>
    <col min="12796" max="12796" width="4.625" style="349" customWidth="1"/>
    <col min="12797" max="12797" width="14" style="349" customWidth="1"/>
    <col min="12798" max="12798" width="16.25" style="349" customWidth="1"/>
    <col min="12799" max="12799" width="11.25" style="349" customWidth="1"/>
    <col min="12800" max="12800" width="36.375" style="349" customWidth="1"/>
    <col min="12801" max="12804" width="12.625" style="349" customWidth="1"/>
    <col min="12805" max="13051" width="9" style="349"/>
    <col min="13052" max="13052" width="4.625" style="349" customWidth="1"/>
    <col min="13053" max="13053" width="14" style="349" customWidth="1"/>
    <col min="13054" max="13054" width="16.25" style="349" customWidth="1"/>
    <col min="13055" max="13055" width="11.25" style="349" customWidth="1"/>
    <col min="13056" max="13056" width="36.375" style="349" customWidth="1"/>
    <col min="13057" max="13060" width="12.625" style="349" customWidth="1"/>
    <col min="13061" max="13307" width="9" style="349"/>
    <col min="13308" max="13308" width="4.625" style="349" customWidth="1"/>
    <col min="13309" max="13309" width="14" style="349" customWidth="1"/>
    <col min="13310" max="13310" width="16.25" style="349" customWidth="1"/>
    <col min="13311" max="13311" width="11.25" style="349" customWidth="1"/>
    <col min="13312" max="13312" width="36.375" style="349" customWidth="1"/>
    <col min="13313" max="13316" width="12.625" style="349" customWidth="1"/>
    <col min="13317" max="13563" width="9" style="349"/>
    <col min="13564" max="13564" width="4.625" style="349" customWidth="1"/>
    <col min="13565" max="13565" width="14" style="349" customWidth="1"/>
    <col min="13566" max="13566" width="16.25" style="349" customWidth="1"/>
    <col min="13567" max="13567" width="11.25" style="349" customWidth="1"/>
    <col min="13568" max="13568" width="36.375" style="349" customWidth="1"/>
    <col min="13569" max="13572" width="12.625" style="349" customWidth="1"/>
    <col min="13573" max="13819" width="9" style="349"/>
    <col min="13820" max="13820" width="4.625" style="349" customWidth="1"/>
    <col min="13821" max="13821" width="14" style="349" customWidth="1"/>
    <col min="13822" max="13822" width="16.25" style="349" customWidth="1"/>
    <col min="13823" max="13823" width="11.25" style="349" customWidth="1"/>
    <col min="13824" max="13824" width="36.375" style="349" customWidth="1"/>
    <col min="13825" max="13828" width="12.625" style="349" customWidth="1"/>
    <col min="13829" max="14075" width="9" style="349"/>
    <col min="14076" max="14076" width="4.625" style="349" customWidth="1"/>
    <col min="14077" max="14077" width="14" style="349" customWidth="1"/>
    <col min="14078" max="14078" width="16.25" style="349" customWidth="1"/>
    <col min="14079" max="14079" width="11.25" style="349" customWidth="1"/>
    <col min="14080" max="14080" width="36.375" style="349" customWidth="1"/>
    <col min="14081" max="14084" width="12.625" style="349" customWidth="1"/>
    <col min="14085" max="14331" width="9" style="349"/>
    <col min="14332" max="14332" width="4.625" style="349" customWidth="1"/>
    <col min="14333" max="14333" width="14" style="349" customWidth="1"/>
    <col min="14334" max="14334" width="16.25" style="349" customWidth="1"/>
    <col min="14335" max="14335" width="11.25" style="349" customWidth="1"/>
    <col min="14336" max="14336" width="36.375" style="349" customWidth="1"/>
    <col min="14337" max="14340" width="12.625" style="349" customWidth="1"/>
    <col min="14341" max="14587" width="9" style="349"/>
    <col min="14588" max="14588" width="4.625" style="349" customWidth="1"/>
    <col min="14589" max="14589" width="14" style="349" customWidth="1"/>
    <col min="14590" max="14590" width="16.25" style="349" customWidth="1"/>
    <col min="14591" max="14591" width="11.25" style="349" customWidth="1"/>
    <col min="14592" max="14592" width="36.375" style="349" customWidth="1"/>
    <col min="14593" max="14596" width="12.625" style="349" customWidth="1"/>
    <col min="14597" max="14843" width="9" style="349"/>
    <col min="14844" max="14844" width="4.625" style="349" customWidth="1"/>
    <col min="14845" max="14845" width="14" style="349" customWidth="1"/>
    <col min="14846" max="14846" width="16.25" style="349" customWidth="1"/>
    <col min="14847" max="14847" width="11.25" style="349" customWidth="1"/>
    <col min="14848" max="14848" width="36.375" style="349" customWidth="1"/>
    <col min="14849" max="14852" width="12.625" style="349" customWidth="1"/>
    <col min="14853" max="15099" width="9" style="349"/>
    <col min="15100" max="15100" width="4.625" style="349" customWidth="1"/>
    <col min="15101" max="15101" width="14" style="349" customWidth="1"/>
    <col min="15102" max="15102" width="16.25" style="349" customWidth="1"/>
    <col min="15103" max="15103" width="11.25" style="349" customWidth="1"/>
    <col min="15104" max="15104" width="36.375" style="349" customWidth="1"/>
    <col min="15105" max="15108" width="12.625" style="349" customWidth="1"/>
    <col min="15109" max="15355" width="9" style="349"/>
    <col min="15356" max="15356" width="4.625" style="349" customWidth="1"/>
    <col min="15357" max="15357" width="14" style="349" customWidth="1"/>
    <col min="15358" max="15358" width="16.25" style="349" customWidth="1"/>
    <col min="15359" max="15359" width="11.25" style="349" customWidth="1"/>
    <col min="15360" max="15360" width="36.375" style="349" customWidth="1"/>
    <col min="15361" max="15364" width="12.625" style="349" customWidth="1"/>
    <col min="15365" max="15611" width="9" style="349"/>
    <col min="15612" max="15612" width="4.625" style="349" customWidth="1"/>
    <col min="15613" max="15613" width="14" style="349" customWidth="1"/>
    <col min="15614" max="15614" width="16.25" style="349" customWidth="1"/>
    <col min="15615" max="15615" width="11.25" style="349" customWidth="1"/>
    <col min="15616" max="15616" width="36.375" style="349" customWidth="1"/>
    <col min="15617" max="15620" width="12.625" style="349" customWidth="1"/>
    <col min="15621" max="15867" width="9" style="349"/>
    <col min="15868" max="15868" width="4.625" style="349" customWidth="1"/>
    <col min="15869" max="15869" width="14" style="349" customWidth="1"/>
    <col min="15870" max="15870" width="16.25" style="349" customWidth="1"/>
    <col min="15871" max="15871" width="11.25" style="349" customWidth="1"/>
    <col min="15872" max="15872" width="36.375" style="349" customWidth="1"/>
    <col min="15873" max="15876" width="12.625" style="349" customWidth="1"/>
    <col min="15877" max="16123" width="9" style="349"/>
    <col min="16124" max="16124" width="4.625" style="349" customWidth="1"/>
    <col min="16125" max="16125" width="14" style="349" customWidth="1"/>
    <col min="16126" max="16126" width="16.25" style="349" customWidth="1"/>
    <col min="16127" max="16127" width="11.25" style="349" customWidth="1"/>
    <col min="16128" max="16128" width="36.375" style="349" customWidth="1"/>
    <col min="16129" max="16132" width="12.625" style="349" customWidth="1"/>
    <col min="16133" max="16384" width="9" style="349"/>
  </cols>
  <sheetData>
    <row r="1" spans="2:10" s="360" customFormat="1" ht="8.65" customHeight="1"/>
    <row r="2" spans="2:10" s="360" customFormat="1" ht="30.95" customHeight="1">
      <c r="C2" s="361" t="s">
        <v>242</v>
      </c>
    </row>
    <row r="3" spans="2:10" s="360" customFormat="1" ht="18" customHeight="1"/>
    <row r="4" spans="2:10" s="360" customFormat="1" ht="23.45" customHeight="1">
      <c r="B4" s="362" t="s">
        <v>243</v>
      </c>
      <c r="C4" s="362" t="s">
        <v>244</v>
      </c>
      <c r="D4" s="362" t="s">
        <v>245</v>
      </c>
      <c r="E4" s="362" t="s">
        <v>246</v>
      </c>
      <c r="F4" s="362" t="s">
        <v>247</v>
      </c>
      <c r="G4" s="362" t="s">
        <v>248</v>
      </c>
      <c r="H4" s="362" t="s">
        <v>249</v>
      </c>
      <c r="I4" s="360" t="s">
        <v>250</v>
      </c>
      <c r="J4" s="360" t="s">
        <v>251</v>
      </c>
    </row>
    <row r="5" spans="2:10" s="360" customFormat="1" ht="19.5" customHeight="1">
      <c r="B5" s="352" t="s">
        <v>252</v>
      </c>
      <c r="C5" s="360" t="s">
        <v>120</v>
      </c>
      <c r="D5" s="352" t="s">
        <v>118</v>
      </c>
      <c r="E5" s="352" t="s">
        <v>219</v>
      </c>
      <c r="F5" s="354">
        <v>5737.35</v>
      </c>
      <c r="G5" s="355">
        <v>0</v>
      </c>
      <c r="H5" s="353">
        <v>0</v>
      </c>
      <c r="I5" s="360" t="s">
        <v>147</v>
      </c>
      <c r="J5" s="360" t="str">
        <f>IF(Table22[[#This Row],[Rate Group Cd]]="B",IF(OR(Table22[[#This Row],[Code]]="bpa",Table22[[#This Row],[Code]]="bpaadj"),Table22[[#This Row],[Code]],"b"&amp;Table22[[#This Row],[Code]]),Table22[[#This Row],[Code]])</f>
        <v>bpa</v>
      </c>
    </row>
    <row r="6" spans="2:10" s="360" customFormat="1" ht="19.5" customHeight="1">
      <c r="B6" s="352" t="s">
        <v>252</v>
      </c>
      <c r="C6" s="360" t="s">
        <v>120</v>
      </c>
      <c r="D6" s="352" t="s">
        <v>118</v>
      </c>
      <c r="E6" s="352" t="s">
        <v>119</v>
      </c>
      <c r="F6" s="354">
        <v>-231946.29</v>
      </c>
      <c r="G6" s="355">
        <v>18121</v>
      </c>
      <c r="H6" s="353">
        <v>28459595</v>
      </c>
      <c r="I6" s="360">
        <v>24</v>
      </c>
      <c r="J6" s="360" t="str">
        <f>IF(Table22[[#This Row],[Rate Group Cd]]="B",IF(OR(Table22[[#This Row],[Code]]="bpa",Table22[[#This Row],[Code]]="bpaadj"),Table22[[#This Row],[Code]],"b"&amp;Table22[[#This Row],[Code]]),Table22[[#This Row],[Code]])</f>
        <v>b24</v>
      </c>
    </row>
    <row r="7" spans="2:10" s="360" customFormat="1" ht="19.5" customHeight="1">
      <c r="B7" s="352" t="s">
        <v>252</v>
      </c>
      <c r="C7" s="360" t="s">
        <v>120</v>
      </c>
      <c r="D7" s="352" t="s">
        <v>118</v>
      </c>
      <c r="E7" s="352" t="s">
        <v>123</v>
      </c>
      <c r="F7" s="354">
        <v>-1448.21</v>
      </c>
      <c r="G7" s="355">
        <v>911</v>
      </c>
      <c r="H7" s="353">
        <v>177690</v>
      </c>
      <c r="I7" s="360" t="s">
        <v>154</v>
      </c>
      <c r="J7" s="360" t="str">
        <f>IF(Table22[[#This Row],[Rate Group Cd]]="B",IF(OR(Table22[[#This Row],[Code]]="bpa",Table22[[#This Row],[Code]]="bpaadj"),Table22[[#This Row],[Code]],"b"&amp;Table22[[#This Row],[Code]]),Table22[[#This Row],[Code]])</f>
        <v>b24fp</v>
      </c>
    </row>
    <row r="8" spans="2:10" s="360" customFormat="1" ht="19.5" customHeight="1">
      <c r="B8" s="352" t="s">
        <v>252</v>
      </c>
      <c r="C8" s="360" t="s">
        <v>120</v>
      </c>
      <c r="D8" s="352" t="s">
        <v>118</v>
      </c>
      <c r="E8" s="352" t="s">
        <v>124</v>
      </c>
      <c r="F8" s="354">
        <v>-477761.81</v>
      </c>
      <c r="G8" s="355">
        <v>1147</v>
      </c>
      <c r="H8" s="353">
        <v>58621056</v>
      </c>
      <c r="I8" s="360">
        <v>36</v>
      </c>
      <c r="J8" s="360" t="str">
        <f>IF(Table22[[#This Row],[Rate Group Cd]]="B",IF(OR(Table22[[#This Row],[Code]]="bpa",Table22[[#This Row],[Code]]="bpaadj"),Table22[[#This Row],[Code]],"b"&amp;Table22[[#This Row],[Code]]),Table22[[#This Row],[Code]])</f>
        <v>b36</v>
      </c>
    </row>
    <row r="9" spans="2:10" s="360" customFormat="1" ht="19.5" customHeight="1">
      <c r="B9" s="352" t="s">
        <v>252</v>
      </c>
      <c r="C9" s="360" t="s">
        <v>120</v>
      </c>
      <c r="D9" s="352" t="s">
        <v>118</v>
      </c>
      <c r="E9" s="352" t="s">
        <v>127</v>
      </c>
      <c r="F9" s="354">
        <v>-4163.09</v>
      </c>
      <c r="G9" s="355"/>
      <c r="H9" s="353">
        <v>509800</v>
      </c>
      <c r="I9" s="360" t="s">
        <v>153</v>
      </c>
      <c r="J9" s="360" t="str">
        <f>IF(Table22[[#This Row],[Rate Group Cd]]="B",IF(OR(Table22[[#This Row],[Code]]="bpa",Table22[[#This Row],[Code]]="bpaadj"),Table22[[#This Row],[Code]],"b"&amp;Table22[[#This Row],[Code]]),Table22[[#This Row],[Code]])</f>
        <v>b15n</v>
      </c>
    </row>
    <row r="10" spans="2:10" s="360" customFormat="1" ht="19.5" customHeight="1">
      <c r="B10" s="352" t="s">
        <v>252</v>
      </c>
      <c r="C10" s="360" t="s">
        <v>120</v>
      </c>
      <c r="D10" s="352" t="s">
        <v>118</v>
      </c>
      <c r="E10" s="352" t="s">
        <v>122</v>
      </c>
      <c r="F10" s="354">
        <v>-7.08</v>
      </c>
      <c r="G10" s="355">
        <v>12</v>
      </c>
      <c r="H10" s="353">
        <v>864</v>
      </c>
      <c r="I10" s="360" t="s">
        <v>150</v>
      </c>
      <c r="J10" s="360" t="str">
        <f>IF(Table22[[#This Row],[Rate Group Cd]]="B",IF(OR(Table22[[#This Row],[Code]]="bpa",Table22[[#This Row],[Code]]="bpaadj"),Table22[[#This Row],[Code]],"b"&amp;Table22[[#This Row],[Code]]),Table22[[#This Row],[Code]])</f>
        <v>b24f</v>
      </c>
    </row>
    <row r="11" spans="2:10" s="360" customFormat="1" ht="19.5" customHeight="1">
      <c r="B11" s="352" t="s">
        <v>252</v>
      </c>
      <c r="C11" s="360" t="s">
        <v>120</v>
      </c>
      <c r="D11" s="352" t="s">
        <v>118</v>
      </c>
      <c r="E11" s="352" t="s">
        <v>239</v>
      </c>
      <c r="F11" s="354">
        <v>-1635.11</v>
      </c>
      <c r="G11" s="355">
        <v>275</v>
      </c>
      <c r="H11" s="353">
        <v>200623</v>
      </c>
      <c r="I11" s="360">
        <v>24</v>
      </c>
      <c r="J11" s="360" t="str">
        <f>IF(Table22[[#This Row],[Rate Group Cd]]="B",IF(OR(Table22[[#This Row],[Code]]="bpa",Table22[[#This Row],[Code]]="bpaadj"),Table22[[#This Row],[Code]],"b"&amp;Table22[[#This Row],[Code]]),Table22[[#This Row],[Code]])</f>
        <v>b24</v>
      </c>
    </row>
    <row r="12" spans="2:10" s="360" customFormat="1" ht="19.5" customHeight="1">
      <c r="B12" s="352" t="s">
        <v>252</v>
      </c>
      <c r="C12" s="360" t="s">
        <v>120</v>
      </c>
      <c r="D12" s="352" t="s">
        <v>118</v>
      </c>
      <c r="E12" s="352" t="s">
        <v>220</v>
      </c>
      <c r="F12" s="354"/>
      <c r="G12" s="355">
        <v>0</v>
      </c>
      <c r="H12" s="353"/>
      <c r="I12" s="360">
        <v>0</v>
      </c>
      <c r="J12" s="360" t="str">
        <f>IF(Table22[[#This Row],[Rate Group Cd]]="B",IF(OR(Table22[[#This Row],[Code]]="bpa",Table22[[#This Row],[Code]]="bpaadj"),Table22[[#This Row],[Code]],"b"&amp;Table22[[#This Row],[Code]]),Table22[[#This Row],[Code]])</f>
        <v>b0</v>
      </c>
    </row>
    <row r="13" spans="2:10" s="360" customFormat="1" ht="19.5" customHeight="1">
      <c r="B13" s="352" t="s">
        <v>252</v>
      </c>
      <c r="C13" s="360" t="s">
        <v>121</v>
      </c>
      <c r="D13" s="352" t="s">
        <v>118</v>
      </c>
      <c r="E13" s="352" t="s">
        <v>219</v>
      </c>
      <c r="F13" s="354">
        <v>-383.04</v>
      </c>
      <c r="G13" s="355">
        <v>0</v>
      </c>
      <c r="H13" s="353">
        <v>0</v>
      </c>
      <c r="I13" s="360" t="s">
        <v>147</v>
      </c>
      <c r="J13" s="360" t="str">
        <f>IF(Table22[[#This Row],[Rate Group Cd]]="B",IF(OR(Table22[[#This Row],[Code]]="bpa",Table22[[#This Row],[Code]]="bpaadj"),Table22[[#This Row],[Code]],"b"&amp;Table22[[#This Row],[Code]]),Table22[[#This Row],[Code]])</f>
        <v>bpa</v>
      </c>
    </row>
    <row r="14" spans="2:10" s="360" customFormat="1" ht="19.5" customHeight="1">
      <c r="B14" s="352" t="s">
        <v>252</v>
      </c>
      <c r="C14" s="360" t="s">
        <v>121</v>
      </c>
      <c r="D14" s="352" t="s">
        <v>118</v>
      </c>
      <c r="E14" s="352" t="s">
        <v>119</v>
      </c>
      <c r="F14" s="354">
        <v>-8275.94</v>
      </c>
      <c r="G14" s="355">
        <v>520</v>
      </c>
      <c r="H14" s="353">
        <v>1015427</v>
      </c>
      <c r="I14" s="360">
        <v>24</v>
      </c>
      <c r="J14" s="360" t="str">
        <f>IF(Table22[[#This Row],[Rate Group Cd]]="B",IF(OR(Table22[[#This Row],[Code]]="bpa",Table22[[#This Row],[Code]]="bpaadj"),Table22[[#This Row],[Code]],"b"&amp;Table22[[#This Row],[Code]]),Table22[[#This Row],[Code]])</f>
        <v>b24</v>
      </c>
    </row>
    <row r="15" spans="2:10" s="360" customFormat="1" ht="19.5" customHeight="1">
      <c r="B15" s="352" t="s">
        <v>252</v>
      </c>
      <c r="C15" s="360" t="s">
        <v>121</v>
      </c>
      <c r="D15" s="352" t="s">
        <v>118</v>
      </c>
      <c r="E15" s="352" t="s">
        <v>123</v>
      </c>
      <c r="F15" s="354">
        <v>-52.29</v>
      </c>
      <c r="G15" s="355">
        <v>12</v>
      </c>
      <c r="H15" s="353">
        <v>6416</v>
      </c>
      <c r="I15" s="360" t="s">
        <v>154</v>
      </c>
      <c r="J15" s="360" t="str">
        <f>IF(Table22[[#This Row],[Rate Group Cd]]="B",IF(OR(Table22[[#This Row],[Code]]="bpa",Table22[[#This Row],[Code]]="bpaadj"),Table22[[#This Row],[Code]],"b"&amp;Table22[[#This Row],[Code]]),Table22[[#This Row],[Code]])</f>
        <v>b24fp</v>
      </c>
    </row>
    <row r="16" spans="2:10" s="360" customFormat="1" ht="19.5" customHeight="1">
      <c r="B16" s="352" t="s">
        <v>252</v>
      </c>
      <c r="C16" s="360" t="s">
        <v>121</v>
      </c>
      <c r="D16" s="352" t="s">
        <v>118</v>
      </c>
      <c r="E16" s="352" t="s">
        <v>124</v>
      </c>
      <c r="F16" s="354">
        <v>-10896.55</v>
      </c>
      <c r="G16" s="355">
        <v>105</v>
      </c>
      <c r="H16" s="353">
        <v>1337000</v>
      </c>
      <c r="I16" s="360">
        <v>36</v>
      </c>
      <c r="J16" s="360" t="str">
        <f>IF(Table22[[#This Row],[Rate Group Cd]]="B",IF(OR(Table22[[#This Row],[Code]]="bpa",Table22[[#This Row],[Code]]="bpaadj"),Table22[[#This Row],[Code]],"b"&amp;Table22[[#This Row],[Code]]),Table22[[#This Row],[Code]])</f>
        <v>b36</v>
      </c>
    </row>
    <row r="17" spans="2:10" s="360" customFormat="1" ht="19.5" customHeight="1">
      <c r="B17" s="352" t="s">
        <v>252</v>
      </c>
      <c r="C17" s="360" t="s">
        <v>121</v>
      </c>
      <c r="D17" s="352" t="s">
        <v>118</v>
      </c>
      <c r="E17" s="352" t="s">
        <v>127</v>
      </c>
      <c r="F17" s="354">
        <v>-217.8</v>
      </c>
      <c r="G17" s="355"/>
      <c r="H17" s="353">
        <v>26736</v>
      </c>
      <c r="I17" s="360" t="s">
        <v>153</v>
      </c>
      <c r="J17" s="360" t="str">
        <f>IF(Table22[[#This Row],[Rate Group Cd]]="B",IF(OR(Table22[[#This Row],[Code]]="bpa",Table22[[#This Row],[Code]]="bpaadj"),Table22[[#This Row],[Code]],"b"&amp;Table22[[#This Row],[Code]]),Table22[[#This Row],[Code]])</f>
        <v>b15n</v>
      </c>
    </row>
    <row r="18" spans="2:10" s="360" customFormat="1" ht="19.5" customHeight="1">
      <c r="B18" s="352" t="s">
        <v>252</v>
      </c>
      <c r="C18" s="360" t="s">
        <v>121</v>
      </c>
      <c r="D18" s="352" t="s">
        <v>118</v>
      </c>
      <c r="E18" s="352" t="s">
        <v>220</v>
      </c>
      <c r="F18" s="354"/>
      <c r="G18" s="355">
        <v>0</v>
      </c>
      <c r="H18" s="353"/>
      <c r="I18" s="360">
        <v>0</v>
      </c>
      <c r="J18" s="360" t="str">
        <f>IF(Table22[[#This Row],[Rate Group Cd]]="B",IF(OR(Table22[[#This Row],[Code]]="bpa",Table22[[#This Row],[Code]]="bpaadj"),Table22[[#This Row],[Code]],"b"&amp;Table22[[#This Row],[Code]]),Table22[[#This Row],[Code]])</f>
        <v>b0</v>
      </c>
    </row>
    <row r="19" spans="2:10" s="360" customFormat="1" ht="19.5" customHeight="1">
      <c r="B19" s="352" t="s">
        <v>252</v>
      </c>
      <c r="C19" s="360" t="s">
        <v>117</v>
      </c>
      <c r="D19" s="352" t="s">
        <v>118</v>
      </c>
      <c r="E19" s="352" t="s">
        <v>224</v>
      </c>
      <c r="F19" s="354">
        <v>-11527.96</v>
      </c>
      <c r="G19" s="355">
        <v>0</v>
      </c>
      <c r="H19" s="353">
        <v>0</v>
      </c>
      <c r="I19" s="360" t="s">
        <v>147</v>
      </c>
      <c r="J19" s="360" t="str">
        <f>IF(Table22[[#This Row],[Rate Group Cd]]="B",IF(OR(Table22[[#This Row],[Code]]="bpa",Table22[[#This Row],[Code]]="bpaadj"),Table22[[#This Row],[Code]],"b"&amp;Table22[[#This Row],[Code]]),Table22[[#This Row],[Code]])</f>
        <v>bpa</v>
      </c>
    </row>
    <row r="20" spans="2:10" s="360" customFormat="1" ht="19.5" customHeight="1">
      <c r="B20" s="352" t="s">
        <v>252</v>
      </c>
      <c r="C20" s="360" t="s">
        <v>117</v>
      </c>
      <c r="D20" s="352" t="s">
        <v>118</v>
      </c>
      <c r="E20" s="352" t="s">
        <v>221</v>
      </c>
      <c r="F20" s="354">
        <v>-868708.28</v>
      </c>
      <c r="G20" s="355">
        <v>35306</v>
      </c>
      <c r="H20" s="353">
        <v>106589948</v>
      </c>
      <c r="I20" s="360">
        <v>40</v>
      </c>
      <c r="J20" s="360" t="str">
        <f>IF(Table22[[#This Row],[Rate Group Cd]]="B",IF(OR(Table22[[#This Row],[Code]]="bpa",Table22[[#This Row],[Code]]="bpaadj"),Table22[[#This Row],[Code]],"b"&amp;Table22[[#This Row],[Code]]),Table22[[#This Row],[Code]])</f>
        <v>b40</v>
      </c>
    </row>
    <row r="21" spans="2:10" s="360" customFormat="1" ht="19.5" customHeight="1">
      <c r="B21" s="352" t="s">
        <v>252</v>
      </c>
      <c r="C21" s="360" t="s">
        <v>117</v>
      </c>
      <c r="D21" s="352" t="s">
        <v>118</v>
      </c>
      <c r="E21" s="352" t="s">
        <v>222</v>
      </c>
      <c r="F21" s="354">
        <v>117294.9</v>
      </c>
      <c r="G21" s="355"/>
      <c r="H21" s="353">
        <v>-14392012</v>
      </c>
      <c r="I21" s="360" t="s">
        <v>157</v>
      </c>
      <c r="J21" s="360" t="str">
        <f>IF(Table22[[#This Row],[Rate Group Cd]]="B",IF(OR(Table22[[#This Row],[Code]]="bpa",Table22[[#This Row],[Code]]="bpaadj"),Table22[[#This Row],[Code]],"b"&amp;Table22[[#This Row],[Code]]),Table22[[#This Row],[Code]])</f>
        <v>bpaadj</v>
      </c>
    </row>
    <row r="22" spans="2:10" s="360" customFormat="1" ht="19.5" customHeight="1">
      <c r="B22" s="352" t="s">
        <v>252</v>
      </c>
      <c r="C22" s="360" t="s">
        <v>117</v>
      </c>
      <c r="D22" s="352" t="s">
        <v>118</v>
      </c>
      <c r="E22" s="352" t="s">
        <v>169</v>
      </c>
      <c r="F22" s="354">
        <v>-1842.92</v>
      </c>
      <c r="G22" s="355">
        <v>108</v>
      </c>
      <c r="H22" s="353">
        <v>226124</v>
      </c>
      <c r="I22" s="360">
        <v>40</v>
      </c>
      <c r="J22" s="360" t="str">
        <f>IF(Table22[[#This Row],[Rate Group Cd]]="B",IF(OR(Table22[[#This Row],[Code]]="bpa",Table22[[#This Row],[Code]]="bpaadj"),Table22[[#This Row],[Code]],"b"&amp;Table22[[#This Row],[Code]]),Table22[[#This Row],[Code]])</f>
        <v>b40</v>
      </c>
    </row>
    <row r="23" spans="2:10" s="360" customFormat="1" ht="19.5" customHeight="1">
      <c r="B23" s="352" t="s">
        <v>252</v>
      </c>
      <c r="C23" s="360" t="s">
        <v>117</v>
      </c>
      <c r="D23" s="352" t="s">
        <v>118</v>
      </c>
      <c r="E23" s="352" t="s">
        <v>223</v>
      </c>
      <c r="F23" s="354"/>
      <c r="G23" s="355">
        <v>0</v>
      </c>
      <c r="H23" s="353"/>
      <c r="I23" s="360">
        <v>0</v>
      </c>
      <c r="J23" s="360" t="str">
        <f>IF(Table22[[#This Row],[Rate Group Cd]]="B",IF(OR(Table22[[#This Row],[Code]]="bpa",Table22[[#This Row],[Code]]="bpaadj"),Table22[[#This Row],[Code]],"b"&amp;Table22[[#This Row],[Code]]),Table22[[#This Row],[Code]])</f>
        <v>b0</v>
      </c>
    </row>
    <row r="24" spans="2:10" s="360" customFormat="1" ht="19.5" customHeight="1">
      <c r="B24" s="352" t="s">
        <v>252</v>
      </c>
      <c r="C24" s="360" t="s">
        <v>126</v>
      </c>
      <c r="D24" s="352" t="s">
        <v>118</v>
      </c>
      <c r="E24" s="352" t="s">
        <v>219</v>
      </c>
      <c r="F24" s="354">
        <v>194715.6</v>
      </c>
      <c r="G24" s="355">
        <v>0</v>
      </c>
      <c r="H24" s="353">
        <v>0</v>
      </c>
      <c r="I24" s="360" t="s">
        <v>147</v>
      </c>
      <c r="J24" s="360" t="str">
        <f>IF(Table22[[#This Row],[Rate Group Cd]]="B",IF(OR(Table22[[#This Row],[Code]]="bpa",Table22[[#This Row],[Code]]="bpaadj"),Table22[[#This Row],[Code]],"b"&amp;Table22[[#This Row],[Code]]),Table22[[#This Row],[Code]])</f>
        <v>bpa</v>
      </c>
    </row>
    <row r="25" spans="2:10" s="360" customFormat="1" ht="19.5" customHeight="1">
      <c r="B25" s="352" t="s">
        <v>252</v>
      </c>
      <c r="C25" s="360" t="s">
        <v>126</v>
      </c>
      <c r="D25" s="352" t="s">
        <v>118</v>
      </c>
      <c r="E25" s="352" t="s">
        <v>225</v>
      </c>
      <c r="F25" s="354">
        <v>-11834126.550000001</v>
      </c>
      <c r="G25" s="355">
        <v>1221299</v>
      </c>
      <c r="H25" s="353">
        <v>1452036252</v>
      </c>
      <c r="I25" s="360">
        <v>16</v>
      </c>
      <c r="J25" s="360" t="str">
        <f>IF(Table22[[#This Row],[Rate Group Cd]]="B",IF(OR(Table22[[#This Row],[Code]]="bpa",Table22[[#This Row],[Code]]="bpaadj"),Table22[[#This Row],[Code]],"b"&amp;Table22[[#This Row],[Code]]),Table22[[#This Row],[Code]])</f>
        <v>b16</v>
      </c>
    </row>
    <row r="26" spans="2:10" s="360" customFormat="1" ht="19.5" customHeight="1">
      <c r="B26" s="352" t="s">
        <v>252</v>
      </c>
      <c r="C26" s="360" t="s">
        <v>126</v>
      </c>
      <c r="D26" s="352" t="s">
        <v>118</v>
      </c>
      <c r="E26" s="352" t="s">
        <v>226</v>
      </c>
      <c r="F26" s="354">
        <v>-16991.13</v>
      </c>
      <c r="G26" s="355">
        <v>965</v>
      </c>
      <c r="H26" s="353">
        <v>2084800</v>
      </c>
      <c r="I26" s="360">
        <v>18</v>
      </c>
      <c r="J26" s="360" t="str">
        <f>IF(Table22[[#This Row],[Rate Group Cd]]="B",IF(OR(Table22[[#This Row],[Code]]="bpa",Table22[[#This Row],[Code]]="bpaadj"),Table22[[#This Row],[Code]],"b"&amp;Table22[[#This Row],[Code]]),Table22[[#This Row],[Code]])</f>
        <v>b18</v>
      </c>
    </row>
    <row r="27" spans="2:10" s="360" customFormat="1" ht="19.5" customHeight="1">
      <c r="B27" s="352" t="s">
        <v>252</v>
      </c>
      <c r="C27" s="360" t="s">
        <v>126</v>
      </c>
      <c r="D27" s="352" t="s">
        <v>118</v>
      </c>
      <c r="E27" s="352" t="s">
        <v>227</v>
      </c>
      <c r="F27" s="354">
        <v>-2697.5</v>
      </c>
      <c r="G27" s="355">
        <v>167</v>
      </c>
      <c r="H27" s="353">
        <v>330982</v>
      </c>
      <c r="I27" s="360" t="s">
        <v>160</v>
      </c>
      <c r="J27" s="360" t="str">
        <f>IF(Table22[[#This Row],[Rate Group Cd]]="B",IF(OR(Table22[[#This Row],[Code]]="bpa",Table22[[#This Row],[Code]]="bpaadj"),Table22[[#This Row],[Code]],"b"&amp;Table22[[#This Row],[Code]]),Table22[[#This Row],[Code]])</f>
        <v>b18x</v>
      </c>
    </row>
    <row r="28" spans="2:10">
      <c r="B28" s="352" t="s">
        <v>252</v>
      </c>
      <c r="C28" s="360" t="s">
        <v>126</v>
      </c>
      <c r="D28" s="352" t="s">
        <v>118</v>
      </c>
      <c r="E28" s="352" t="s">
        <v>129</v>
      </c>
      <c r="F28" s="354">
        <v>-592381.80000000005</v>
      </c>
      <c r="G28" s="355">
        <v>58841</v>
      </c>
      <c r="H28" s="353">
        <v>72684911</v>
      </c>
      <c r="I28" s="360">
        <v>17</v>
      </c>
      <c r="J28" s="360" t="str">
        <f>IF(Table22[[#This Row],[Rate Group Cd]]="B",IF(OR(Table22[[#This Row],[Code]]="bpa",Table22[[#This Row],[Code]]="bpaadj"),Table22[[#This Row],[Code]],"b"&amp;Table22[[#This Row],[Code]]),Table22[[#This Row],[Code]])</f>
        <v>b17</v>
      </c>
    </row>
    <row r="29" spans="2:10">
      <c r="B29" s="352" t="s">
        <v>252</v>
      </c>
      <c r="C29" s="360" t="s">
        <v>126</v>
      </c>
      <c r="D29" s="352" t="s">
        <v>118</v>
      </c>
      <c r="E29" s="352" t="s">
        <v>128</v>
      </c>
      <c r="F29" s="354">
        <v>-7784.18</v>
      </c>
      <c r="G29" s="355"/>
      <c r="H29" s="353">
        <v>952530</v>
      </c>
      <c r="I29" s="360" t="s">
        <v>161</v>
      </c>
      <c r="J29" s="360" t="str">
        <f>IF(Table22[[#This Row],[Rate Group Cd]]="B",IF(OR(Table22[[#This Row],[Code]]="bpa",Table22[[#This Row],[Code]]="bpaadj"),Table22[[#This Row],[Code]],"b"&amp;Table22[[#This Row],[Code]]),Table22[[#This Row],[Code]])</f>
        <v>b15r</v>
      </c>
    </row>
    <row r="30" spans="2:10">
      <c r="B30" s="352" t="s">
        <v>252</v>
      </c>
      <c r="C30" s="360" t="s">
        <v>126</v>
      </c>
      <c r="D30" s="352" t="s">
        <v>118</v>
      </c>
      <c r="E30" s="352" t="s">
        <v>125</v>
      </c>
      <c r="F30" s="354">
        <v>-74400.33</v>
      </c>
      <c r="G30" s="355">
        <v>11438</v>
      </c>
      <c r="H30" s="353">
        <v>9128835</v>
      </c>
      <c r="I30" s="360">
        <v>135</v>
      </c>
      <c r="J30" s="360" t="str">
        <f>IF(Table22[[#This Row],[Rate Group Cd]]="B",IF(OR(Table22[[#This Row],[Code]]="bpa",Table22[[#This Row],[Code]]="bpaadj"),Table22[[#This Row],[Code]],"b"&amp;Table22[[#This Row],[Code]]),Table22[[#This Row],[Code]])</f>
        <v>b135</v>
      </c>
    </row>
    <row r="31" spans="2:10">
      <c r="B31" s="352" t="s">
        <v>252</v>
      </c>
      <c r="C31" s="360" t="s">
        <v>126</v>
      </c>
      <c r="D31" s="352" t="s">
        <v>118</v>
      </c>
      <c r="E31" s="352" t="s">
        <v>162</v>
      </c>
      <c r="F31" s="354">
        <v>-160953.42000000001</v>
      </c>
      <c r="G31" s="355">
        <v>41131</v>
      </c>
      <c r="H31" s="353">
        <v>19796855</v>
      </c>
      <c r="I31" s="360">
        <v>24</v>
      </c>
      <c r="J31" s="360" t="str">
        <f>IF(Table22[[#This Row],[Rate Group Cd]]="B",IF(OR(Table22[[#This Row],[Code]]="bpa",Table22[[#This Row],[Code]]="bpaadj"),Table22[[#This Row],[Code]],"b"&amp;Table22[[#This Row],[Code]]),Table22[[#This Row],[Code]])</f>
        <v>b24</v>
      </c>
    </row>
    <row r="32" spans="2:10">
      <c r="B32" s="352" t="s">
        <v>252</v>
      </c>
      <c r="C32" s="360" t="s">
        <v>126</v>
      </c>
      <c r="D32" s="352" t="s">
        <v>118</v>
      </c>
      <c r="E32" s="352" t="s">
        <v>240</v>
      </c>
      <c r="F32" s="354">
        <v>-593.91999999999996</v>
      </c>
      <c r="G32" s="355">
        <v>206</v>
      </c>
      <c r="H32" s="353">
        <v>72872</v>
      </c>
      <c r="I32" s="360">
        <v>24</v>
      </c>
      <c r="J32" s="360" t="str">
        <f>IF(Table22[[#This Row],[Rate Group Cd]]="B",IF(OR(Table22[[#This Row],[Code]]="bpa",Table22[[#This Row],[Code]]="bpaadj"),Table22[[#This Row],[Code]],"b"&amp;Table22[[#This Row],[Code]]),Table22[[#This Row],[Code]])</f>
        <v>b24</v>
      </c>
    </row>
    <row r="33" spans="2:10">
      <c r="B33" s="352" t="s">
        <v>252</v>
      </c>
      <c r="C33" s="360" t="s">
        <v>126</v>
      </c>
      <c r="D33" s="352" t="s">
        <v>118</v>
      </c>
      <c r="E33" s="352" t="s">
        <v>241</v>
      </c>
      <c r="F33" s="354">
        <v>-8273.91</v>
      </c>
      <c r="G33" s="355">
        <v>12</v>
      </c>
      <c r="H33" s="353">
        <v>1015200</v>
      </c>
      <c r="I33" s="360">
        <v>36</v>
      </c>
      <c r="J33" s="360" t="str">
        <f>IF(Table22[[#This Row],[Rate Group Cd]]="B",IF(OR(Table22[[#This Row],[Code]]="bpa",Table22[[#This Row],[Code]]="bpaadj"),Table22[[#This Row],[Code]],"b"&amp;Table22[[#This Row],[Code]]),Table22[[#This Row],[Code]])</f>
        <v>b36</v>
      </c>
    </row>
    <row r="34" spans="2:10">
      <c r="B34" s="363" t="s">
        <v>252</v>
      </c>
      <c r="C34" s="360" t="s">
        <v>253</v>
      </c>
      <c r="D34" s="364" t="s">
        <v>118</v>
      </c>
      <c r="E34" s="364" t="s">
        <v>220</v>
      </c>
      <c r="F34" s="365"/>
      <c r="G34" s="366">
        <v>0</v>
      </c>
      <c r="H34" s="367"/>
      <c r="I34" s="368">
        <v>0</v>
      </c>
      <c r="J34" s="369" t="str">
        <f>IF(Table22[[#This Row],[Rate Group Cd]]="B",IF(OR(Table22[[#This Row],[Code]]="bpa",Table22[[#This Row],[Code]]="bpaadj"),Table22[[#This Row],[Code]],"b"&amp;Table22[[#This Row],[Code]]),Table22[[#This Row],[Code]])</f>
        <v>b0</v>
      </c>
    </row>
    <row r="36" spans="2:10">
      <c r="H36" s="370">
        <f>SUM(H6:H34)</f>
        <v>1740882504</v>
      </c>
    </row>
  </sheetData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6"/>
  <sheetViews>
    <sheetView view="pageBreakPreview" topLeftCell="A3" zoomScale="85" zoomScaleNormal="70" zoomScaleSheetLayoutView="85" workbookViewId="0">
      <pane ySplit="9" topLeftCell="A75" activePane="bottomLeft" state="frozen"/>
      <selection pane="bottomLeft" activeCell="A3" sqref="A3"/>
    </sheetView>
  </sheetViews>
  <sheetFormatPr defaultRowHeight="15.75"/>
  <cols>
    <col min="1" max="1" width="5.875" style="349" customWidth="1"/>
    <col min="2" max="2" width="15.5" style="349" customWidth="1"/>
    <col min="3" max="4" width="7.625" style="349" customWidth="1"/>
    <col min="5" max="5" width="13" style="349" customWidth="1"/>
    <col min="6" max="7" width="17.75" style="349" customWidth="1"/>
    <col min="8" max="8" width="15.75" style="349" customWidth="1"/>
    <col min="9" max="9" width="18.25" style="349" customWidth="1"/>
    <col min="10" max="14" width="15.625" style="349" customWidth="1"/>
    <col min="15" max="15" width="14.75" style="349" bestFit="1" customWidth="1"/>
    <col min="16" max="16" width="9" style="349"/>
    <col min="17" max="18" width="14.625" style="349" bestFit="1" customWidth="1"/>
    <col min="19" max="21" width="11.125" style="349" bestFit="1" customWidth="1"/>
    <col min="22" max="22" width="9" style="349"/>
    <col min="23" max="23" width="10.375" style="349" customWidth="1"/>
    <col min="24" max="24" width="9" style="349"/>
    <col min="25" max="26" width="15.25" style="349" bestFit="1" customWidth="1"/>
    <col min="27" max="27" width="12.75" style="349" bestFit="1" customWidth="1"/>
    <col min="28" max="31" width="9" style="349"/>
    <col min="32" max="34" width="13.625" style="349" bestFit="1" customWidth="1"/>
    <col min="35" max="16384" width="9" style="349"/>
  </cols>
  <sheetData>
    <row r="1" spans="1:23" hidden="1">
      <c r="J1" s="371"/>
      <c r="K1" s="371"/>
      <c r="O1" s="349" t="s">
        <v>256</v>
      </c>
    </row>
    <row r="2" spans="1:23" hidden="1">
      <c r="O2" s="349" t="s">
        <v>257</v>
      </c>
    </row>
    <row r="3" spans="1:23" ht="18.75">
      <c r="A3" s="372" t="s">
        <v>258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3"/>
      <c r="P3" s="374"/>
      <c r="Q3" s="374"/>
      <c r="R3" s="374"/>
      <c r="S3" s="374"/>
      <c r="T3" s="375"/>
      <c r="U3" s="375"/>
      <c r="V3" s="375"/>
      <c r="W3" s="375"/>
    </row>
    <row r="4" spans="1:23" ht="18.75">
      <c r="A4" s="372" t="s">
        <v>131</v>
      </c>
      <c r="B4" s="373"/>
      <c r="C4" s="373"/>
      <c r="D4" s="373"/>
      <c r="E4" s="373"/>
      <c r="F4" s="373"/>
      <c r="G4" s="373"/>
      <c r="H4" s="373"/>
      <c r="I4" s="373"/>
      <c r="J4" s="373"/>
      <c r="K4" s="373"/>
      <c r="L4" s="373"/>
      <c r="M4" s="373"/>
      <c r="N4" s="373"/>
      <c r="O4" s="373"/>
      <c r="P4" s="374"/>
      <c r="Q4" s="374"/>
      <c r="R4" s="374"/>
      <c r="S4" s="374"/>
      <c r="T4" s="375"/>
      <c r="U4" s="375"/>
      <c r="V4" s="375"/>
      <c r="W4" s="375"/>
    </row>
    <row r="5" spans="1:23" ht="18.75">
      <c r="A5" s="372" t="s">
        <v>259</v>
      </c>
      <c r="B5" s="373"/>
      <c r="C5" s="373"/>
      <c r="D5" s="373"/>
      <c r="E5" s="373"/>
      <c r="F5" s="373"/>
      <c r="G5" s="373"/>
      <c r="H5" s="373"/>
      <c r="I5" s="373"/>
      <c r="J5" s="373"/>
      <c r="K5" s="373"/>
      <c r="L5" s="373"/>
      <c r="M5" s="373"/>
      <c r="N5" s="373"/>
      <c r="O5" s="373"/>
      <c r="P5" s="374"/>
      <c r="Q5" s="374"/>
      <c r="R5" s="374"/>
      <c r="S5" s="374"/>
      <c r="T5" s="375"/>
      <c r="U5" s="375"/>
      <c r="V5" s="375"/>
      <c r="W5" s="375"/>
    </row>
    <row r="6" spans="1:23" ht="18.75">
      <c r="A6" s="372" t="s">
        <v>326</v>
      </c>
      <c r="B6" s="373"/>
      <c r="C6" s="373"/>
      <c r="D6" s="373"/>
      <c r="E6" s="373"/>
      <c r="F6" s="373"/>
      <c r="G6" s="373"/>
      <c r="H6" s="373"/>
      <c r="I6" s="373"/>
      <c r="J6" s="373"/>
      <c r="K6" s="373"/>
      <c r="L6" s="373"/>
      <c r="M6" s="373"/>
      <c r="N6" s="373"/>
      <c r="O6" s="373"/>
      <c r="P6" s="374"/>
      <c r="Q6" s="374"/>
      <c r="R6" s="376"/>
      <c r="S6" s="374"/>
      <c r="T6" s="375"/>
      <c r="U6" s="375"/>
      <c r="V6" s="375"/>
      <c r="W6" s="375"/>
    </row>
    <row r="7" spans="1:23" ht="18.75">
      <c r="A7" s="377"/>
      <c r="B7" s="378"/>
      <c r="C7" s="378"/>
      <c r="D7" s="378"/>
      <c r="E7" s="378"/>
      <c r="F7" s="378"/>
      <c r="G7" s="378"/>
      <c r="H7" s="378"/>
      <c r="I7" s="378"/>
      <c r="J7" s="378"/>
      <c r="K7" s="378"/>
      <c r="L7" s="378"/>
      <c r="M7" s="378"/>
      <c r="N7" s="378"/>
      <c r="O7" s="378"/>
      <c r="P7" s="374"/>
      <c r="Q7" s="374"/>
      <c r="R7" s="376"/>
      <c r="S7" s="374"/>
      <c r="T7" s="375"/>
      <c r="U7" s="375"/>
      <c r="V7" s="375"/>
      <c r="W7" s="375"/>
    </row>
    <row r="8" spans="1:23" ht="18.75">
      <c r="A8" s="372"/>
      <c r="B8" s="373"/>
      <c r="C8" s="373"/>
      <c r="D8" s="373"/>
      <c r="E8" s="378"/>
      <c r="F8" s="378"/>
      <c r="G8" s="378" t="s">
        <v>260</v>
      </c>
      <c r="H8" s="378"/>
      <c r="I8" s="378"/>
      <c r="J8" s="378"/>
      <c r="K8" s="378"/>
      <c r="L8" s="378"/>
      <c r="M8" s="378"/>
      <c r="N8" s="378"/>
      <c r="O8" s="378"/>
      <c r="P8" s="374"/>
      <c r="Q8" s="374"/>
      <c r="R8" s="376"/>
      <c r="S8" s="374"/>
      <c r="T8" s="375"/>
      <c r="U8" s="375"/>
      <c r="V8" s="375"/>
      <c r="W8" s="375"/>
    </row>
    <row r="9" spans="1:23" ht="18.75">
      <c r="A9" s="372"/>
      <c r="B9" s="373"/>
      <c r="C9" s="373"/>
      <c r="D9" s="373"/>
      <c r="E9" s="378"/>
      <c r="F9" s="378"/>
      <c r="G9" s="379" t="s">
        <v>261</v>
      </c>
      <c r="H9" s="379" t="s">
        <v>74</v>
      </c>
      <c r="I9" s="380"/>
      <c r="J9" s="378" t="s">
        <v>262</v>
      </c>
      <c r="K9" s="378" t="s">
        <v>260</v>
      </c>
      <c r="L9" s="378" t="s">
        <v>263</v>
      </c>
      <c r="M9" s="378" t="s">
        <v>264</v>
      </c>
      <c r="N9" s="378"/>
      <c r="O9" s="378"/>
      <c r="P9" s="373"/>
      <c r="Q9" s="373"/>
      <c r="R9" s="381"/>
      <c r="S9" s="373"/>
      <c r="T9" s="375"/>
      <c r="U9" s="375"/>
      <c r="V9" s="375"/>
      <c r="W9" s="375"/>
    </row>
    <row r="10" spans="1:23" ht="19.5">
      <c r="A10" s="372"/>
      <c r="B10" s="373"/>
      <c r="C10" s="373"/>
      <c r="D10" s="373"/>
      <c r="E10" s="379" t="s">
        <v>194</v>
      </c>
      <c r="F10" s="382" t="s">
        <v>262</v>
      </c>
      <c r="G10" s="382" t="s">
        <v>265</v>
      </c>
      <c r="H10" s="382" t="s">
        <v>266</v>
      </c>
      <c r="I10" s="380" t="s">
        <v>267</v>
      </c>
      <c r="J10" s="382" t="s">
        <v>18</v>
      </c>
      <c r="K10" s="382" t="s">
        <v>268</v>
      </c>
      <c r="L10" s="382" t="s">
        <v>269</v>
      </c>
      <c r="M10" s="382" t="s">
        <v>269</v>
      </c>
      <c r="N10" s="378" t="s">
        <v>74</v>
      </c>
      <c r="O10" s="378" t="s">
        <v>267</v>
      </c>
      <c r="P10" s="373"/>
      <c r="Q10" s="373"/>
      <c r="R10" s="381"/>
      <c r="S10" s="373"/>
      <c r="T10" s="375"/>
      <c r="U10" s="375"/>
      <c r="V10" s="375"/>
      <c r="W10" s="375"/>
    </row>
    <row r="11" spans="1:23">
      <c r="B11" s="359"/>
      <c r="C11" s="351"/>
      <c r="D11" s="351"/>
      <c r="E11" s="383" t="s">
        <v>270</v>
      </c>
      <c r="F11" s="383" t="s">
        <v>271</v>
      </c>
      <c r="G11" s="383" t="s">
        <v>271</v>
      </c>
      <c r="H11" s="383" t="s">
        <v>271</v>
      </c>
      <c r="I11" s="384" t="s">
        <v>271</v>
      </c>
      <c r="J11" s="383" t="s">
        <v>272</v>
      </c>
      <c r="K11" s="383" t="s">
        <v>272</v>
      </c>
      <c r="L11" s="383" t="s">
        <v>272</v>
      </c>
      <c r="M11" s="383" t="s">
        <v>272</v>
      </c>
      <c r="N11" s="383" t="s">
        <v>269</v>
      </c>
      <c r="O11" s="383" t="s">
        <v>145</v>
      </c>
    </row>
    <row r="12" spans="1:23" ht="15.75" customHeight="1">
      <c r="A12" s="359" t="s">
        <v>39</v>
      </c>
      <c r="B12" s="359"/>
      <c r="D12" s="385" t="s">
        <v>126</v>
      </c>
      <c r="E12" s="386"/>
      <c r="F12" s="386"/>
      <c r="G12" s="386"/>
      <c r="H12" s="386"/>
      <c r="I12" s="387"/>
      <c r="J12" s="351"/>
      <c r="K12" s="351"/>
      <c r="L12" s="351"/>
      <c r="M12" s="351"/>
      <c r="N12" s="351"/>
      <c r="S12" s="50"/>
    </row>
    <row r="13" spans="1:23" ht="15.75" customHeight="1">
      <c r="B13" s="349" t="s">
        <v>273</v>
      </c>
      <c r="D13" s="350">
        <v>16</v>
      </c>
      <c r="E13" s="356">
        <v>101774.91666666667</v>
      </c>
      <c r="F13" s="356">
        <v>1453252329</v>
      </c>
      <c r="G13" s="356">
        <v>58151348.024871707</v>
      </c>
      <c r="H13" s="356">
        <f t="shared" ref="H13:H19" si="0">G13</f>
        <v>58151348.024871707</v>
      </c>
      <c r="I13" s="388">
        <f t="shared" ref="I13:I19" si="1">H13+F13</f>
        <v>1511403677.0248718</v>
      </c>
      <c r="J13" s="389">
        <v>128058592.54000001</v>
      </c>
      <c r="K13" s="389">
        <v>14915314.520612407</v>
      </c>
      <c r="L13" s="389">
        <v>0</v>
      </c>
      <c r="M13" s="389">
        <v>0</v>
      </c>
      <c r="N13" s="389">
        <f t="shared" ref="N13:N19" si="2">K13+L13+M13</f>
        <v>14915314.520612407</v>
      </c>
      <c r="O13" s="389">
        <f t="shared" ref="O13:O19" si="3">N13+J13</f>
        <v>142973907.06061241</v>
      </c>
      <c r="Q13" s="390"/>
      <c r="R13" s="390"/>
      <c r="S13" s="50"/>
    </row>
    <row r="14" spans="1:23" ht="15.75" customHeight="1">
      <c r="B14" s="349" t="s">
        <v>274</v>
      </c>
      <c r="D14" s="350">
        <v>17</v>
      </c>
      <c r="E14" s="356">
        <v>4903.416666666667</v>
      </c>
      <c r="F14" s="356">
        <v>72685125</v>
      </c>
      <c r="G14" s="356">
        <v>3258829.8189430255</v>
      </c>
      <c r="H14" s="356">
        <f t="shared" si="0"/>
        <v>3258829.8189430255</v>
      </c>
      <c r="I14" s="388">
        <f t="shared" si="1"/>
        <v>75943954.818943024</v>
      </c>
      <c r="J14" s="389">
        <v>6404970.6100000003</v>
      </c>
      <c r="K14" s="389">
        <v>776109.95706148294</v>
      </c>
      <c r="L14" s="389">
        <v>0</v>
      </c>
      <c r="M14" s="389">
        <v>0</v>
      </c>
      <c r="N14" s="389">
        <f t="shared" si="2"/>
        <v>776109.95706148294</v>
      </c>
      <c r="O14" s="389">
        <f t="shared" si="3"/>
        <v>7181080.5670614829</v>
      </c>
      <c r="Q14" s="390"/>
      <c r="R14" s="390"/>
      <c r="S14" s="50"/>
    </row>
    <row r="15" spans="1:23" ht="15.75" customHeight="1">
      <c r="B15" s="349" t="s">
        <v>275</v>
      </c>
      <c r="D15" s="350">
        <v>18</v>
      </c>
      <c r="E15" s="356">
        <v>80.416666666666671</v>
      </c>
      <c r="F15" s="356">
        <v>2084805</v>
      </c>
      <c r="G15" s="356">
        <v>85388.917285264397</v>
      </c>
      <c r="H15" s="356">
        <f t="shared" si="0"/>
        <v>85388.917285264397</v>
      </c>
      <c r="I15" s="388">
        <f t="shared" si="1"/>
        <v>2170193.9172852645</v>
      </c>
      <c r="J15" s="389">
        <v>204155.91</v>
      </c>
      <c r="K15" s="389">
        <v>21498.339187679212</v>
      </c>
      <c r="L15" s="389">
        <v>0</v>
      </c>
      <c r="M15" s="389">
        <v>0</v>
      </c>
      <c r="N15" s="389">
        <f t="shared" si="2"/>
        <v>21498.339187679212</v>
      </c>
      <c r="O15" s="389">
        <f t="shared" si="3"/>
        <v>225654.2491876792</v>
      </c>
      <c r="Q15" s="390"/>
      <c r="R15" s="390"/>
      <c r="S15" s="50"/>
    </row>
    <row r="16" spans="1:23" ht="15.75" customHeight="1">
      <c r="B16" s="351" t="s">
        <v>276</v>
      </c>
      <c r="D16" s="350" t="s">
        <v>160</v>
      </c>
      <c r="E16" s="356">
        <v>13.916666666666666</v>
      </c>
      <c r="F16" s="356">
        <v>330983</v>
      </c>
      <c r="G16" s="356">
        <v>0</v>
      </c>
      <c r="H16" s="356">
        <f t="shared" si="0"/>
        <v>0</v>
      </c>
      <c r="I16" s="388">
        <f t="shared" si="1"/>
        <v>330983</v>
      </c>
      <c r="J16" s="389">
        <v>31711.360000000001</v>
      </c>
      <c r="K16" s="389">
        <v>2697.5</v>
      </c>
      <c r="L16" s="389">
        <v>0</v>
      </c>
      <c r="M16" s="389">
        <v>0</v>
      </c>
      <c r="N16" s="389">
        <f t="shared" si="2"/>
        <v>2697.5</v>
      </c>
      <c r="O16" s="389">
        <f t="shared" si="3"/>
        <v>34408.86</v>
      </c>
      <c r="Q16" s="390"/>
      <c r="R16" s="390"/>
      <c r="S16" s="50"/>
    </row>
    <row r="17" spans="2:19" ht="15.75" customHeight="1">
      <c r="B17" s="351" t="s">
        <v>277</v>
      </c>
      <c r="D17" s="350">
        <v>135</v>
      </c>
      <c r="E17" s="356">
        <v>953.16666666666663</v>
      </c>
      <c r="F17" s="356">
        <v>9230603</v>
      </c>
      <c r="G17" s="356">
        <v>0</v>
      </c>
      <c r="H17" s="356">
        <f t="shared" si="0"/>
        <v>0</v>
      </c>
      <c r="I17" s="388">
        <f t="shared" si="1"/>
        <v>9230603</v>
      </c>
      <c r="J17" s="389">
        <v>869225.13</v>
      </c>
      <c r="K17" s="389">
        <v>74400.33</v>
      </c>
      <c r="L17" s="389">
        <v>0</v>
      </c>
      <c r="M17" s="389">
        <v>0</v>
      </c>
      <c r="N17" s="389">
        <f t="shared" si="2"/>
        <v>74400.33</v>
      </c>
      <c r="O17" s="389">
        <f t="shared" si="3"/>
        <v>943625.46</v>
      </c>
      <c r="Q17" s="390"/>
      <c r="R17" s="390"/>
      <c r="S17" s="50"/>
    </row>
    <row r="18" spans="2:19" ht="15.75" customHeight="1">
      <c r="B18" s="351" t="s">
        <v>278</v>
      </c>
      <c r="D18" s="350">
        <v>24</v>
      </c>
      <c r="E18" s="356">
        <v>3444.75</v>
      </c>
      <c r="F18" s="356">
        <v>20372509</v>
      </c>
      <c r="G18" s="356">
        <v>27702.115088293191</v>
      </c>
      <c r="H18" s="356">
        <f t="shared" si="0"/>
        <v>27702.115088293191</v>
      </c>
      <c r="I18" s="388">
        <f t="shared" si="1"/>
        <v>20400211.115088291</v>
      </c>
      <c r="J18" s="389">
        <v>2354413.8800000004</v>
      </c>
      <c r="K18" s="389">
        <v>102393.89158831435</v>
      </c>
      <c r="L18" s="389">
        <v>0</v>
      </c>
      <c r="M18" s="389">
        <v>0</v>
      </c>
      <c r="N18" s="389">
        <f t="shared" si="2"/>
        <v>102393.89158831435</v>
      </c>
      <c r="O18" s="389">
        <f t="shared" si="3"/>
        <v>2456807.7715883148</v>
      </c>
      <c r="Q18" s="390"/>
      <c r="R18" s="390"/>
      <c r="S18" s="50"/>
    </row>
    <row r="19" spans="2:19" ht="15.75" customHeight="1">
      <c r="B19" s="351" t="s">
        <v>279</v>
      </c>
      <c r="D19" s="350">
        <v>36</v>
      </c>
      <c r="E19" s="391">
        <v>2</v>
      </c>
      <c r="F19" s="391">
        <v>1447840</v>
      </c>
      <c r="G19" s="391">
        <v>0</v>
      </c>
      <c r="H19" s="391">
        <f t="shared" si="0"/>
        <v>0</v>
      </c>
      <c r="I19" s="392">
        <f t="shared" si="1"/>
        <v>1447840</v>
      </c>
      <c r="J19" s="393">
        <v>108124.76</v>
      </c>
      <c r="K19" s="393">
        <v>4781.8530902991988</v>
      </c>
      <c r="L19" s="393">
        <v>0</v>
      </c>
      <c r="M19" s="393">
        <v>0</v>
      </c>
      <c r="N19" s="393">
        <f t="shared" si="2"/>
        <v>4781.8530902991988</v>
      </c>
      <c r="O19" s="393">
        <f t="shared" si="3"/>
        <v>112906.61309029919</v>
      </c>
      <c r="Q19" s="390"/>
      <c r="R19" s="390"/>
      <c r="S19" s="50"/>
    </row>
    <row r="20" spans="2:19" ht="15.75" customHeight="1">
      <c r="B20" s="351" t="s">
        <v>280</v>
      </c>
      <c r="C20" s="394"/>
      <c r="D20" s="350"/>
      <c r="E20" s="356">
        <f t="shared" ref="E20:O20" si="4">SUM(E13:E19)</f>
        <v>111172.58333333336</v>
      </c>
      <c r="F20" s="356">
        <f t="shared" si="4"/>
        <v>1559404194</v>
      </c>
      <c r="G20" s="356">
        <f t="shared" si="4"/>
        <v>61523268.876188286</v>
      </c>
      <c r="H20" s="356">
        <f t="shared" si="4"/>
        <v>61523268.876188286</v>
      </c>
      <c r="I20" s="356">
        <f t="shared" si="4"/>
        <v>1620927462.8761883</v>
      </c>
      <c r="J20" s="389">
        <f t="shared" si="4"/>
        <v>138031194.19</v>
      </c>
      <c r="K20" s="389">
        <f t="shared" si="4"/>
        <v>15897196.391540183</v>
      </c>
      <c r="L20" s="389">
        <f t="shared" si="4"/>
        <v>0</v>
      </c>
      <c r="M20" s="389">
        <f t="shared" si="4"/>
        <v>0</v>
      </c>
      <c r="N20" s="389">
        <f t="shared" si="4"/>
        <v>15897196.391540183</v>
      </c>
      <c r="O20" s="389">
        <f t="shared" si="4"/>
        <v>153928390.58154023</v>
      </c>
      <c r="Q20" s="390"/>
      <c r="R20" s="390"/>
      <c r="S20" s="50"/>
    </row>
    <row r="21" spans="2:19" ht="15.75" customHeight="1">
      <c r="B21" s="351"/>
      <c r="C21" s="394"/>
      <c r="D21" s="350"/>
      <c r="E21" s="386"/>
      <c r="F21" s="386"/>
      <c r="G21" s="386"/>
      <c r="H21" s="386"/>
      <c r="I21" s="387"/>
      <c r="J21" s="389"/>
      <c r="K21" s="389"/>
      <c r="L21" s="389"/>
      <c r="M21" s="389"/>
      <c r="N21" s="389"/>
      <c r="O21" s="390"/>
      <c r="Q21" s="390"/>
      <c r="R21" s="390"/>
      <c r="S21" s="50"/>
    </row>
    <row r="22" spans="2:19" ht="15.75" customHeight="1">
      <c r="B22" s="349" t="s">
        <v>281</v>
      </c>
      <c r="C22" s="394"/>
      <c r="D22" s="350" t="s">
        <v>161</v>
      </c>
      <c r="E22" s="391">
        <v>1049.5833333333333</v>
      </c>
      <c r="F22" s="391">
        <v>952567</v>
      </c>
      <c r="G22" s="391">
        <v>0</v>
      </c>
      <c r="H22" s="391">
        <f>G22</f>
        <v>0</v>
      </c>
      <c r="I22" s="392">
        <f>H22+F22</f>
        <v>952567</v>
      </c>
      <c r="J22" s="393">
        <v>143844.07</v>
      </c>
      <c r="K22" s="393">
        <v>5043.1981187895881</v>
      </c>
      <c r="L22" s="393">
        <v>0</v>
      </c>
      <c r="M22" s="393">
        <v>0</v>
      </c>
      <c r="N22" s="393">
        <f>K22+L22+M22</f>
        <v>5043.1981187895881</v>
      </c>
      <c r="O22" s="393">
        <f>N22+J22</f>
        <v>148887.26811878959</v>
      </c>
      <c r="Q22" s="390"/>
      <c r="R22" s="390"/>
      <c r="S22" s="50"/>
    </row>
    <row r="23" spans="2:19" ht="15.75" customHeight="1">
      <c r="B23" s="349" t="s">
        <v>280</v>
      </c>
      <c r="D23" s="350"/>
      <c r="E23" s="356">
        <f>SUM(E22:E22)</f>
        <v>1049.5833333333333</v>
      </c>
      <c r="F23" s="356">
        <f>SUM(F22:F22)</f>
        <v>952567</v>
      </c>
      <c r="G23" s="356">
        <f t="shared" ref="G23:O23" si="5">SUM(G22)</f>
        <v>0</v>
      </c>
      <c r="H23" s="356">
        <f t="shared" si="5"/>
        <v>0</v>
      </c>
      <c r="I23" s="388">
        <f t="shared" si="5"/>
        <v>952567</v>
      </c>
      <c r="J23" s="389">
        <f t="shared" si="5"/>
        <v>143844.07</v>
      </c>
      <c r="K23" s="389">
        <f t="shared" si="5"/>
        <v>5043.1981187895881</v>
      </c>
      <c r="L23" s="389">
        <f>SUM(L22:L22)</f>
        <v>0</v>
      </c>
      <c r="M23" s="389">
        <f>SUM(M22:M22)</f>
        <v>0</v>
      </c>
      <c r="N23" s="389">
        <f t="shared" si="5"/>
        <v>5043.1981187895881</v>
      </c>
      <c r="O23" s="389">
        <f t="shared" si="5"/>
        <v>148887.26811878959</v>
      </c>
      <c r="Q23" s="395"/>
      <c r="R23" s="395"/>
      <c r="S23" s="396"/>
    </row>
    <row r="24" spans="2:19" ht="15.75" customHeight="1">
      <c r="D24" s="350"/>
      <c r="E24" s="386"/>
      <c r="F24" s="386"/>
      <c r="G24" s="386"/>
      <c r="H24" s="386"/>
      <c r="I24" s="387"/>
      <c r="J24" s="389"/>
      <c r="K24" s="389"/>
      <c r="L24" s="389"/>
      <c r="M24" s="389"/>
      <c r="N24" s="389"/>
      <c r="O24" s="389"/>
      <c r="Q24" s="395"/>
      <c r="R24" s="395"/>
      <c r="S24" s="396"/>
    </row>
    <row r="25" spans="2:19" s="394" customFormat="1" ht="15.75" customHeight="1">
      <c r="B25" s="349" t="s">
        <v>282</v>
      </c>
      <c r="D25" s="350" t="s">
        <v>152</v>
      </c>
      <c r="E25" s="391">
        <v>0</v>
      </c>
      <c r="F25" s="391">
        <v>0</v>
      </c>
      <c r="G25" s="391">
        <v>0</v>
      </c>
      <c r="H25" s="391">
        <f>G25</f>
        <v>0</v>
      </c>
      <c r="I25" s="392">
        <f>H25+F25</f>
        <v>0</v>
      </c>
      <c r="J25" s="393">
        <v>1839.22</v>
      </c>
      <c r="K25" s="393">
        <v>0</v>
      </c>
      <c r="L25" s="393">
        <v>0</v>
      </c>
      <c r="M25" s="393">
        <v>0</v>
      </c>
      <c r="N25" s="393">
        <f>K25+L25+M25</f>
        <v>0</v>
      </c>
      <c r="O25" s="393">
        <f>N25+J25</f>
        <v>1839.22</v>
      </c>
      <c r="Q25" s="395"/>
      <c r="R25" s="395"/>
      <c r="S25" s="396"/>
    </row>
    <row r="26" spans="2:19" s="394" customFormat="1" ht="15.75" customHeight="1">
      <c r="B26" s="349"/>
      <c r="D26" s="350"/>
      <c r="E26" s="391"/>
      <c r="F26" s="391"/>
      <c r="G26" s="391"/>
      <c r="H26" s="391"/>
      <c r="I26" s="392"/>
      <c r="J26" s="393"/>
      <c r="K26" s="393"/>
      <c r="L26" s="393"/>
      <c r="M26" s="393"/>
      <c r="N26" s="393"/>
      <c r="O26" s="393"/>
      <c r="Q26" s="395"/>
      <c r="R26" s="395"/>
      <c r="S26" s="396"/>
    </row>
    <row r="27" spans="2:19" ht="15.75" customHeight="1">
      <c r="B27" s="349" t="s">
        <v>283</v>
      </c>
      <c r="D27" s="350" t="s">
        <v>144</v>
      </c>
      <c r="E27" s="391">
        <v>0</v>
      </c>
      <c r="F27" s="391">
        <v>0</v>
      </c>
      <c r="G27" s="391">
        <v>0</v>
      </c>
      <c r="H27" s="391">
        <f t="shared" ref="H27:H32" si="6">G27</f>
        <v>0</v>
      </c>
      <c r="I27" s="392">
        <f t="shared" ref="I27:I32" si="7">H27+F27</f>
        <v>0</v>
      </c>
      <c r="J27" s="393">
        <v>-9569429.6900000013</v>
      </c>
      <c r="K27" s="393">
        <v>9569429.6900000013</v>
      </c>
      <c r="L27" s="393">
        <v>0</v>
      </c>
      <c r="M27" s="393">
        <v>0</v>
      </c>
      <c r="N27" s="393">
        <f t="shared" ref="N27:N32" si="8">K27+L27+M27</f>
        <v>9569429.6900000013</v>
      </c>
      <c r="O27" s="393">
        <f t="shared" ref="O27:O32" si="9">N27+J27</f>
        <v>0</v>
      </c>
      <c r="Q27" s="395"/>
      <c r="R27" s="395"/>
      <c r="S27" s="396"/>
    </row>
    <row r="28" spans="2:19" s="394" customFormat="1" ht="15.75" customHeight="1">
      <c r="B28" s="349" t="s">
        <v>284</v>
      </c>
      <c r="D28" s="350" t="s">
        <v>148</v>
      </c>
      <c r="E28" s="391">
        <v>0</v>
      </c>
      <c r="F28" s="391">
        <v>0</v>
      </c>
      <c r="G28" s="391">
        <v>0</v>
      </c>
      <c r="H28" s="391">
        <f t="shared" si="6"/>
        <v>0</v>
      </c>
      <c r="I28" s="392">
        <f t="shared" si="7"/>
        <v>0</v>
      </c>
      <c r="J28" s="393">
        <v>4810519.87</v>
      </c>
      <c r="K28" s="393">
        <v>-4810519.87</v>
      </c>
      <c r="L28" s="393">
        <v>0</v>
      </c>
      <c r="M28" s="393">
        <v>0</v>
      </c>
      <c r="N28" s="393">
        <f t="shared" si="8"/>
        <v>-4810519.87</v>
      </c>
      <c r="O28" s="393">
        <f t="shared" si="9"/>
        <v>0</v>
      </c>
      <c r="Q28" s="395"/>
      <c r="R28" s="395"/>
      <c r="S28" s="396"/>
    </row>
    <row r="29" spans="2:19" s="394" customFormat="1" ht="15.75" customHeight="1">
      <c r="B29" s="349" t="s">
        <v>285</v>
      </c>
      <c r="D29" s="350" t="s">
        <v>149</v>
      </c>
      <c r="E29" s="391">
        <v>0</v>
      </c>
      <c r="F29" s="391">
        <v>0</v>
      </c>
      <c r="G29" s="391">
        <v>0</v>
      </c>
      <c r="H29" s="391">
        <f t="shared" si="6"/>
        <v>0</v>
      </c>
      <c r="I29" s="392">
        <f t="shared" si="7"/>
        <v>0</v>
      </c>
      <c r="J29" s="393">
        <v>131574.30000000002</v>
      </c>
      <c r="K29" s="393">
        <v>-131574.30000000002</v>
      </c>
      <c r="L29" s="393">
        <v>0</v>
      </c>
      <c r="M29" s="393">
        <v>0</v>
      </c>
      <c r="N29" s="393">
        <f t="shared" si="8"/>
        <v>-131574.30000000002</v>
      </c>
      <c r="O29" s="393">
        <f t="shared" si="9"/>
        <v>0</v>
      </c>
      <c r="Q29" s="395"/>
      <c r="R29" s="395"/>
      <c r="S29" s="396"/>
    </row>
    <row r="30" spans="2:19" s="394" customFormat="1" ht="15.75" customHeight="1">
      <c r="B30" s="349" t="s">
        <v>286</v>
      </c>
      <c r="D30" s="350" t="s">
        <v>147</v>
      </c>
      <c r="E30" s="391">
        <v>0</v>
      </c>
      <c r="F30" s="391">
        <v>0</v>
      </c>
      <c r="G30" s="391">
        <v>0</v>
      </c>
      <c r="H30" s="391">
        <f t="shared" si="6"/>
        <v>0</v>
      </c>
      <c r="I30" s="392">
        <f t="shared" si="7"/>
        <v>0</v>
      </c>
      <c r="J30" s="393">
        <v>194715.6</v>
      </c>
      <c r="K30" s="393">
        <v>-194715.6</v>
      </c>
      <c r="L30" s="393">
        <v>0</v>
      </c>
      <c r="M30" s="393">
        <v>0</v>
      </c>
      <c r="N30" s="393">
        <f t="shared" si="8"/>
        <v>-194715.6</v>
      </c>
      <c r="O30" s="393">
        <f t="shared" si="9"/>
        <v>0</v>
      </c>
      <c r="Q30" s="395"/>
      <c r="R30" s="395"/>
      <c r="S30" s="396"/>
    </row>
    <row r="31" spans="2:19" s="394" customFormat="1" ht="15.75" customHeight="1">
      <c r="B31" s="349" t="s">
        <v>287</v>
      </c>
      <c r="D31" s="350" t="s">
        <v>288</v>
      </c>
      <c r="E31" s="391">
        <v>0</v>
      </c>
      <c r="F31" s="391">
        <v>0</v>
      </c>
      <c r="G31" s="391">
        <v>0</v>
      </c>
      <c r="H31" s="391">
        <f t="shared" si="6"/>
        <v>0</v>
      </c>
      <c r="I31" s="392">
        <f t="shared" si="7"/>
        <v>0</v>
      </c>
      <c r="J31" s="393">
        <v>-3342706.91</v>
      </c>
      <c r="K31" s="393">
        <v>3342706.91</v>
      </c>
      <c r="L31" s="393">
        <v>0</v>
      </c>
      <c r="M31" s="393">
        <v>0</v>
      </c>
      <c r="N31" s="393">
        <f t="shared" si="8"/>
        <v>3342706.91</v>
      </c>
      <c r="O31" s="393">
        <f t="shared" si="9"/>
        <v>0</v>
      </c>
      <c r="Q31" s="395"/>
      <c r="R31" s="395"/>
      <c r="S31" s="396"/>
    </row>
    <row r="32" spans="2:19" s="394" customFormat="1" ht="15.75" customHeight="1">
      <c r="B32" s="349" t="s">
        <v>289</v>
      </c>
      <c r="D32" s="350" t="s">
        <v>290</v>
      </c>
      <c r="E32" s="391">
        <v>0</v>
      </c>
      <c r="F32" s="391">
        <v>0</v>
      </c>
      <c r="G32" s="391">
        <v>0</v>
      </c>
      <c r="H32" s="391">
        <f t="shared" si="6"/>
        <v>0</v>
      </c>
      <c r="I32" s="392">
        <f t="shared" si="7"/>
        <v>0</v>
      </c>
      <c r="J32" s="393">
        <v>217345.38</v>
      </c>
      <c r="K32" s="393">
        <v>-217345.38</v>
      </c>
      <c r="L32" s="393">
        <v>0</v>
      </c>
      <c r="M32" s="393">
        <v>0</v>
      </c>
      <c r="N32" s="393">
        <f t="shared" si="8"/>
        <v>-217345.38</v>
      </c>
      <c r="O32" s="393">
        <f t="shared" si="9"/>
        <v>0</v>
      </c>
      <c r="Q32" s="395"/>
      <c r="R32" s="395"/>
      <c r="S32" s="396"/>
    </row>
    <row r="33" spans="1:19" ht="15.75" customHeight="1">
      <c r="B33" s="394"/>
      <c r="D33" s="350"/>
      <c r="E33" s="386"/>
      <c r="F33" s="386"/>
      <c r="G33" s="386"/>
      <c r="H33" s="386"/>
      <c r="I33" s="387"/>
      <c r="J33" s="389"/>
      <c r="K33" s="389"/>
      <c r="L33" s="389"/>
      <c r="M33" s="389"/>
      <c r="N33" s="389"/>
      <c r="O33" s="389"/>
      <c r="Q33" s="395"/>
      <c r="R33" s="395"/>
      <c r="S33" s="396"/>
    </row>
    <row r="34" spans="1:19" s="394" customFormat="1" ht="15.75" customHeight="1">
      <c r="B34" s="349" t="s">
        <v>291</v>
      </c>
      <c r="D34" s="350" t="s">
        <v>146</v>
      </c>
      <c r="E34" s="391">
        <v>0</v>
      </c>
      <c r="F34" s="391">
        <v>-40010000</v>
      </c>
      <c r="G34" s="391">
        <v>0</v>
      </c>
      <c r="H34" s="391">
        <f>G34</f>
        <v>0</v>
      </c>
      <c r="I34" s="392">
        <f>H34+F34</f>
        <v>-40010000</v>
      </c>
      <c r="J34" s="393">
        <v>-5574000</v>
      </c>
      <c r="K34" s="393">
        <v>0</v>
      </c>
      <c r="L34" s="393">
        <v>0</v>
      </c>
      <c r="M34" s="393">
        <v>0</v>
      </c>
      <c r="N34" s="393">
        <f>K34+L34+M34</f>
        <v>0</v>
      </c>
      <c r="O34" s="393">
        <f>N34+J34</f>
        <v>-5574000</v>
      </c>
      <c r="Q34" s="395"/>
      <c r="R34" s="395"/>
      <c r="S34" s="396"/>
    </row>
    <row r="35" spans="1:19" ht="15.75" customHeight="1">
      <c r="D35" s="350"/>
      <c r="E35" s="397"/>
      <c r="F35" s="397"/>
      <c r="G35" s="397"/>
      <c r="H35" s="397"/>
      <c r="I35" s="398"/>
      <c r="J35" s="399"/>
      <c r="K35" s="399"/>
      <c r="L35" s="399"/>
      <c r="M35" s="399"/>
      <c r="N35" s="399"/>
      <c r="O35" s="390"/>
      <c r="Q35" s="395"/>
      <c r="R35" s="395"/>
      <c r="S35" s="396"/>
    </row>
    <row r="36" spans="1:19" ht="15.75" customHeight="1">
      <c r="B36" s="400" t="s">
        <v>74</v>
      </c>
      <c r="C36" s="401"/>
      <c r="D36" s="402"/>
      <c r="E36" s="403">
        <f t="shared" ref="E36:O36" si="10">+E20+E23+E25+SUM(E27:E34)</f>
        <v>112222.16666666669</v>
      </c>
      <c r="F36" s="403">
        <f t="shared" si="10"/>
        <v>1520346761</v>
      </c>
      <c r="G36" s="403">
        <f t="shared" si="10"/>
        <v>61523268.876188286</v>
      </c>
      <c r="H36" s="403">
        <f t="shared" si="10"/>
        <v>61523268.876188286</v>
      </c>
      <c r="I36" s="404">
        <f t="shared" si="10"/>
        <v>1581870029.8761883</v>
      </c>
      <c r="J36" s="405">
        <f t="shared" si="10"/>
        <v>125044896.02999999</v>
      </c>
      <c r="K36" s="406">
        <f t="shared" si="10"/>
        <v>23460221.039658975</v>
      </c>
      <c r="L36" s="406">
        <f t="shared" si="10"/>
        <v>0</v>
      </c>
      <c r="M36" s="406">
        <f t="shared" si="10"/>
        <v>0</v>
      </c>
      <c r="N36" s="406">
        <f t="shared" si="10"/>
        <v>23460221.039658975</v>
      </c>
      <c r="O36" s="406">
        <f t="shared" si="10"/>
        <v>148505117.06965902</v>
      </c>
      <c r="Q36" s="390"/>
      <c r="R36" s="390"/>
      <c r="S36" s="50"/>
    </row>
    <row r="37" spans="1:19" ht="15.75" customHeight="1">
      <c r="D37" s="350"/>
      <c r="E37" s="386"/>
      <c r="F37" s="386"/>
      <c r="G37" s="386"/>
      <c r="H37" s="386"/>
      <c r="I37" s="387"/>
      <c r="J37" s="389"/>
      <c r="K37" s="358"/>
      <c r="L37" s="358"/>
      <c r="M37" s="358"/>
      <c r="N37" s="358"/>
      <c r="O37" s="390"/>
      <c r="Q37" s="390"/>
      <c r="R37" s="390"/>
      <c r="S37" s="50"/>
    </row>
    <row r="38" spans="1:19" ht="15.75" customHeight="1">
      <c r="A38" s="359" t="s">
        <v>292</v>
      </c>
      <c r="B38" s="359"/>
      <c r="D38" s="385" t="s">
        <v>120</v>
      </c>
      <c r="E38" s="386"/>
      <c r="F38" s="386"/>
      <c r="G38" s="386"/>
      <c r="H38" s="386"/>
      <c r="I38" s="387"/>
      <c r="J38" s="389"/>
      <c r="K38" s="389"/>
      <c r="L38" s="389"/>
      <c r="M38" s="389"/>
      <c r="N38" s="389"/>
      <c r="O38" s="390"/>
      <c r="Q38" s="390"/>
      <c r="R38" s="390"/>
      <c r="S38" s="50"/>
    </row>
    <row r="39" spans="1:19" ht="15.75" customHeight="1">
      <c r="B39" s="407" t="s">
        <v>293</v>
      </c>
      <c r="D39" s="350">
        <v>24</v>
      </c>
      <c r="E39" s="356">
        <v>15851</v>
      </c>
      <c r="F39" s="356">
        <v>512013628</v>
      </c>
      <c r="G39" s="356">
        <v>645285.60906558135</v>
      </c>
      <c r="H39" s="356">
        <f>G39</f>
        <v>645285.60906558135</v>
      </c>
      <c r="I39" s="388">
        <f>H39+F39</f>
        <v>512658913.60906559</v>
      </c>
      <c r="J39" s="389">
        <v>48864710.490000002</v>
      </c>
      <c r="K39" s="389">
        <v>-1279421.065784229</v>
      </c>
      <c r="L39" s="389">
        <v>0</v>
      </c>
      <c r="M39" s="389">
        <v>0</v>
      </c>
      <c r="N39" s="389">
        <f>K39+L39+M39</f>
        <v>-1279421.065784229</v>
      </c>
      <c r="O39" s="389">
        <f>N39+J39</f>
        <v>47585289.424215771</v>
      </c>
      <c r="Q39" s="390"/>
      <c r="R39" s="390"/>
      <c r="S39" s="50"/>
    </row>
    <row r="40" spans="1:19" s="394" customFormat="1" ht="15.75" customHeight="1">
      <c r="B40" s="407" t="s">
        <v>294</v>
      </c>
      <c r="D40" s="350" t="s">
        <v>150</v>
      </c>
      <c r="E40" s="356">
        <v>110</v>
      </c>
      <c r="F40" s="356">
        <v>1224640</v>
      </c>
      <c r="G40" s="356">
        <v>0</v>
      </c>
      <c r="H40" s="356">
        <f>G40</f>
        <v>0</v>
      </c>
      <c r="I40" s="388">
        <f>H40+F40</f>
        <v>1224640</v>
      </c>
      <c r="J40" s="389">
        <v>174229.15000000002</v>
      </c>
      <c r="K40" s="389">
        <v>7.08</v>
      </c>
      <c r="L40" s="389">
        <v>0</v>
      </c>
      <c r="M40" s="389">
        <v>0</v>
      </c>
      <c r="N40" s="389">
        <f>K40+L40+M40</f>
        <v>7.08</v>
      </c>
      <c r="O40" s="389">
        <f>N40+J40</f>
        <v>174236.23</v>
      </c>
      <c r="Q40" s="395"/>
      <c r="R40" s="395"/>
      <c r="S40" s="396"/>
    </row>
    <row r="41" spans="1:19" ht="15.75" customHeight="1">
      <c r="B41" s="407" t="s">
        <v>295</v>
      </c>
      <c r="D41" s="350" t="s">
        <v>154</v>
      </c>
      <c r="E41" s="391">
        <v>75.916666666666671</v>
      </c>
      <c r="F41" s="391">
        <v>177692</v>
      </c>
      <c r="G41" s="391">
        <v>0</v>
      </c>
      <c r="H41" s="391">
        <f>G41</f>
        <v>0</v>
      </c>
      <c r="I41" s="392">
        <f>H41+F41</f>
        <v>177692</v>
      </c>
      <c r="J41" s="393">
        <v>82552.09</v>
      </c>
      <c r="K41" s="393">
        <v>1448.21</v>
      </c>
      <c r="L41" s="393">
        <v>0</v>
      </c>
      <c r="M41" s="393">
        <v>0</v>
      </c>
      <c r="N41" s="393">
        <f>K41+L41+M41</f>
        <v>1448.21</v>
      </c>
      <c r="O41" s="393">
        <f>N41+J41</f>
        <v>84000.3</v>
      </c>
      <c r="Q41" s="390"/>
      <c r="R41" s="390"/>
      <c r="S41" s="50"/>
    </row>
    <row r="42" spans="1:19" ht="15.75" customHeight="1">
      <c r="B42" s="349" t="s">
        <v>280</v>
      </c>
      <c r="D42" s="350"/>
      <c r="E42" s="356">
        <f>SUM(E39:E41)</f>
        <v>16036.916666666666</v>
      </c>
      <c r="F42" s="356">
        <f>SUM(F39:F41)</f>
        <v>513415960</v>
      </c>
      <c r="G42" s="356">
        <f t="shared" ref="G42:O42" si="11">SUM(G39:G41)</f>
        <v>645285.60906558135</v>
      </c>
      <c r="H42" s="356">
        <f t="shared" si="11"/>
        <v>645285.60906558135</v>
      </c>
      <c r="I42" s="388">
        <f t="shared" si="11"/>
        <v>514061245.60906559</v>
      </c>
      <c r="J42" s="356">
        <f t="shared" si="11"/>
        <v>49121491.730000004</v>
      </c>
      <c r="K42" s="356">
        <f t="shared" si="11"/>
        <v>-1277965.7757842289</v>
      </c>
      <c r="L42" s="356">
        <f t="shared" si="11"/>
        <v>0</v>
      </c>
      <c r="M42" s="356">
        <f>SUM(M39:M41)</f>
        <v>0</v>
      </c>
      <c r="N42" s="356">
        <f t="shared" si="11"/>
        <v>-1277965.7757842289</v>
      </c>
      <c r="O42" s="356">
        <f t="shared" si="11"/>
        <v>47843525.954215765</v>
      </c>
      <c r="S42" s="50"/>
    </row>
    <row r="43" spans="1:19" ht="15.75" customHeight="1">
      <c r="D43" s="350"/>
      <c r="E43" s="386"/>
      <c r="F43" s="386"/>
      <c r="G43" s="386"/>
      <c r="H43" s="386"/>
      <c r="I43" s="387" t="s">
        <v>0</v>
      </c>
      <c r="J43" s="389"/>
      <c r="K43" s="389"/>
      <c r="L43" s="389"/>
      <c r="M43" s="389"/>
      <c r="N43" s="389"/>
      <c r="O43" s="390"/>
      <c r="Q43" s="390"/>
      <c r="R43" s="390"/>
      <c r="S43" s="50"/>
    </row>
    <row r="44" spans="1:19" ht="15.75" customHeight="1">
      <c r="B44" s="407" t="s">
        <v>296</v>
      </c>
      <c r="D44" s="350">
        <v>36</v>
      </c>
      <c r="E44" s="391">
        <v>968.83333333333337</v>
      </c>
      <c r="F44" s="391">
        <v>845617679</v>
      </c>
      <c r="G44" s="391">
        <v>953712.52616717084</v>
      </c>
      <c r="H44" s="391">
        <f>G44</f>
        <v>953712.52616717084</v>
      </c>
      <c r="I44" s="392">
        <f>H44+F44</f>
        <v>846571391.52616715</v>
      </c>
      <c r="J44" s="393">
        <v>68841186.820000008</v>
      </c>
      <c r="K44" s="393">
        <v>-1621930.1652211931</v>
      </c>
      <c r="L44" s="393">
        <v>0</v>
      </c>
      <c r="M44" s="393">
        <v>0</v>
      </c>
      <c r="N44" s="393">
        <f>K44+L44+M44</f>
        <v>-1621930.1652211931</v>
      </c>
      <c r="O44" s="393">
        <f>N44+J44</f>
        <v>67219256.654778808</v>
      </c>
      <c r="Q44" s="390"/>
      <c r="R44" s="390"/>
      <c r="S44" s="50"/>
    </row>
    <row r="45" spans="1:19" ht="15.75" customHeight="1">
      <c r="B45" s="349" t="s">
        <v>280</v>
      </c>
      <c r="D45" s="350"/>
      <c r="E45" s="356">
        <f>SUM(E44:E44)</f>
        <v>968.83333333333337</v>
      </c>
      <c r="F45" s="356">
        <f>SUM(F44:F44)</f>
        <v>845617679</v>
      </c>
      <c r="G45" s="356">
        <f t="shared" ref="G45:O45" si="12">SUM(G44)</f>
        <v>953712.52616717084</v>
      </c>
      <c r="H45" s="356">
        <f t="shared" si="12"/>
        <v>953712.52616717084</v>
      </c>
      <c r="I45" s="388">
        <f t="shared" si="12"/>
        <v>846571391.52616715</v>
      </c>
      <c r="J45" s="389">
        <f t="shared" si="12"/>
        <v>68841186.820000008</v>
      </c>
      <c r="K45" s="389">
        <f t="shared" si="12"/>
        <v>-1621930.1652211931</v>
      </c>
      <c r="L45" s="389">
        <f>SUM(L44:L44)</f>
        <v>0</v>
      </c>
      <c r="M45" s="389">
        <f>SUM(M44:M44)</f>
        <v>0</v>
      </c>
      <c r="N45" s="389">
        <f t="shared" si="12"/>
        <v>-1621930.1652211931</v>
      </c>
      <c r="O45" s="389">
        <f t="shared" si="12"/>
        <v>67219256.654778808</v>
      </c>
      <c r="Q45" s="390"/>
      <c r="R45" s="390"/>
      <c r="S45" s="50"/>
    </row>
    <row r="46" spans="1:19" ht="15.75" customHeight="1">
      <c r="D46" s="350"/>
      <c r="E46" s="386"/>
      <c r="F46" s="386"/>
      <c r="G46" s="386" t="s">
        <v>0</v>
      </c>
      <c r="H46" s="386" t="s">
        <v>0</v>
      </c>
      <c r="I46" s="387" t="s">
        <v>0</v>
      </c>
      <c r="J46" s="389" t="s">
        <v>0</v>
      </c>
      <c r="K46" s="389" t="s">
        <v>0</v>
      </c>
      <c r="L46" s="389" t="s">
        <v>0</v>
      </c>
      <c r="M46" s="389" t="s">
        <v>0</v>
      </c>
      <c r="N46" s="389"/>
      <c r="O46" s="389" t="s">
        <v>0</v>
      </c>
      <c r="Q46" s="390"/>
      <c r="R46" s="390"/>
      <c r="S46" s="50"/>
    </row>
    <row r="47" spans="1:19" ht="15.75" customHeight="1">
      <c r="B47" s="407" t="s">
        <v>297</v>
      </c>
      <c r="C47" s="394"/>
      <c r="D47" s="350" t="s">
        <v>151</v>
      </c>
      <c r="E47" s="391">
        <v>37.333333333333336</v>
      </c>
      <c r="F47" s="391">
        <v>203248901</v>
      </c>
      <c r="G47" s="391">
        <v>127552.73607895503</v>
      </c>
      <c r="H47" s="391">
        <f>G47</f>
        <v>127552.73607895503</v>
      </c>
      <c r="I47" s="392">
        <f>H47+F47</f>
        <v>203376453.73607895</v>
      </c>
      <c r="J47" s="393">
        <v>15300175.16</v>
      </c>
      <c r="K47" s="393">
        <v>-417905.76913548517</v>
      </c>
      <c r="L47" s="393">
        <v>0</v>
      </c>
      <c r="M47" s="393">
        <v>0</v>
      </c>
      <c r="N47" s="393">
        <f>K47+L47+M47</f>
        <v>-417905.76913548517</v>
      </c>
      <c r="O47" s="393">
        <f>N47+J47</f>
        <v>14882269.390864516</v>
      </c>
      <c r="S47" s="50"/>
    </row>
    <row r="48" spans="1:19" ht="15.75" customHeight="1">
      <c r="B48" s="349" t="s">
        <v>280</v>
      </c>
      <c r="D48" s="350"/>
      <c r="E48" s="356">
        <f>SUM(E47)</f>
        <v>37.333333333333336</v>
      </c>
      <c r="F48" s="356">
        <f>SUM(F47)</f>
        <v>203248901</v>
      </c>
      <c r="G48" s="356">
        <f t="shared" ref="G48:O48" si="13">SUM(G47)</f>
        <v>127552.73607895503</v>
      </c>
      <c r="H48" s="356">
        <f t="shared" si="13"/>
        <v>127552.73607895503</v>
      </c>
      <c r="I48" s="388">
        <f t="shared" si="13"/>
        <v>203376453.73607895</v>
      </c>
      <c r="J48" s="389">
        <f t="shared" si="13"/>
        <v>15300175.16</v>
      </c>
      <c r="K48" s="389">
        <f t="shared" si="13"/>
        <v>-417905.76913548517</v>
      </c>
      <c r="L48" s="389">
        <f t="shared" si="13"/>
        <v>0</v>
      </c>
      <c r="M48" s="389">
        <f>SUM(M47)</f>
        <v>0</v>
      </c>
      <c r="N48" s="389">
        <f t="shared" si="13"/>
        <v>-417905.76913548517</v>
      </c>
      <c r="O48" s="389">
        <f t="shared" si="13"/>
        <v>14882269.390864516</v>
      </c>
      <c r="Q48" s="390"/>
      <c r="R48" s="390"/>
      <c r="S48" s="50"/>
    </row>
    <row r="49" spans="2:19" ht="15.75" customHeight="1">
      <c r="D49" s="350"/>
      <c r="E49" s="386"/>
      <c r="F49" s="386"/>
      <c r="G49" s="386" t="s">
        <v>0</v>
      </c>
      <c r="H49" s="386" t="s">
        <v>0</v>
      </c>
      <c r="I49" s="387" t="s">
        <v>0</v>
      </c>
      <c r="J49" s="389" t="s">
        <v>0</v>
      </c>
      <c r="K49" s="389" t="s">
        <v>0</v>
      </c>
      <c r="L49" s="389" t="s">
        <v>0</v>
      </c>
      <c r="M49" s="389" t="s">
        <v>0</v>
      </c>
      <c r="N49" s="389"/>
      <c r="O49" s="389" t="s">
        <v>0</v>
      </c>
      <c r="Q49" s="390"/>
      <c r="R49" s="390"/>
      <c r="S49" s="50"/>
    </row>
    <row r="50" spans="2:19" ht="15.75" customHeight="1">
      <c r="B50" s="407" t="s">
        <v>298</v>
      </c>
      <c r="D50" s="350" t="s">
        <v>153</v>
      </c>
      <c r="E50" s="356">
        <v>1237</v>
      </c>
      <c r="F50" s="356">
        <v>1967302</v>
      </c>
      <c r="G50" s="356">
        <v>0</v>
      </c>
      <c r="H50" s="356">
        <f>G50</f>
        <v>0</v>
      </c>
      <c r="I50" s="388">
        <f>H50+F50</f>
        <v>1967302</v>
      </c>
      <c r="J50" s="389">
        <v>294065.45</v>
      </c>
      <c r="K50" s="389">
        <v>-1511.7505681989205</v>
      </c>
      <c r="L50" s="389">
        <v>0</v>
      </c>
      <c r="M50" s="389">
        <v>0</v>
      </c>
      <c r="N50" s="389">
        <f>K50+L50+M50</f>
        <v>-1511.7505681989205</v>
      </c>
      <c r="O50" s="389">
        <f>N50+J50</f>
        <v>292553.6994318011</v>
      </c>
      <c r="Q50" s="390"/>
      <c r="R50" s="390"/>
      <c r="S50" s="50"/>
    </row>
    <row r="51" spans="2:19" ht="15.75" customHeight="1">
      <c r="B51" s="407" t="s">
        <v>299</v>
      </c>
      <c r="D51" s="350">
        <v>54</v>
      </c>
      <c r="E51" s="391">
        <v>27</v>
      </c>
      <c r="F51" s="391">
        <v>280431</v>
      </c>
      <c r="G51" s="391">
        <v>0</v>
      </c>
      <c r="H51" s="391">
        <f>G51</f>
        <v>0</v>
      </c>
      <c r="I51" s="392">
        <f>H51+F51</f>
        <v>280431</v>
      </c>
      <c r="J51" s="393">
        <v>26775.11</v>
      </c>
      <c r="K51" s="393">
        <v>-894.12444539934711</v>
      </c>
      <c r="L51" s="393">
        <v>0</v>
      </c>
      <c r="M51" s="393">
        <v>0</v>
      </c>
      <c r="N51" s="393">
        <f>K51+L51+M51</f>
        <v>-894.12444539934711</v>
      </c>
      <c r="O51" s="393">
        <f>N51+J51</f>
        <v>25880.985554600655</v>
      </c>
      <c r="Q51" s="390"/>
      <c r="R51" s="390"/>
      <c r="S51" s="50"/>
    </row>
    <row r="52" spans="2:19" ht="15.75" customHeight="1">
      <c r="B52" s="349" t="s">
        <v>280</v>
      </c>
      <c r="D52" s="350"/>
      <c r="E52" s="356">
        <f>SUM(E50:E51)</f>
        <v>1264</v>
      </c>
      <c r="F52" s="356">
        <f>SUM(F50:F51)</f>
        <v>2247733</v>
      </c>
      <c r="G52" s="356">
        <f t="shared" ref="G52:O52" si="14">SUM(G50:G51)</f>
        <v>0</v>
      </c>
      <c r="H52" s="356">
        <f t="shared" si="14"/>
        <v>0</v>
      </c>
      <c r="I52" s="388">
        <f t="shared" si="14"/>
        <v>2247733</v>
      </c>
      <c r="J52" s="389">
        <f t="shared" si="14"/>
        <v>320840.56</v>
      </c>
      <c r="K52" s="389">
        <f t="shared" si="14"/>
        <v>-2405.8750135982677</v>
      </c>
      <c r="L52" s="389">
        <f t="shared" si="14"/>
        <v>0</v>
      </c>
      <c r="M52" s="389">
        <f>SUM(M50:M51)</f>
        <v>0</v>
      </c>
      <c r="N52" s="389">
        <f t="shared" si="14"/>
        <v>-2405.8750135982677</v>
      </c>
      <c r="O52" s="389">
        <f t="shared" si="14"/>
        <v>318434.68498640176</v>
      </c>
      <c r="S52" s="50"/>
    </row>
    <row r="53" spans="2:19" ht="15.75" customHeight="1">
      <c r="D53" s="350"/>
      <c r="E53" s="386"/>
      <c r="F53" s="386"/>
      <c r="G53" s="386" t="s">
        <v>0</v>
      </c>
      <c r="H53" s="386" t="s">
        <v>0</v>
      </c>
      <c r="I53" s="387" t="s">
        <v>0</v>
      </c>
      <c r="J53" s="389" t="s">
        <v>0</v>
      </c>
      <c r="K53" s="389" t="s">
        <v>0</v>
      </c>
      <c r="L53" s="389" t="s">
        <v>0</v>
      </c>
      <c r="M53" s="389" t="s">
        <v>0</v>
      </c>
      <c r="N53" s="389"/>
      <c r="O53" s="390"/>
      <c r="Q53" s="390"/>
      <c r="R53" s="390"/>
      <c r="S53" s="50"/>
    </row>
    <row r="54" spans="2:19" s="394" customFormat="1" ht="15.75" customHeight="1">
      <c r="B54" s="349" t="s">
        <v>282</v>
      </c>
      <c r="D54" s="350" t="s">
        <v>152</v>
      </c>
      <c r="E54" s="391">
        <v>0</v>
      </c>
      <c r="F54" s="391">
        <v>0</v>
      </c>
      <c r="G54" s="391">
        <v>0</v>
      </c>
      <c r="H54" s="391">
        <f>G54</f>
        <v>0</v>
      </c>
      <c r="I54" s="392">
        <f>H54+F54</f>
        <v>0</v>
      </c>
      <c r="J54" s="393">
        <v>447969.16</v>
      </c>
      <c r="K54" s="393">
        <v>0</v>
      </c>
      <c r="L54" s="393">
        <v>0</v>
      </c>
      <c r="M54" s="393">
        <v>0</v>
      </c>
      <c r="N54" s="393">
        <f>K54+L54+M54</f>
        <v>0</v>
      </c>
      <c r="O54" s="393">
        <f>N54+J54</f>
        <v>447969.16</v>
      </c>
      <c r="Q54" s="395"/>
      <c r="R54" s="395"/>
      <c r="S54" s="396"/>
    </row>
    <row r="55" spans="2:19" s="394" customFormat="1" ht="15.75" customHeight="1">
      <c r="B55" s="349"/>
      <c r="D55" s="350"/>
      <c r="E55" s="391"/>
      <c r="F55" s="391"/>
      <c r="G55" s="391"/>
      <c r="H55" s="391"/>
      <c r="I55" s="392"/>
      <c r="J55" s="393"/>
      <c r="K55" s="393"/>
      <c r="L55" s="393"/>
      <c r="M55" s="393"/>
      <c r="N55" s="393"/>
      <c r="O55" s="393"/>
      <c r="Q55" s="395"/>
      <c r="R55" s="395"/>
      <c r="S55" s="396"/>
    </row>
    <row r="56" spans="2:19" ht="15.75" customHeight="1">
      <c r="B56" s="349" t="s">
        <v>283</v>
      </c>
      <c r="D56" s="350" t="s">
        <v>144</v>
      </c>
      <c r="E56" s="391">
        <v>0</v>
      </c>
      <c r="F56" s="391">
        <v>0</v>
      </c>
      <c r="G56" s="391">
        <v>0</v>
      </c>
      <c r="H56" s="391">
        <f t="shared" ref="H56:H61" si="15">G56</f>
        <v>0</v>
      </c>
      <c r="I56" s="392">
        <f t="shared" ref="I56:I61" si="16">H56+F56</f>
        <v>0</v>
      </c>
      <c r="J56" s="393">
        <v>-9507218.8000000007</v>
      </c>
      <c r="K56" s="393">
        <v>9507218.8000000007</v>
      </c>
      <c r="L56" s="393">
        <v>0</v>
      </c>
      <c r="M56" s="393">
        <v>0</v>
      </c>
      <c r="N56" s="393">
        <f t="shared" ref="N56:N61" si="17">K56+L56+M56</f>
        <v>9507218.8000000007</v>
      </c>
      <c r="O56" s="393">
        <f t="shared" ref="O56:O61" si="18">N56+J56</f>
        <v>0</v>
      </c>
      <c r="Q56" s="390"/>
      <c r="R56" s="390"/>
      <c r="S56" s="50"/>
    </row>
    <row r="57" spans="2:19" s="394" customFormat="1" ht="15.75" customHeight="1">
      <c r="B57" s="349" t="s">
        <v>284</v>
      </c>
      <c r="D57" s="350" t="s">
        <v>148</v>
      </c>
      <c r="E57" s="391">
        <v>0</v>
      </c>
      <c r="F57" s="391">
        <v>0</v>
      </c>
      <c r="G57" s="391">
        <v>0</v>
      </c>
      <c r="H57" s="391">
        <f t="shared" si="15"/>
        <v>0</v>
      </c>
      <c r="I57" s="392">
        <f t="shared" si="16"/>
        <v>0</v>
      </c>
      <c r="J57" s="393">
        <v>4231357.09</v>
      </c>
      <c r="K57" s="393">
        <v>-4231357.09</v>
      </c>
      <c r="L57" s="393">
        <v>0</v>
      </c>
      <c r="M57" s="393">
        <v>0</v>
      </c>
      <c r="N57" s="393">
        <f t="shared" si="17"/>
        <v>-4231357.09</v>
      </c>
      <c r="O57" s="393">
        <f t="shared" si="18"/>
        <v>0</v>
      </c>
      <c r="Q57" s="395"/>
      <c r="R57" s="395"/>
      <c r="S57" s="396"/>
    </row>
    <row r="58" spans="2:19" s="394" customFormat="1" ht="15.75" customHeight="1">
      <c r="B58" s="349" t="s">
        <v>285</v>
      </c>
      <c r="D58" s="350" t="s">
        <v>149</v>
      </c>
      <c r="E58" s="391">
        <v>0</v>
      </c>
      <c r="F58" s="391">
        <v>0</v>
      </c>
      <c r="G58" s="391">
        <v>0</v>
      </c>
      <c r="H58" s="391">
        <f t="shared" si="15"/>
        <v>0</v>
      </c>
      <c r="I58" s="392">
        <f t="shared" si="16"/>
        <v>0</v>
      </c>
      <c r="J58" s="393">
        <v>15505.42</v>
      </c>
      <c r="K58" s="393">
        <v>-15505.42</v>
      </c>
      <c r="L58" s="393">
        <v>0</v>
      </c>
      <c r="M58" s="393">
        <v>0</v>
      </c>
      <c r="N58" s="393">
        <f t="shared" si="17"/>
        <v>-15505.42</v>
      </c>
      <c r="O58" s="393">
        <f t="shared" si="18"/>
        <v>0</v>
      </c>
      <c r="Q58" s="395"/>
      <c r="R58" s="395"/>
      <c r="S58" s="396"/>
    </row>
    <row r="59" spans="2:19" s="394" customFormat="1" ht="15.75" customHeight="1">
      <c r="B59" s="349" t="s">
        <v>300</v>
      </c>
      <c r="D59" s="350" t="s">
        <v>147</v>
      </c>
      <c r="E59" s="391">
        <v>0</v>
      </c>
      <c r="F59" s="391">
        <v>0</v>
      </c>
      <c r="G59" s="391">
        <v>0</v>
      </c>
      <c r="H59" s="391">
        <f t="shared" si="15"/>
        <v>0</v>
      </c>
      <c r="I59" s="392">
        <f t="shared" si="16"/>
        <v>0</v>
      </c>
      <c r="J59" s="393">
        <v>5737.35</v>
      </c>
      <c r="K59" s="393">
        <v>-5737.35</v>
      </c>
      <c r="L59" s="393">
        <v>0</v>
      </c>
      <c r="M59" s="393">
        <v>0</v>
      </c>
      <c r="N59" s="393">
        <f t="shared" si="17"/>
        <v>-5737.35</v>
      </c>
      <c r="O59" s="393">
        <f t="shared" si="18"/>
        <v>0</v>
      </c>
      <c r="Q59" s="395"/>
      <c r="R59" s="395"/>
      <c r="S59" s="396"/>
    </row>
    <row r="60" spans="2:19" s="394" customFormat="1" ht="15.75" customHeight="1">
      <c r="B60" s="349" t="s">
        <v>287</v>
      </c>
      <c r="D60" s="350" t="s">
        <v>288</v>
      </c>
      <c r="E60" s="391">
        <v>0</v>
      </c>
      <c r="F60" s="391">
        <v>0</v>
      </c>
      <c r="G60" s="391">
        <v>0</v>
      </c>
      <c r="H60" s="391">
        <f t="shared" si="15"/>
        <v>0</v>
      </c>
      <c r="I60" s="392">
        <f t="shared" si="16"/>
        <v>0</v>
      </c>
      <c r="J60" s="393">
        <v>-3056272.67</v>
      </c>
      <c r="K60" s="393">
        <v>3056272.67</v>
      </c>
      <c r="L60" s="393">
        <v>0</v>
      </c>
      <c r="M60" s="393">
        <v>0</v>
      </c>
      <c r="N60" s="393">
        <f t="shared" si="17"/>
        <v>3056272.67</v>
      </c>
      <c r="O60" s="393">
        <f t="shared" si="18"/>
        <v>0</v>
      </c>
      <c r="Q60" s="395"/>
      <c r="R60" s="395"/>
      <c r="S60" s="396"/>
    </row>
    <row r="61" spans="2:19" s="394" customFormat="1" ht="15.75" customHeight="1">
      <c r="B61" s="349" t="s">
        <v>289</v>
      </c>
      <c r="D61" s="350" t="s">
        <v>290</v>
      </c>
      <c r="E61" s="391">
        <v>0</v>
      </c>
      <c r="F61" s="391">
        <v>0</v>
      </c>
      <c r="G61" s="391">
        <v>0</v>
      </c>
      <c r="H61" s="391">
        <f t="shared" si="15"/>
        <v>0</v>
      </c>
      <c r="I61" s="392">
        <f t="shared" si="16"/>
        <v>0</v>
      </c>
      <c r="J61" s="393">
        <v>-2552753.9900000002</v>
      </c>
      <c r="K61" s="393">
        <v>2552753.9900000002</v>
      </c>
      <c r="L61" s="393">
        <v>0</v>
      </c>
      <c r="M61" s="393">
        <v>0</v>
      </c>
      <c r="N61" s="393">
        <f t="shared" si="17"/>
        <v>2552753.9900000002</v>
      </c>
      <c r="O61" s="393">
        <f t="shared" si="18"/>
        <v>0</v>
      </c>
      <c r="Q61" s="395"/>
      <c r="R61" s="395"/>
      <c r="S61" s="396"/>
    </row>
    <row r="62" spans="2:19" ht="15.75" customHeight="1">
      <c r="B62" s="394"/>
      <c r="D62" s="350"/>
      <c r="E62" s="386"/>
      <c r="F62" s="386"/>
      <c r="G62" s="386"/>
      <c r="H62" s="386"/>
      <c r="I62" s="387"/>
      <c r="J62" s="389"/>
      <c r="K62" s="358"/>
      <c r="L62" s="389"/>
      <c r="M62" s="389"/>
      <c r="N62" s="389"/>
      <c r="O62" s="389"/>
      <c r="Q62" s="390"/>
      <c r="R62" s="390"/>
      <c r="S62" s="50"/>
    </row>
    <row r="63" spans="2:19" s="394" customFormat="1" ht="15.75" customHeight="1">
      <c r="B63" s="349" t="s">
        <v>291</v>
      </c>
      <c r="D63" s="350" t="s">
        <v>146</v>
      </c>
      <c r="E63" s="391">
        <v>0</v>
      </c>
      <c r="F63" s="391">
        <v>3152000</v>
      </c>
      <c r="G63" s="391">
        <v>0</v>
      </c>
      <c r="H63" s="391">
        <f>G63</f>
        <v>0</v>
      </c>
      <c r="I63" s="392">
        <f>H63+F63</f>
        <v>3152000</v>
      </c>
      <c r="J63" s="393">
        <v>275000</v>
      </c>
      <c r="K63" s="393">
        <v>0</v>
      </c>
      <c r="L63" s="393">
        <v>0</v>
      </c>
      <c r="M63" s="393">
        <v>0</v>
      </c>
      <c r="N63" s="393">
        <f>K63+L63+M63</f>
        <v>0</v>
      </c>
      <c r="O63" s="393">
        <f>N63+J63</f>
        <v>275000</v>
      </c>
      <c r="Q63" s="395"/>
      <c r="R63" s="395"/>
      <c r="S63" s="396"/>
    </row>
    <row r="64" spans="2:19" ht="15.75" customHeight="1">
      <c r="B64" s="394"/>
      <c r="D64" s="350"/>
      <c r="E64" s="386"/>
      <c r="F64" s="386"/>
      <c r="G64" s="386"/>
      <c r="H64" s="386"/>
      <c r="I64" s="408"/>
      <c r="J64" s="389"/>
      <c r="K64" s="358"/>
      <c r="L64" s="358"/>
      <c r="M64" s="358"/>
      <c r="N64" s="358"/>
      <c r="O64" s="390"/>
      <c r="Q64" s="390"/>
      <c r="R64" s="390"/>
      <c r="S64" s="50"/>
    </row>
    <row r="65" spans="1:19" ht="15.75" customHeight="1">
      <c r="B65" s="400" t="s">
        <v>74</v>
      </c>
      <c r="C65" s="401"/>
      <c r="D65" s="402"/>
      <c r="E65" s="403">
        <f t="shared" ref="E65:O65" si="19">+E42+E45+E48+E52+E54+SUM(E56:E63)</f>
        <v>18307.083333333332</v>
      </c>
      <c r="F65" s="403">
        <f t="shared" si="19"/>
        <v>1567682273</v>
      </c>
      <c r="G65" s="403">
        <f t="shared" si="19"/>
        <v>1726550.8713117072</v>
      </c>
      <c r="H65" s="403">
        <f t="shared" si="19"/>
        <v>1726550.8713117072</v>
      </c>
      <c r="I65" s="404">
        <f t="shared" si="19"/>
        <v>1569408823.8713117</v>
      </c>
      <c r="J65" s="406">
        <f t="shared" si="19"/>
        <v>123443017.83000001</v>
      </c>
      <c r="K65" s="406">
        <f t="shared" si="19"/>
        <v>7543438.014845496</v>
      </c>
      <c r="L65" s="406">
        <f t="shared" si="19"/>
        <v>0</v>
      </c>
      <c r="M65" s="406">
        <f t="shared" si="19"/>
        <v>0</v>
      </c>
      <c r="N65" s="406">
        <f t="shared" si="19"/>
        <v>7543438.014845496</v>
      </c>
      <c r="O65" s="406">
        <f t="shared" si="19"/>
        <v>130986455.84484549</v>
      </c>
      <c r="Q65" s="390"/>
      <c r="R65" s="390"/>
      <c r="S65" s="50"/>
    </row>
    <row r="66" spans="1:19" ht="15.75" customHeight="1">
      <c r="D66" s="350"/>
      <c r="E66" s="356"/>
      <c r="F66" s="356"/>
      <c r="G66" s="356"/>
      <c r="H66" s="356"/>
      <c r="I66" s="388"/>
      <c r="J66" s="389"/>
      <c r="K66" s="389"/>
      <c r="L66" s="389"/>
      <c r="M66" s="389"/>
      <c r="N66" s="389"/>
      <c r="O66" s="358" t="s">
        <v>0</v>
      </c>
      <c r="S66" s="50"/>
    </row>
    <row r="67" spans="1:19" ht="15.75" customHeight="1">
      <c r="A67" s="359" t="s">
        <v>301</v>
      </c>
      <c r="B67" s="359"/>
      <c r="D67" s="385" t="s">
        <v>121</v>
      </c>
      <c r="E67" s="386"/>
      <c r="F67" s="386"/>
      <c r="G67" s="386"/>
      <c r="H67" s="386"/>
      <c r="I67" s="387"/>
      <c r="J67" s="389"/>
      <c r="K67" s="389"/>
      <c r="L67" s="389"/>
      <c r="M67" s="389"/>
      <c r="N67" s="389"/>
      <c r="O67" s="390" t="s">
        <v>0</v>
      </c>
      <c r="Q67" s="390"/>
      <c r="R67" s="390"/>
      <c r="S67" s="50"/>
    </row>
    <row r="68" spans="1:19" ht="15.75" customHeight="1">
      <c r="B68" s="407" t="s">
        <v>293</v>
      </c>
      <c r="D68" s="350">
        <v>24</v>
      </c>
      <c r="E68" s="356">
        <v>369.91666666666669</v>
      </c>
      <c r="F68" s="356">
        <v>15991947</v>
      </c>
      <c r="G68" s="356">
        <v>0</v>
      </c>
      <c r="H68" s="356">
        <f>G68</f>
        <v>0</v>
      </c>
      <c r="I68" s="388">
        <f>H68+F68</f>
        <v>15991947</v>
      </c>
      <c r="J68" s="389">
        <v>1556987.7200000002</v>
      </c>
      <c r="K68" s="389">
        <v>-40282.14940587664</v>
      </c>
      <c r="L68" s="389">
        <v>0</v>
      </c>
      <c r="M68" s="389">
        <v>0</v>
      </c>
      <c r="N68" s="389">
        <f>K68+L68+M68</f>
        <v>-40282.14940587664</v>
      </c>
      <c r="O68" s="389">
        <f>N68+J68</f>
        <v>1516705.5705941236</v>
      </c>
      <c r="Q68" s="390"/>
      <c r="R68" s="390"/>
      <c r="S68" s="50"/>
    </row>
    <row r="69" spans="1:19" s="394" customFormat="1" ht="15.75" customHeight="1">
      <c r="B69" s="407" t="s">
        <v>294</v>
      </c>
      <c r="D69" s="350" t="s">
        <v>150</v>
      </c>
      <c r="E69" s="356">
        <v>4</v>
      </c>
      <c r="F69" s="356">
        <v>33312</v>
      </c>
      <c r="G69" s="356">
        <v>0</v>
      </c>
      <c r="H69" s="356">
        <f>G69</f>
        <v>0</v>
      </c>
      <c r="I69" s="388">
        <f>H69+F69</f>
        <v>33312</v>
      </c>
      <c r="J69" s="389">
        <v>8876.9599999999991</v>
      </c>
      <c r="K69" s="389">
        <v>0</v>
      </c>
      <c r="L69" s="389">
        <v>0</v>
      </c>
      <c r="M69" s="389">
        <v>0</v>
      </c>
      <c r="N69" s="389">
        <f>K69+L69+M69</f>
        <v>0</v>
      </c>
      <c r="O69" s="389">
        <f>N69+J69</f>
        <v>8876.9599999999991</v>
      </c>
      <c r="Q69" s="395"/>
      <c r="R69" s="395"/>
      <c r="S69" s="396"/>
    </row>
    <row r="70" spans="1:19" ht="15.75" customHeight="1">
      <c r="B70" s="407" t="s">
        <v>295</v>
      </c>
      <c r="C70" s="394"/>
      <c r="D70" s="350" t="s">
        <v>154</v>
      </c>
      <c r="E70" s="391">
        <v>1</v>
      </c>
      <c r="F70" s="391">
        <v>6416</v>
      </c>
      <c r="G70" s="391">
        <v>0</v>
      </c>
      <c r="H70" s="391">
        <f>G70</f>
        <v>0</v>
      </c>
      <c r="I70" s="392">
        <f>H70+F70</f>
        <v>6416</v>
      </c>
      <c r="J70" s="393">
        <v>2492.81</v>
      </c>
      <c r="K70" s="393">
        <v>52.29</v>
      </c>
      <c r="L70" s="393">
        <v>0</v>
      </c>
      <c r="M70" s="393">
        <v>0</v>
      </c>
      <c r="N70" s="393">
        <f>K70+L70+M70</f>
        <v>52.29</v>
      </c>
      <c r="O70" s="393">
        <f>N70+J70</f>
        <v>2545.1</v>
      </c>
      <c r="Q70" s="390"/>
      <c r="R70" s="390"/>
      <c r="S70" s="50"/>
    </row>
    <row r="71" spans="1:19" ht="15.75" customHeight="1">
      <c r="B71" s="349" t="s">
        <v>280</v>
      </c>
      <c r="D71" s="350"/>
      <c r="E71" s="356">
        <f>SUM(E68:E70)</f>
        <v>374.91666666666669</v>
      </c>
      <c r="F71" s="356">
        <f>SUM(F68:F70)</f>
        <v>16031675</v>
      </c>
      <c r="G71" s="356">
        <f t="shared" ref="G71:O71" si="20">SUM(G68:G70)</f>
        <v>0</v>
      </c>
      <c r="H71" s="356">
        <f t="shared" si="20"/>
        <v>0</v>
      </c>
      <c r="I71" s="388">
        <f t="shared" si="20"/>
        <v>16031675</v>
      </c>
      <c r="J71" s="389">
        <f t="shared" si="20"/>
        <v>1568357.4900000002</v>
      </c>
      <c r="K71" s="389">
        <f t="shared" si="20"/>
        <v>-40229.859405876639</v>
      </c>
      <c r="L71" s="389">
        <f t="shared" si="20"/>
        <v>0</v>
      </c>
      <c r="M71" s="389">
        <f>SUM(M68:M70)</f>
        <v>0</v>
      </c>
      <c r="N71" s="389">
        <f t="shared" si="20"/>
        <v>-40229.859405876639</v>
      </c>
      <c r="O71" s="389">
        <f t="shared" si="20"/>
        <v>1528127.6305941236</v>
      </c>
      <c r="S71" s="50"/>
    </row>
    <row r="72" spans="1:19" ht="15.75" customHeight="1">
      <c r="D72" s="350"/>
      <c r="E72" s="386"/>
      <c r="F72" s="386"/>
      <c r="G72" s="386" t="s">
        <v>0</v>
      </c>
      <c r="H72" s="386" t="s">
        <v>0</v>
      </c>
      <c r="I72" s="387" t="s">
        <v>0</v>
      </c>
      <c r="J72" s="389" t="s">
        <v>0</v>
      </c>
      <c r="K72" s="389" t="s">
        <v>0</v>
      </c>
      <c r="L72" s="389" t="s">
        <v>0</v>
      </c>
      <c r="M72" s="389" t="s">
        <v>0</v>
      </c>
      <c r="N72" s="389"/>
      <c r="O72" s="390"/>
      <c r="Q72" s="390"/>
      <c r="R72" s="390"/>
      <c r="S72" s="50"/>
    </row>
    <row r="73" spans="1:19" s="394" customFormat="1" ht="15.75" customHeight="1">
      <c r="B73" s="407" t="s">
        <v>296</v>
      </c>
      <c r="C73" s="349"/>
      <c r="D73" s="350">
        <v>36</v>
      </c>
      <c r="E73" s="391">
        <v>104.58333333333333</v>
      </c>
      <c r="F73" s="391">
        <v>98792864</v>
      </c>
      <c r="G73" s="391">
        <v>0</v>
      </c>
      <c r="H73" s="391">
        <f>G73</f>
        <v>0</v>
      </c>
      <c r="I73" s="392">
        <f>H73+F73</f>
        <v>98792864</v>
      </c>
      <c r="J73" s="393">
        <v>8470546.1099999994</v>
      </c>
      <c r="K73" s="393">
        <v>-238116.38482765201</v>
      </c>
      <c r="L73" s="393">
        <v>0</v>
      </c>
      <c r="M73" s="393">
        <v>0</v>
      </c>
      <c r="N73" s="393">
        <f>K73+L73+M73</f>
        <v>-238116.38482765201</v>
      </c>
      <c r="O73" s="393">
        <f>N73+J73</f>
        <v>8232429.7251723474</v>
      </c>
      <c r="Q73" s="395"/>
      <c r="R73" s="395"/>
      <c r="S73" s="396"/>
    </row>
    <row r="74" spans="1:19" ht="15.75" customHeight="1">
      <c r="B74" s="349" t="s">
        <v>280</v>
      </c>
      <c r="D74" s="350"/>
      <c r="E74" s="356">
        <f>SUM(E73:E73)</f>
        <v>104.58333333333333</v>
      </c>
      <c r="F74" s="356">
        <f>SUM(F73:F73)</f>
        <v>98792864</v>
      </c>
      <c r="G74" s="356">
        <v>0</v>
      </c>
      <c r="H74" s="356">
        <v>0</v>
      </c>
      <c r="I74" s="388">
        <f>SUM(I73)</f>
        <v>98792864</v>
      </c>
      <c r="J74" s="389">
        <f>SUM(J73)</f>
        <v>8470546.1099999994</v>
      </c>
      <c r="K74" s="389">
        <f>SUM(K73)</f>
        <v>-238116.38482765201</v>
      </c>
      <c r="L74" s="389">
        <f>SUM(L73:L73)</f>
        <v>0</v>
      </c>
      <c r="M74" s="389">
        <f>SUM(M73:M73)</f>
        <v>0</v>
      </c>
      <c r="N74" s="389">
        <f>SUM(N73)</f>
        <v>-238116.38482765201</v>
      </c>
      <c r="O74" s="389">
        <f>SUM(O73)</f>
        <v>8232429.7251723474</v>
      </c>
      <c r="Q74" s="390"/>
      <c r="R74" s="390"/>
      <c r="S74" s="50"/>
    </row>
    <row r="75" spans="1:19" ht="15.75" customHeight="1">
      <c r="D75" s="350"/>
      <c r="E75" s="386"/>
      <c r="F75" s="386"/>
      <c r="G75" s="386"/>
      <c r="H75" s="386"/>
      <c r="I75" s="387"/>
      <c r="J75" s="389"/>
      <c r="K75" s="389"/>
      <c r="L75" s="389"/>
      <c r="M75" s="389"/>
      <c r="N75" s="389"/>
      <c r="O75" s="390"/>
      <c r="Q75" s="390"/>
      <c r="R75" s="390"/>
      <c r="S75" s="50"/>
    </row>
    <row r="76" spans="1:19" ht="15.75" customHeight="1">
      <c r="B76" s="407" t="s">
        <v>302</v>
      </c>
      <c r="C76" s="394"/>
      <c r="D76" s="350">
        <v>47</v>
      </c>
      <c r="E76" s="356">
        <v>1</v>
      </c>
      <c r="F76" s="356">
        <v>2532625</v>
      </c>
      <c r="G76" s="356">
        <v>0</v>
      </c>
      <c r="H76" s="356">
        <f>G76</f>
        <v>0</v>
      </c>
      <c r="I76" s="388">
        <f>H76+F76</f>
        <v>2532625</v>
      </c>
      <c r="J76" s="389">
        <v>399111.79</v>
      </c>
      <c r="K76" s="389">
        <v>-4019.8537500000007</v>
      </c>
      <c r="L76" s="389">
        <v>0</v>
      </c>
      <c r="M76" s="389">
        <v>0</v>
      </c>
      <c r="N76" s="389">
        <f>K76+L76+M76</f>
        <v>-4019.8537500000007</v>
      </c>
      <c r="O76" s="389">
        <f>N76+J76</f>
        <v>395091.93624999997</v>
      </c>
      <c r="Q76" s="390"/>
      <c r="R76" s="390"/>
      <c r="S76" s="50"/>
    </row>
    <row r="77" spans="1:19" ht="15.75" customHeight="1">
      <c r="B77" s="407" t="s">
        <v>303</v>
      </c>
      <c r="C77" s="394"/>
      <c r="D77" s="350" t="s">
        <v>304</v>
      </c>
      <c r="E77" s="356">
        <v>0</v>
      </c>
      <c r="F77" s="356">
        <v>0</v>
      </c>
      <c r="G77" s="356">
        <v>0</v>
      </c>
      <c r="H77" s="356">
        <f>G77</f>
        <v>0</v>
      </c>
      <c r="I77" s="388">
        <f>H77+F77</f>
        <v>0</v>
      </c>
      <c r="J77" s="389">
        <v>0</v>
      </c>
      <c r="K77" s="389">
        <v>0</v>
      </c>
      <c r="L77" s="389">
        <v>0</v>
      </c>
      <c r="M77" s="389">
        <v>0</v>
      </c>
      <c r="N77" s="389">
        <f>K77+L77+M77</f>
        <v>0</v>
      </c>
      <c r="O77" s="389">
        <f>N77+J77</f>
        <v>0</v>
      </c>
      <c r="Q77" s="390"/>
      <c r="R77" s="390"/>
      <c r="S77" s="50"/>
    </row>
    <row r="78" spans="1:19" ht="15.75" customHeight="1">
      <c r="B78" s="407" t="s">
        <v>297</v>
      </c>
      <c r="C78" s="394"/>
      <c r="D78" s="350" t="s">
        <v>151</v>
      </c>
      <c r="E78" s="391">
        <v>30.416666666666668</v>
      </c>
      <c r="F78" s="391">
        <v>598034150</v>
      </c>
      <c r="G78" s="391">
        <v>0</v>
      </c>
      <c r="H78" s="391">
        <f>G78</f>
        <v>0</v>
      </c>
      <c r="I78" s="392">
        <f>H78+F78</f>
        <v>598034150</v>
      </c>
      <c r="J78" s="393">
        <v>40172118.57</v>
      </c>
      <c r="K78" s="393">
        <v>-1320491.2121884718</v>
      </c>
      <c r="L78" s="393">
        <v>0</v>
      </c>
      <c r="M78" s="393">
        <v>0</v>
      </c>
      <c r="N78" s="393">
        <f>K78+L78+M78</f>
        <v>-1320491.2121884718</v>
      </c>
      <c r="O78" s="393">
        <f>N78+J78</f>
        <v>38851627.357811525</v>
      </c>
      <c r="S78" s="50"/>
    </row>
    <row r="79" spans="1:19" ht="15.75" customHeight="1">
      <c r="B79" s="349" t="s">
        <v>280</v>
      </c>
      <c r="D79" s="350"/>
      <c r="E79" s="356">
        <f>SUM(E76:E78)</f>
        <v>31.416666666666668</v>
      </c>
      <c r="F79" s="356">
        <f>SUM(F76:F78)</f>
        <v>600566775</v>
      </c>
      <c r="G79" s="356">
        <f t="shared" ref="G79:O79" si="21">SUM(G76:G78)</f>
        <v>0</v>
      </c>
      <c r="H79" s="356">
        <f t="shared" si="21"/>
        <v>0</v>
      </c>
      <c r="I79" s="388">
        <f t="shared" si="21"/>
        <v>600566775</v>
      </c>
      <c r="J79" s="389">
        <f t="shared" si="21"/>
        <v>40571230.359999999</v>
      </c>
      <c r="K79" s="389">
        <f t="shared" si="21"/>
        <v>-1324511.0659384718</v>
      </c>
      <c r="L79" s="389">
        <f t="shared" si="21"/>
        <v>0</v>
      </c>
      <c r="M79" s="389">
        <f>SUM(M76:M78)</f>
        <v>0</v>
      </c>
      <c r="N79" s="389">
        <f t="shared" si="21"/>
        <v>-1324511.0659384718</v>
      </c>
      <c r="O79" s="389">
        <f t="shared" si="21"/>
        <v>39246719.294061527</v>
      </c>
      <c r="Q79" s="390"/>
      <c r="R79" s="390"/>
      <c r="S79" s="50"/>
    </row>
    <row r="80" spans="1:19" ht="15.75" customHeight="1">
      <c r="D80" s="350"/>
      <c r="E80" s="386"/>
      <c r="F80" s="386"/>
      <c r="G80" s="386"/>
      <c r="H80" s="356"/>
      <c r="I80" s="387"/>
      <c r="J80" s="389"/>
      <c r="K80" s="389"/>
      <c r="L80" s="389"/>
      <c r="M80" s="389"/>
      <c r="N80" s="389"/>
      <c r="O80" s="390"/>
      <c r="Q80" s="390"/>
      <c r="R80" s="390"/>
      <c r="S80" s="50"/>
    </row>
    <row r="81" spans="2:19" ht="15.75" customHeight="1">
      <c r="B81" s="407" t="s">
        <v>298</v>
      </c>
      <c r="D81" s="350" t="s">
        <v>153</v>
      </c>
      <c r="E81" s="391">
        <v>51.083333333333336</v>
      </c>
      <c r="F81" s="391">
        <v>122832</v>
      </c>
      <c r="G81" s="391">
        <v>0</v>
      </c>
      <c r="H81" s="391">
        <f>G81</f>
        <v>0</v>
      </c>
      <c r="I81" s="392">
        <f>H81+F81</f>
        <v>122832</v>
      </c>
      <c r="J81" s="393">
        <v>17148.320000000003</v>
      </c>
      <c r="K81" s="393">
        <v>-140.05851716287259</v>
      </c>
      <c r="L81" s="393">
        <v>0</v>
      </c>
      <c r="M81" s="393">
        <v>0</v>
      </c>
      <c r="N81" s="393">
        <f>K81+L81+M81</f>
        <v>-140.05851716287259</v>
      </c>
      <c r="O81" s="393">
        <f>N81+J81</f>
        <v>17008.26148283713</v>
      </c>
      <c r="Q81" s="390"/>
      <c r="R81" s="390"/>
      <c r="S81" s="50"/>
    </row>
    <row r="82" spans="2:19" ht="15.75" customHeight="1">
      <c r="B82" s="349" t="s">
        <v>280</v>
      </c>
      <c r="D82" s="350"/>
      <c r="E82" s="356">
        <f>SUM(E81:E81)</f>
        <v>51.083333333333336</v>
      </c>
      <c r="F82" s="356">
        <f>SUM(F81:F81)</f>
        <v>122832</v>
      </c>
      <c r="G82" s="356">
        <v>0</v>
      </c>
      <c r="H82" s="356">
        <v>0</v>
      </c>
      <c r="I82" s="388">
        <f>SUM(I81)</f>
        <v>122832</v>
      </c>
      <c r="J82" s="389">
        <f>SUM(J81)</f>
        <v>17148.320000000003</v>
      </c>
      <c r="K82" s="389">
        <f>SUM(K81)</f>
        <v>-140.05851716287259</v>
      </c>
      <c r="L82" s="389">
        <f>SUM(L81:L81)</f>
        <v>0</v>
      </c>
      <c r="M82" s="389">
        <f>SUM(M81:M81)</f>
        <v>0</v>
      </c>
      <c r="N82" s="389">
        <f>SUM(N81)</f>
        <v>-140.05851716287259</v>
      </c>
      <c r="O82" s="389">
        <f>SUM(O81)</f>
        <v>17008.26148283713</v>
      </c>
      <c r="S82" s="50"/>
    </row>
    <row r="83" spans="2:19" ht="15.75" customHeight="1">
      <c r="D83" s="350"/>
      <c r="E83" s="386"/>
      <c r="F83" s="386"/>
      <c r="G83" s="386" t="s">
        <v>0</v>
      </c>
      <c r="H83" s="386" t="s">
        <v>0</v>
      </c>
      <c r="I83" s="387" t="s">
        <v>0</v>
      </c>
      <c r="J83" s="389" t="s">
        <v>0</v>
      </c>
      <c r="K83" s="389"/>
      <c r="L83" s="389"/>
      <c r="M83" s="389"/>
      <c r="N83" s="389"/>
      <c r="O83" s="390"/>
      <c r="Q83" s="390"/>
      <c r="R83" s="390"/>
      <c r="S83" s="50"/>
    </row>
    <row r="84" spans="2:19" s="394" customFormat="1" ht="15.75" customHeight="1">
      <c r="B84" s="349" t="s">
        <v>282</v>
      </c>
      <c r="D84" s="350" t="s">
        <v>152</v>
      </c>
      <c r="E84" s="391">
        <v>0</v>
      </c>
      <c r="F84" s="391">
        <v>0</v>
      </c>
      <c r="G84" s="391">
        <v>0</v>
      </c>
      <c r="H84" s="391">
        <f>G84</f>
        <v>0</v>
      </c>
      <c r="I84" s="392">
        <f>H84+F84</f>
        <v>0</v>
      </c>
      <c r="J84" s="393">
        <v>25144.080000000002</v>
      </c>
      <c r="K84" s="393">
        <v>0</v>
      </c>
      <c r="L84" s="393">
        <v>0</v>
      </c>
      <c r="M84" s="393">
        <v>0</v>
      </c>
      <c r="N84" s="393">
        <f>K84+L84+M84</f>
        <v>0</v>
      </c>
      <c r="O84" s="393">
        <f>N84+J84</f>
        <v>25144.080000000002</v>
      </c>
      <c r="Q84" s="395"/>
      <c r="R84" s="395"/>
      <c r="S84" s="396"/>
    </row>
    <row r="85" spans="2:19" s="394" customFormat="1" ht="15.75" customHeight="1">
      <c r="B85" s="349"/>
      <c r="D85" s="350"/>
      <c r="E85" s="391"/>
      <c r="F85" s="391"/>
      <c r="G85" s="391"/>
      <c r="H85" s="391"/>
      <c r="I85" s="392"/>
      <c r="J85" s="393"/>
      <c r="K85" s="393"/>
      <c r="L85" s="393"/>
      <c r="M85" s="393"/>
      <c r="N85" s="393"/>
      <c r="O85" s="393"/>
      <c r="Q85" s="395"/>
      <c r="R85" s="395"/>
      <c r="S85" s="396"/>
    </row>
    <row r="86" spans="2:19" ht="15.75" customHeight="1">
      <c r="B86" s="349" t="s">
        <v>283</v>
      </c>
      <c r="D86" s="350" t="s">
        <v>144</v>
      </c>
      <c r="E86" s="391">
        <v>0</v>
      </c>
      <c r="F86" s="391">
        <v>0</v>
      </c>
      <c r="G86" s="391">
        <v>0</v>
      </c>
      <c r="H86" s="391">
        <f t="shared" ref="H86:H91" si="22">G86</f>
        <v>0</v>
      </c>
      <c r="I86" s="392">
        <f t="shared" ref="I86:I91" si="23">H86+F86</f>
        <v>0</v>
      </c>
      <c r="J86" s="393">
        <v>-4279236.6400000006</v>
      </c>
      <c r="K86" s="393">
        <v>4279236.6400000006</v>
      </c>
      <c r="L86" s="393">
        <v>0</v>
      </c>
      <c r="M86" s="393">
        <v>0</v>
      </c>
      <c r="N86" s="393">
        <f t="shared" ref="N86:N91" si="24">K86+L86+M86</f>
        <v>4279236.6400000006</v>
      </c>
      <c r="O86" s="393">
        <f t="shared" ref="O86:O91" si="25">N86+J86</f>
        <v>0</v>
      </c>
      <c r="Q86" s="390"/>
      <c r="R86" s="390"/>
      <c r="S86" s="50"/>
    </row>
    <row r="87" spans="2:19" s="394" customFormat="1" ht="15.75" customHeight="1">
      <c r="B87" s="349" t="s">
        <v>284</v>
      </c>
      <c r="D87" s="350" t="s">
        <v>148</v>
      </c>
      <c r="E87" s="391">
        <v>0</v>
      </c>
      <c r="F87" s="391">
        <v>0</v>
      </c>
      <c r="G87" s="391">
        <v>0</v>
      </c>
      <c r="H87" s="391">
        <f t="shared" si="22"/>
        <v>0</v>
      </c>
      <c r="I87" s="392">
        <f t="shared" si="23"/>
        <v>0</v>
      </c>
      <c r="J87" s="393">
        <v>1549618.93</v>
      </c>
      <c r="K87" s="393">
        <v>-1549618.93</v>
      </c>
      <c r="L87" s="393">
        <v>0</v>
      </c>
      <c r="M87" s="393">
        <v>0</v>
      </c>
      <c r="N87" s="393">
        <f t="shared" si="24"/>
        <v>-1549618.93</v>
      </c>
      <c r="O87" s="393">
        <f t="shared" si="25"/>
        <v>0</v>
      </c>
      <c r="Q87" s="395"/>
      <c r="R87" s="395"/>
      <c r="S87" s="396"/>
    </row>
    <row r="88" spans="2:19" s="394" customFormat="1" ht="15.75" customHeight="1">
      <c r="B88" s="349" t="s">
        <v>285</v>
      </c>
      <c r="D88" s="350" t="s">
        <v>149</v>
      </c>
      <c r="E88" s="391">
        <v>0</v>
      </c>
      <c r="F88" s="391">
        <v>0</v>
      </c>
      <c r="G88" s="391">
        <v>0</v>
      </c>
      <c r="H88" s="391">
        <f t="shared" si="22"/>
        <v>0</v>
      </c>
      <c r="I88" s="392">
        <f t="shared" si="23"/>
        <v>0</v>
      </c>
      <c r="J88" s="393">
        <v>26.39</v>
      </c>
      <c r="K88" s="393">
        <v>-26.39</v>
      </c>
      <c r="L88" s="393">
        <v>0</v>
      </c>
      <c r="M88" s="393">
        <v>0</v>
      </c>
      <c r="N88" s="393">
        <f t="shared" si="24"/>
        <v>-26.39</v>
      </c>
      <c r="O88" s="393">
        <f t="shared" si="25"/>
        <v>0</v>
      </c>
      <c r="Q88" s="395"/>
      <c r="R88" s="395"/>
      <c r="S88" s="396"/>
    </row>
    <row r="89" spans="2:19" s="394" customFormat="1" ht="15.75" customHeight="1">
      <c r="B89" s="349" t="s">
        <v>305</v>
      </c>
      <c r="D89" s="350" t="s">
        <v>147</v>
      </c>
      <c r="E89" s="391">
        <v>0</v>
      </c>
      <c r="F89" s="391">
        <v>0</v>
      </c>
      <c r="G89" s="391">
        <v>0</v>
      </c>
      <c r="H89" s="391">
        <f t="shared" si="22"/>
        <v>0</v>
      </c>
      <c r="I89" s="392">
        <f t="shared" si="23"/>
        <v>0</v>
      </c>
      <c r="J89" s="393">
        <v>-383.04</v>
      </c>
      <c r="K89" s="393">
        <v>383.04</v>
      </c>
      <c r="L89" s="393">
        <v>0</v>
      </c>
      <c r="M89" s="393">
        <v>0</v>
      </c>
      <c r="N89" s="393">
        <f t="shared" si="24"/>
        <v>383.04</v>
      </c>
      <c r="O89" s="393">
        <f t="shared" si="25"/>
        <v>0</v>
      </c>
      <c r="Q89" s="395"/>
      <c r="R89" s="395"/>
      <c r="S89" s="396"/>
    </row>
    <row r="90" spans="2:19" s="394" customFormat="1" ht="15.75" customHeight="1">
      <c r="B90" s="349" t="s">
        <v>287</v>
      </c>
      <c r="D90" s="350" t="s">
        <v>288</v>
      </c>
      <c r="E90" s="391">
        <v>0</v>
      </c>
      <c r="F90" s="391">
        <v>0</v>
      </c>
      <c r="G90" s="391">
        <v>0</v>
      </c>
      <c r="H90" s="391">
        <f t="shared" si="22"/>
        <v>0</v>
      </c>
      <c r="I90" s="392">
        <f t="shared" si="23"/>
        <v>0</v>
      </c>
      <c r="J90" s="393">
        <v>-1601330.2</v>
      </c>
      <c r="K90" s="393">
        <v>1601330.2</v>
      </c>
      <c r="L90" s="393">
        <v>0</v>
      </c>
      <c r="M90" s="393">
        <v>0</v>
      </c>
      <c r="N90" s="393">
        <f t="shared" si="24"/>
        <v>1601330.2</v>
      </c>
      <c r="O90" s="393">
        <f t="shared" si="25"/>
        <v>0</v>
      </c>
      <c r="Q90" s="395"/>
      <c r="R90" s="395"/>
      <c r="S90" s="396"/>
    </row>
    <row r="91" spans="2:19" s="394" customFormat="1" ht="15.75" customHeight="1">
      <c r="B91" s="349" t="s">
        <v>289</v>
      </c>
      <c r="D91" s="350" t="s">
        <v>290</v>
      </c>
      <c r="E91" s="391">
        <v>0</v>
      </c>
      <c r="F91" s="391">
        <v>0</v>
      </c>
      <c r="G91" s="391">
        <v>0</v>
      </c>
      <c r="H91" s="391">
        <f t="shared" si="22"/>
        <v>0</v>
      </c>
      <c r="I91" s="392">
        <f t="shared" si="23"/>
        <v>0</v>
      </c>
      <c r="J91" s="393">
        <v>-169070.72</v>
      </c>
      <c r="K91" s="393">
        <v>169070.72</v>
      </c>
      <c r="L91" s="393">
        <v>0</v>
      </c>
      <c r="M91" s="393">
        <v>0</v>
      </c>
      <c r="N91" s="393">
        <f t="shared" si="24"/>
        <v>169070.72</v>
      </c>
      <c r="O91" s="393">
        <f t="shared" si="25"/>
        <v>0</v>
      </c>
      <c r="Q91" s="395"/>
      <c r="R91" s="395"/>
      <c r="S91" s="396"/>
    </row>
    <row r="92" spans="2:19" ht="15.75" customHeight="1">
      <c r="D92" s="350"/>
      <c r="E92" s="386"/>
      <c r="F92" s="386"/>
      <c r="G92" s="386"/>
      <c r="H92" s="386"/>
      <c r="I92" s="387"/>
      <c r="J92" s="389"/>
      <c r="K92" s="389"/>
      <c r="L92" s="389"/>
      <c r="M92" s="389"/>
      <c r="N92" s="389"/>
      <c r="O92" s="389"/>
      <c r="Q92" s="390"/>
      <c r="R92" s="390"/>
      <c r="S92" s="50"/>
    </row>
    <row r="93" spans="2:19" s="394" customFormat="1" ht="15.75" customHeight="1">
      <c r="B93" s="349" t="s">
        <v>291</v>
      </c>
      <c r="D93" s="350" t="s">
        <v>146</v>
      </c>
      <c r="E93" s="391">
        <v>0</v>
      </c>
      <c r="F93" s="391">
        <v>-29109000</v>
      </c>
      <c r="G93" s="391">
        <v>0</v>
      </c>
      <c r="H93" s="391">
        <f>G93</f>
        <v>0</v>
      </c>
      <c r="I93" s="392">
        <f>H93+F93</f>
        <v>-29109000</v>
      </c>
      <c r="J93" s="393">
        <v>-2726000</v>
      </c>
      <c r="K93" s="393">
        <v>0</v>
      </c>
      <c r="L93" s="393">
        <v>0</v>
      </c>
      <c r="M93" s="393">
        <v>0</v>
      </c>
      <c r="N93" s="393">
        <f>K93+L93+M93</f>
        <v>0</v>
      </c>
      <c r="O93" s="393">
        <f>N93+J93</f>
        <v>-2726000</v>
      </c>
      <c r="Q93" s="395"/>
      <c r="R93" s="395"/>
      <c r="S93" s="396"/>
    </row>
    <row r="94" spans="2:19" ht="15.75" customHeight="1">
      <c r="B94" s="394"/>
      <c r="D94" s="350"/>
      <c r="E94" s="386"/>
      <c r="F94" s="386"/>
      <c r="G94" s="386"/>
      <c r="H94" s="386"/>
      <c r="I94" s="387"/>
      <c r="J94" s="389"/>
      <c r="K94" s="358"/>
      <c r="L94" s="358"/>
      <c r="M94" s="358"/>
      <c r="N94" s="358"/>
      <c r="O94" s="390"/>
      <c r="Q94" s="390"/>
      <c r="R94" s="390"/>
      <c r="S94" s="50"/>
    </row>
    <row r="95" spans="2:19" ht="15.75" customHeight="1">
      <c r="B95" s="400" t="s">
        <v>74</v>
      </c>
      <c r="C95" s="401"/>
      <c r="D95" s="402"/>
      <c r="E95" s="403">
        <f t="shared" ref="E95:O95" si="26">+E71+E74+E79+E82+E84+SUM(E86:E93)</f>
        <v>562</v>
      </c>
      <c r="F95" s="403">
        <f t="shared" si="26"/>
        <v>686405146</v>
      </c>
      <c r="G95" s="403">
        <f t="shared" si="26"/>
        <v>0</v>
      </c>
      <c r="H95" s="403">
        <f t="shared" si="26"/>
        <v>0</v>
      </c>
      <c r="I95" s="404">
        <f t="shared" si="26"/>
        <v>686405146</v>
      </c>
      <c r="J95" s="406">
        <f t="shared" si="26"/>
        <v>43426051.079999998</v>
      </c>
      <c r="K95" s="406">
        <f t="shared" si="26"/>
        <v>2897377.9113108367</v>
      </c>
      <c r="L95" s="406">
        <f t="shared" si="26"/>
        <v>0</v>
      </c>
      <c r="M95" s="406">
        <f t="shared" si="26"/>
        <v>0</v>
      </c>
      <c r="N95" s="406">
        <f t="shared" si="26"/>
        <v>2897377.9113108367</v>
      </c>
      <c r="O95" s="406">
        <f t="shared" si="26"/>
        <v>46323428.991310835</v>
      </c>
      <c r="Q95" s="390"/>
      <c r="R95" s="390"/>
      <c r="S95" s="50"/>
    </row>
    <row r="96" spans="2:19" ht="15.75" customHeight="1">
      <c r="B96" s="351"/>
      <c r="C96" s="351"/>
      <c r="D96" s="357"/>
      <c r="E96" s="386"/>
      <c r="F96" s="386"/>
      <c r="G96" s="386"/>
      <c r="H96" s="386"/>
      <c r="I96" s="387"/>
      <c r="J96" s="389" t="s">
        <v>0</v>
      </c>
      <c r="K96" s="386"/>
      <c r="L96" s="386"/>
      <c r="M96" s="386"/>
      <c r="N96" s="386"/>
      <c r="O96" s="386"/>
      <c r="Q96" s="390"/>
      <c r="R96" s="390"/>
      <c r="S96" s="50"/>
    </row>
    <row r="97" spans="1:19" ht="15.75" customHeight="1">
      <c r="A97" s="359" t="s">
        <v>306</v>
      </c>
      <c r="B97" s="407"/>
      <c r="D97" s="350"/>
      <c r="E97" s="386"/>
      <c r="F97" s="386"/>
      <c r="G97" s="386"/>
      <c r="H97" s="386"/>
      <c r="I97" s="387"/>
      <c r="J97" s="389"/>
      <c r="K97" s="389"/>
      <c r="L97" s="389"/>
      <c r="M97" s="389"/>
      <c r="N97" s="389"/>
      <c r="O97" s="389"/>
      <c r="S97" s="50"/>
    </row>
    <row r="98" spans="1:19" ht="15.75" customHeight="1">
      <c r="A98" s="359"/>
      <c r="B98" s="407"/>
      <c r="D98" s="385" t="s">
        <v>117</v>
      </c>
      <c r="E98" s="386"/>
      <c r="F98" s="386"/>
      <c r="G98" s="386"/>
      <c r="H98" s="386"/>
      <c r="I98" s="387"/>
      <c r="J98" s="389"/>
      <c r="K98" s="389"/>
      <c r="L98" s="389"/>
      <c r="M98" s="389"/>
      <c r="N98" s="389"/>
      <c r="O98" s="389"/>
      <c r="S98" s="50"/>
    </row>
    <row r="99" spans="1:19" ht="15.75" customHeight="1">
      <c r="B99" s="407" t="s">
        <v>307</v>
      </c>
      <c r="D99" s="350">
        <v>40</v>
      </c>
      <c r="E99" s="356">
        <v>2951.1666666666665</v>
      </c>
      <c r="F99" s="356">
        <v>106816208</v>
      </c>
      <c r="G99" s="356">
        <v>-4565145.1994000003</v>
      </c>
      <c r="H99" s="356">
        <f>G99</f>
        <v>-4565145.1994000003</v>
      </c>
      <c r="I99" s="388">
        <f>H99+F99</f>
        <v>102251062.80059999</v>
      </c>
      <c r="J99" s="389">
        <v>9253425</v>
      </c>
      <c r="K99" s="389">
        <v>-545209.73297487514</v>
      </c>
      <c r="L99" s="389">
        <v>0</v>
      </c>
      <c r="M99" s="389">
        <v>0</v>
      </c>
      <c r="N99" s="389">
        <f>K99+L99+M99</f>
        <v>-545209.73297487514</v>
      </c>
      <c r="O99" s="389">
        <f>N99+J99</f>
        <v>8708215.2670251243</v>
      </c>
      <c r="Q99" s="390"/>
      <c r="R99" s="390"/>
      <c r="S99" s="50"/>
    </row>
    <row r="100" spans="1:19" ht="15.75" customHeight="1">
      <c r="B100" s="407" t="s">
        <v>308</v>
      </c>
      <c r="D100" s="350" t="s">
        <v>156</v>
      </c>
      <c r="E100" s="391">
        <v>2219.4166666666665</v>
      </c>
      <c r="F100" s="391">
        <v>59747346</v>
      </c>
      <c r="G100" s="391">
        <v>0</v>
      </c>
      <c r="H100" s="391">
        <f>G100</f>
        <v>0</v>
      </c>
      <c r="I100" s="392">
        <f>H100+F100</f>
        <v>59747346</v>
      </c>
      <c r="J100" s="393">
        <v>5729950.1600000001</v>
      </c>
      <c r="K100" s="393">
        <v>0</v>
      </c>
      <c r="L100" s="393">
        <v>0</v>
      </c>
      <c r="M100" s="393">
        <v>0</v>
      </c>
      <c r="N100" s="393">
        <f>K100+L100+M100</f>
        <v>0</v>
      </c>
      <c r="O100" s="393">
        <f>N100+J100</f>
        <v>5729950.1600000001</v>
      </c>
      <c r="Q100" s="390"/>
      <c r="R100" s="390"/>
      <c r="S100" s="50"/>
    </row>
    <row r="101" spans="1:19" ht="15.75" customHeight="1">
      <c r="B101" s="349" t="s">
        <v>280</v>
      </c>
      <c r="D101" s="350"/>
      <c r="E101" s="356">
        <f>SUM(E99:E100)</f>
        <v>5170.583333333333</v>
      </c>
      <c r="F101" s="356">
        <f>SUM(F99:F100)</f>
        <v>166563554</v>
      </c>
      <c r="G101" s="356">
        <f t="shared" ref="G101:O101" si="27">SUM(G99:G100)</f>
        <v>-4565145.1994000003</v>
      </c>
      <c r="H101" s="356">
        <f t="shared" si="27"/>
        <v>-4565145.1994000003</v>
      </c>
      <c r="I101" s="388">
        <f t="shared" si="27"/>
        <v>161998408.80059999</v>
      </c>
      <c r="J101" s="389">
        <f t="shared" si="27"/>
        <v>14983375.16</v>
      </c>
      <c r="K101" s="389">
        <f t="shared" si="27"/>
        <v>-545209.73297487514</v>
      </c>
      <c r="L101" s="389">
        <f>SUM(L99:L100)</f>
        <v>0</v>
      </c>
      <c r="M101" s="389">
        <f>SUM(M99:M100)</f>
        <v>0</v>
      </c>
      <c r="N101" s="389">
        <f t="shared" si="27"/>
        <v>-545209.73297487514</v>
      </c>
      <c r="O101" s="389">
        <f t="shared" si="27"/>
        <v>14438165.427025124</v>
      </c>
      <c r="Q101" s="390"/>
      <c r="R101" s="390"/>
      <c r="S101" s="50"/>
    </row>
    <row r="102" spans="1:19" s="394" customFormat="1" ht="15.75" customHeight="1">
      <c r="A102" s="349"/>
      <c r="B102" s="349"/>
      <c r="C102" s="349"/>
      <c r="D102" s="350"/>
      <c r="E102" s="386"/>
      <c r="F102" s="386"/>
      <c r="G102" s="386" t="s">
        <v>0</v>
      </c>
      <c r="H102" s="386" t="s">
        <v>0</v>
      </c>
      <c r="I102" s="387" t="s">
        <v>0</v>
      </c>
      <c r="J102" s="389" t="s">
        <v>0</v>
      </c>
      <c r="K102" s="389" t="s">
        <v>0</v>
      </c>
      <c r="L102" s="389" t="s">
        <v>0</v>
      </c>
      <c r="M102" s="389" t="s">
        <v>0</v>
      </c>
      <c r="N102" s="389"/>
      <c r="O102" s="386"/>
      <c r="P102" s="394" t="s">
        <v>0</v>
      </c>
      <c r="Q102" s="395"/>
      <c r="R102" s="395"/>
      <c r="S102" s="396"/>
    </row>
    <row r="103" spans="1:19" s="394" customFormat="1" ht="15.75" customHeight="1">
      <c r="B103" s="349" t="s">
        <v>282</v>
      </c>
      <c r="D103" s="350" t="s">
        <v>152</v>
      </c>
      <c r="E103" s="391">
        <v>0</v>
      </c>
      <c r="F103" s="391">
        <v>0</v>
      </c>
      <c r="G103" s="391">
        <v>0</v>
      </c>
      <c r="H103" s="391">
        <v>0</v>
      </c>
      <c r="I103" s="392">
        <f>H103+F103</f>
        <v>0</v>
      </c>
      <c r="J103" s="393">
        <v>219373.08000000002</v>
      </c>
      <c r="K103" s="393">
        <v>0</v>
      </c>
      <c r="L103" s="393">
        <v>0</v>
      </c>
      <c r="M103" s="393">
        <v>0</v>
      </c>
      <c r="N103" s="393">
        <f>K103+L103+M103</f>
        <v>0</v>
      </c>
      <c r="O103" s="393">
        <f>N103+J103</f>
        <v>219373.08000000002</v>
      </c>
      <c r="Q103" s="395"/>
      <c r="R103" s="395"/>
      <c r="S103" s="396"/>
    </row>
    <row r="104" spans="1:19" s="394" customFormat="1" ht="15.75" customHeight="1">
      <c r="B104" s="349"/>
      <c r="D104" s="350"/>
      <c r="E104" s="391"/>
      <c r="F104" s="391"/>
      <c r="G104" s="391"/>
      <c r="H104" s="391"/>
      <c r="I104" s="392"/>
      <c r="J104" s="393"/>
      <c r="K104" s="393"/>
      <c r="L104" s="393"/>
      <c r="M104" s="393"/>
      <c r="N104" s="393"/>
      <c r="O104" s="393"/>
      <c r="Q104" s="395"/>
      <c r="R104" s="395"/>
      <c r="S104" s="396"/>
    </row>
    <row r="105" spans="1:19" s="394" customFormat="1" ht="15.75" customHeight="1">
      <c r="B105" s="349" t="s">
        <v>309</v>
      </c>
      <c r="D105" s="350" t="s">
        <v>155</v>
      </c>
      <c r="E105" s="391">
        <v>0</v>
      </c>
      <c r="F105" s="391">
        <v>0</v>
      </c>
      <c r="G105" s="391">
        <v>0</v>
      </c>
      <c r="H105" s="391">
        <v>0</v>
      </c>
      <c r="I105" s="392">
        <f t="shared" ref="I105:I112" si="28">H105+F105</f>
        <v>0</v>
      </c>
      <c r="J105" s="393">
        <v>0</v>
      </c>
      <c r="K105" s="393">
        <v>0</v>
      </c>
      <c r="L105" s="393">
        <v>0</v>
      </c>
      <c r="M105" s="393">
        <v>0</v>
      </c>
      <c r="N105" s="393">
        <f t="shared" ref="N105:N112" si="29">K105+L105+M105</f>
        <v>0</v>
      </c>
      <c r="O105" s="393">
        <f t="shared" ref="O105:O112" si="30">N105+J105</f>
        <v>0</v>
      </c>
      <c r="Q105" s="395"/>
      <c r="R105" s="395"/>
      <c r="S105" s="396"/>
    </row>
    <row r="106" spans="1:19" ht="15.75" customHeight="1">
      <c r="B106" s="349" t="s">
        <v>283</v>
      </c>
      <c r="D106" s="350" t="s">
        <v>144</v>
      </c>
      <c r="E106" s="391">
        <v>0</v>
      </c>
      <c r="F106" s="391">
        <v>0</v>
      </c>
      <c r="G106" s="391">
        <v>0</v>
      </c>
      <c r="H106" s="391">
        <v>0</v>
      </c>
      <c r="I106" s="392">
        <f t="shared" si="28"/>
        <v>0</v>
      </c>
      <c r="J106" s="393">
        <v>-1170981.79</v>
      </c>
      <c r="K106" s="393">
        <v>1170981.79</v>
      </c>
      <c r="L106" s="393">
        <v>0</v>
      </c>
      <c r="M106" s="393">
        <v>0</v>
      </c>
      <c r="N106" s="393">
        <f t="shared" si="29"/>
        <v>1170981.79</v>
      </c>
      <c r="O106" s="393">
        <f t="shared" si="30"/>
        <v>0</v>
      </c>
      <c r="Q106" s="390"/>
      <c r="R106" s="390"/>
      <c r="S106" s="50"/>
    </row>
    <row r="107" spans="1:19" s="394" customFormat="1" ht="15.75" customHeight="1">
      <c r="B107" s="349" t="s">
        <v>284</v>
      </c>
      <c r="D107" s="350" t="s">
        <v>148</v>
      </c>
      <c r="E107" s="391">
        <v>0</v>
      </c>
      <c r="F107" s="391">
        <v>0</v>
      </c>
      <c r="G107" s="391">
        <v>0</v>
      </c>
      <c r="H107" s="391">
        <v>0</v>
      </c>
      <c r="I107" s="392">
        <f t="shared" si="28"/>
        <v>0</v>
      </c>
      <c r="J107" s="393">
        <v>501826.5</v>
      </c>
      <c r="K107" s="393">
        <v>-501826.5</v>
      </c>
      <c r="L107" s="393">
        <v>0</v>
      </c>
      <c r="M107" s="393">
        <v>0</v>
      </c>
      <c r="N107" s="393">
        <f t="shared" si="29"/>
        <v>-501826.5</v>
      </c>
      <c r="O107" s="393">
        <f t="shared" si="30"/>
        <v>0</v>
      </c>
      <c r="Q107" s="395"/>
      <c r="R107" s="395"/>
      <c r="S107" s="396"/>
    </row>
    <row r="108" spans="1:19" s="394" customFormat="1" ht="15.75" customHeight="1">
      <c r="B108" s="349" t="s">
        <v>285</v>
      </c>
      <c r="D108" s="350" t="s">
        <v>149</v>
      </c>
      <c r="E108" s="391">
        <v>0</v>
      </c>
      <c r="F108" s="391">
        <v>0</v>
      </c>
      <c r="G108" s="391">
        <v>0</v>
      </c>
      <c r="H108" s="391">
        <v>0</v>
      </c>
      <c r="I108" s="392">
        <f t="shared" si="28"/>
        <v>0</v>
      </c>
      <c r="J108" s="393">
        <v>234.43</v>
      </c>
      <c r="K108" s="393">
        <v>-234.43</v>
      </c>
      <c r="L108" s="393">
        <v>0</v>
      </c>
      <c r="M108" s="393">
        <v>0</v>
      </c>
      <c r="N108" s="393">
        <f t="shared" si="29"/>
        <v>-234.43</v>
      </c>
      <c r="O108" s="393">
        <f t="shared" si="30"/>
        <v>0</v>
      </c>
      <c r="Q108" s="395"/>
      <c r="R108" s="395"/>
      <c r="S108" s="396"/>
    </row>
    <row r="109" spans="1:19" s="394" customFormat="1" ht="15.75" customHeight="1">
      <c r="B109" s="349" t="s">
        <v>305</v>
      </c>
      <c r="D109" s="350" t="s">
        <v>147</v>
      </c>
      <c r="E109" s="391">
        <v>0</v>
      </c>
      <c r="F109" s="391">
        <v>0</v>
      </c>
      <c r="G109" s="391">
        <v>0</v>
      </c>
      <c r="H109" s="391">
        <v>0</v>
      </c>
      <c r="I109" s="392">
        <f t="shared" si="28"/>
        <v>0</v>
      </c>
      <c r="J109" s="393">
        <v>-11527.96</v>
      </c>
      <c r="K109" s="393">
        <v>11527.96</v>
      </c>
      <c r="L109" s="393">
        <v>0</v>
      </c>
      <c r="M109" s="393">
        <v>0</v>
      </c>
      <c r="N109" s="393">
        <f t="shared" si="29"/>
        <v>11527.96</v>
      </c>
      <c r="O109" s="393">
        <f t="shared" si="30"/>
        <v>0</v>
      </c>
      <c r="Q109" s="395"/>
      <c r="R109" s="395"/>
      <c r="S109" s="396"/>
    </row>
    <row r="110" spans="1:19" s="394" customFormat="1" ht="15.75" customHeight="1">
      <c r="B110" s="349" t="s">
        <v>310</v>
      </c>
      <c r="D110" s="350" t="s">
        <v>157</v>
      </c>
      <c r="E110" s="391">
        <v>0</v>
      </c>
      <c r="F110" s="391">
        <v>0</v>
      </c>
      <c r="G110" s="391">
        <v>0</v>
      </c>
      <c r="H110" s="391">
        <v>0</v>
      </c>
      <c r="I110" s="392">
        <f t="shared" si="28"/>
        <v>0</v>
      </c>
      <c r="J110" s="393">
        <v>117294.9</v>
      </c>
      <c r="K110" s="393">
        <v>-117294.9</v>
      </c>
      <c r="L110" s="393">
        <v>0</v>
      </c>
      <c r="M110" s="393">
        <v>0</v>
      </c>
      <c r="N110" s="393">
        <f t="shared" si="29"/>
        <v>-117294.9</v>
      </c>
      <c r="O110" s="393">
        <f t="shared" si="30"/>
        <v>0</v>
      </c>
      <c r="Q110" s="395"/>
      <c r="R110" s="395"/>
      <c r="S110" s="396"/>
    </row>
    <row r="111" spans="1:19" s="394" customFormat="1" ht="15.75" customHeight="1">
      <c r="B111" s="349" t="s">
        <v>287</v>
      </c>
      <c r="D111" s="350" t="s">
        <v>288</v>
      </c>
      <c r="E111" s="391">
        <v>0</v>
      </c>
      <c r="F111" s="391">
        <v>0</v>
      </c>
      <c r="G111" s="391">
        <v>0</v>
      </c>
      <c r="H111" s="391">
        <v>0</v>
      </c>
      <c r="I111" s="392">
        <f t="shared" si="28"/>
        <v>0</v>
      </c>
      <c r="J111" s="393">
        <v>-279766.03000000003</v>
      </c>
      <c r="K111" s="393">
        <v>279766.03000000003</v>
      </c>
      <c r="L111" s="393">
        <v>0</v>
      </c>
      <c r="M111" s="393">
        <v>0</v>
      </c>
      <c r="N111" s="393">
        <f t="shared" si="29"/>
        <v>279766.03000000003</v>
      </c>
      <c r="O111" s="393">
        <f t="shared" si="30"/>
        <v>0</v>
      </c>
      <c r="Q111" s="395"/>
      <c r="R111" s="395"/>
      <c r="S111" s="396"/>
    </row>
    <row r="112" spans="1:19" s="394" customFormat="1" ht="15.75" customHeight="1">
      <c r="B112" s="349" t="s">
        <v>289</v>
      </c>
      <c r="D112" s="350" t="s">
        <v>290</v>
      </c>
      <c r="E112" s="391">
        <v>0</v>
      </c>
      <c r="F112" s="391">
        <v>0</v>
      </c>
      <c r="G112" s="391">
        <v>0</v>
      </c>
      <c r="H112" s="391">
        <v>0</v>
      </c>
      <c r="I112" s="392">
        <f t="shared" si="28"/>
        <v>0</v>
      </c>
      <c r="J112" s="393">
        <v>-315686.12</v>
      </c>
      <c r="K112" s="393">
        <v>315686.12</v>
      </c>
      <c r="L112" s="393">
        <v>0</v>
      </c>
      <c r="M112" s="393">
        <v>0</v>
      </c>
      <c r="N112" s="393">
        <f t="shared" si="29"/>
        <v>315686.12</v>
      </c>
      <c r="O112" s="393">
        <f t="shared" si="30"/>
        <v>0</v>
      </c>
      <c r="Q112" s="395"/>
      <c r="R112" s="395"/>
      <c r="S112" s="396"/>
    </row>
    <row r="113" spans="1:19" ht="15.75" customHeight="1">
      <c r="D113" s="350"/>
      <c r="E113" s="386"/>
      <c r="F113" s="386"/>
      <c r="G113" s="386"/>
      <c r="H113" s="386"/>
      <c r="I113" s="387"/>
      <c r="J113" s="389"/>
      <c r="K113" s="389"/>
      <c r="L113" s="389"/>
      <c r="M113" s="389"/>
      <c r="N113" s="389"/>
      <c r="O113" s="389"/>
      <c r="Q113" s="390"/>
      <c r="R113" s="390"/>
      <c r="S113" s="50"/>
    </row>
    <row r="114" spans="1:19" s="394" customFormat="1" ht="15.75" customHeight="1">
      <c r="B114" s="349" t="s">
        <v>291</v>
      </c>
      <c r="D114" s="350" t="s">
        <v>146</v>
      </c>
      <c r="E114" s="391">
        <v>0</v>
      </c>
      <c r="F114" s="391">
        <v>-470000</v>
      </c>
      <c r="G114" s="391">
        <v>0</v>
      </c>
      <c r="H114" s="391">
        <v>0</v>
      </c>
      <c r="I114" s="392">
        <f>H114+F114</f>
        <v>-470000</v>
      </c>
      <c r="J114" s="393">
        <v>-32000</v>
      </c>
      <c r="K114" s="393">
        <v>0</v>
      </c>
      <c r="L114" s="393">
        <v>0</v>
      </c>
      <c r="M114" s="393">
        <v>0</v>
      </c>
      <c r="N114" s="393">
        <f>K114+L114+M114</f>
        <v>0</v>
      </c>
      <c r="O114" s="393">
        <f>N114+J114</f>
        <v>-32000</v>
      </c>
      <c r="Q114" s="395"/>
      <c r="R114" s="395"/>
      <c r="S114" s="396"/>
    </row>
    <row r="115" spans="1:19" ht="15.75" customHeight="1">
      <c r="B115" s="407"/>
      <c r="D115" s="350"/>
      <c r="E115" s="356"/>
      <c r="F115" s="356"/>
      <c r="G115" s="356"/>
      <c r="H115" s="356"/>
      <c r="I115" s="388"/>
      <c r="J115" s="389"/>
      <c r="K115" s="389"/>
      <c r="L115" s="389"/>
      <c r="M115" s="389"/>
      <c r="N115" s="389"/>
      <c r="O115" s="389"/>
      <c r="Q115" s="390"/>
      <c r="R115" s="390"/>
      <c r="S115" s="50"/>
    </row>
    <row r="116" spans="1:19" ht="15.75" customHeight="1">
      <c r="B116" s="400" t="s">
        <v>74</v>
      </c>
      <c r="C116" s="401"/>
      <c r="D116" s="402"/>
      <c r="E116" s="403">
        <f t="shared" ref="E116:O116" si="31">E101+E103+SUM(E105:E114)</f>
        <v>5170.583333333333</v>
      </c>
      <c r="F116" s="403">
        <f t="shared" si="31"/>
        <v>166093554</v>
      </c>
      <c r="G116" s="403">
        <f t="shared" si="31"/>
        <v>-4565145.1994000003</v>
      </c>
      <c r="H116" s="403">
        <f t="shared" si="31"/>
        <v>-4565145.1994000003</v>
      </c>
      <c r="I116" s="404">
        <f t="shared" si="31"/>
        <v>161528408.80059999</v>
      </c>
      <c r="J116" s="406">
        <f t="shared" si="31"/>
        <v>14012142.17</v>
      </c>
      <c r="K116" s="406">
        <f t="shared" si="31"/>
        <v>613396.3370251247</v>
      </c>
      <c r="L116" s="406">
        <f t="shared" si="31"/>
        <v>0</v>
      </c>
      <c r="M116" s="406">
        <f t="shared" si="31"/>
        <v>0</v>
      </c>
      <c r="N116" s="406">
        <f t="shared" si="31"/>
        <v>613396.3370251247</v>
      </c>
      <c r="O116" s="406">
        <f t="shared" si="31"/>
        <v>14625538.507025125</v>
      </c>
      <c r="Q116" s="390"/>
      <c r="R116" s="390"/>
      <c r="S116" s="50"/>
    </row>
    <row r="117" spans="1:19" ht="15.75" customHeight="1">
      <c r="B117" s="407"/>
      <c r="D117" s="350"/>
      <c r="E117" s="356"/>
      <c r="F117" s="356"/>
      <c r="G117" s="356"/>
      <c r="H117" s="356"/>
      <c r="I117" s="388"/>
      <c r="J117" s="389"/>
      <c r="K117" s="389"/>
      <c r="L117" s="389"/>
      <c r="M117" s="389"/>
      <c r="N117" s="389"/>
      <c r="O117" s="389"/>
      <c r="Q117" s="390"/>
      <c r="R117" s="390"/>
      <c r="S117" s="50"/>
    </row>
    <row r="118" spans="1:19" ht="15.75" customHeight="1">
      <c r="A118" s="359" t="s">
        <v>311</v>
      </c>
      <c r="B118" s="407"/>
      <c r="D118" s="350"/>
      <c r="E118" s="386"/>
      <c r="F118" s="386"/>
      <c r="G118" s="386"/>
      <c r="H118" s="386"/>
      <c r="I118" s="387"/>
      <c r="J118" s="389"/>
      <c r="K118" s="389"/>
      <c r="L118" s="389"/>
      <c r="M118" s="389"/>
      <c r="N118" s="389"/>
      <c r="O118" s="389"/>
      <c r="S118" s="50"/>
    </row>
    <row r="119" spans="1:19" ht="15.75" customHeight="1">
      <c r="A119" s="359"/>
      <c r="B119" s="407"/>
      <c r="D119" s="385" t="s">
        <v>158</v>
      </c>
      <c r="E119" s="386"/>
      <c r="F119" s="386"/>
      <c r="G119" s="386"/>
      <c r="H119" s="386"/>
      <c r="I119" s="387"/>
      <c r="J119" s="389"/>
      <c r="K119" s="389"/>
      <c r="L119" s="389"/>
      <c r="M119" s="389"/>
      <c r="N119" s="389"/>
      <c r="O119" s="389"/>
      <c r="S119" s="50"/>
    </row>
    <row r="120" spans="1:19" ht="15.75" customHeight="1">
      <c r="B120" s="407" t="s">
        <v>312</v>
      </c>
      <c r="D120" s="350">
        <v>52</v>
      </c>
      <c r="E120" s="356">
        <v>14</v>
      </c>
      <c r="F120" s="356">
        <v>143362</v>
      </c>
      <c r="G120" s="356">
        <v>0</v>
      </c>
      <c r="H120" s="356">
        <f t="shared" ref="H120:H125" si="32">G120</f>
        <v>0</v>
      </c>
      <c r="I120" s="388">
        <f t="shared" ref="I120:I125" si="33">H120+F120</f>
        <v>143362</v>
      </c>
      <c r="J120" s="389">
        <v>31097.3</v>
      </c>
      <c r="K120" s="389">
        <v>-418.02576447327584</v>
      </c>
      <c r="L120" s="389">
        <v>0</v>
      </c>
      <c r="M120" s="389">
        <v>0</v>
      </c>
      <c r="N120" s="389">
        <f t="shared" ref="N120:N125" si="34">K120+L120+M120</f>
        <v>-418.02576447327584</v>
      </c>
      <c r="O120" s="389">
        <f t="shared" ref="O120:O125" si="35">N120+J120</f>
        <v>30679.274235526722</v>
      </c>
      <c r="Q120" s="390"/>
      <c r="R120" s="390"/>
      <c r="S120" s="50"/>
    </row>
    <row r="121" spans="1:19" ht="15.75" customHeight="1">
      <c r="B121" s="407" t="s">
        <v>313</v>
      </c>
      <c r="D121" s="350" t="s">
        <v>170</v>
      </c>
      <c r="E121" s="356">
        <v>120</v>
      </c>
      <c r="F121" s="356">
        <v>2961296</v>
      </c>
      <c r="G121" s="356">
        <v>0</v>
      </c>
      <c r="H121" s="356">
        <f t="shared" si="32"/>
        <v>0</v>
      </c>
      <c r="I121" s="388">
        <f t="shared" si="33"/>
        <v>2961296</v>
      </c>
      <c r="J121" s="389">
        <v>224070.76</v>
      </c>
      <c r="K121" s="389">
        <v>-10255.688146172724</v>
      </c>
      <c r="L121" s="389">
        <v>0</v>
      </c>
      <c r="M121" s="389">
        <v>0</v>
      </c>
      <c r="N121" s="389">
        <f t="shared" si="34"/>
        <v>-10255.688146172724</v>
      </c>
      <c r="O121" s="389">
        <f t="shared" si="35"/>
        <v>213815.07185382728</v>
      </c>
      <c r="Q121" s="390"/>
      <c r="R121" s="390"/>
      <c r="S121" s="50"/>
    </row>
    <row r="122" spans="1:19" ht="15.75" customHeight="1">
      <c r="B122" s="407" t="s">
        <v>314</v>
      </c>
      <c r="D122" s="350" t="s">
        <v>159</v>
      </c>
      <c r="E122" s="356">
        <v>111.16666666666667</v>
      </c>
      <c r="F122" s="356">
        <v>741662</v>
      </c>
      <c r="G122" s="356">
        <v>0</v>
      </c>
      <c r="H122" s="356">
        <f t="shared" si="32"/>
        <v>0</v>
      </c>
      <c r="I122" s="388">
        <f t="shared" si="33"/>
        <v>741662</v>
      </c>
      <c r="J122" s="389">
        <v>55574.35</v>
      </c>
      <c r="K122" s="389">
        <v>0</v>
      </c>
      <c r="L122" s="389">
        <v>0</v>
      </c>
      <c r="M122" s="389">
        <v>0</v>
      </c>
      <c r="N122" s="389">
        <f t="shared" si="34"/>
        <v>0</v>
      </c>
      <c r="O122" s="389">
        <f t="shared" si="35"/>
        <v>55574.35</v>
      </c>
      <c r="Q122" s="390"/>
      <c r="R122" s="390"/>
      <c r="S122" s="50"/>
    </row>
    <row r="123" spans="1:19" ht="15.75" customHeight="1">
      <c r="B123" s="407" t="s">
        <v>315</v>
      </c>
      <c r="D123" s="350">
        <v>51</v>
      </c>
      <c r="E123" s="356">
        <v>210.5</v>
      </c>
      <c r="F123" s="356">
        <v>3839555</v>
      </c>
      <c r="G123" s="356">
        <v>0</v>
      </c>
      <c r="H123" s="356">
        <f t="shared" si="32"/>
        <v>0</v>
      </c>
      <c r="I123" s="388">
        <f t="shared" si="33"/>
        <v>3839555</v>
      </c>
      <c r="J123" s="389">
        <v>828617.65</v>
      </c>
      <c r="K123" s="389">
        <v>-11130.813243697381</v>
      </c>
      <c r="L123" s="389">
        <v>0</v>
      </c>
      <c r="M123" s="389">
        <v>0</v>
      </c>
      <c r="N123" s="389">
        <f t="shared" si="34"/>
        <v>-11130.813243697381</v>
      </c>
      <c r="O123" s="389">
        <f t="shared" si="35"/>
        <v>817486.83675630263</v>
      </c>
      <c r="Q123" s="390"/>
      <c r="R123" s="390"/>
      <c r="S123" s="50"/>
    </row>
    <row r="124" spans="1:19" s="394" customFormat="1" ht="15.75" customHeight="1">
      <c r="B124" s="407" t="s">
        <v>316</v>
      </c>
      <c r="D124" s="350">
        <v>57</v>
      </c>
      <c r="E124" s="356">
        <v>39.75</v>
      </c>
      <c r="F124" s="356">
        <v>1593936</v>
      </c>
      <c r="G124" s="356">
        <v>0</v>
      </c>
      <c r="H124" s="356">
        <f t="shared" si="32"/>
        <v>0</v>
      </c>
      <c r="I124" s="388">
        <f t="shared" si="33"/>
        <v>1593936</v>
      </c>
      <c r="J124" s="389">
        <v>212102.79</v>
      </c>
      <c r="K124" s="389">
        <v>-4620.2819530832512</v>
      </c>
      <c r="L124" s="389">
        <v>0</v>
      </c>
      <c r="M124" s="389">
        <v>0</v>
      </c>
      <c r="N124" s="389">
        <f t="shared" si="34"/>
        <v>-4620.2819530832512</v>
      </c>
      <c r="O124" s="389">
        <f t="shared" si="35"/>
        <v>207482.50804691674</v>
      </c>
      <c r="Q124" s="395"/>
      <c r="R124" s="395"/>
      <c r="S124" s="396"/>
    </row>
    <row r="125" spans="1:19" s="394" customFormat="1" ht="15.75" customHeight="1">
      <c r="B125" s="407" t="s">
        <v>317</v>
      </c>
      <c r="D125" s="350">
        <v>12</v>
      </c>
      <c r="E125" s="391">
        <v>0</v>
      </c>
      <c r="F125" s="391">
        <v>0</v>
      </c>
      <c r="G125" s="391">
        <v>0</v>
      </c>
      <c r="H125" s="391">
        <f t="shared" si="32"/>
        <v>0</v>
      </c>
      <c r="I125" s="392">
        <f t="shared" si="33"/>
        <v>0</v>
      </c>
      <c r="J125" s="393">
        <v>90.84</v>
      </c>
      <c r="K125" s="393">
        <v>0</v>
      </c>
      <c r="L125" s="393">
        <v>0</v>
      </c>
      <c r="M125" s="393">
        <v>0</v>
      </c>
      <c r="N125" s="393">
        <f t="shared" si="34"/>
        <v>0</v>
      </c>
      <c r="O125" s="393">
        <f t="shared" si="35"/>
        <v>90.84</v>
      </c>
      <c r="Q125" s="395"/>
      <c r="R125" s="395"/>
      <c r="S125" s="396"/>
    </row>
    <row r="126" spans="1:19" ht="15.75" customHeight="1">
      <c r="B126" s="349" t="s">
        <v>318</v>
      </c>
      <c r="D126" s="350"/>
      <c r="E126" s="356">
        <f>SUM(E120:E125)</f>
        <v>495.41666666666669</v>
      </c>
      <c r="F126" s="356">
        <f>SUM(F120:F125)</f>
        <v>9279811</v>
      </c>
      <c r="G126" s="356">
        <f t="shared" ref="G126:O126" si="36">SUM(G120:G125)</f>
        <v>0</v>
      </c>
      <c r="H126" s="356">
        <f t="shared" si="36"/>
        <v>0</v>
      </c>
      <c r="I126" s="388">
        <f t="shared" si="36"/>
        <v>9279811</v>
      </c>
      <c r="J126" s="389">
        <f t="shared" si="36"/>
        <v>1351553.6900000002</v>
      </c>
      <c r="K126" s="389">
        <f t="shared" si="36"/>
        <v>-26424.809107426634</v>
      </c>
      <c r="L126" s="389">
        <f>SUM(L120:L125)</f>
        <v>0</v>
      </c>
      <c r="M126" s="389">
        <f>SUM(M120:M125)</f>
        <v>0</v>
      </c>
      <c r="N126" s="389">
        <f t="shared" si="36"/>
        <v>-26424.809107426634</v>
      </c>
      <c r="O126" s="389">
        <f t="shared" si="36"/>
        <v>1325128.8808925734</v>
      </c>
      <c r="Q126" s="390"/>
      <c r="R126" s="390"/>
      <c r="S126" s="50"/>
    </row>
    <row r="127" spans="1:19" ht="15.75" customHeight="1">
      <c r="D127" s="350"/>
      <c r="E127" s="386"/>
      <c r="F127" s="386"/>
      <c r="G127" s="386"/>
      <c r="H127" s="386"/>
      <c r="I127" s="387"/>
      <c r="J127" s="389"/>
      <c r="K127" s="389"/>
      <c r="L127" s="389"/>
      <c r="M127" s="389"/>
      <c r="N127" s="389"/>
      <c r="O127" s="389"/>
      <c r="Q127" s="390"/>
      <c r="R127" s="390"/>
      <c r="S127" s="50"/>
    </row>
    <row r="128" spans="1:19" ht="15.75" customHeight="1">
      <c r="B128" s="407" t="s">
        <v>282</v>
      </c>
      <c r="D128" s="350" t="s">
        <v>152</v>
      </c>
      <c r="E128" s="391">
        <v>0</v>
      </c>
      <c r="F128" s="391">
        <v>0</v>
      </c>
      <c r="G128" s="391">
        <v>0</v>
      </c>
      <c r="H128" s="391">
        <f>G128</f>
        <v>0</v>
      </c>
      <c r="I128" s="392">
        <f>H128+F128</f>
        <v>0</v>
      </c>
      <c r="J128" s="393">
        <v>0</v>
      </c>
      <c r="K128" s="393">
        <v>0</v>
      </c>
      <c r="L128" s="393">
        <v>0</v>
      </c>
      <c r="M128" s="393">
        <v>0</v>
      </c>
      <c r="N128" s="393">
        <f>K128+L128+M128</f>
        <v>0</v>
      </c>
      <c r="O128" s="393">
        <f>N128+J128</f>
        <v>0</v>
      </c>
      <c r="Q128" s="390"/>
      <c r="R128" s="390"/>
      <c r="S128" s="50"/>
    </row>
    <row r="129" spans="1:19" ht="15.75" customHeight="1">
      <c r="B129" s="407"/>
      <c r="D129" s="350"/>
      <c r="E129" s="391"/>
      <c r="F129" s="391"/>
      <c r="G129" s="391"/>
      <c r="H129" s="391"/>
      <c r="I129" s="392"/>
      <c r="J129" s="393"/>
      <c r="K129" s="393"/>
      <c r="L129" s="393"/>
      <c r="M129" s="393"/>
      <c r="N129" s="393"/>
      <c r="O129" s="393"/>
      <c r="Q129" s="390"/>
      <c r="R129" s="390"/>
      <c r="S129" s="50"/>
    </row>
    <row r="130" spans="1:19" ht="15.75" customHeight="1">
      <c r="B130" s="349" t="s">
        <v>283</v>
      </c>
      <c r="D130" s="350" t="s">
        <v>144</v>
      </c>
      <c r="E130" s="391">
        <v>0</v>
      </c>
      <c r="F130" s="391">
        <v>0</v>
      </c>
      <c r="G130" s="391">
        <v>0</v>
      </c>
      <c r="H130" s="391">
        <f>G130</f>
        <v>0</v>
      </c>
      <c r="I130" s="392">
        <f>H130+F130</f>
        <v>0</v>
      </c>
      <c r="J130" s="393">
        <v>-66463.06</v>
      </c>
      <c r="K130" s="393">
        <v>66463.06</v>
      </c>
      <c r="L130" s="393">
        <v>0</v>
      </c>
      <c r="M130" s="393">
        <v>0</v>
      </c>
      <c r="N130" s="393">
        <f>K130+L130+M130</f>
        <v>66463.06</v>
      </c>
      <c r="O130" s="393">
        <f>N130+J130</f>
        <v>0</v>
      </c>
      <c r="Q130" s="390"/>
      <c r="R130" s="390"/>
      <c r="S130" s="50"/>
    </row>
    <row r="131" spans="1:19" ht="15.75" customHeight="1">
      <c r="B131" s="349" t="s">
        <v>284</v>
      </c>
      <c r="D131" s="350" t="s">
        <v>148</v>
      </c>
      <c r="E131" s="391">
        <v>0</v>
      </c>
      <c r="F131" s="391">
        <v>0</v>
      </c>
      <c r="G131" s="391">
        <v>0</v>
      </c>
      <c r="H131" s="391">
        <f>G131</f>
        <v>0</v>
      </c>
      <c r="I131" s="392">
        <f>H131+F131</f>
        <v>0</v>
      </c>
      <c r="J131" s="393">
        <v>24566.41</v>
      </c>
      <c r="K131" s="393">
        <v>-24566.41</v>
      </c>
      <c r="L131" s="393">
        <v>0</v>
      </c>
      <c r="M131" s="393">
        <v>0</v>
      </c>
      <c r="N131" s="393">
        <f>K131+L131+M131</f>
        <v>-24566.41</v>
      </c>
      <c r="O131" s="393">
        <f>N131+J131</f>
        <v>0</v>
      </c>
      <c r="Q131" s="390"/>
      <c r="R131" s="390"/>
      <c r="S131" s="50"/>
    </row>
    <row r="132" spans="1:19" ht="15.75" customHeight="1">
      <c r="B132" s="349" t="s">
        <v>287</v>
      </c>
      <c r="D132" s="350" t="s">
        <v>288</v>
      </c>
      <c r="E132" s="391">
        <v>0</v>
      </c>
      <c r="F132" s="391">
        <v>0</v>
      </c>
      <c r="G132" s="391">
        <v>0</v>
      </c>
      <c r="H132" s="391">
        <f>G132</f>
        <v>0</v>
      </c>
      <c r="I132" s="392">
        <f>H132+F132</f>
        <v>0</v>
      </c>
      <c r="J132" s="393">
        <v>-23178.19</v>
      </c>
      <c r="K132" s="393">
        <v>23178.19</v>
      </c>
      <c r="L132" s="393">
        <v>0</v>
      </c>
      <c r="M132" s="393">
        <v>0</v>
      </c>
      <c r="N132" s="393">
        <f>K132+L132+M132</f>
        <v>23178.19</v>
      </c>
      <c r="O132" s="393">
        <f>N132+J132</f>
        <v>0</v>
      </c>
      <c r="Q132" s="390"/>
      <c r="R132" s="390"/>
      <c r="S132" s="50"/>
    </row>
    <row r="133" spans="1:19" ht="15.75" customHeight="1">
      <c r="B133" s="394"/>
      <c r="D133" s="350"/>
      <c r="E133" s="386"/>
      <c r="F133" s="386"/>
      <c r="G133" s="386"/>
      <c r="H133" s="386"/>
      <c r="I133" s="387"/>
      <c r="J133" s="389"/>
      <c r="K133" s="358"/>
      <c r="L133" s="358"/>
      <c r="M133" s="358"/>
      <c r="N133" s="358"/>
      <c r="O133" s="390"/>
      <c r="Q133" s="390"/>
      <c r="R133" s="390"/>
      <c r="S133" s="50"/>
    </row>
    <row r="134" spans="1:19" s="394" customFormat="1" ht="15.75" customHeight="1">
      <c r="B134" s="349" t="s">
        <v>291</v>
      </c>
      <c r="D134" s="350" t="s">
        <v>146</v>
      </c>
      <c r="E134" s="391">
        <v>0</v>
      </c>
      <c r="F134" s="391">
        <v>-692000</v>
      </c>
      <c r="G134" s="391">
        <v>0</v>
      </c>
      <c r="H134" s="391">
        <f>G134</f>
        <v>0</v>
      </c>
      <c r="I134" s="392">
        <f>H134+F134</f>
        <v>-692000</v>
      </c>
      <c r="J134" s="393">
        <v>-100000</v>
      </c>
      <c r="K134" s="393">
        <v>0</v>
      </c>
      <c r="L134" s="393">
        <v>0</v>
      </c>
      <c r="M134" s="393">
        <v>0</v>
      </c>
      <c r="N134" s="393">
        <f>K134+L134+M134</f>
        <v>0</v>
      </c>
      <c r="O134" s="393">
        <f>N134+J134</f>
        <v>-100000</v>
      </c>
      <c r="Q134" s="395"/>
      <c r="R134" s="395"/>
      <c r="S134" s="396"/>
    </row>
    <row r="135" spans="1:19" ht="15.75" customHeight="1">
      <c r="B135" s="394"/>
      <c r="E135" s="386"/>
      <c r="F135" s="386"/>
      <c r="G135" s="386"/>
      <c r="H135" s="386"/>
      <c r="I135" s="387"/>
      <c r="J135" s="389"/>
      <c r="K135" s="358"/>
      <c r="L135" s="358"/>
      <c r="M135" s="358"/>
      <c r="N135" s="358"/>
      <c r="O135" s="390"/>
      <c r="Q135" s="390"/>
      <c r="R135" s="390"/>
      <c r="S135" s="50"/>
    </row>
    <row r="136" spans="1:19" ht="15.75" customHeight="1">
      <c r="B136" s="400" t="s">
        <v>74</v>
      </c>
      <c r="C136" s="401"/>
      <c r="D136" s="401"/>
      <c r="E136" s="403">
        <f t="shared" ref="E136:O136" si="37">E126+E128+SUM(E130:E134)</f>
        <v>495.41666666666669</v>
      </c>
      <c r="F136" s="403">
        <f t="shared" si="37"/>
        <v>8587811</v>
      </c>
      <c r="G136" s="403">
        <f t="shared" si="37"/>
        <v>0</v>
      </c>
      <c r="H136" s="403">
        <f t="shared" si="37"/>
        <v>0</v>
      </c>
      <c r="I136" s="404">
        <f t="shared" si="37"/>
        <v>8587811</v>
      </c>
      <c r="J136" s="406">
        <f t="shared" si="37"/>
        <v>1186478.8500000001</v>
      </c>
      <c r="K136" s="406">
        <f t="shared" si="37"/>
        <v>38650.030892573363</v>
      </c>
      <c r="L136" s="406">
        <f t="shared" si="37"/>
        <v>0</v>
      </c>
      <c r="M136" s="406">
        <f t="shared" si="37"/>
        <v>0</v>
      </c>
      <c r="N136" s="406">
        <f t="shared" si="37"/>
        <v>38650.030892573363</v>
      </c>
      <c r="O136" s="406">
        <f t="shared" si="37"/>
        <v>1225128.8808925734</v>
      </c>
      <c r="Q136" s="390"/>
      <c r="R136" s="390"/>
      <c r="S136" s="50"/>
    </row>
    <row r="137" spans="1:19" ht="15.75" customHeight="1">
      <c r="B137" s="351"/>
      <c r="C137" s="351"/>
      <c r="D137" s="351"/>
      <c r="E137" s="386"/>
      <c r="F137" s="386"/>
      <c r="G137" s="386"/>
      <c r="H137" s="386"/>
      <c r="I137" s="387"/>
      <c r="J137" s="389" t="s">
        <v>0</v>
      </c>
      <c r="K137" s="386"/>
      <c r="L137" s="386"/>
      <c r="M137" s="386"/>
      <c r="N137" s="386"/>
      <c r="O137" s="386"/>
      <c r="Q137" s="390"/>
      <c r="R137" s="390"/>
      <c r="S137" s="50"/>
    </row>
    <row r="138" spans="1:19" ht="15.75" customHeight="1" thickBot="1">
      <c r="E138" s="386"/>
      <c r="F138" s="386"/>
      <c r="G138" s="386"/>
      <c r="H138" s="386"/>
      <c r="I138" s="387"/>
      <c r="J138" s="389"/>
      <c r="K138" s="386"/>
      <c r="L138" s="386"/>
      <c r="M138" s="386"/>
      <c r="N138" s="386"/>
      <c r="O138" s="390" t="s">
        <v>0</v>
      </c>
      <c r="Q138" s="390"/>
      <c r="R138" s="390"/>
      <c r="S138" s="50"/>
    </row>
    <row r="139" spans="1:19" s="414" customFormat="1" ht="15.75" customHeight="1" thickTop="1" thickBot="1">
      <c r="A139" s="409"/>
      <c r="B139" s="410" t="s">
        <v>74</v>
      </c>
      <c r="C139" s="411"/>
      <c r="D139" s="411"/>
      <c r="E139" s="412">
        <f t="shared" ref="E139:O139" si="38">E36+E65+E95+E116+E136</f>
        <v>136757.25</v>
      </c>
      <c r="F139" s="412">
        <f t="shared" si="38"/>
        <v>3949115545</v>
      </c>
      <c r="G139" s="412">
        <f t="shared" si="38"/>
        <v>58684674.548099995</v>
      </c>
      <c r="H139" s="412">
        <f t="shared" si="38"/>
        <v>58684674.548099995</v>
      </c>
      <c r="I139" s="412">
        <f t="shared" si="38"/>
        <v>4007800219.5481</v>
      </c>
      <c r="J139" s="412">
        <f t="shared" si="38"/>
        <v>307112585.96000004</v>
      </c>
      <c r="K139" s="412">
        <f t="shared" si="38"/>
        <v>34553083.333733007</v>
      </c>
      <c r="L139" s="413">
        <f t="shared" si="38"/>
        <v>0</v>
      </c>
      <c r="M139" s="413">
        <f t="shared" si="38"/>
        <v>0</v>
      </c>
      <c r="N139" s="412">
        <f t="shared" si="38"/>
        <v>34553083.333733007</v>
      </c>
      <c r="O139" s="412">
        <f t="shared" si="38"/>
        <v>341665669.29373306</v>
      </c>
      <c r="Q139" s="415"/>
      <c r="R139" s="415"/>
      <c r="S139" s="416"/>
    </row>
    <row r="140" spans="1:19" ht="15.75" customHeight="1" thickTop="1">
      <c r="A140" s="351"/>
      <c r="B140" s="351"/>
      <c r="C140" s="351"/>
      <c r="D140" s="351"/>
      <c r="E140" s="351"/>
      <c r="F140" s="351"/>
      <c r="G140" s="351"/>
      <c r="H140" s="351"/>
      <c r="I140" s="417" t="s">
        <v>0</v>
      </c>
      <c r="J140" s="389" t="s">
        <v>0</v>
      </c>
      <c r="K140" s="351" t="s">
        <v>0</v>
      </c>
      <c r="L140" s="351"/>
      <c r="M140" s="351"/>
      <c r="N140" s="351"/>
      <c r="O140" s="358" t="s">
        <v>0</v>
      </c>
    </row>
    <row r="141" spans="1:19" ht="15.75" customHeight="1">
      <c r="A141" s="351"/>
      <c r="B141" s="351"/>
      <c r="C141" s="351"/>
      <c r="D141" s="351"/>
      <c r="E141" s="351"/>
      <c r="F141" s="356"/>
      <c r="G141" s="351"/>
      <c r="H141" s="351"/>
      <c r="J141" s="389" t="s">
        <v>0</v>
      </c>
      <c r="K141" s="389"/>
      <c r="L141" s="351"/>
      <c r="M141" s="351"/>
      <c r="N141" s="356"/>
      <c r="O141" s="351"/>
    </row>
    <row r="142" spans="1:19" ht="15.75" customHeight="1">
      <c r="A142" s="351"/>
      <c r="B142" s="418" t="s">
        <v>319</v>
      </c>
      <c r="C142" s="351"/>
      <c r="D142" s="351"/>
      <c r="E142" s="351"/>
      <c r="F142" s="356"/>
      <c r="G142" s="351"/>
      <c r="H142" s="351"/>
      <c r="I142" s="351"/>
      <c r="J142" s="351"/>
      <c r="K142" s="351"/>
      <c r="L142" s="351"/>
      <c r="M142" s="351"/>
      <c r="N142" s="389"/>
      <c r="O142" s="351"/>
    </row>
    <row r="143" spans="1:19" ht="15.75" customHeight="1">
      <c r="A143" s="351"/>
      <c r="B143" s="418" t="s">
        <v>320</v>
      </c>
      <c r="C143" s="351"/>
      <c r="D143" s="351"/>
      <c r="E143" s="351"/>
      <c r="F143" s="351"/>
      <c r="G143" s="351"/>
      <c r="H143" s="351"/>
      <c r="I143" s="351"/>
      <c r="J143" s="351"/>
      <c r="K143" s="351"/>
      <c r="L143" s="351"/>
      <c r="M143" s="351"/>
      <c r="N143" s="351"/>
      <c r="O143" s="351"/>
    </row>
    <row r="144" spans="1:19" ht="15.75" customHeight="1">
      <c r="B144" s="419" t="s">
        <v>321</v>
      </c>
      <c r="I144" s="351"/>
    </row>
    <row r="145" spans="2:9" ht="15.75" customHeight="1">
      <c r="B145" s="349" t="s">
        <v>322</v>
      </c>
      <c r="I145" s="351"/>
    </row>
    <row r="146" spans="2:9" ht="18.75">
      <c r="B146" s="419" t="s">
        <v>0</v>
      </c>
    </row>
  </sheetData>
  <printOptions horizontalCentered="1"/>
  <pageMargins left="0.5" right="0.5" top="1" bottom="1" header="0.5" footer="0.5"/>
  <pageSetup scale="36" fitToHeight="0" orientation="portrait" r:id="rId1"/>
  <headerFooter alignWithMargins="0">
    <oddFooter>&amp;LPrepared by Pricing &amp;D&amp;CPage &amp;P of &amp;N&amp;R&amp;F&amp;A</oddFooter>
  </headerFooter>
  <rowBreaks count="1" manualBreakCount="1">
    <brk id="96" max="1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X51"/>
  <sheetViews>
    <sheetView view="pageBreakPreview" zoomScale="75" zoomScaleNormal="100" workbookViewId="0">
      <selection activeCell="O18" sqref="O18"/>
    </sheetView>
  </sheetViews>
  <sheetFormatPr defaultColWidth="8.5" defaultRowHeight="15"/>
  <cols>
    <col min="1" max="1" width="1.875" style="82" customWidth="1"/>
    <col min="2" max="2" width="10.875" style="82" customWidth="1"/>
    <col min="3" max="3" width="1.75" style="82" customWidth="1"/>
    <col min="4" max="4" width="11.25" style="82" hidden="1" customWidth="1"/>
    <col min="5" max="5" width="8.25" style="82" bestFit="1" customWidth="1"/>
    <col min="6" max="6" width="3.25" style="82" customWidth="1"/>
    <col min="7" max="7" width="13.75" style="82" bestFit="1" customWidth="1"/>
    <col min="8" max="8" width="2.125" style="82" customWidth="1"/>
    <col min="9" max="9" width="8.5" style="82" bestFit="1" customWidth="1"/>
    <col min="10" max="10" width="2.125" style="82" customWidth="1"/>
    <col min="11" max="11" width="12.625" style="82" bestFit="1" customWidth="1"/>
    <col min="12" max="12" width="1.75" style="82" customWidth="1"/>
    <col min="13" max="13" width="8.5" style="82" bestFit="1" customWidth="1"/>
    <col min="14" max="14" width="2" style="82" customWidth="1"/>
    <col min="15" max="15" width="10.5" style="82" bestFit="1" customWidth="1"/>
    <col min="16" max="16" width="1.875" style="82" customWidth="1"/>
    <col min="17" max="17" width="8.5" style="82" bestFit="1" customWidth="1"/>
    <col min="18" max="18" width="3" style="82" customWidth="1"/>
    <col min="19" max="19" width="16.125" style="82" customWidth="1"/>
    <col min="20" max="20" width="13.25" style="82" customWidth="1"/>
    <col min="21" max="21" width="9.25" style="82" customWidth="1"/>
    <col min="22" max="22" width="8.375" style="82" customWidth="1"/>
    <col min="23" max="23" width="2.25" style="82" customWidth="1"/>
    <col min="24" max="16384" width="8.5" style="82"/>
  </cols>
  <sheetData>
    <row r="2" spans="2:24" ht="18.75">
      <c r="B2" s="91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126"/>
      <c r="P2" s="85" t="s">
        <v>0</v>
      </c>
      <c r="Q2" s="126"/>
    </row>
    <row r="3" spans="2:24" ht="18.75">
      <c r="B3" s="86" t="s">
        <v>61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</row>
    <row r="4" spans="2:24" ht="18.75">
      <c r="B4" s="86" t="s">
        <v>86</v>
      </c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</row>
    <row r="5" spans="2:24" ht="18.75">
      <c r="B5" s="86" t="s">
        <v>87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</row>
    <row r="6" spans="2:24" ht="18.75">
      <c r="B6" s="86" t="s">
        <v>0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</row>
    <row r="7" spans="2:24"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</row>
    <row r="8" spans="2:24"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X8" s="91"/>
    </row>
    <row r="9" spans="2:24">
      <c r="G9" s="91"/>
      <c r="H9" s="91"/>
      <c r="I9" s="91"/>
      <c r="J9" s="91"/>
      <c r="K9" s="91"/>
      <c r="L9" s="91"/>
      <c r="M9" s="91"/>
      <c r="X9" s="91"/>
    </row>
    <row r="10" spans="2:24">
      <c r="B10" s="91"/>
      <c r="C10" s="91"/>
      <c r="D10" s="91"/>
      <c r="E10" s="91"/>
      <c r="G10" s="91"/>
      <c r="H10" s="91"/>
      <c r="I10" s="91"/>
      <c r="J10" s="91"/>
      <c r="K10" s="91"/>
      <c r="L10" s="91"/>
      <c r="M10" s="91"/>
      <c r="X10" s="91"/>
    </row>
    <row r="11" spans="2:24">
      <c r="B11" s="91"/>
      <c r="C11" s="91"/>
      <c r="D11" s="91"/>
      <c r="E11" s="91"/>
      <c r="G11" s="93"/>
      <c r="H11" s="93"/>
      <c r="I11" s="93"/>
      <c r="J11" s="93"/>
      <c r="K11" s="93"/>
      <c r="L11" s="93"/>
      <c r="M11" s="93"/>
      <c r="O11" s="87"/>
      <c r="P11" s="87"/>
      <c r="Q11" s="87"/>
      <c r="X11" s="91"/>
    </row>
    <row r="12" spans="2:24" ht="15.75" thickBot="1">
      <c r="G12" s="425" t="s">
        <v>88</v>
      </c>
      <c r="H12" s="425"/>
      <c r="I12" s="425"/>
      <c r="K12" s="425" t="s">
        <v>89</v>
      </c>
      <c r="L12" s="425"/>
      <c r="M12" s="425"/>
      <c r="O12" s="425" t="s">
        <v>90</v>
      </c>
      <c r="P12" s="425"/>
      <c r="Q12" s="425"/>
      <c r="X12" s="91"/>
    </row>
    <row r="13" spans="2:24">
      <c r="B13" s="127" t="s">
        <v>91</v>
      </c>
      <c r="G13" s="94" t="s">
        <v>65</v>
      </c>
      <c r="H13" s="92"/>
      <c r="I13" s="92" t="s">
        <v>92</v>
      </c>
      <c r="J13" s="102"/>
      <c r="K13" s="94" t="s">
        <v>7</v>
      </c>
      <c r="L13" s="92"/>
      <c r="M13" s="92" t="s">
        <v>92</v>
      </c>
      <c r="O13" s="92"/>
      <c r="P13" s="92"/>
      <c r="Q13" s="92" t="s">
        <v>92</v>
      </c>
      <c r="S13" s="128" t="s">
        <v>69</v>
      </c>
      <c r="T13" s="129"/>
      <c r="U13" s="130" t="s">
        <v>70</v>
      </c>
      <c r="V13" s="129"/>
      <c r="X13" s="91"/>
    </row>
    <row r="14" spans="2:24">
      <c r="B14" s="131" t="s">
        <v>93</v>
      </c>
      <c r="C14" s="94"/>
      <c r="D14" s="94" t="s">
        <v>94</v>
      </c>
      <c r="G14" s="132" t="s">
        <v>95</v>
      </c>
      <c r="H14" s="92" t="s">
        <v>0</v>
      </c>
      <c r="I14" s="92" t="s">
        <v>96</v>
      </c>
      <c r="J14" s="102"/>
      <c r="K14" s="132" t="s">
        <v>97</v>
      </c>
      <c r="L14" s="92" t="s">
        <v>0</v>
      </c>
      <c r="M14" s="92" t="s">
        <v>96</v>
      </c>
      <c r="O14" s="92" t="s">
        <v>98</v>
      </c>
      <c r="P14" s="92" t="s">
        <v>0</v>
      </c>
      <c r="Q14" s="92" t="s">
        <v>96</v>
      </c>
      <c r="S14" s="133" t="s">
        <v>99</v>
      </c>
      <c r="T14" s="103">
        <f>7.203+-0.316+-0.392+-0.204+V22+V30</f>
        <v>6.5590000000000002</v>
      </c>
      <c r="U14" s="134"/>
      <c r="V14" s="103">
        <f>T14</f>
        <v>6.5590000000000002</v>
      </c>
      <c r="X14" s="91"/>
    </row>
    <row r="15" spans="2:24">
      <c r="B15" s="132" t="s">
        <v>100</v>
      </c>
      <c r="C15" s="94"/>
      <c r="D15" s="135" t="s">
        <v>101</v>
      </c>
      <c r="E15" s="97" t="s">
        <v>26</v>
      </c>
      <c r="G15" s="97" t="s">
        <v>102</v>
      </c>
      <c r="H15" s="92"/>
      <c r="I15" s="97" t="s">
        <v>72</v>
      </c>
      <c r="J15" s="102"/>
      <c r="K15" s="97" t="s">
        <v>102</v>
      </c>
      <c r="L15" s="92"/>
      <c r="M15" s="97" t="s">
        <v>72</v>
      </c>
      <c r="O15" s="97" t="s">
        <v>103</v>
      </c>
      <c r="P15" s="92"/>
      <c r="Q15" s="97" t="s">
        <v>72</v>
      </c>
      <c r="S15" s="133" t="s">
        <v>0</v>
      </c>
      <c r="T15" s="136" t="s">
        <v>0</v>
      </c>
      <c r="U15" s="137" t="s">
        <v>0</v>
      </c>
      <c r="V15" s="136" t="s">
        <v>0</v>
      </c>
      <c r="X15" s="91"/>
    </row>
    <row r="16" spans="2:24">
      <c r="B16" s="92"/>
      <c r="C16" s="94"/>
      <c r="D16" s="135"/>
      <c r="E16" s="92"/>
      <c r="G16" s="92"/>
      <c r="H16" s="92"/>
      <c r="I16" s="92"/>
      <c r="J16" s="102"/>
      <c r="K16" s="92"/>
      <c r="L16" s="92"/>
      <c r="M16" s="92"/>
      <c r="O16" s="92"/>
      <c r="P16" s="92"/>
      <c r="Q16" s="92"/>
      <c r="S16" s="138" t="s">
        <v>96</v>
      </c>
      <c r="T16" s="139"/>
      <c r="U16" s="139"/>
      <c r="V16" s="140"/>
      <c r="X16" s="91"/>
    </row>
    <row r="17" spans="2:24">
      <c r="B17" s="141" t="s">
        <v>104</v>
      </c>
      <c r="C17" s="102"/>
      <c r="G17" s="102"/>
      <c r="H17" s="102"/>
      <c r="I17" s="102"/>
      <c r="J17" s="102"/>
      <c r="S17" s="142" t="s">
        <v>105</v>
      </c>
      <c r="T17" s="143">
        <v>26.63</v>
      </c>
      <c r="U17" s="134"/>
      <c r="V17" s="144">
        <f>T17</f>
        <v>26.63</v>
      </c>
      <c r="X17" s="91"/>
    </row>
    <row r="18" spans="2:24">
      <c r="B18" s="82">
        <v>10</v>
      </c>
      <c r="D18" s="106">
        <v>200</v>
      </c>
      <c r="E18" s="106">
        <f>ROUND((B$18*D18),0)</f>
        <v>2000</v>
      </c>
      <c r="G18" s="145">
        <f>ROUND(((E18*$T$14/100))+(E18*$V$25/100),2)</f>
        <v>114.88</v>
      </c>
      <c r="H18" s="145"/>
      <c r="I18" s="145">
        <f>$B$18*$T$17+V27</f>
        <v>281.95</v>
      </c>
      <c r="J18" s="125"/>
      <c r="K18" s="145">
        <f>ROUND((($E18*$V$14/100))+(($E18*$V$26)/100),2)</f>
        <v>116.62</v>
      </c>
      <c r="L18" s="145"/>
      <c r="M18" s="145">
        <f>$B$18*$V$17+$V$27</f>
        <v>281.95</v>
      </c>
      <c r="O18" s="109">
        <f>ROUND((K18-G18)/G18,4)</f>
        <v>1.5100000000000001E-2</v>
      </c>
      <c r="P18" s="109"/>
      <c r="Q18" s="109">
        <f>ROUND((M18-I18)/I18,4)</f>
        <v>0</v>
      </c>
      <c r="S18" s="142" t="s">
        <v>106</v>
      </c>
      <c r="T18" s="143">
        <v>18.53</v>
      </c>
      <c r="U18" s="134"/>
      <c r="V18" s="144">
        <f>T18</f>
        <v>18.53</v>
      </c>
      <c r="X18" s="91"/>
    </row>
    <row r="19" spans="2:24">
      <c r="D19" s="106">
        <v>300</v>
      </c>
      <c r="E19" s="106">
        <f>ROUND((B$18*D19),0)</f>
        <v>3000</v>
      </c>
      <c r="G19" s="145">
        <f t="shared" ref="G19:G20" si="0">ROUND(((E19*$T$14/100))+(E19*$V$25/100),2)</f>
        <v>172.32</v>
      </c>
      <c r="H19" s="145"/>
      <c r="I19" s="145">
        <f>$B$18*$T$17+V27</f>
        <v>281.95</v>
      </c>
      <c r="J19" s="125"/>
      <c r="K19" s="145">
        <f t="shared" ref="K19:K20" si="1">ROUND((($E19*$V$14/100))+(($E19*$V$26)/100),2)</f>
        <v>174.93</v>
      </c>
      <c r="L19" s="145"/>
      <c r="M19" s="145">
        <f>$B$18*$V$17+$V$27</f>
        <v>281.95</v>
      </c>
      <c r="O19" s="109">
        <f>ROUND((K19-G19)/G19,4)</f>
        <v>1.5100000000000001E-2</v>
      </c>
      <c r="P19" s="109"/>
      <c r="Q19" s="109">
        <f>ROUND((M19-I19)/I19,4)</f>
        <v>0</v>
      </c>
      <c r="S19" s="142" t="s">
        <v>107</v>
      </c>
      <c r="T19" s="143">
        <v>14.49</v>
      </c>
      <c r="U19" s="134"/>
      <c r="V19" s="144">
        <f>T19</f>
        <v>14.49</v>
      </c>
      <c r="X19" s="91"/>
    </row>
    <row r="20" spans="2:24">
      <c r="D20" s="106">
        <v>500</v>
      </c>
      <c r="E20" s="106">
        <f>ROUND((B$18*D20),0)</f>
        <v>5000</v>
      </c>
      <c r="G20" s="145">
        <f t="shared" si="0"/>
        <v>287.2</v>
      </c>
      <c r="H20" s="145"/>
      <c r="I20" s="145">
        <f>$B$18*$T$17+V27</f>
        <v>281.95</v>
      </c>
      <c r="J20" s="125"/>
      <c r="K20" s="145">
        <f t="shared" si="1"/>
        <v>291.55</v>
      </c>
      <c r="L20" s="145"/>
      <c r="M20" s="145">
        <f>$B$18*$V$17+$V$27</f>
        <v>281.95</v>
      </c>
      <c r="O20" s="109">
        <f>ROUND((K20-G20)/G20,4)</f>
        <v>1.5100000000000001E-2</v>
      </c>
      <c r="P20" s="109"/>
      <c r="Q20" s="109">
        <f>ROUND((M20-I20)/I20,4)</f>
        <v>0</v>
      </c>
      <c r="S20" s="142" t="s">
        <v>106</v>
      </c>
      <c r="T20" s="146">
        <v>379</v>
      </c>
      <c r="U20" s="134"/>
      <c r="V20" s="147">
        <f>T20</f>
        <v>379</v>
      </c>
      <c r="X20" s="91"/>
    </row>
    <row r="21" spans="2:24">
      <c r="G21" s="145"/>
      <c r="H21" s="145"/>
      <c r="I21" s="145"/>
      <c r="J21" s="125"/>
      <c r="K21" s="145"/>
      <c r="L21" s="145"/>
      <c r="M21" s="145"/>
      <c r="S21" s="148" t="s">
        <v>107</v>
      </c>
      <c r="T21" s="149">
        <v>1539</v>
      </c>
      <c r="U21" s="150"/>
      <c r="V21" s="151">
        <f>T21</f>
        <v>1539</v>
      </c>
      <c r="X21" s="91"/>
    </row>
    <row r="22" spans="2:24">
      <c r="B22" s="141" t="s">
        <v>108</v>
      </c>
      <c r="C22" s="102"/>
      <c r="G22" s="145"/>
      <c r="H22" s="145"/>
      <c r="I22" s="145"/>
      <c r="J22" s="125"/>
      <c r="K22" s="145"/>
      <c r="L22" s="145"/>
      <c r="M22" s="145"/>
      <c r="T22" s="112" t="s">
        <v>78</v>
      </c>
      <c r="U22" s="112"/>
      <c r="V22" s="113">
        <v>0.26400000000000001</v>
      </c>
      <c r="X22" s="91"/>
    </row>
    <row r="23" spans="2:24">
      <c r="B23" s="82">
        <v>20</v>
      </c>
      <c r="D23" s="106">
        <v>200</v>
      </c>
      <c r="E23" s="106">
        <f>ROUND((B$23*D23),0)</f>
        <v>4000</v>
      </c>
      <c r="G23" s="145">
        <f>ROUND(((E23*$T$14/100))+(E23*$V$25/100),2)</f>
        <v>229.76</v>
      </c>
      <c r="H23" s="145"/>
      <c r="I23" s="145">
        <f>IF($B$23&lt;51,$B$23*$T$17,IF($B$23&lt;301,$B$23*$T$18+$T$20,$T$21+$T$19*$B$23))+V27</f>
        <v>548.25</v>
      </c>
      <c r="J23" s="125"/>
      <c r="K23" s="145">
        <f>ROUND((($E23*$V$14/100))+(($E23*$V$26)/100),2)</f>
        <v>233.24</v>
      </c>
      <c r="L23" s="145"/>
      <c r="M23" s="145">
        <f>IF($B$23&lt;51,$B$23*$V$17,IF($B$23&lt;301,$B$23*$V$18+$V$20,$V$21+$V$19*$B$23))+$V$27</f>
        <v>548.25</v>
      </c>
      <c r="O23" s="109">
        <f>ROUND((K23-G23)/G23,4)</f>
        <v>1.5100000000000001E-2</v>
      </c>
      <c r="P23" s="109"/>
      <c r="Q23" s="109">
        <f>ROUND((M23-I23)/I23,4)</f>
        <v>0</v>
      </c>
      <c r="T23" s="112"/>
      <c r="U23" s="112"/>
      <c r="V23" s="113">
        <v>0.26400000000000001</v>
      </c>
      <c r="X23" s="91"/>
    </row>
    <row r="24" spans="2:24">
      <c r="D24" s="106">
        <v>300</v>
      </c>
      <c r="E24" s="106">
        <f>ROUND((B$23*D24),0)</f>
        <v>6000</v>
      </c>
      <c r="G24" s="145">
        <f>ROUND(((E24*$T$14/100))+(E24*$V$25/100),2)</f>
        <v>344.64</v>
      </c>
      <c r="H24" s="145"/>
      <c r="I24" s="145">
        <f>IF($B$23&lt;51,$B$23*$T$17,IF($B$23&lt;301,$B$23*$T$18+$T$20,$T$21+$T$19*$B$23))+V27</f>
        <v>548.25</v>
      </c>
      <c r="J24" s="125"/>
      <c r="K24" s="145">
        <f>ROUND((($E24*$V$14/100))+(($E24*$V$26)/100),2)</f>
        <v>349.86</v>
      </c>
      <c r="L24" s="145"/>
      <c r="M24" s="145">
        <f t="shared" ref="M24:M25" si="2">IF($B$23&lt;51,$B$23*$V$17,IF($B$23&lt;301,$B$23*$V$18+$V$20,$V$21+$V$19*$B$23))+$V$27</f>
        <v>548.25</v>
      </c>
      <c r="O24" s="109">
        <f>ROUND((K24-G24)/G24,4)</f>
        <v>1.5100000000000001E-2</v>
      </c>
      <c r="P24" s="109"/>
      <c r="Q24" s="109">
        <f>ROUND((M24-I24)/I24,4)</f>
        <v>0</v>
      </c>
      <c r="T24" s="112"/>
      <c r="U24" s="112"/>
      <c r="V24" s="116"/>
    </row>
    <row r="25" spans="2:24">
      <c r="D25" s="106">
        <v>500</v>
      </c>
      <c r="E25" s="106">
        <f>ROUND((B$23*D25),0)</f>
        <v>10000</v>
      </c>
      <c r="G25" s="145">
        <f>ROUND(((E25*$T$14/100))+(E25*$V$25/100),2)</f>
        <v>574.4</v>
      </c>
      <c r="H25" s="145"/>
      <c r="I25" s="145">
        <f>IF($B$23&lt;51,$B$23*$T$17,IF($B$23&lt;301,$B$23*$T$18+$T$20,$T$21+$T$19*$B$23))+V27</f>
        <v>548.25</v>
      </c>
      <c r="J25" s="125"/>
      <c r="K25" s="145">
        <f>ROUND((($E25*$V$14/100))+(($E25*$V$26)/100),2)</f>
        <v>583.1</v>
      </c>
      <c r="L25" s="145"/>
      <c r="M25" s="145">
        <f t="shared" si="2"/>
        <v>548.25</v>
      </c>
      <c r="O25" s="109">
        <f>ROUND((K25-G25)/G25,4)</f>
        <v>1.5100000000000001E-2</v>
      </c>
      <c r="P25" s="109"/>
      <c r="Q25" s="109">
        <f>ROUND((M25-I25)/I25,4)</f>
        <v>0</v>
      </c>
      <c r="T25" s="112" t="s">
        <v>79</v>
      </c>
      <c r="U25" s="112"/>
      <c r="V25" s="113">
        <v>-0.81499999999999995</v>
      </c>
    </row>
    <row r="26" spans="2:24">
      <c r="G26" s="145"/>
      <c r="H26" s="145"/>
      <c r="I26" s="145"/>
      <c r="J26" s="125"/>
      <c r="K26" s="145"/>
      <c r="L26" s="145"/>
      <c r="M26" s="145"/>
      <c r="T26" s="82" t="s">
        <v>0</v>
      </c>
      <c r="U26" s="82" t="s">
        <v>0</v>
      </c>
      <c r="V26" s="185">
        <f>'Attachment B'!B16</f>
        <v>-0.72799999999999998</v>
      </c>
    </row>
    <row r="27" spans="2:24">
      <c r="B27" s="82">
        <v>100</v>
      </c>
      <c r="D27" s="106">
        <v>200</v>
      </c>
      <c r="E27" s="106">
        <f>ROUND((B$27*D27),0)</f>
        <v>20000</v>
      </c>
      <c r="G27" s="145">
        <f>ROUND(((E27*$T$14/100))+(E27*$V$25/100),2)</f>
        <v>1148.8</v>
      </c>
      <c r="H27" s="145"/>
      <c r="I27" s="145">
        <f>IF($B$27&lt;51,$B$27*$T$17,IF($B$27&lt;301,$B$27*$T$18+$T$20,$T$21+$T$19*$B$27))+V27</f>
        <v>2247.65</v>
      </c>
      <c r="J27" s="125"/>
      <c r="K27" s="145">
        <f>ROUND((($E27*$V$14/100))+(($E27*$V$26)/100),2)</f>
        <v>1166.2</v>
      </c>
      <c r="L27" s="145"/>
      <c r="M27" s="145">
        <f>IF($B$27&lt;51,$B$27*$V$17,IF($B$27&lt;301,$B$27*$V$18+$V$20,$V$21+$V$19*$B$27))+$V$27</f>
        <v>2247.65</v>
      </c>
      <c r="O27" s="109">
        <f>ROUND((K27-G27)/G27,4)</f>
        <v>1.5100000000000001E-2</v>
      </c>
      <c r="P27" s="109"/>
      <c r="Q27" s="109">
        <f>ROUND((M27-I27)/I27,4)</f>
        <v>0</v>
      </c>
      <c r="T27" s="82" t="s">
        <v>109</v>
      </c>
      <c r="V27" s="152">
        <v>15.65</v>
      </c>
      <c r="W27" s="82" t="s">
        <v>0</v>
      </c>
    </row>
    <row r="28" spans="2:24">
      <c r="D28" s="106">
        <v>300</v>
      </c>
      <c r="E28" s="106">
        <f>ROUND((B$27*D28),0)</f>
        <v>30000</v>
      </c>
      <c r="G28" s="145">
        <f>ROUND(((E28*$T$14/100))+(E28*$V$25/100),2)</f>
        <v>1723.2</v>
      </c>
      <c r="H28" s="145"/>
      <c r="I28" s="145">
        <f>IF($B$27&lt;51,$B$27*$T$17,IF($B$27&lt;301,$B$27*$T$18+$T$20,$T$21+$T$19*$B$27))+V27</f>
        <v>2247.65</v>
      </c>
      <c r="J28" s="125"/>
      <c r="K28" s="145">
        <f>ROUND((($E28*$V$14/100))+(($E28*$V$26)/100),2)</f>
        <v>1749.3</v>
      </c>
      <c r="L28" s="145"/>
      <c r="M28" s="145">
        <f t="shared" ref="M28:M29" si="3">IF($B$27&lt;51,$B$27*$V$17,IF($B$27&lt;301,$B$27*$V$18+$V$20,$V$21+$V$19*$B$27))+$V$27</f>
        <v>2247.65</v>
      </c>
      <c r="O28" s="109">
        <f>ROUND((K28-G28)/G28,4)</f>
        <v>1.5100000000000001E-2</v>
      </c>
      <c r="P28" s="109"/>
      <c r="Q28" s="109">
        <f>ROUND((M28-I28)/I28,4)</f>
        <v>0</v>
      </c>
      <c r="V28" s="152">
        <v>15.65</v>
      </c>
    </row>
    <row r="29" spans="2:24">
      <c r="D29" s="106">
        <v>500</v>
      </c>
      <c r="E29" s="106">
        <f>ROUND((B$27*D29),0)</f>
        <v>50000</v>
      </c>
      <c r="G29" s="145">
        <f>ROUND(((E29*$T$14/100))+(E29*$V$25/100),2)</f>
        <v>2872</v>
      </c>
      <c r="H29" s="145"/>
      <c r="I29" s="145">
        <f>IF($B$27&lt;51,$B$27*$T$17,IF($B$27&lt;301,$B$27*$T$18+$T$20,$T$21+$T$19*$B$27))+V27</f>
        <v>2247.65</v>
      </c>
      <c r="J29" s="125"/>
      <c r="K29" s="145">
        <f>ROUND((($E29*$V$14/100))+(($E29*$V$26)/100),2)</f>
        <v>2915.5</v>
      </c>
      <c r="L29" s="145"/>
      <c r="M29" s="145">
        <f t="shared" si="3"/>
        <v>2247.65</v>
      </c>
      <c r="O29" s="109">
        <f>ROUND((K29-G29)/G29,4)</f>
        <v>1.5100000000000001E-2</v>
      </c>
      <c r="P29" s="109"/>
      <c r="Q29" s="109">
        <f>ROUND((M29-I29)/I29,4)</f>
        <v>0</v>
      </c>
    </row>
    <row r="30" spans="2:24">
      <c r="G30" s="145"/>
      <c r="H30" s="145"/>
      <c r="I30" s="145"/>
      <c r="J30" s="125"/>
      <c r="K30" s="145"/>
      <c r="L30" s="145"/>
      <c r="M30" s="145"/>
      <c r="T30" s="82" t="s">
        <v>171</v>
      </c>
      <c r="V30" s="185">
        <v>4.0000000000000001E-3</v>
      </c>
    </row>
    <row r="31" spans="2:24">
      <c r="B31" s="82">
        <v>300</v>
      </c>
      <c r="D31" s="106">
        <v>200</v>
      </c>
      <c r="E31" s="106">
        <f>ROUND((B$31*D31),0)</f>
        <v>60000</v>
      </c>
      <c r="G31" s="145">
        <f>ROUND(((E31*$T$14/100))+(E31*$V$25/100),2)</f>
        <v>3446.4</v>
      </c>
      <c r="H31" s="145"/>
      <c r="I31" s="145">
        <f>IF($B$31&lt;51,$B$31*$T$17,IF($B$31&lt;301,$B$31*$T$18+$T$20,$T$21+$T$19*$B$31))+V27</f>
        <v>5953.65</v>
      </c>
      <c r="J31" s="125"/>
      <c r="K31" s="145">
        <f>ROUND((($E31*$V$14/100))+(($E31*$V$26)/100),2)</f>
        <v>3498.6</v>
      </c>
      <c r="L31" s="145"/>
      <c r="M31" s="145">
        <f>IF($B$31&lt;51,$B$31*$V$17,IF($B$31&lt;301,$B$31*$V$18+$V$20,$V$21+$V$19*$B$31))+$V$27</f>
        <v>5953.65</v>
      </c>
      <c r="O31" s="109">
        <f>ROUND((K31-G31)/G31,4)</f>
        <v>1.5100000000000001E-2</v>
      </c>
      <c r="P31" s="109"/>
      <c r="Q31" s="109">
        <f>ROUND((M31-I31)/I31,4)</f>
        <v>0</v>
      </c>
    </row>
    <row r="32" spans="2:24">
      <c r="D32" s="106">
        <v>300</v>
      </c>
      <c r="E32" s="106">
        <f>ROUND((B$31*D32),0)</f>
        <v>90000</v>
      </c>
      <c r="G32" s="145">
        <f>ROUND(((E32*$T$14/100))+(E32*$V$25/100),2)</f>
        <v>5169.6000000000004</v>
      </c>
      <c r="H32" s="145"/>
      <c r="I32" s="145">
        <f>IF($B$31&lt;51,$B$31*$T$17,IF($B$31&lt;301,$B$31*$T$18+$T$20,$T$21+$T$19*$B$31))+V27</f>
        <v>5953.65</v>
      </c>
      <c r="J32" s="125"/>
      <c r="K32" s="145">
        <f>ROUND((($E32*$V$14/100))+(($E32*$V$26)/100),2)</f>
        <v>5247.9</v>
      </c>
      <c r="L32" s="145"/>
      <c r="M32" s="145">
        <f>IF($B$31&lt;51,$B$31*$V$17,IF($B$31&lt;301,$B$31*$V$18+$V$20,$V$21+$V$19*$B$31))+$V$27</f>
        <v>5953.65</v>
      </c>
      <c r="O32" s="109">
        <f>ROUND((K32-G32)/G32,4)</f>
        <v>1.5100000000000001E-2</v>
      </c>
      <c r="P32" s="109"/>
      <c r="Q32" s="109">
        <f>ROUND((M32-I32)/I32,4)</f>
        <v>0</v>
      </c>
    </row>
    <row r="33" spans="2:20">
      <c r="D33" s="106">
        <v>500</v>
      </c>
      <c r="E33" s="106">
        <f>ROUND((B$31*D33),0)</f>
        <v>150000</v>
      </c>
      <c r="G33" s="145">
        <f>ROUND(((E33*$T$14/100))+(E33*$V$25/100),2)</f>
        <v>8616</v>
      </c>
      <c r="H33" s="145"/>
      <c r="I33" s="145">
        <f>IF($B$31&lt;51,$B$31*$T$17,IF($B$31&lt;301,$B$31*$T$18+$T$20,$T$21+$T$19*$B$31))+V27</f>
        <v>5953.65</v>
      </c>
      <c r="J33" s="125"/>
      <c r="K33" s="145">
        <f>ROUND((($E33*$V$14/100))+(($E33*$V$26)/100),2)</f>
        <v>8746.5</v>
      </c>
      <c r="L33" s="145"/>
      <c r="M33" s="145">
        <f>IF($B$31&lt;51,$B$31*$V$17,IF($B$31&lt;301,$B$31*$V$18+$V$20,$V$21+$V$19*$B$31))+$V$27</f>
        <v>5953.65</v>
      </c>
      <c r="O33" s="109">
        <f>ROUND((K33-G33)/G33,4)</f>
        <v>1.5100000000000001E-2</v>
      </c>
      <c r="P33" s="109"/>
      <c r="Q33" s="109">
        <f>ROUND((M33-I33)/I33,4)</f>
        <v>0</v>
      </c>
      <c r="S33" s="117" t="s">
        <v>81</v>
      </c>
      <c r="T33" s="161">
        <f>'Attachment D'!W25</f>
        <v>5.5691931642154295E-3</v>
      </c>
    </row>
    <row r="34" spans="2:20"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</row>
    <row r="36" spans="2:20">
      <c r="C36" s="123"/>
    </row>
    <row r="37" spans="2:20">
      <c r="B37" s="82" t="s">
        <v>83</v>
      </c>
      <c r="C37" s="123"/>
    </row>
    <row r="38" spans="2:20">
      <c r="B38" s="153" t="s">
        <v>110</v>
      </c>
      <c r="C38" s="123"/>
    </row>
    <row r="39" spans="2:20">
      <c r="B39" s="123" t="s">
        <v>111</v>
      </c>
      <c r="C39" s="123"/>
    </row>
    <row r="40" spans="2:20">
      <c r="B40" s="123"/>
      <c r="C40" s="123"/>
    </row>
    <row r="41" spans="2:20">
      <c r="B41" s="123"/>
      <c r="C41" s="123"/>
    </row>
    <row r="42" spans="2:20">
      <c r="B42" s="123"/>
      <c r="C42" s="123"/>
    </row>
    <row r="43" spans="2:20">
      <c r="B43" s="123"/>
      <c r="C43" s="123"/>
    </row>
    <row r="44" spans="2:20">
      <c r="B44" s="123"/>
      <c r="C44" s="123"/>
    </row>
    <row r="45" spans="2:20">
      <c r="B45" s="123"/>
      <c r="C45" s="123"/>
    </row>
    <row r="46" spans="2:20">
      <c r="B46" s="123"/>
      <c r="C46" s="123"/>
    </row>
    <row r="47" spans="2:20">
      <c r="B47" s="123"/>
      <c r="C47" s="123"/>
    </row>
    <row r="48" spans="2:20">
      <c r="B48" s="123"/>
      <c r="C48" s="123"/>
      <c r="P48" s="125"/>
    </row>
    <row r="49" spans="2:3">
      <c r="B49" s="123"/>
      <c r="C49" s="123"/>
    </row>
    <row r="50" spans="2:3">
      <c r="B50" s="123"/>
      <c r="C50" s="123"/>
    </row>
    <row r="51" spans="2:3">
      <c r="B51" s="123"/>
      <c r="C51" s="123"/>
    </row>
  </sheetData>
  <mergeCells count="3">
    <mergeCell ref="G12:I12"/>
    <mergeCell ref="K12:M12"/>
    <mergeCell ref="O12:Q12"/>
  </mergeCells>
  <printOptions horizontalCentered="1"/>
  <pageMargins left="0.5" right="0.5" top="0.5" bottom="0.5" header="0.5" footer="0.5"/>
  <pageSetup scale="78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B14692F51D1C143AE6D0B30500273F1" ma:contentTypeVersion="56" ma:contentTypeDescription="" ma:contentTypeScope="" ma:versionID="b06417762161efa31bc7bfd69aeff68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2019-08-26T07:00:00+00:00</OpenedDate>
    <SignificantOrder xmlns="dc463f71-b30c-4ab2-9473-d307f9d35888">false</SignificantOrder>
    <Date1 xmlns="dc463f71-b30c-4ab2-9473-d307f9d35888">2019-09-09T07:00:00+00:00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190715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2B89C7C-825B-4BA2-8447-9747FA6CEA9A}"/>
</file>

<file path=customXml/itemProps2.xml><?xml version="1.0" encoding="utf-8"?>
<ds:datastoreItem xmlns:ds="http://schemas.openxmlformats.org/officeDocument/2006/customXml" ds:itemID="{8711A7A1-4CC6-4327-882A-0663850184B4}"/>
</file>

<file path=customXml/itemProps3.xml><?xml version="1.0" encoding="utf-8"?>
<ds:datastoreItem xmlns:ds="http://schemas.openxmlformats.org/officeDocument/2006/customXml" ds:itemID="{E1073F75-AE7C-4FFF-AE19-F000B8C63D50}"/>
</file>

<file path=customXml/itemProps4.xml><?xml version="1.0" encoding="utf-8"?>
<ds:datastoreItem xmlns:ds="http://schemas.openxmlformats.org/officeDocument/2006/customXml" ds:itemID="{7F53E861-C632-4E03-B698-84176853F9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Attachment A</vt:lpstr>
      <vt:lpstr>Attachment B</vt:lpstr>
      <vt:lpstr>Attachment C</vt:lpstr>
      <vt:lpstr>Attachment D</vt:lpstr>
      <vt:lpstr>305 Inputs</vt:lpstr>
      <vt:lpstr>Table Dec 18</vt:lpstr>
      <vt:lpstr>Billing Comp Schedule 40</vt:lpstr>
      <vt:lpstr>'Attachment C'!Print_Area</vt:lpstr>
      <vt:lpstr>'Attachment D'!Print_Area</vt:lpstr>
      <vt:lpstr>'Table Dec 18'!Print_Area</vt:lpstr>
    </vt:vector>
  </TitlesOfParts>
  <Company>PacifiCorp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p29569</dc:creator>
  <cp:lastModifiedBy>Penfield, Mary</cp:lastModifiedBy>
  <cp:lastPrinted>2019-08-26T18:42:45Z</cp:lastPrinted>
  <dcterms:created xsi:type="dcterms:W3CDTF">2011-08-24T15:59:36Z</dcterms:created>
  <dcterms:modified xsi:type="dcterms:W3CDTF">2019-08-26T18:46:46Z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0x0101006E56B4D1795A2E4DB2F0B01679ED314A001B14692F51D1C143AE6D0B30500273F1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