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580" yWindow="0" windowWidth="23040" windowHeight="9405" firstSheet="1" activeTab="1"/>
  </bookViews>
  <sheets>
    <sheet name="6 12 19 Forecast Usage by Sched" sheetId="13" state="hidden" r:id="rId1"/>
    <sheet name="Nat Gas 2018 Rate Calc" sheetId="7" r:id="rId2"/>
    <sheet name="Electric 2015 Rate Calc" sheetId="4" state="hidden" r:id="rId3"/>
    <sheet name="Prior Year Amortization" sheetId="14" r:id="rId4"/>
    <sheet name="Earnings Test and 3% Test" sheetId="6" r:id="rId5"/>
    <sheet name="Conversion Factors" sheetId="2" r:id="rId6"/>
    <sheet name="Bill Impact" sheetId="15" r:id="rId7"/>
    <sheet name="Nat Gas 2015carryover Rate Calc" sheetId="8" state="hidden" r:id="rId8"/>
  </sheets>
  <definedNames>
    <definedName name="_xlnm.Print_Area" localSheetId="5">'Conversion Factors'!$A$1:$F$116</definedName>
    <definedName name="_xlnm.Print_Area" localSheetId="4">'Earnings Test and 3% Test'!$A$1:$G$67</definedName>
    <definedName name="_xlnm.Print_Area" localSheetId="2">'Electric 2015 Rate Calc'!$A$1:$L$81</definedName>
    <definedName name="_xlnm.Print_Area" localSheetId="7">'Nat Gas 2015carryover Rate Calc'!$A$1:$J$60</definedName>
    <definedName name="_xlnm.Print_Area" localSheetId="1">'Nat Gas 2018 Rate Calc'!$A$1:$L$91</definedName>
    <definedName name="_xlnm.Print_Area" localSheetId="3">'Prior Year Amortization'!$A$1:$H$37</definedName>
    <definedName name="_xlnm.Print_Titles" localSheetId="4">'Earnings Test and 3% Test'!$1:$4</definedName>
    <definedName name="_xlnm.Print_Titles" localSheetId="2">'Electric 2015 Rate Calc'!$1:$3</definedName>
    <definedName name="Z_5C6B1FA1_B621_4699_B8F7_5011E8FF1BCD_.wvu.PrintArea" localSheetId="5" hidden="1">'Conversion Factors'!$A$1:$F$114</definedName>
    <definedName name="Z_5C6B1FA1_B621_4699_B8F7_5011E8FF1BCD_.wvu.PrintArea" localSheetId="4" hidden="1">'Earnings Test and 3% Test'!$B$1:$G$65</definedName>
    <definedName name="Z_5C6B1FA1_B621_4699_B8F7_5011E8FF1BCD_.wvu.PrintArea" localSheetId="2" hidden="1">'Electric 2015 Rate Calc'!$B$1:$K$70</definedName>
    <definedName name="Z_5C6B1FA1_B621_4699_B8F7_5011E8FF1BCD_.wvu.PrintArea" localSheetId="7" hidden="1">'Nat Gas 2015carryover Rate Calc'!$A$1:$J$60</definedName>
    <definedName name="Z_5C6B1FA1_B621_4699_B8F7_5011E8FF1BCD_.wvu.PrintArea" localSheetId="1" hidden="1">'Nat Gas 2018 Rate Calc'!$B$1:$K$71</definedName>
    <definedName name="Z_5C6B1FA1_B621_4699_B8F7_5011E8FF1BCD_.wvu.PrintTitles" localSheetId="4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5" hidden="1">'Conversion Factors'!$1:$88</definedName>
    <definedName name="Z_6A207E9B_31ED_4215_AD4F_ABB2957B65E4_.wvu.PrintArea" localSheetId="5" hidden="1">'Conversion Factors'!$A$1:$F$114</definedName>
    <definedName name="Z_6A207E9B_31ED_4215_AD4F_ABB2957B65E4_.wvu.PrintArea" localSheetId="4" hidden="1">'Earnings Test and 3% Test'!$I$6:$S$48</definedName>
    <definedName name="Z_6A207E9B_31ED_4215_AD4F_ABB2957B65E4_.wvu.PrintArea" localSheetId="2" hidden="1">'Electric 2015 Rate Calc'!$B$1:$K$70</definedName>
    <definedName name="Z_6A207E9B_31ED_4215_AD4F_ABB2957B65E4_.wvu.PrintArea" localSheetId="7" hidden="1">'Nat Gas 2015carryover Rate Calc'!$A$1:$J$60</definedName>
    <definedName name="Z_6A207E9B_31ED_4215_AD4F_ABB2957B65E4_.wvu.PrintArea" localSheetId="1" hidden="1">'Nat Gas 2018 Rate Calc'!$B$1:$K$71</definedName>
    <definedName name="Z_6A207E9B_31ED_4215_AD4F_ABB2957B65E4_.wvu.PrintTitles" localSheetId="4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5" hidden="1">'Conversion Factors'!$1:$88</definedName>
  </definedNames>
  <calcPr calcId="152511"/>
  <customWorkbookViews>
    <customWorkbookView name="Earnings Test" guid="{5C6B1FA1-B621-4699-B8F7-5011E8FF1BCD}" maximized="1" xWindow="-9" yWindow="-9" windowWidth="1938" windowHeight="1050" activeSheetId="6"/>
    <customWorkbookView name="Provision Analysis" guid="{6A207E9B-31ED-4215-AD4F-ABB2957B65E4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H36" i="14" l="1"/>
  <c r="H37" i="14"/>
  <c r="H35" i="14"/>
  <c r="D15" i="15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5" i="13"/>
  <c r="I11" i="15" l="1"/>
  <c r="J28" i="15" l="1"/>
  <c r="D13" i="15"/>
  <c r="D24" i="15" s="1"/>
  <c r="C26" i="14" l="1"/>
  <c r="C9" i="14"/>
  <c r="E110" i="2" l="1"/>
  <c r="E14" i="6"/>
  <c r="D11" i="15" l="1"/>
  <c r="G28" i="14" l="1"/>
  <c r="G31" i="14"/>
  <c r="G34" i="14"/>
  <c r="G26" i="14"/>
  <c r="D9" i="14"/>
  <c r="B26" i="14"/>
  <c r="B10" i="14"/>
  <c r="B27" i="14" s="1"/>
  <c r="B49" i="7"/>
  <c r="B50" i="7" s="1"/>
  <c r="B51" i="7" s="1"/>
  <c r="B52" i="7" s="1"/>
  <c r="B53" i="7" s="1"/>
  <c r="B54" i="7" s="1"/>
  <c r="B55" i="7" s="1"/>
  <c r="B56" i="7" s="1"/>
  <c r="B57" i="7" s="1"/>
  <c r="B58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F53" i="7"/>
  <c r="L53" i="7" s="1"/>
  <c r="L52" i="7"/>
  <c r="L49" i="7"/>
  <c r="F50" i="7"/>
  <c r="L50" i="7" s="1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F54" i="7" l="1"/>
  <c r="L54" i="7" s="1"/>
  <c r="F51" i="7"/>
  <c r="L51" i="7" s="1"/>
  <c r="B11" i="14"/>
  <c r="F56" i="7"/>
  <c r="L55" i="7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B12" i="14" l="1"/>
  <c r="B28" i="14"/>
  <c r="F57" i="7"/>
  <c r="L56" i="7"/>
  <c r="J29" i="15"/>
  <c r="J27" i="15"/>
  <c r="M19" i="15"/>
  <c r="M18" i="15"/>
  <c r="F17" i="15"/>
  <c r="L24" i="15"/>
  <c r="F15" i="15"/>
  <c r="F13" i="15"/>
  <c r="J11" i="15"/>
  <c r="I31" i="15" s="1"/>
  <c r="J31" i="15" s="1"/>
  <c r="H11" i="15"/>
  <c r="F11" i="15"/>
  <c r="F24" i="15" l="1"/>
  <c r="G11" i="15"/>
  <c r="M11" i="15" s="1"/>
  <c r="J30" i="15"/>
  <c r="J33" i="15" s="1"/>
  <c r="D22" i="15"/>
  <c r="B13" i="14"/>
  <c r="B29" i="14"/>
  <c r="L57" i="7"/>
  <c r="F58" i="7"/>
  <c r="L22" i="15"/>
  <c r="F22" i="15"/>
  <c r="J32" i="15" l="1"/>
  <c r="B14" i="14"/>
  <c r="B30" i="14"/>
  <c r="F59" i="7"/>
  <c r="L58" i="7"/>
  <c r="B15" i="14" l="1"/>
  <c r="B31" i="14"/>
  <c r="F60" i="7"/>
  <c r="L59" i="7"/>
  <c r="B16" i="14" l="1"/>
  <c r="B32" i="14"/>
  <c r="F61" i="7"/>
  <c r="L60" i="7"/>
  <c r="B17" i="14" l="1"/>
  <c r="B33" i="14"/>
  <c r="L61" i="7"/>
  <c r="F62" i="7"/>
  <c r="J7" i="7"/>
  <c r="B18" i="14" l="1"/>
  <c r="B34" i="14"/>
  <c r="F63" i="7"/>
  <c r="L62" i="7"/>
  <c r="H47" i="7"/>
  <c r="H48" i="7"/>
  <c r="H49" i="7"/>
  <c r="H50" i="7"/>
  <c r="H51" i="7"/>
  <c r="H52" i="7"/>
  <c r="H53" i="7"/>
  <c r="H54" i="7"/>
  <c r="H55" i="7"/>
  <c r="H56" i="7"/>
  <c r="H57" i="7"/>
  <c r="H58" i="7"/>
  <c r="H60" i="7"/>
  <c r="H61" i="7"/>
  <c r="H62" i="7"/>
  <c r="H63" i="7"/>
  <c r="H64" i="7"/>
  <c r="H65" i="7"/>
  <c r="H66" i="7"/>
  <c r="H67" i="7"/>
  <c r="H68" i="7"/>
  <c r="H69" i="7"/>
  <c r="H70" i="7"/>
  <c r="H71" i="7"/>
  <c r="H46" i="7"/>
  <c r="B19" i="14" l="1"/>
  <c r="B35" i="14"/>
  <c r="F64" i="7"/>
  <c r="L63" i="7"/>
  <c r="H43" i="7"/>
  <c r="B20" i="14" l="1"/>
  <c r="B37" i="14" s="1"/>
  <c r="B36" i="14"/>
  <c r="F65" i="7"/>
  <c r="L64" i="7"/>
  <c r="D26" i="14"/>
  <c r="F26" i="14" s="1"/>
  <c r="C27" i="14" s="1"/>
  <c r="G18" i="14"/>
  <c r="G35" i="14" s="1"/>
  <c r="G15" i="14"/>
  <c r="G12" i="14"/>
  <c r="G10" i="14"/>
  <c r="G27" i="14" s="1"/>
  <c r="F9" i="14"/>
  <c r="C10" i="14" s="1"/>
  <c r="D10" i="14" s="1"/>
  <c r="H9" i="7"/>
  <c r="H10" i="7"/>
  <c r="H11" i="7"/>
  <c r="H12" i="7"/>
  <c r="H13" i="7"/>
  <c r="H14" i="7"/>
  <c r="H15" i="7"/>
  <c r="H16" i="7"/>
  <c r="H17" i="7"/>
  <c r="H18" i="7"/>
  <c r="H19" i="7"/>
  <c r="H20" i="7"/>
  <c r="H8" i="7"/>
  <c r="M11" i="13"/>
  <c r="E11" i="7" s="1"/>
  <c r="K11" i="7"/>
  <c r="G13" i="14" l="1"/>
  <c r="G30" i="14" s="1"/>
  <c r="G29" i="14"/>
  <c r="G16" i="14"/>
  <c r="G33" i="14" s="1"/>
  <c r="G32" i="14"/>
  <c r="G19" i="14"/>
  <c r="L65" i="7"/>
  <c r="F66" i="7"/>
  <c r="F10" i="14"/>
  <c r="C11" i="14" s="1"/>
  <c r="D27" i="14"/>
  <c r="F27" i="14" s="1"/>
  <c r="C28" i="14" s="1"/>
  <c r="G20" i="14" l="1"/>
  <c r="G37" i="14" s="1"/>
  <c r="G36" i="14"/>
  <c r="F67" i="7"/>
  <c r="L66" i="7"/>
  <c r="D28" i="14"/>
  <c r="F28" i="14" s="1"/>
  <c r="C29" i="14" s="1"/>
  <c r="D11" i="14"/>
  <c r="F11" i="14" s="1"/>
  <c r="C12" i="14" s="1"/>
  <c r="F68" i="7" l="1"/>
  <c r="L67" i="7"/>
  <c r="D12" i="14"/>
  <c r="F12" i="14" s="1"/>
  <c r="C13" i="14" s="1"/>
  <c r="D29" i="14"/>
  <c r="F29" i="14" s="1"/>
  <c r="C30" i="14" s="1"/>
  <c r="F69" i="7" l="1"/>
  <c r="L68" i="7"/>
  <c r="D30" i="14"/>
  <c r="F30" i="14" s="1"/>
  <c r="C31" i="14" s="1"/>
  <c r="D13" i="14"/>
  <c r="F13" i="14" s="1"/>
  <c r="C14" i="14" s="1"/>
  <c r="L69" i="7" l="1"/>
  <c r="F70" i="7"/>
  <c r="D14" i="14"/>
  <c r="F14" i="14" s="1"/>
  <c r="C15" i="14" s="1"/>
  <c r="D31" i="14"/>
  <c r="F31" i="14" s="1"/>
  <c r="C32" i="14" s="1"/>
  <c r="F71" i="7" l="1"/>
  <c r="L71" i="7" s="1"/>
  <c r="L70" i="7"/>
  <c r="D32" i="14"/>
  <c r="F32" i="14" s="1"/>
  <c r="C33" i="14" s="1"/>
  <c r="D15" i="14"/>
  <c r="F15" i="14" s="1"/>
  <c r="C16" i="14" s="1"/>
  <c r="D16" i="14" l="1"/>
  <c r="F16" i="14" s="1"/>
  <c r="C17" i="14" s="1"/>
  <c r="D33" i="14"/>
  <c r="F33" i="14" s="1"/>
  <c r="C34" i="14" s="1"/>
  <c r="D34" i="14" l="1"/>
  <c r="F34" i="14" s="1"/>
  <c r="C35" i="14" s="1"/>
  <c r="F40" i="6" l="1"/>
  <c r="E40" i="6"/>
  <c r="I76" i="7" l="1"/>
  <c r="C76" i="7"/>
  <c r="I75" i="4" l="1"/>
  <c r="C75" i="4"/>
  <c r="J45" i="4" l="1"/>
  <c r="K11" i="4" l="1"/>
  <c r="K13" i="4"/>
  <c r="K15" i="4"/>
  <c r="K17" i="4"/>
  <c r="K19" i="4"/>
  <c r="K9" i="4"/>
  <c r="E13" i="4"/>
  <c r="E17" i="4"/>
  <c r="E9" i="4"/>
  <c r="M22" i="13"/>
  <c r="M21" i="13"/>
  <c r="M20" i="13"/>
  <c r="M19" i="13"/>
  <c r="M18" i="13"/>
  <c r="M17" i="13"/>
  <c r="M16" i="13"/>
  <c r="M15" i="13"/>
  <c r="M14" i="13"/>
  <c r="M13" i="13"/>
  <c r="M12" i="13"/>
  <c r="J11" i="8"/>
  <c r="D11" i="8"/>
  <c r="M10" i="13"/>
  <c r="M9" i="13"/>
  <c r="K20" i="4"/>
  <c r="E20" i="4"/>
  <c r="E37" i="14"/>
  <c r="M8" i="13"/>
  <c r="H20" i="14" s="1"/>
  <c r="E20" i="14" s="1"/>
  <c r="E19" i="4"/>
  <c r="E36" i="14"/>
  <c r="M7" i="13"/>
  <c r="H19" i="14" s="1"/>
  <c r="E19" i="14" s="1"/>
  <c r="K18" i="4"/>
  <c r="E18" i="4"/>
  <c r="E35" i="14"/>
  <c r="M6" i="13"/>
  <c r="H18" i="14" s="1"/>
  <c r="E18" i="14" s="1"/>
  <c r="M5" i="13"/>
  <c r="D17" i="14" s="1"/>
  <c r="F17" i="14" s="1"/>
  <c r="C18" i="14" s="1"/>
  <c r="K16" i="4"/>
  <c r="E16" i="4"/>
  <c r="E15" i="4"/>
  <c r="K14" i="4"/>
  <c r="E14" i="4"/>
  <c r="K12" i="4"/>
  <c r="E12" i="4"/>
  <c r="E11" i="4"/>
  <c r="K10" i="4"/>
  <c r="E10" i="4"/>
  <c r="D18" i="14" l="1"/>
  <c r="F18" i="14" s="1"/>
  <c r="C19" i="14" s="1"/>
  <c r="D19" i="14" s="1"/>
  <c r="F19" i="14" s="1"/>
  <c r="C20" i="14" s="1"/>
  <c r="D20" i="14" s="1"/>
  <c r="F20" i="14" s="1"/>
  <c r="C59" i="7" s="1"/>
  <c r="C78" i="7" s="1"/>
  <c r="D35" i="14"/>
  <c r="F35" i="14" s="1"/>
  <c r="C36" i="14" s="1"/>
  <c r="D36" i="14" s="1"/>
  <c r="F36" i="14" s="1"/>
  <c r="C37" i="14" s="1"/>
  <c r="D37" i="14" s="1"/>
  <c r="F37" i="14" s="1"/>
  <c r="I59" i="7" s="1"/>
  <c r="I78" i="7" s="1"/>
  <c r="J13" i="8"/>
  <c r="K13" i="7"/>
  <c r="J17" i="8"/>
  <c r="K17" i="7"/>
  <c r="D10" i="8"/>
  <c r="E10" i="7"/>
  <c r="D12" i="8"/>
  <c r="E12" i="7"/>
  <c r="D14" i="8"/>
  <c r="E14" i="7"/>
  <c r="D16" i="8"/>
  <c r="E16" i="7"/>
  <c r="D18" i="8"/>
  <c r="E18" i="7"/>
  <c r="D20" i="8"/>
  <c r="E20" i="7"/>
  <c r="J9" i="8"/>
  <c r="K9" i="7"/>
  <c r="J10" i="8"/>
  <c r="K10" i="7"/>
  <c r="J12" i="8"/>
  <c r="K12" i="7"/>
  <c r="J14" i="8"/>
  <c r="K14" i="7"/>
  <c r="J16" i="8"/>
  <c r="K16" i="7"/>
  <c r="J18" i="8"/>
  <c r="K18" i="7"/>
  <c r="J20" i="8"/>
  <c r="K20" i="7"/>
  <c r="J15" i="8"/>
  <c r="K15" i="7"/>
  <c r="J19" i="8"/>
  <c r="K19" i="7"/>
  <c r="D9" i="8"/>
  <c r="E9" i="7"/>
  <c r="D13" i="8"/>
  <c r="E13" i="7"/>
  <c r="D15" i="8"/>
  <c r="E15" i="7"/>
  <c r="D17" i="8"/>
  <c r="E17" i="7"/>
  <c r="D19" i="8"/>
  <c r="E19" i="7"/>
  <c r="R11" i="8"/>
  <c r="R9" i="8"/>
  <c r="T11" i="8"/>
  <c r="T9" i="8"/>
  <c r="R23" i="8" l="1"/>
  <c r="R22" i="8"/>
  <c r="I46" i="8"/>
  <c r="G43" i="8"/>
  <c r="A43" i="8"/>
  <c r="D22" i="8"/>
  <c r="T22" i="8" s="1"/>
  <c r="T13" i="8" l="1"/>
  <c r="U9" i="8" s="1"/>
  <c r="R13" i="8"/>
  <c r="S9" i="8" s="1"/>
  <c r="J22" i="8"/>
  <c r="T23" i="8" s="1"/>
  <c r="R18" i="8" l="1"/>
  <c r="U11" i="8"/>
  <c r="U13" i="8" s="1"/>
  <c r="T18" i="8"/>
  <c r="S11" i="8"/>
  <c r="S13" i="8" s="1"/>
  <c r="J7" i="4" l="1"/>
  <c r="H42" i="7" l="1"/>
  <c r="B42" i="7"/>
  <c r="E22" i="7"/>
  <c r="E42" i="6" s="1"/>
  <c r="E30" i="6"/>
  <c r="K22" i="7" l="1"/>
  <c r="F42" i="6" s="1"/>
  <c r="F28" i="6"/>
  <c r="F26" i="6"/>
  <c r="F30" i="6" l="1"/>
  <c r="E13" i="6" l="1"/>
  <c r="E15" i="6" s="1"/>
  <c r="E17" i="6" l="1"/>
  <c r="C47" i="4" l="1"/>
  <c r="I47" i="4"/>
  <c r="I48" i="4" l="1"/>
  <c r="J49" i="4" s="1"/>
  <c r="I76" i="4"/>
  <c r="C48" i="4"/>
  <c r="D49" i="4" s="1"/>
  <c r="C76" i="4"/>
  <c r="I49" i="4" l="1"/>
  <c r="J50" i="4" s="1"/>
  <c r="C49" i="4"/>
  <c r="D50" i="4" s="1"/>
  <c r="H42" i="4"/>
  <c r="B42" i="4"/>
  <c r="E22" i="4"/>
  <c r="I50" i="4" l="1"/>
  <c r="J51" i="4" s="1"/>
  <c r="C50" i="4"/>
  <c r="D51" i="4" s="1"/>
  <c r="K22" i="4"/>
  <c r="E106" i="2"/>
  <c r="E108" i="2" s="1"/>
  <c r="E114" i="2" l="1"/>
  <c r="C51" i="4"/>
  <c r="D52" i="4" s="1"/>
  <c r="C52" i="4" s="1"/>
  <c r="I51" i="4"/>
  <c r="J52" i="4" s="1"/>
  <c r="E112" i="2"/>
  <c r="E18" i="6" s="1"/>
  <c r="E19" i="6" s="1"/>
  <c r="E21" i="6" s="1"/>
  <c r="E34" i="6" l="1"/>
  <c r="F34" i="6" s="1"/>
  <c r="E35" i="6"/>
  <c r="D27" i="7"/>
  <c r="J27" i="7" s="1"/>
  <c r="C27" i="8"/>
  <c r="I27" i="8" s="1"/>
  <c r="D53" i="4"/>
  <c r="C53" i="4" s="1"/>
  <c r="I52" i="4"/>
  <c r="J53" i="4" s="1"/>
  <c r="F35" i="6" l="1"/>
  <c r="I47" i="7" s="1"/>
  <c r="E36" i="6"/>
  <c r="D54" i="4"/>
  <c r="I53" i="4"/>
  <c r="J54" i="4" s="1"/>
  <c r="I77" i="7" l="1"/>
  <c r="I48" i="7"/>
  <c r="J49" i="7" s="1"/>
  <c r="I49" i="7" s="1"/>
  <c r="J50" i="7" s="1"/>
  <c r="F36" i="6"/>
  <c r="C47" i="7"/>
  <c r="C54" i="4"/>
  <c r="I54" i="4"/>
  <c r="J55" i="4" s="1"/>
  <c r="I50" i="7" l="1"/>
  <c r="J51" i="7" s="1"/>
  <c r="C77" i="7"/>
  <c r="C48" i="7"/>
  <c r="D49" i="7" s="1"/>
  <c r="D55" i="4"/>
  <c r="C55" i="4" s="1"/>
  <c r="I55" i="4"/>
  <c r="J56" i="4" s="1"/>
  <c r="I51" i="7" l="1"/>
  <c r="J52" i="7" s="1"/>
  <c r="C49" i="7"/>
  <c r="D50" i="7" s="1"/>
  <c r="D56" i="4"/>
  <c r="C56" i="4" s="1"/>
  <c r="I56" i="4"/>
  <c r="J57" i="4" s="1"/>
  <c r="I52" i="7" l="1"/>
  <c r="J53" i="7" s="1"/>
  <c r="C50" i="7"/>
  <c r="D57" i="4"/>
  <c r="C57" i="4" s="1"/>
  <c r="I57" i="4"/>
  <c r="J58" i="4" s="1"/>
  <c r="D51" i="7" l="1"/>
  <c r="C51" i="7" s="1"/>
  <c r="D52" i="7" s="1"/>
  <c r="I53" i="7"/>
  <c r="J54" i="7" s="1"/>
  <c r="D58" i="4"/>
  <c r="C58" i="4" s="1"/>
  <c r="C8" i="4" s="1"/>
  <c r="C7" i="4" s="1"/>
  <c r="I58" i="4"/>
  <c r="C52" i="7" l="1"/>
  <c r="D53" i="7" s="1"/>
  <c r="I54" i="7"/>
  <c r="J55" i="7" s="1"/>
  <c r="I8" i="4"/>
  <c r="C53" i="7" l="1"/>
  <c r="I55" i="7"/>
  <c r="J56" i="7" s="1"/>
  <c r="D54" i="7" l="1"/>
  <c r="C54" i="7" s="1"/>
  <c r="I56" i="7"/>
  <c r="J57" i="7" s="1"/>
  <c r="D25" i="4"/>
  <c r="B35" i="4" s="1"/>
  <c r="D55" i="7" l="1"/>
  <c r="C55" i="7" s="1"/>
  <c r="I57" i="7"/>
  <c r="J58" i="7" s="1"/>
  <c r="C9" i="4"/>
  <c r="D56" i="7" l="1"/>
  <c r="C56" i="7" s="1"/>
  <c r="I58" i="7"/>
  <c r="C10" i="4"/>
  <c r="C11" i="4" s="1"/>
  <c r="D9" i="4"/>
  <c r="I8" i="7" l="1"/>
  <c r="I7" i="7" s="1"/>
  <c r="J25" i="7" s="1"/>
  <c r="H35" i="7" s="1"/>
  <c r="D57" i="7"/>
  <c r="C57" i="7" s="1"/>
  <c r="D10" i="4"/>
  <c r="C12" i="4"/>
  <c r="D11" i="4"/>
  <c r="J9" i="7" l="1"/>
  <c r="I9" i="7" s="1"/>
  <c r="J10" i="7" s="1"/>
  <c r="I10" i="7" s="1"/>
  <c r="J11" i="7" s="1"/>
  <c r="I11" i="7" s="1"/>
  <c r="J12" i="7" s="1"/>
  <c r="I12" i="7" s="1"/>
  <c r="J13" i="7" s="1"/>
  <c r="I13" i="7" s="1"/>
  <c r="J14" i="7" s="1"/>
  <c r="I14" i="7" s="1"/>
  <c r="J15" i="7" s="1"/>
  <c r="I15" i="7" s="1"/>
  <c r="J16" i="7" s="1"/>
  <c r="I16" i="7" s="1"/>
  <c r="J17" i="7" s="1"/>
  <c r="I17" i="7" s="1"/>
  <c r="J18" i="7" s="1"/>
  <c r="I18" i="7" s="1"/>
  <c r="J19" i="7" s="1"/>
  <c r="I19" i="7" s="1"/>
  <c r="J20" i="7" s="1"/>
  <c r="I20" i="7" s="1"/>
  <c r="D58" i="7"/>
  <c r="C58" i="7" s="1"/>
  <c r="C13" i="4"/>
  <c r="D13" i="4" s="1"/>
  <c r="D12" i="4"/>
  <c r="C8" i="7" l="1"/>
  <c r="C7" i="7" s="1"/>
  <c r="D25" i="7" s="1"/>
  <c r="B35" i="7" s="1"/>
  <c r="J22" i="7"/>
  <c r="J24" i="7" s="1"/>
  <c r="J26" i="7" s="1"/>
  <c r="J28" i="7" s="1"/>
  <c r="F44" i="6" s="1"/>
  <c r="F48" i="6" s="1"/>
  <c r="C14" i="4"/>
  <c r="D14" i="4" s="1"/>
  <c r="D9" i="7" l="1"/>
  <c r="C9" i="7" s="1"/>
  <c r="D10" i="7" s="1"/>
  <c r="C10" i="7" s="1"/>
  <c r="D11" i="7" s="1"/>
  <c r="C11" i="7" s="1"/>
  <c r="D12" i="7" s="1"/>
  <c r="C12" i="7" s="1"/>
  <c r="D13" i="7" s="1"/>
  <c r="C13" i="7" s="1"/>
  <c r="D14" i="7" s="1"/>
  <c r="C14" i="7" s="1"/>
  <c r="D15" i="7" s="1"/>
  <c r="C15" i="7" s="1"/>
  <c r="D16" i="7" s="1"/>
  <c r="C16" i="7" s="1"/>
  <c r="D17" i="7" s="1"/>
  <c r="C17" i="7" s="1"/>
  <c r="D18" i="7" s="1"/>
  <c r="C18" i="7" s="1"/>
  <c r="D19" i="7" s="1"/>
  <c r="C19" i="7" s="1"/>
  <c r="D20" i="7" s="1"/>
  <c r="C20" i="7" s="1"/>
  <c r="F50" i="6"/>
  <c r="F52" i="6" s="1"/>
  <c r="F54" i="6" s="1"/>
  <c r="C15" i="4"/>
  <c r="D22" i="7" l="1"/>
  <c r="D24" i="7" s="1"/>
  <c r="D26" i="7" s="1"/>
  <c r="D28" i="7" s="1"/>
  <c r="E44" i="6" s="1"/>
  <c r="E48" i="6" s="1"/>
  <c r="E50" i="6" s="1"/>
  <c r="E52" i="6" s="1"/>
  <c r="E54" i="6" s="1"/>
  <c r="E56" i="6" s="1"/>
  <c r="D29" i="7" s="1"/>
  <c r="F56" i="6"/>
  <c r="C16" i="4"/>
  <c r="D16" i="4" s="1"/>
  <c r="D15" i="4"/>
  <c r="D30" i="7" l="1"/>
  <c r="E30" i="7" s="1"/>
  <c r="E58" i="6"/>
  <c r="E60" i="6" s="1"/>
  <c r="E62" i="6" s="1"/>
  <c r="J29" i="7"/>
  <c r="F58" i="6"/>
  <c r="F60" i="6" s="1"/>
  <c r="F62" i="6" s="1"/>
  <c r="C17" i="4"/>
  <c r="D17" i="4" s="1"/>
  <c r="D31" i="7" l="1"/>
  <c r="E62" i="7" s="1"/>
  <c r="C82" i="7"/>
  <c r="T30" i="8"/>
  <c r="J30" i="7"/>
  <c r="I13" i="15" s="1"/>
  <c r="C18" i="4"/>
  <c r="D18" i="4" s="1"/>
  <c r="I17" i="15" l="1"/>
  <c r="I15" i="15"/>
  <c r="J13" i="15"/>
  <c r="H13" i="15"/>
  <c r="E66" i="7"/>
  <c r="I82" i="7"/>
  <c r="K30" i="7"/>
  <c r="E60" i="7"/>
  <c r="D60" i="7" s="1"/>
  <c r="C60" i="7" s="1"/>
  <c r="E70" i="7"/>
  <c r="E64" i="7"/>
  <c r="E68" i="7"/>
  <c r="E61" i="7"/>
  <c r="E69" i="7"/>
  <c r="E67" i="7"/>
  <c r="E63" i="7"/>
  <c r="E71" i="7"/>
  <c r="E65" i="7"/>
  <c r="T31" i="8"/>
  <c r="J31" i="7"/>
  <c r="K66" i="7" s="1"/>
  <c r="C19" i="4"/>
  <c r="G13" i="15" l="1"/>
  <c r="J15" i="15"/>
  <c r="H15" i="15"/>
  <c r="G15" i="15" s="1"/>
  <c r="M15" i="15" s="1"/>
  <c r="J17" i="15"/>
  <c r="H17" i="15"/>
  <c r="G17" i="15" s="1"/>
  <c r="E73" i="7"/>
  <c r="D61" i="7"/>
  <c r="C61" i="7" s="1"/>
  <c r="D62" i="7" s="1"/>
  <c r="K68" i="7"/>
  <c r="K62" i="7"/>
  <c r="K65" i="7"/>
  <c r="K71" i="7"/>
  <c r="K67" i="7"/>
  <c r="K69" i="7"/>
  <c r="K63" i="7"/>
  <c r="K70" i="7"/>
  <c r="K60" i="7"/>
  <c r="K64" i="7"/>
  <c r="K61" i="7"/>
  <c r="C20" i="4"/>
  <c r="D20" i="4" s="1"/>
  <c r="D19" i="4"/>
  <c r="H22" i="15" l="1"/>
  <c r="H24" i="15"/>
  <c r="M13" i="15"/>
  <c r="G24" i="15"/>
  <c r="M24" i="15" s="1"/>
  <c r="G22" i="15"/>
  <c r="M22" i="15" s="1"/>
  <c r="J60" i="7"/>
  <c r="I60" i="7" s="1"/>
  <c r="J61" i="7" s="1"/>
  <c r="K73" i="7"/>
  <c r="C62" i="7"/>
  <c r="D63" i="7" s="1"/>
  <c r="D22" i="4"/>
  <c r="I61" i="7" l="1"/>
  <c r="J62" i="7" s="1"/>
  <c r="C63" i="7"/>
  <c r="D64" i="7" s="1"/>
  <c r="D24" i="4"/>
  <c r="D26" i="4" s="1"/>
  <c r="D27" i="4"/>
  <c r="J27" i="4" s="1"/>
  <c r="I62" i="7" l="1"/>
  <c r="J63" i="7" s="1"/>
  <c r="C64" i="7"/>
  <c r="D65" i="7" s="1"/>
  <c r="D28" i="4"/>
  <c r="I63" i="7" l="1"/>
  <c r="J64" i="7" s="1"/>
  <c r="C65" i="7"/>
  <c r="D66" i="7" s="1"/>
  <c r="I64" i="7" l="1"/>
  <c r="J65" i="7" s="1"/>
  <c r="C66" i="7"/>
  <c r="D67" i="7" s="1"/>
  <c r="I65" i="7" l="1"/>
  <c r="J66" i="7" s="1"/>
  <c r="C67" i="7"/>
  <c r="D68" i="7" s="1"/>
  <c r="E77" i="2"/>
  <c r="E79" i="2" s="1"/>
  <c r="E87" i="2" s="1"/>
  <c r="I66" i="7" l="1"/>
  <c r="C68" i="7"/>
  <c r="D69" i="7" s="1"/>
  <c r="E81" i="2"/>
  <c r="E83" i="2" s="1"/>
  <c r="J67" i="7" l="1"/>
  <c r="I67" i="7" s="1"/>
  <c r="J68" i="7" s="1"/>
  <c r="C69" i="7"/>
  <c r="D70" i="7" s="1"/>
  <c r="E49" i="2"/>
  <c r="E51" i="2" s="1"/>
  <c r="E59" i="2" s="1"/>
  <c r="I68" i="7" l="1"/>
  <c r="J69" i="7" s="1"/>
  <c r="C70" i="7"/>
  <c r="E53" i="2"/>
  <c r="E55" i="2" s="1"/>
  <c r="I69" i="7" l="1"/>
  <c r="J70" i="7" s="1"/>
  <c r="D71" i="7"/>
  <c r="C71" i="7" s="1"/>
  <c r="C80" i="7" s="1"/>
  <c r="D73" i="7" l="1"/>
  <c r="C79" i="7" s="1"/>
  <c r="C81" i="7" s="1"/>
  <c r="C83" i="7" s="1"/>
  <c r="I70" i="7"/>
  <c r="J71" i="7" s="1"/>
  <c r="J73" i="7" s="1"/>
  <c r="I79" i="7" s="1"/>
  <c r="D32" i="7"/>
  <c r="B8" i="8"/>
  <c r="B48" i="8"/>
  <c r="J32" i="7"/>
  <c r="I71" i="7" l="1"/>
  <c r="E18" i="2"/>
  <c r="E20" i="2" s="1"/>
  <c r="E28" i="2" s="1"/>
  <c r="H8" i="8" l="1"/>
  <c r="I80" i="7"/>
  <c r="I81" i="7" s="1"/>
  <c r="I83" i="7" s="1"/>
  <c r="H48" i="8"/>
  <c r="E22" i="2"/>
  <c r="E24" i="2" s="1"/>
  <c r="H7" i="8" l="1"/>
  <c r="I25" i="8" s="1"/>
  <c r="G35" i="8" s="1"/>
  <c r="H9" i="8" l="1"/>
  <c r="I9" i="8" l="1"/>
  <c r="H10" i="8"/>
  <c r="I7" i="4"/>
  <c r="I9" i="4" s="1"/>
  <c r="I10" i="8" l="1"/>
  <c r="H11" i="8"/>
  <c r="J25" i="4"/>
  <c r="H35" i="4" s="1"/>
  <c r="J9" i="4"/>
  <c r="I10" i="4"/>
  <c r="I11" i="8" l="1"/>
  <c r="H12" i="8"/>
  <c r="I11" i="4"/>
  <c r="J10" i="4"/>
  <c r="I12" i="8" l="1"/>
  <c r="H13" i="8"/>
  <c r="I13" i="8" s="1"/>
  <c r="I12" i="4"/>
  <c r="J12" i="4" s="1"/>
  <c r="J11" i="4"/>
  <c r="H14" i="8" l="1"/>
  <c r="I13" i="4"/>
  <c r="J13" i="4" s="1"/>
  <c r="H15" i="8" l="1"/>
  <c r="I14" i="8"/>
  <c r="I14" i="4"/>
  <c r="H16" i="8" l="1"/>
  <c r="I15" i="8"/>
  <c r="I15" i="4"/>
  <c r="J15" i="4" s="1"/>
  <c r="J14" i="4"/>
  <c r="H17" i="8" l="1"/>
  <c r="I16" i="8"/>
  <c r="I16" i="4"/>
  <c r="J16" i="4" s="1"/>
  <c r="H18" i="8" l="1"/>
  <c r="I17" i="8"/>
  <c r="I17" i="4"/>
  <c r="J17" i="4" s="1"/>
  <c r="H19" i="8" l="1"/>
  <c r="H20" i="8" s="1"/>
  <c r="I20" i="8" s="1"/>
  <c r="I18" i="8"/>
  <c r="I18" i="4"/>
  <c r="I19" i="8" l="1"/>
  <c r="I22" i="8" s="1"/>
  <c r="I24" i="8" s="1"/>
  <c r="I26" i="8" s="1"/>
  <c r="I28" i="8" s="1"/>
  <c r="T27" i="8" s="1"/>
  <c r="I19" i="4"/>
  <c r="J18" i="4"/>
  <c r="T35" i="8" l="1"/>
  <c r="I20" i="4"/>
  <c r="J20" i="4" s="1"/>
  <c r="J19" i="4"/>
  <c r="T39" i="8" l="1"/>
  <c r="T43" i="8" s="1"/>
  <c r="T47" i="8"/>
  <c r="T51" i="8" s="1"/>
  <c r="J22" i="4"/>
  <c r="J24" i="4" s="1"/>
  <c r="J26" i="4" s="1"/>
  <c r="J28" i="4" s="1"/>
  <c r="I29" i="8" l="1"/>
  <c r="I30" i="8" s="1"/>
  <c r="I31" i="8" s="1"/>
  <c r="T55" i="8"/>
  <c r="T59" i="8" s="1"/>
  <c r="T63" i="8" s="1"/>
  <c r="D29" i="4"/>
  <c r="J29" i="4"/>
  <c r="J59" i="8" l="1"/>
  <c r="J50" i="8"/>
  <c r="J51" i="8"/>
  <c r="J54" i="8"/>
  <c r="J57" i="8"/>
  <c r="J49" i="8"/>
  <c r="J55" i="8"/>
  <c r="J56" i="8"/>
  <c r="J60" i="8"/>
  <c r="J53" i="8"/>
  <c r="J52" i="8"/>
  <c r="J58" i="8"/>
  <c r="J30" i="4"/>
  <c r="D30" i="4"/>
  <c r="J62" i="8" l="1"/>
  <c r="I49" i="8"/>
  <c r="H49" i="8" s="1"/>
  <c r="I50" i="8" s="1"/>
  <c r="H50" i="8" s="1"/>
  <c r="I51" i="8" s="1"/>
  <c r="H51" i="8" s="1"/>
  <c r="I52" i="8" s="1"/>
  <c r="H52" i="8" s="1"/>
  <c r="I53" i="8" s="1"/>
  <c r="H53" i="8" s="1"/>
  <c r="I54" i="8" s="1"/>
  <c r="H54" i="8" s="1"/>
  <c r="I55" i="8" s="1"/>
  <c r="H55" i="8" s="1"/>
  <c r="I56" i="8" s="1"/>
  <c r="H56" i="8" s="1"/>
  <c r="I57" i="8" s="1"/>
  <c r="H57" i="8" s="1"/>
  <c r="I58" i="8" s="1"/>
  <c r="H58" i="8" s="1"/>
  <c r="I59" i="8" s="1"/>
  <c r="H59" i="8" s="1"/>
  <c r="I60" i="8" s="1"/>
  <c r="H60" i="8" s="1"/>
  <c r="I32" i="8" s="1"/>
  <c r="D31" i="4"/>
  <c r="C78" i="4" s="1"/>
  <c r="C80" i="4"/>
  <c r="J31" i="4"/>
  <c r="K66" i="4" s="1"/>
  <c r="I80" i="4"/>
  <c r="E63" i="4" l="1"/>
  <c r="E66" i="4"/>
  <c r="K68" i="4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I60" i="4" s="1"/>
  <c r="K72" i="4"/>
  <c r="E72" i="4"/>
  <c r="D60" i="4"/>
  <c r="C60" i="4" s="1"/>
  <c r="D61" i="4" s="1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B7" i="8"/>
  <c r="B9" i="8" s="1"/>
  <c r="J32" i="4" l="1"/>
  <c r="I78" i="4"/>
  <c r="I79" i="4" s="1"/>
  <c r="I81" i="4" s="1"/>
  <c r="C25" i="8"/>
  <c r="A35" i="8" s="1"/>
  <c r="B10" i="8"/>
  <c r="C10" i="8" s="1"/>
  <c r="C9" i="8"/>
  <c r="B11" i="8" l="1"/>
  <c r="B12" i="8" l="1"/>
  <c r="C11" i="8"/>
  <c r="B13" i="8" l="1"/>
  <c r="C13" i="8" s="1"/>
  <c r="C12" i="8"/>
  <c r="B14" i="8" l="1"/>
  <c r="B15" i="8" l="1"/>
  <c r="C14" i="8"/>
  <c r="B16" i="8" l="1"/>
  <c r="C15" i="8"/>
  <c r="B17" i="8" l="1"/>
  <c r="C16" i="8"/>
  <c r="B18" i="8" l="1"/>
  <c r="C17" i="8"/>
  <c r="B19" i="8" l="1"/>
  <c r="C19" i="8" s="1"/>
  <c r="C18" i="8"/>
  <c r="B20" i="8" l="1"/>
  <c r="C20" i="8" s="1"/>
  <c r="C22" i="8" s="1"/>
  <c r="C24" i="8" s="1"/>
  <c r="C26" i="8" s="1"/>
  <c r="C28" i="8" s="1"/>
  <c r="T26" i="8" l="1"/>
  <c r="T34" i="8" s="1"/>
  <c r="T38" i="8" s="1"/>
  <c r="T42" i="8" l="1"/>
  <c r="T46" i="8" s="1"/>
  <c r="T50" i="8" s="1"/>
  <c r="T37" i="8"/>
  <c r="T54" i="8" l="1"/>
  <c r="T58" i="8" s="1"/>
  <c r="C29" i="8"/>
  <c r="C30" i="8" s="1"/>
  <c r="C31" i="8" s="1"/>
  <c r="D50" i="8" l="1"/>
  <c r="D49" i="8"/>
  <c r="D59" i="8"/>
  <c r="D57" i="8"/>
  <c r="D53" i="8"/>
  <c r="D52" i="8"/>
  <c r="D55" i="8"/>
  <c r="D51" i="8"/>
  <c r="D56" i="8"/>
  <c r="D54" i="8"/>
  <c r="D60" i="8"/>
  <c r="D58" i="8"/>
  <c r="T62" i="8"/>
  <c r="T57" i="8"/>
  <c r="C49" i="8" l="1"/>
  <c r="B49" i="8" s="1"/>
  <c r="C50" i="8" s="1"/>
  <c r="B50" i="8" s="1"/>
  <c r="C51" i="8" s="1"/>
  <c r="B51" i="8" s="1"/>
  <c r="C52" i="8" s="1"/>
  <c r="B52" i="8" s="1"/>
  <c r="C53" i="8" s="1"/>
  <c r="B53" i="8" s="1"/>
  <c r="D62" i="8"/>
  <c r="C54" i="8" l="1"/>
  <c r="B54" i="8" s="1"/>
  <c r="C55" i="8" l="1"/>
  <c r="B55" i="8" s="1"/>
  <c r="C56" i="8" l="1"/>
  <c r="B56" i="8" s="1"/>
  <c r="C57" i="8" l="1"/>
  <c r="B57" i="8" s="1"/>
  <c r="C58" i="8" l="1"/>
  <c r="B58" i="8" s="1"/>
  <c r="C59" i="8" l="1"/>
  <c r="B59" i="8" s="1"/>
  <c r="C60" i="8" l="1"/>
  <c r="B60" i="8" s="1"/>
  <c r="C32" i="8" s="1"/>
</calcChain>
</file>

<file path=xl/comments1.xml><?xml version="1.0" encoding="utf-8"?>
<comments xmlns="http://schemas.openxmlformats.org/spreadsheetml/2006/main">
  <authors>
    <author>Author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10/31/2019 balance remaining due to rounding error.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10/31/2017 balance remaining due to rounding error.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therms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2018 normalized billing determinants (agrees to UG-170486) at present billing rates effective 6/1/2019</t>
        </r>
      </text>
    </comment>
  </commentList>
</comments>
</file>

<file path=xl/sharedStrings.xml><?xml version="1.0" encoding="utf-8"?>
<sst xmlns="http://schemas.openxmlformats.org/spreadsheetml/2006/main" count="528" uniqueCount="224">
  <si>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</si>
  <si>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</si>
  <si>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</si>
  <si>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</si>
  <si>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</si>
  <si>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</si>
  <si>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</si>
  <si>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</si>
  <si>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</si>
  <si>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</si>
  <si>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</si>
  <si>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</si>
  <si>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</si>
  <si>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</si>
  <si>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</si>
  <si>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</si>
  <si>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</si>
  <si>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</si>
  <si>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</si>
  <si>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</si>
  <si>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</si>
  <si>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</si>
  <si>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</si>
  <si>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</si>
  <si>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</si>
  <si>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</si>
  <si>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</si>
  <si>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</si>
  <si>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</si>
  <si>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</si>
  <si>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</si>
  <si>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</si>
  <si>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</si>
  <si>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</si>
  <si>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</si>
  <si>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</si>
  <si>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</si>
  <si>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</si>
  <si>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</si>
  <si>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</si>
  <si>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</si>
  <si>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</si>
  <si>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</si>
  <si>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</si>
  <si>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</si>
  <si>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</si>
  <si>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</si>
  <si>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</si>
  <si>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</si>
  <si>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</si>
  <si>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</si>
  <si>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</si>
  <si>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</si>
  <si>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</si>
  <si>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</si>
  <si>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</si>
  <si>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</si>
  <si>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</si>
  <si>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</si>
  <si>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</si>
  <si>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</si>
  <si>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</si>
  <si>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</si>
  <si>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</si>
  <si>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</si>
  <si>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</si>
  <si>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</si>
  <si>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</si>
  <si>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</si>
  <si>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</si>
  <si>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</si>
  <si>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</si>
  <si>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</si>
  <si>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</si>
  <si>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</si>
  <si>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</si>
  <si>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</si>
  <si>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</si>
  <si>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</si>
  <si>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Estimated Carryover Balance (5)</t>
  </si>
  <si>
    <t>Notes</t>
  </si>
  <si>
    <t>(2)  Interest computed on average balance between beginning and end of month at the
      present FERC rate.  The FERC interest rate is updated quarterly.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</si>
  <si>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</si>
  <si>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</si>
  <si>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</si>
  <si>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</si>
  <si>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</si>
  <si>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3.25% / 3.46%</t>
  </si>
  <si>
    <t>Estimated Carryover Balance due to 3% test (5)</t>
  </si>
  <si>
    <t>Preliminary Proposed Decoupling Rate</t>
  </si>
  <si>
    <t>(3)  2015 Commission Basis conversion factor, see page ? of  Attachment ?.</t>
  </si>
  <si>
    <t>(4)  See pages ? and ? of Attachment ? for earnings test and 3% test adjustment calculations.</t>
  </si>
  <si>
    <t>(5)  See page ? of Attachment ? for estimated carryover balance calculations.</t>
  </si>
  <si>
    <t>Earnings Sharing Adjustment</t>
  </si>
  <si>
    <t>Adjusted December Balance</t>
  </si>
  <si>
    <t>3% Test Adjustment (1)</t>
  </si>
  <si>
    <t>(1)  The carryover balances will differ from the 3% adjustment amounts due to the revenue related expense
      gross up partially offset by additional interest on the outstanding balance during the amortization period.</t>
  </si>
  <si>
    <t xml:space="preserve">  Non-Residential</t>
  </si>
  <si>
    <t>Effective November 1, 2017 - October 31, 2018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</si>
  <si>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</si>
  <si>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</si>
  <si>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</si>
  <si>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</si>
  <si>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</si>
  <si>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</si>
  <si>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</si>
  <si>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</si>
  <si>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Revenue From 2016 Normalized Loads and Customers at Present (2017 summer) Billing Rates</t>
  </si>
  <si>
    <t>RES</t>
  </si>
  <si>
    <t>Non-RES</t>
  </si>
  <si>
    <t>Washington Natural Gas</t>
  </si>
  <si>
    <t>3.25% Q1 2016 3.46% Q2 2016  3.50% Q3 2016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</si>
  <si>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</si>
  <si>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</si>
  <si>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</si>
  <si>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</si>
  <si>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</si>
  <si>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</si>
  <si>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</si>
  <si>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</si>
  <si>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</si>
  <si>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</si>
  <si>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</si>
  <si>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</si>
  <si>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</si>
  <si>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</si>
  <si>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</si>
  <si>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</si>
  <si>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</si>
  <si>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</si>
  <si>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</si>
  <si>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</si>
  <si>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</si>
  <si>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</si>
  <si>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</si>
  <si>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 xml:space="preserve"> Forecast Usage</t>
  </si>
  <si>
    <t>November 2017 - October 2018 Usage</t>
  </si>
  <si>
    <t>See page 4 of Attachment A for estimated carryover balance calculations.</t>
  </si>
  <si>
    <t>Gross Revenue Adjustment</t>
  </si>
  <si>
    <t>Net of Revenue Related Expenses</t>
  </si>
  <si>
    <t>Residential</t>
  </si>
  <si>
    <t>Non-Residential</t>
  </si>
  <si>
    <t>See pages 6 and 7 of Attachment A for earnings test and 3% test adjustment calculations.</t>
  </si>
  <si>
    <t>Decoupling Mechanism Prior Surcharge or Rebate Amortization</t>
  </si>
  <si>
    <t>Regulatory Asset Beginning Balance</t>
  </si>
  <si>
    <t>Regulatory Asset Ending Balance</t>
  </si>
  <si>
    <t>Interest Rate</t>
  </si>
  <si>
    <t>Aug - Oct Forecast Usage</t>
  </si>
  <si>
    <t>Residential Natural Gas Surcharge</t>
  </si>
  <si>
    <t>Non-Residential Natural Gas Surcharge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</si>
  <si>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</si>
  <si>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</si>
  <si>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</si>
  <si>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</si>
  <si>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</si>
  <si>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</si>
  <si>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</si>
  <si>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</si>
  <si>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</si>
  <si>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</si>
  <si>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</si>
  <si>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</si>
  <si>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</si>
  <si>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</si>
  <si>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</si>
  <si>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</si>
  <si>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</si>
  <si>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</si>
  <si>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</si>
  <si>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</si>
  <si>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</si>
  <si>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</si>
  <si>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</si>
  <si>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</si>
  <si>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</si>
  <si>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</si>
  <si>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General Service</t>
  </si>
  <si>
    <t>101/102</t>
  </si>
  <si>
    <t>Large General Service</t>
  </si>
  <si>
    <t>N/A</t>
  </si>
  <si>
    <t>High Annual Load Factor Large General Service</t>
  </si>
  <si>
    <t>Interruptible Service</t>
  </si>
  <si>
    <t>Transportation Service</t>
  </si>
  <si>
    <t>Special Contract Transportation Service</t>
  </si>
  <si>
    <t>Non-Residential Group Subtotal</t>
  </si>
  <si>
    <t xml:space="preserve">Average Residential Bill </t>
  </si>
  <si>
    <t>Basic Charge</t>
  </si>
  <si>
    <t>First 70 therms</t>
  </si>
  <si>
    <t>Next 70 therms</t>
  </si>
  <si>
    <t>Proposed rate change</t>
  </si>
  <si>
    <t>Residential Bill at Proposed rates</t>
  </si>
  <si>
    <t>WA112</t>
  </si>
  <si>
    <t>Effective November 1, 2018 - October 31, 2019</t>
  </si>
  <si>
    <t>November 2018 - October 2019 Usage</t>
  </si>
  <si>
    <t>Incr/(Decr)</t>
  </si>
  <si>
    <t>Add Prior Year Residual Balance</t>
  </si>
  <si>
    <t>Prior Year Residual Balance</t>
  </si>
  <si>
    <t>2017 Total Earnings Test Sharing</t>
  </si>
  <si>
    <t>Effective November 1, 2019 - October 31, 2020</t>
  </si>
  <si>
    <t>2018 Commission Basis conversion factor, see page 8 of  Attachment A.</t>
  </si>
  <si>
    <t>Calculate Estimated Monthly Balances through October 2020</t>
  </si>
  <si>
    <t>2018 Deferred Revenue</t>
  </si>
  <si>
    <t>Add Interest through 10/31/2020</t>
  </si>
  <si>
    <t>Docket No. UG-180701</t>
  </si>
  <si>
    <t>2018 Commission Basis Earnings Test for Decoupling</t>
  </si>
  <si>
    <t>Revenue From 2018 Normalized Loads and Customers at Present Billing Rates</t>
  </si>
  <si>
    <t>Pro-rated</t>
  </si>
  <si>
    <t>TWELVE MONTHS ENDED December 31, 2018</t>
  </si>
  <si>
    <t>2018 Commission Basis Conversion Factor</t>
  </si>
  <si>
    <t xml:space="preserve">  Federal Income Tax @ 21%</t>
  </si>
  <si>
    <t>Revenue From 2018 Normalized Loads and Customers at Present Billing Rates (Note 1)</t>
  </si>
  <si>
    <t>(1)  Revenue from 2018 normalized loads and customers at present billing rates effective since June 1, 2019.</t>
  </si>
  <si>
    <t>(3)  The carryover balances will differ from the 3% adjustment amounts due to the revenue related expense gross up partially offset by additional interest on the outstanding balance during the amortization period.</t>
  </si>
  <si>
    <t>3% Test Adjustment (3)</t>
  </si>
  <si>
    <t>Present Decoupling Surcharge Recovery Rates (2)</t>
  </si>
  <si>
    <t>2019 Decoupling Schedule 175 Filing</t>
  </si>
  <si>
    <t>Residential Bill at 6/1/2019 rates</t>
  </si>
  <si>
    <t xml:space="preserve"> @66 therms</t>
  </si>
  <si>
    <t>GSFM June MidMonth_(6 12 19 pricing).xlsm</t>
  </si>
  <si>
    <t>Proposed Percent Increase</t>
  </si>
  <si>
    <t>(2)  As stated on tariff Sheet 175E, the reversal of a rebate rate is not included in the 3% incremental surcharge test.  Therefore the Residential Group rebate of -$0.02720 is $0.00000 in this incremental rate calculation.</t>
  </si>
  <si>
    <t>2018 Washington Natural Gas Deferrals</t>
  </si>
  <si>
    <t>111/112/116</t>
  </si>
  <si>
    <t>121/122/126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</si>
</sst>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6" fontId="5" fillId="0" borderId="0" xfId="0" applyNumberFormat="1" applyFont="1"/>
    <xf numFmtId="166" fontId="2" fillId="0" borderId="0" xfId="0" applyNumberFormat="1" applyFont="1"/>
    <xf numFmtId="166" fontId="4" fillId="0" borderId="0" xfId="0" applyNumberFormat="1" applyFont="1"/>
    <xf numFmtId="166" fontId="5" fillId="0" borderId="2" xfId="0" applyNumberFormat="1" applyFont="1" applyBorder="1"/>
    <xf numFmtId="166" fontId="5" fillId="0" borderId="0" xfId="0" applyNumberFormat="1" applyFont="1" applyBorder="1"/>
    <xf numFmtId="10" fontId="6" fillId="0" borderId="0" xfId="0" applyNumberFormat="1" applyFont="1"/>
    <xf numFmtId="166" fontId="5" fillId="0" borderId="1" xfId="0" applyNumberFormat="1" applyFont="1" applyBorder="1"/>
    <xf numFmtId="0" fontId="1" fillId="0" borderId="0" xfId="3"/>
    <xf numFmtId="167" fontId="5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5" fillId="3" borderId="3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4" fillId="0" borderId="0" xfId="4" applyNumberFormat="1" applyFont="1"/>
    <xf numFmtId="166" fontId="9" fillId="0" borderId="0" xfId="0" applyNumberFormat="1" applyFont="1"/>
    <xf numFmtId="166" fontId="4" fillId="0" borderId="2" xfId="0" applyNumberFormat="1" applyFont="1" applyBorder="1"/>
    <xf numFmtId="166" fontId="4" fillId="0" borderId="5" xfId="0" applyNumberFormat="1" applyFont="1" applyBorder="1"/>
    <xf numFmtId="0" fontId="0" fillId="0" borderId="0" xfId="0" applyBorder="1" applyAlignment="1">
      <alignment horizontal="center" wrapText="1"/>
    </xf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1" fillId="0" borderId="0" xfId="2" applyNumberFormat="1" applyFont="1" applyBorder="1"/>
    <xf numFmtId="9" fontId="0" fillId="0" borderId="0" xfId="0" applyNumberFormat="1"/>
    <xf numFmtId="169" fontId="10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0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0" fillId="0" borderId="0" xfId="2" applyNumberFormat="1" applyFont="1"/>
    <xf numFmtId="169" fontId="10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0" fillId="0" borderId="0" xfId="0" applyNumberFormat="1" applyFont="1" applyBorder="1"/>
    <xf numFmtId="5" fontId="10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2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171" fontId="0" fillId="0" borderId="0" xfId="0" applyNumberFormat="1"/>
    <xf numFmtId="0" fontId="13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5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/>
    <xf numFmtId="5" fontId="0" fillId="0" borderId="0" xfId="0" applyNumberFormat="1" applyBorder="1"/>
    <xf numFmtId="0" fontId="0" fillId="0" borderId="0" xfId="0" applyAlignment="1">
      <alignment horizontal="center"/>
    </xf>
    <xf numFmtId="10" fontId="0" fillId="0" borderId="0" xfId="0" applyNumberFormat="1"/>
    <xf numFmtId="169" fontId="0" fillId="0" borderId="0" xfId="0" applyNumberFormat="1"/>
    <xf numFmtId="5" fontId="0" fillId="0" borderId="0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7" fontId="0" fillId="0" borderId="0" xfId="0" applyNumberFormat="1" applyBorder="1"/>
    <xf numFmtId="44" fontId="0" fillId="0" borderId="0" xfId="0" applyNumberFormat="1"/>
    <xf numFmtId="10" fontId="15" fillId="0" borderId="0" xfId="0" applyNumberFormat="1" applyFont="1"/>
    <xf numFmtId="44" fontId="0" fillId="0" borderId="0" xfId="5" applyNumberFormat="1" applyFont="1" applyFill="1"/>
    <xf numFmtId="44" fontId="10" fillId="0" borderId="0" xfId="0" applyNumberFormat="1" applyFont="1"/>
    <xf numFmtId="17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37" fontId="0" fillId="0" borderId="0" xfId="0" applyNumberFormat="1"/>
    <xf numFmtId="172" fontId="0" fillId="0" borderId="0" xfId="5" applyNumberFormat="1" applyFont="1"/>
    <xf numFmtId="172" fontId="13" fillId="0" borderId="0" xfId="5" applyNumberFormat="1" applyFont="1"/>
    <xf numFmtId="172" fontId="0" fillId="0" borderId="0" xfId="0" applyNumberFormat="1"/>
    <xf numFmtId="0" fontId="8" fillId="0" borderId="0" xfId="0" quotePrefix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quotePrefix="1" applyFont="1" applyAlignment="1">
      <alignment horizontal="center" vertical="center"/>
    </xf>
    <xf numFmtId="37" fontId="0" fillId="0" borderId="0" xfId="0" applyNumberFormat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2" fontId="13" fillId="0" borderId="0" xfId="5" applyNumberFormat="1" applyFont="1" applyAlignment="1">
      <alignment vertical="center"/>
    </xf>
    <xf numFmtId="17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8" fillId="0" borderId="0" xfId="0" applyFont="1" applyAlignment="1">
      <alignment horizontal="left" indent="3"/>
    </xf>
    <xf numFmtId="169" fontId="0" fillId="0" borderId="0" xfId="0" applyNumberFormat="1" applyFill="1"/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10" fontId="0" fillId="0" borderId="0" xfId="0" applyNumberFormat="1" applyBorder="1"/>
    <xf numFmtId="0" fontId="0" fillId="0" borderId="0" xfId="0" applyFill="1" applyBorder="1" applyAlignment="1">
      <alignment horizontal="center" wrapText="1"/>
    </xf>
    <xf numFmtId="10" fontId="19" fillId="0" borderId="0" xfId="0" applyNumberFormat="1" applyFont="1"/>
    <xf numFmtId="7" fontId="0" fillId="0" borderId="0" xfId="5" applyNumberFormat="1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37" fontId="10" fillId="0" borderId="0" xfId="0" applyNumberFormat="1" applyFont="1"/>
    <xf numFmtId="169" fontId="10" fillId="0" borderId="0" xfId="5" applyNumberFormat="1" applyFont="1"/>
    <xf numFmtId="169" fontId="10" fillId="0" borderId="0" xfId="0" applyNumberFormat="1" applyFont="1"/>
    <xf numFmtId="172" fontId="10" fillId="0" borderId="0" xfId="0" applyNumberFormat="1" applyFont="1"/>
    <xf numFmtId="0" fontId="10" fillId="0" borderId="0" xfId="0" applyFont="1" applyAlignment="1">
      <alignment horizontal="center"/>
    </xf>
    <xf numFmtId="44" fontId="0" fillId="2" borderId="0" xfId="5" applyNumberFormat="1" applyFont="1" applyFill="1"/>
    <xf numFmtId="43" fontId="0" fillId="0" borderId="0" xfId="1" applyFont="1"/>
    <xf numFmtId="44" fontId="15" fillId="0" borderId="0" xfId="5" applyNumberFormat="1" applyFont="1" applyFill="1"/>
    <xf numFmtId="5" fontId="15" fillId="0" borderId="0" xfId="0" applyNumberFormat="1" applyFont="1" applyBorder="1"/>
    <xf numFmtId="172" fontId="8" fillId="0" borderId="0" xfId="5" applyNumberFormat="1" applyFont="1"/>
    <xf numFmtId="172" fontId="8" fillId="0" borderId="0" xfId="5" applyNumberFormat="1" applyFont="1" applyAlignment="1">
      <alignment vertical="center"/>
    </xf>
    <xf numFmtId="10" fontId="15" fillId="0" borderId="0" xfId="0" applyNumberFormat="1" applyFont="1" applyBorder="1"/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/>
    </xf>
    <xf numFmtId="37" fontId="0" fillId="0" borderId="0" xfId="0" applyNumberFormat="1" applyFill="1" applyAlignment="1">
      <alignment vertical="center"/>
    </xf>
    <xf numFmtId="172" fontId="8" fillId="0" borderId="0" xfId="5" applyNumberFormat="1" applyFont="1" applyFill="1" applyAlignment="1">
      <alignment vertical="center"/>
    </xf>
    <xf numFmtId="169" fontId="0" fillId="0" borderId="0" xfId="5" applyNumberFormat="1" applyFont="1" applyFill="1" applyAlignment="1">
      <alignment vertical="center"/>
    </xf>
    <xf numFmtId="169" fontId="0" fillId="0" borderId="0" xfId="0" applyNumberFormat="1" applyFill="1" applyAlignment="1">
      <alignment vertical="center"/>
    </xf>
    <xf numFmtId="172" fontId="13" fillId="0" borderId="0" xfId="5" applyNumberFormat="1" applyFont="1" applyFill="1" applyAlignment="1">
      <alignment vertical="center"/>
    </xf>
    <xf numFmtId="172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0" fontId="0" fillId="0" borderId="0" xfId="2" applyNumberFormat="1" applyFont="1" applyFill="1" applyAlignment="1">
      <alignment vertical="center"/>
    </xf>
    <xf numFmtId="169" fontId="0" fillId="0" borderId="0" xfId="0" applyNumberForma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Border="1" applyAlignment="1">
      <alignment horizontal="left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justify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justify" wrapText="1"/>
    </xf>
    <xf numFmtId="0" fontId="0" fillId="0" borderId="0" xfId="0" quotePrefix="1" applyFill="1" applyAlignment="1">
      <alignment horizontal="justify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0" fillId="0" borderId="0" xfId="0" quotePrefix="1" applyAlignment="1">
      <alignment horizontal="left" wrapText="1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70"/>
  <sheetViews>
    <sheetView workbookViewId="0">
      <selection activeCell="F9" sqref="F9:F20"/>
    </sheetView>
  </sheetViews>
  <sheetFormatPr defaultRowHeight="15" outlineLevelCol="1" x14ac:dyDescent="0.25"/>
  <cols>
    <col min="2" max="2" width="3.7109375" customWidth="1"/>
    <col min="3" max="3" width="13.7109375" customWidth="1" outlineLevel="1"/>
    <col min="4" max="4" width="12.5703125" customWidth="1" outlineLevel="1"/>
    <col min="5" max="5" width="12.5703125" style="105" customWidth="1" outlineLevel="1"/>
    <col min="6" max="7" width="11.140625" customWidth="1" outlineLevel="1"/>
    <col min="8" max="9" width="12.5703125" customWidth="1" outlineLevel="1"/>
    <col min="10" max="10" width="2.140625" customWidth="1"/>
    <col min="12" max="12" width="2.140625" customWidth="1"/>
    <col min="13" max="13" width="12.7109375" customWidth="1"/>
    <col min="14" max="14" width="11.42578125" customWidth="1"/>
  </cols>
  <sheetData>
    <row r="1" spans="1:16" x14ac:dyDescent="0.25">
      <c r="A1" s="188"/>
      <c r="B1" s="82" t="s">
        <v>218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25">
      <c r="A2" s="188"/>
      <c r="B2" t="s">
        <v>105</v>
      </c>
    </row>
    <row r="3" spans="1:16" x14ac:dyDescent="0.25">
      <c r="A3" s="80"/>
      <c r="B3" s="80"/>
      <c r="C3" s="80" t="s">
        <v>106</v>
      </c>
      <c r="K3" s="189"/>
      <c r="L3" s="87"/>
      <c r="M3" s="190" t="s">
        <v>110</v>
      </c>
      <c r="N3" s="191"/>
    </row>
    <row r="4" spans="1:16" x14ac:dyDescent="0.25">
      <c r="C4" s="85" t="s">
        <v>99</v>
      </c>
      <c r="D4" s="85" t="s">
        <v>100</v>
      </c>
      <c r="E4" s="128" t="s">
        <v>191</v>
      </c>
      <c r="F4" s="85" t="s">
        <v>101</v>
      </c>
      <c r="G4" s="85" t="s">
        <v>102</v>
      </c>
      <c r="H4" s="85" t="s">
        <v>103</v>
      </c>
      <c r="I4" s="85" t="s">
        <v>104</v>
      </c>
      <c r="K4" s="189"/>
      <c r="L4" s="87"/>
      <c r="M4" s="83" t="s">
        <v>108</v>
      </c>
      <c r="N4" s="84" t="s">
        <v>109</v>
      </c>
    </row>
    <row r="5" spans="1:16" x14ac:dyDescent="0.25">
      <c r="A5" s="79">
        <v>43647</v>
      </c>
      <c r="C5" s="56">
        <v>2330636.2682767026</v>
      </c>
      <c r="D5" s="56">
        <v>1739391.3399515029</v>
      </c>
      <c r="E5" s="56">
        <v>4648.8126022263405</v>
      </c>
      <c r="F5" s="56">
        <v>82228.840578611154</v>
      </c>
      <c r="G5" s="56">
        <v>37558.494779057699</v>
      </c>
      <c r="H5" s="56">
        <v>2276376</v>
      </c>
      <c r="I5" s="56">
        <v>3721257</v>
      </c>
      <c r="K5" s="88"/>
      <c r="L5" s="56"/>
      <c r="M5" s="61">
        <f t="shared" ref="M5:M22" si="0">C5</f>
        <v>2330636.2682767026</v>
      </c>
      <c r="N5" s="61">
        <f>D5+E5+F5-K5</f>
        <v>1826268.9931323405</v>
      </c>
    </row>
    <row r="6" spans="1:16" x14ac:dyDescent="0.25">
      <c r="A6" s="79">
        <f>A5+31</f>
        <v>43678</v>
      </c>
      <c r="C6" s="56">
        <v>2090304.9976579968</v>
      </c>
      <c r="D6" s="56">
        <v>1944555.1149974493</v>
      </c>
      <c r="E6" s="56">
        <v>5284.9346595078568</v>
      </c>
      <c r="F6" s="56">
        <v>117312.34976936884</v>
      </c>
      <c r="G6" s="56">
        <v>28390.905727891233</v>
      </c>
      <c r="H6" s="56">
        <v>2109977</v>
      </c>
      <c r="I6" s="56">
        <v>3538520</v>
      </c>
      <c r="K6" s="88"/>
      <c r="L6" s="56"/>
      <c r="M6" s="61">
        <f t="shared" si="0"/>
        <v>2090304.9976579968</v>
      </c>
      <c r="N6" s="61">
        <f t="shared" ref="N6:N22" si="1">D6+E6+F6-K6</f>
        <v>2067152.3994263259</v>
      </c>
    </row>
    <row r="7" spans="1:16" x14ac:dyDescent="0.25">
      <c r="A7" s="79">
        <f t="shared" ref="A7:A22" si="2">A6+31</f>
        <v>43709</v>
      </c>
      <c r="C7" s="56">
        <v>2723234.9856473482</v>
      </c>
      <c r="D7" s="56">
        <v>2152896.4472525869</v>
      </c>
      <c r="E7" s="56">
        <v>7140.7984702315362</v>
      </c>
      <c r="F7" s="56">
        <v>129011.86678991136</v>
      </c>
      <c r="G7" s="56">
        <v>33202.814859812548</v>
      </c>
      <c r="H7" s="56">
        <v>2144158</v>
      </c>
      <c r="I7" s="56">
        <v>3620288</v>
      </c>
      <c r="K7" s="88"/>
      <c r="L7" s="56"/>
      <c r="M7" s="61">
        <f t="shared" si="0"/>
        <v>2723234.9856473482</v>
      </c>
      <c r="N7" s="61">
        <f t="shared" si="1"/>
        <v>2289049.1125127301</v>
      </c>
    </row>
    <row r="8" spans="1:16" x14ac:dyDescent="0.25">
      <c r="A8" s="79">
        <f t="shared" si="2"/>
        <v>43740</v>
      </c>
      <c r="C8" s="56">
        <v>8094044.4497186495</v>
      </c>
      <c r="D8" s="56">
        <v>4476291.5251051225</v>
      </c>
      <c r="E8" s="56">
        <v>16071.192710746011</v>
      </c>
      <c r="F8" s="56">
        <v>263072.60116087174</v>
      </c>
      <c r="G8" s="56">
        <v>82372.336843399928</v>
      </c>
      <c r="H8" s="56">
        <v>2314035</v>
      </c>
      <c r="I8" s="56">
        <v>3699256</v>
      </c>
      <c r="K8" s="88"/>
      <c r="L8" s="56"/>
      <c r="M8" s="61">
        <f t="shared" si="0"/>
        <v>8094044.4497186495</v>
      </c>
      <c r="N8" s="61">
        <f t="shared" si="1"/>
        <v>4755435.3189767404</v>
      </c>
    </row>
    <row r="9" spans="1:16" x14ac:dyDescent="0.25">
      <c r="A9" s="79">
        <f t="shared" si="2"/>
        <v>43771</v>
      </c>
      <c r="C9" s="56">
        <v>15898823.640692307</v>
      </c>
      <c r="D9" s="56">
        <v>6707238.4924614206</v>
      </c>
      <c r="E9" s="56">
        <v>24099.579434462128</v>
      </c>
      <c r="F9" s="56">
        <v>317044.18382347241</v>
      </c>
      <c r="G9" s="56">
        <v>122891.31766262029</v>
      </c>
      <c r="H9" s="56">
        <v>2978091</v>
      </c>
      <c r="I9" s="56">
        <v>4190187</v>
      </c>
      <c r="K9" s="88"/>
      <c r="L9" s="56"/>
      <c r="M9" s="61">
        <f t="shared" si="0"/>
        <v>15898823.640692307</v>
      </c>
      <c r="N9" s="61">
        <f t="shared" si="1"/>
        <v>7048382.2557193553</v>
      </c>
    </row>
    <row r="10" spans="1:16" x14ac:dyDescent="0.25">
      <c r="A10" s="79">
        <f t="shared" si="2"/>
        <v>43802</v>
      </c>
      <c r="C10" s="56">
        <v>24071267.14316823</v>
      </c>
      <c r="D10" s="56">
        <v>9016780.6171738505</v>
      </c>
      <c r="E10" s="56">
        <v>21545.27609380483</v>
      </c>
      <c r="F10" s="56">
        <v>262517.86881452362</v>
      </c>
      <c r="G10" s="56">
        <v>140461.23326108287</v>
      </c>
      <c r="H10" s="56">
        <v>3301695</v>
      </c>
      <c r="I10" s="56">
        <v>4595234</v>
      </c>
      <c r="K10" s="88"/>
      <c r="L10" s="56"/>
      <c r="M10" s="61">
        <f t="shared" si="0"/>
        <v>24071267.14316823</v>
      </c>
      <c r="N10" s="61">
        <f t="shared" si="1"/>
        <v>9300843.76208218</v>
      </c>
    </row>
    <row r="11" spans="1:16" x14ac:dyDescent="0.25">
      <c r="A11" s="79">
        <f t="shared" si="2"/>
        <v>43833</v>
      </c>
      <c r="C11" s="56">
        <v>24078966.143247005</v>
      </c>
      <c r="D11" s="56">
        <v>8686901.0663989354</v>
      </c>
      <c r="E11" s="56">
        <v>19691.004472464629</v>
      </c>
      <c r="F11" s="56">
        <v>249027.81914635876</v>
      </c>
      <c r="G11" s="56">
        <v>139894.2702245925</v>
      </c>
      <c r="H11" s="56">
        <v>3788957</v>
      </c>
      <c r="I11" s="56">
        <v>4997216</v>
      </c>
      <c r="K11" s="88"/>
      <c r="L11" s="56"/>
      <c r="M11" s="61">
        <f t="shared" si="0"/>
        <v>24078966.143247005</v>
      </c>
      <c r="N11" s="61">
        <f t="shared" si="1"/>
        <v>8955619.8900177591</v>
      </c>
    </row>
    <row r="12" spans="1:16" x14ac:dyDescent="0.25">
      <c r="A12" s="79">
        <f t="shared" si="2"/>
        <v>43864</v>
      </c>
      <c r="C12" s="56">
        <v>20108022.469447553</v>
      </c>
      <c r="D12" s="56">
        <v>7327994.7045140322</v>
      </c>
      <c r="E12" s="56">
        <v>15422.635702773372</v>
      </c>
      <c r="F12" s="56">
        <v>201869.43839917585</v>
      </c>
      <c r="G12" s="56">
        <v>125167.71586151597</v>
      </c>
      <c r="H12" s="56">
        <v>4067520</v>
      </c>
      <c r="I12" s="56">
        <v>5037640</v>
      </c>
      <c r="K12" s="88"/>
      <c r="L12" s="56"/>
      <c r="M12" s="61">
        <f t="shared" si="0"/>
        <v>20108022.469447553</v>
      </c>
      <c r="N12" s="61">
        <f t="shared" si="1"/>
        <v>7545286.7786159813</v>
      </c>
    </row>
    <row r="13" spans="1:16" x14ac:dyDescent="0.25">
      <c r="A13" s="79">
        <f t="shared" si="2"/>
        <v>43895</v>
      </c>
      <c r="C13" s="56">
        <v>15854753.39936316</v>
      </c>
      <c r="D13" s="56">
        <v>6013620.4838854698</v>
      </c>
      <c r="E13" s="56">
        <v>12186.255427761991</v>
      </c>
      <c r="F13" s="56">
        <v>161809.30904347377</v>
      </c>
      <c r="G13" s="56">
        <v>100412.02660087158</v>
      </c>
      <c r="H13" s="56">
        <v>3512570</v>
      </c>
      <c r="I13" s="56">
        <v>4557557</v>
      </c>
      <c r="K13" s="88"/>
      <c r="L13" s="56"/>
      <c r="M13" s="61">
        <f t="shared" si="0"/>
        <v>15854753.39936316</v>
      </c>
      <c r="N13" s="61">
        <f t="shared" si="1"/>
        <v>6187616.0483567053</v>
      </c>
    </row>
    <row r="14" spans="1:16" x14ac:dyDescent="0.25">
      <c r="A14" s="79">
        <f t="shared" si="2"/>
        <v>43926</v>
      </c>
      <c r="C14" s="56">
        <v>9622122.8085528277</v>
      </c>
      <c r="D14" s="56">
        <v>3930714.6164969611</v>
      </c>
      <c r="E14" s="56">
        <v>8718.8940064313792</v>
      </c>
      <c r="F14" s="56">
        <v>115146.60759253167</v>
      </c>
      <c r="G14" s="56">
        <v>70075.241038783541</v>
      </c>
      <c r="H14" s="56">
        <v>3448926</v>
      </c>
      <c r="I14" s="56">
        <v>4519829</v>
      </c>
      <c r="K14" s="88"/>
      <c r="L14" s="56"/>
      <c r="M14" s="61">
        <f t="shared" si="0"/>
        <v>9622122.8085528277</v>
      </c>
      <c r="N14" s="61">
        <f t="shared" si="1"/>
        <v>4054580.1180959241</v>
      </c>
    </row>
    <row r="15" spans="1:16" x14ac:dyDescent="0.25">
      <c r="A15" s="79">
        <f t="shared" si="2"/>
        <v>43957</v>
      </c>
      <c r="C15" s="56">
        <v>4702782.7728201356</v>
      </c>
      <c r="D15" s="56">
        <v>2238076.5876566232</v>
      </c>
      <c r="E15" s="56">
        <v>4878.5866385971758</v>
      </c>
      <c r="F15" s="56">
        <v>66396.855196701043</v>
      </c>
      <c r="G15" s="56">
        <v>44856.284352865383</v>
      </c>
      <c r="H15" s="56">
        <v>2931707</v>
      </c>
      <c r="I15" s="56">
        <v>4159606</v>
      </c>
      <c r="K15" s="88"/>
      <c r="L15" s="56"/>
      <c r="M15" s="61">
        <f t="shared" si="0"/>
        <v>4702782.7728201356</v>
      </c>
      <c r="N15" s="61">
        <f t="shared" si="1"/>
        <v>2309352.0294919214</v>
      </c>
    </row>
    <row r="16" spans="1:16" x14ac:dyDescent="0.25">
      <c r="A16" s="79">
        <f t="shared" si="2"/>
        <v>43988</v>
      </c>
      <c r="C16" s="56">
        <v>2829236.7073660442</v>
      </c>
      <c r="D16" s="56">
        <v>1696248.0861772974</v>
      </c>
      <c r="E16" s="56">
        <v>4456.633729958925</v>
      </c>
      <c r="F16" s="56">
        <v>79209.567877520865</v>
      </c>
      <c r="G16" s="56">
        <v>34992.729977475676</v>
      </c>
      <c r="H16" s="56">
        <v>2584204</v>
      </c>
      <c r="I16" s="56">
        <v>3860707</v>
      </c>
      <c r="K16" s="88"/>
      <c r="L16" s="56"/>
      <c r="M16" s="61">
        <f t="shared" si="0"/>
        <v>2829236.7073660442</v>
      </c>
      <c r="N16" s="61">
        <f t="shared" si="1"/>
        <v>1779914.2877847771</v>
      </c>
    </row>
    <row r="17" spans="1:14" x14ac:dyDescent="0.25">
      <c r="A17" s="79">
        <f t="shared" si="2"/>
        <v>44019</v>
      </c>
      <c r="C17" s="56">
        <v>2322120.1278278558</v>
      </c>
      <c r="D17" s="56">
        <v>1797674.0022902135</v>
      </c>
      <c r="E17" s="56">
        <v>4605.418933379593</v>
      </c>
      <c r="F17" s="56">
        <v>81461.287359535068</v>
      </c>
      <c r="G17" s="56">
        <v>37014.1834504164</v>
      </c>
      <c r="H17" s="56">
        <v>2329640</v>
      </c>
      <c r="I17" s="56">
        <v>3734131</v>
      </c>
      <c r="K17" s="88"/>
      <c r="L17" s="56"/>
      <c r="M17" s="61">
        <f t="shared" si="0"/>
        <v>2322120.1278278558</v>
      </c>
      <c r="N17" s="61">
        <f t="shared" si="1"/>
        <v>1883740.7085831282</v>
      </c>
    </row>
    <row r="18" spans="1:14" x14ac:dyDescent="0.25">
      <c r="A18" s="79">
        <f t="shared" si="2"/>
        <v>44050</v>
      </c>
      <c r="C18" s="56">
        <v>2180463.741055781</v>
      </c>
      <c r="D18" s="56">
        <v>1910503.3310460949</v>
      </c>
      <c r="E18" s="56">
        <v>4998.6609362692852</v>
      </c>
      <c r="F18" s="56">
        <v>110957.78811174749</v>
      </c>
      <c r="G18" s="56">
        <v>27246.952312090816</v>
      </c>
      <c r="H18" s="56">
        <v>2181527</v>
      </c>
      <c r="I18" s="56">
        <v>3560261</v>
      </c>
      <c r="K18" s="88"/>
      <c r="L18" s="56"/>
      <c r="M18" s="61">
        <f t="shared" si="0"/>
        <v>2180463.741055781</v>
      </c>
      <c r="N18" s="61">
        <f t="shared" si="1"/>
        <v>2026459.7800941116</v>
      </c>
    </row>
    <row r="19" spans="1:14" x14ac:dyDescent="0.25">
      <c r="A19" s="79">
        <f t="shared" si="2"/>
        <v>44081</v>
      </c>
      <c r="C19" s="56">
        <v>2755685.0386470361</v>
      </c>
      <c r="D19" s="56">
        <v>2174581.7380349264</v>
      </c>
      <c r="E19" s="56">
        <v>7284.0488830778613</v>
      </c>
      <c r="F19" s="56">
        <v>131599.95315823186</v>
      </c>
      <c r="G19" s="56">
        <v>32016.686215844009</v>
      </c>
      <c r="H19" s="56">
        <v>2228375</v>
      </c>
      <c r="I19" s="56">
        <v>3676753</v>
      </c>
      <c r="K19" s="88"/>
      <c r="L19" s="56"/>
      <c r="M19" s="61">
        <f t="shared" si="0"/>
        <v>2755685.0386470361</v>
      </c>
      <c r="N19" s="61">
        <f t="shared" si="1"/>
        <v>2313465.740076236</v>
      </c>
    </row>
    <row r="20" spans="1:14" x14ac:dyDescent="0.25">
      <c r="A20" s="79">
        <f t="shared" si="2"/>
        <v>44112</v>
      </c>
      <c r="C20" s="56">
        <v>8006271.7590203285</v>
      </c>
      <c r="D20" s="56">
        <v>4705173.9247905202</v>
      </c>
      <c r="E20" s="56">
        <v>16356.240563347985</v>
      </c>
      <c r="F20" s="56">
        <v>267738.60706279718</v>
      </c>
      <c r="G20" s="56">
        <v>77595.790287301148</v>
      </c>
      <c r="H20" s="56">
        <v>2380594</v>
      </c>
      <c r="I20" s="56">
        <v>3751798</v>
      </c>
      <c r="K20" s="88"/>
      <c r="L20" s="56"/>
      <c r="M20" s="61">
        <f t="shared" si="0"/>
        <v>8006271.7590203285</v>
      </c>
      <c r="N20" s="61">
        <f t="shared" si="1"/>
        <v>4989268.7724166652</v>
      </c>
    </row>
    <row r="21" spans="1:14" x14ac:dyDescent="0.25">
      <c r="A21" s="79">
        <f t="shared" si="2"/>
        <v>44143</v>
      </c>
      <c r="C21" s="56">
        <v>15843409.828133311</v>
      </c>
      <c r="D21" s="56">
        <v>7020376.8828202337</v>
      </c>
      <c r="E21" s="56">
        <v>23920.795222126857</v>
      </c>
      <c r="F21" s="56">
        <v>314692.17204523768</v>
      </c>
      <c r="G21" s="56">
        <v>115792.7651937714</v>
      </c>
      <c r="H21" s="56">
        <v>3022091</v>
      </c>
      <c r="I21" s="56">
        <v>4263005</v>
      </c>
      <c r="K21" s="88"/>
      <c r="L21" s="56"/>
      <c r="M21" s="61">
        <f t="shared" si="0"/>
        <v>15843409.828133311</v>
      </c>
      <c r="N21" s="61">
        <f t="shared" si="1"/>
        <v>7358989.850087598</v>
      </c>
    </row>
    <row r="22" spans="1:14" x14ac:dyDescent="0.25">
      <c r="A22" s="79">
        <f t="shared" si="2"/>
        <v>44174</v>
      </c>
      <c r="C22" s="56">
        <v>24246508.59582087</v>
      </c>
      <c r="D22" s="56">
        <v>9201499.8424059339</v>
      </c>
      <c r="E22" s="56">
        <v>21482.76394802958</v>
      </c>
      <c r="F22" s="56">
        <v>261756.19116358555</v>
      </c>
      <c r="G22" s="56">
        <v>136746.18727596907</v>
      </c>
      <c r="H22" s="56">
        <v>3392215</v>
      </c>
      <c r="I22" s="56">
        <v>4648548</v>
      </c>
      <c r="K22" s="88"/>
      <c r="L22" s="56"/>
      <c r="M22" s="61">
        <f t="shared" si="0"/>
        <v>24246508.59582087</v>
      </c>
      <c r="N22" s="61">
        <f t="shared" si="1"/>
        <v>9484738.7975175492</v>
      </c>
    </row>
    <row r="23" spans="1:14" x14ac:dyDescent="0.25">
      <c r="A23" s="79"/>
      <c r="C23" s="56"/>
      <c r="D23" s="56"/>
      <c r="E23" s="56"/>
      <c r="F23" s="56"/>
      <c r="G23" s="56"/>
      <c r="H23" s="56"/>
      <c r="I23" s="56"/>
      <c r="K23" s="88"/>
      <c r="L23" s="56"/>
      <c r="M23" s="61"/>
      <c r="N23" s="61"/>
    </row>
    <row r="24" spans="1:14" x14ac:dyDescent="0.25">
      <c r="A24" s="79"/>
      <c r="C24" s="56"/>
      <c r="D24" s="56"/>
      <c r="E24" s="56"/>
      <c r="F24" s="56"/>
      <c r="G24" s="56"/>
      <c r="H24" s="56"/>
      <c r="I24" s="56"/>
      <c r="K24" s="88"/>
      <c r="L24" s="56"/>
      <c r="M24" s="61"/>
      <c r="N24" s="61"/>
    </row>
    <row r="25" spans="1:14" x14ac:dyDescent="0.25">
      <c r="A25" s="79"/>
      <c r="C25" s="56"/>
      <c r="D25" s="56"/>
      <c r="E25" s="56"/>
      <c r="F25" s="56"/>
      <c r="G25" s="56"/>
      <c r="H25" s="56"/>
      <c r="I25" s="56"/>
      <c r="K25" s="88"/>
      <c r="L25" s="56"/>
      <c r="M25" s="61"/>
      <c r="N25" s="61"/>
    </row>
    <row r="26" spans="1:14" x14ac:dyDescent="0.25">
      <c r="A26" s="79"/>
      <c r="C26" s="56"/>
      <c r="D26" s="56"/>
      <c r="E26" s="56"/>
      <c r="F26" s="56"/>
      <c r="G26" s="56"/>
      <c r="H26" s="56"/>
      <c r="I26" s="56"/>
      <c r="K26" s="88"/>
      <c r="L26" s="56"/>
      <c r="M26" s="61"/>
      <c r="N26" s="61"/>
    </row>
    <row r="27" spans="1:14" x14ac:dyDescent="0.25">
      <c r="A27" s="79"/>
      <c r="C27" s="56"/>
      <c r="D27" s="56"/>
      <c r="E27" s="56"/>
      <c r="F27" s="56"/>
      <c r="G27" s="56"/>
      <c r="H27" s="56"/>
      <c r="I27" s="56"/>
      <c r="K27" s="88"/>
      <c r="L27" s="56"/>
      <c r="M27" s="61"/>
      <c r="N27" s="61"/>
    </row>
    <row r="28" spans="1:14" x14ac:dyDescent="0.25">
      <c r="A28" s="79"/>
      <c r="C28" s="56"/>
      <c r="D28" s="56"/>
      <c r="E28" s="56"/>
      <c r="F28" s="56"/>
      <c r="G28" s="56"/>
      <c r="H28" s="56"/>
      <c r="I28" s="56"/>
      <c r="K28" s="88"/>
      <c r="L28" s="56"/>
      <c r="M28" s="61"/>
      <c r="N28" s="61"/>
    </row>
    <row r="29" spans="1:14" x14ac:dyDescent="0.25">
      <c r="A29" s="79"/>
      <c r="C29" s="56"/>
      <c r="D29" s="56"/>
      <c r="E29" s="56"/>
      <c r="F29" s="56"/>
      <c r="G29" s="56"/>
      <c r="H29" s="56"/>
      <c r="I29" s="56"/>
      <c r="K29" s="88"/>
      <c r="L29" s="56"/>
      <c r="M29" s="61"/>
      <c r="N29" s="61"/>
    </row>
    <row r="30" spans="1:14" x14ac:dyDescent="0.25">
      <c r="A30" s="79"/>
      <c r="C30" s="56"/>
      <c r="D30" s="56"/>
      <c r="E30" s="56"/>
      <c r="F30" s="56"/>
      <c r="G30" s="56"/>
      <c r="H30" s="56"/>
      <c r="I30" s="56"/>
      <c r="K30" s="88"/>
      <c r="L30" s="56"/>
      <c r="M30" s="61"/>
      <c r="N30" s="61"/>
    </row>
    <row r="31" spans="1:14" x14ac:dyDescent="0.25">
      <c r="A31" s="79"/>
      <c r="C31" s="56"/>
      <c r="D31" s="56"/>
      <c r="E31" s="56"/>
      <c r="F31" s="56"/>
      <c r="G31" s="56"/>
      <c r="H31" s="56"/>
      <c r="I31" s="56"/>
      <c r="K31" s="88"/>
      <c r="L31" s="56"/>
      <c r="M31" s="61"/>
      <c r="N31" s="61"/>
    </row>
    <row r="32" spans="1:14" x14ac:dyDescent="0.25">
      <c r="A32" s="79"/>
      <c r="C32" s="56"/>
      <c r="D32" s="56"/>
      <c r="E32" s="56"/>
      <c r="F32" s="56"/>
      <c r="G32" s="56"/>
      <c r="H32" s="56"/>
      <c r="I32" s="56"/>
      <c r="K32" s="88"/>
      <c r="L32" s="56"/>
      <c r="M32" s="61"/>
      <c r="N32" s="61"/>
    </row>
    <row r="33" spans="1:14" x14ac:dyDescent="0.25">
      <c r="A33" s="79"/>
      <c r="C33" s="56"/>
      <c r="D33" s="56"/>
      <c r="E33" s="56"/>
      <c r="F33" s="56"/>
      <c r="G33" s="56"/>
      <c r="H33" s="56"/>
      <c r="I33" s="56"/>
      <c r="K33" s="88"/>
      <c r="L33" s="56"/>
      <c r="M33" s="61"/>
      <c r="N33" s="61"/>
    </row>
    <row r="34" spans="1:14" x14ac:dyDescent="0.25">
      <c r="A34" s="79"/>
      <c r="C34" s="56"/>
      <c r="D34" s="56"/>
      <c r="E34" s="56"/>
      <c r="F34" s="56"/>
      <c r="G34" s="56"/>
      <c r="H34" s="56"/>
      <c r="I34" s="56"/>
      <c r="K34" s="88"/>
      <c r="L34" s="56"/>
      <c r="M34" s="61"/>
      <c r="N34" s="61"/>
    </row>
    <row r="35" spans="1:14" x14ac:dyDescent="0.25">
      <c r="A35" s="79"/>
      <c r="C35" s="56"/>
      <c r="D35" s="56"/>
      <c r="E35" s="56"/>
      <c r="F35" s="56"/>
      <c r="G35" s="56"/>
      <c r="H35" s="56"/>
      <c r="I35" s="56"/>
      <c r="K35" s="88"/>
      <c r="L35" s="56"/>
      <c r="M35" s="61"/>
      <c r="N35" s="61"/>
    </row>
    <row r="36" spans="1:14" x14ac:dyDescent="0.25">
      <c r="A36" s="79"/>
      <c r="C36" s="56"/>
      <c r="D36" s="56"/>
      <c r="E36" s="56"/>
      <c r="F36" s="56"/>
      <c r="G36" s="56"/>
      <c r="H36" s="56"/>
      <c r="I36" s="56"/>
      <c r="K36" s="88"/>
      <c r="L36" s="56"/>
      <c r="M36" s="61"/>
      <c r="N36" s="61"/>
    </row>
    <row r="37" spans="1:14" x14ac:dyDescent="0.25">
      <c r="A37" s="79"/>
      <c r="C37" s="56"/>
      <c r="D37" s="56"/>
      <c r="E37" s="56"/>
      <c r="F37" s="56"/>
      <c r="G37" s="56"/>
      <c r="H37" s="56"/>
      <c r="I37" s="56"/>
      <c r="K37" s="88"/>
      <c r="L37" s="56"/>
      <c r="M37" s="61"/>
      <c r="N37" s="61"/>
    </row>
    <row r="38" spans="1:14" x14ac:dyDescent="0.25">
      <c r="A38" s="79"/>
      <c r="C38" s="56"/>
      <c r="D38" s="56"/>
      <c r="E38" s="56"/>
      <c r="F38" s="56"/>
      <c r="G38" s="56"/>
      <c r="H38" s="56"/>
      <c r="I38" s="56"/>
      <c r="K38" s="88"/>
      <c r="L38" s="56"/>
      <c r="M38" s="61"/>
      <c r="N38" s="61"/>
    </row>
    <row r="39" spans="1:14" x14ac:dyDescent="0.25">
      <c r="A39" s="79"/>
      <c r="C39" s="56"/>
      <c r="D39" s="56"/>
      <c r="E39" s="56"/>
      <c r="F39" s="56"/>
      <c r="G39" s="56"/>
      <c r="H39" s="56"/>
      <c r="I39" s="56"/>
      <c r="K39" s="88"/>
      <c r="L39" s="56"/>
      <c r="M39" s="61"/>
      <c r="N39" s="61"/>
    </row>
    <row r="40" spans="1:14" x14ac:dyDescent="0.25">
      <c r="A40" s="79"/>
      <c r="C40" s="56"/>
      <c r="D40" s="56"/>
      <c r="E40" s="56"/>
      <c r="F40" s="56"/>
      <c r="G40" s="56"/>
      <c r="H40" s="56"/>
      <c r="I40" s="56"/>
      <c r="K40" s="88"/>
      <c r="L40" s="56"/>
      <c r="M40" s="61"/>
      <c r="N40" s="61"/>
    </row>
    <row r="41" spans="1:14" x14ac:dyDescent="0.25">
      <c r="A41" s="79"/>
      <c r="C41" s="56"/>
      <c r="D41" s="56"/>
      <c r="E41" s="56"/>
      <c r="F41" s="56"/>
      <c r="G41" s="56"/>
      <c r="H41" s="56"/>
      <c r="I41" s="56"/>
      <c r="K41" s="88"/>
      <c r="L41" s="56"/>
      <c r="M41" s="61"/>
      <c r="N41" s="61"/>
    </row>
    <row r="42" spans="1:14" x14ac:dyDescent="0.25">
      <c r="A42" s="79"/>
      <c r="C42" s="56"/>
      <c r="D42" s="56"/>
      <c r="E42" s="56"/>
      <c r="F42" s="56"/>
      <c r="G42" s="56"/>
      <c r="H42" s="56"/>
      <c r="I42" s="56"/>
      <c r="K42" s="88"/>
      <c r="L42" s="56"/>
      <c r="M42" s="61"/>
      <c r="N42" s="61"/>
    </row>
    <row r="43" spans="1:14" x14ac:dyDescent="0.25">
      <c r="A43" s="79"/>
      <c r="C43" s="56"/>
      <c r="D43" s="56"/>
      <c r="E43" s="56"/>
      <c r="F43" s="56"/>
      <c r="G43" s="56"/>
      <c r="H43" s="56"/>
      <c r="I43" s="56"/>
      <c r="K43" s="88"/>
      <c r="L43" s="56"/>
      <c r="M43" s="61"/>
      <c r="N43" s="61"/>
    </row>
    <row r="44" spans="1:14" x14ac:dyDescent="0.25">
      <c r="A44" s="79"/>
      <c r="C44" s="56"/>
      <c r="D44" s="56"/>
      <c r="E44" s="56"/>
      <c r="F44" s="56"/>
      <c r="G44" s="56"/>
      <c r="H44" s="56"/>
      <c r="I44" s="56"/>
      <c r="K44" s="88"/>
      <c r="L44" s="56"/>
      <c r="M44" s="61"/>
      <c r="N44" s="61"/>
    </row>
    <row r="45" spans="1:14" x14ac:dyDescent="0.25">
      <c r="A45" s="79"/>
      <c r="C45" s="56"/>
      <c r="D45" s="56"/>
      <c r="E45" s="56"/>
      <c r="F45" s="56"/>
      <c r="G45" s="56"/>
      <c r="H45" s="56"/>
      <c r="I45" s="56"/>
      <c r="K45" s="88"/>
      <c r="L45" s="56"/>
      <c r="M45" s="61"/>
      <c r="N45" s="61"/>
    </row>
    <row r="46" spans="1:14" x14ac:dyDescent="0.25">
      <c r="A46" s="79"/>
      <c r="C46" s="56"/>
      <c r="D46" s="56"/>
      <c r="E46" s="56"/>
      <c r="F46" s="56"/>
      <c r="G46" s="56"/>
      <c r="H46" s="56"/>
      <c r="I46" s="56"/>
      <c r="K46" s="88"/>
      <c r="L46" s="56"/>
      <c r="M46" s="61"/>
      <c r="N46" s="61"/>
    </row>
    <row r="47" spans="1:14" x14ac:dyDescent="0.25">
      <c r="A47" s="79"/>
      <c r="C47" s="56"/>
      <c r="D47" s="56"/>
      <c r="E47" s="56"/>
      <c r="F47" s="56"/>
      <c r="G47" s="56"/>
      <c r="H47" s="56"/>
      <c r="I47" s="56"/>
      <c r="K47" s="88"/>
      <c r="M47" s="61"/>
      <c r="N47" s="61"/>
    </row>
    <row r="48" spans="1:14" x14ac:dyDescent="0.25">
      <c r="A48" s="79"/>
      <c r="C48" s="56"/>
      <c r="D48" s="56"/>
      <c r="E48" s="56"/>
      <c r="F48" s="56"/>
      <c r="G48" s="56"/>
      <c r="H48" s="56"/>
      <c r="I48" s="56"/>
      <c r="K48" s="88"/>
      <c r="M48" s="61"/>
      <c r="N48" s="61"/>
    </row>
    <row r="49" spans="1:14" x14ac:dyDescent="0.25">
      <c r="A49" s="79"/>
      <c r="C49" s="56"/>
      <c r="D49" s="56"/>
      <c r="E49" s="56"/>
      <c r="F49" s="56"/>
      <c r="G49" s="56"/>
      <c r="H49" s="56"/>
      <c r="I49" s="56"/>
      <c r="K49" s="88"/>
      <c r="M49" s="61"/>
      <c r="N49" s="61"/>
    </row>
    <row r="50" spans="1:14" x14ac:dyDescent="0.25">
      <c r="A50" s="79"/>
      <c r="C50" s="56"/>
      <c r="D50" s="56"/>
      <c r="E50" s="56"/>
      <c r="F50" s="56"/>
      <c r="G50" s="56"/>
      <c r="H50" s="56"/>
      <c r="I50" s="56"/>
      <c r="K50" s="88"/>
      <c r="M50" s="61"/>
      <c r="N50" s="61"/>
    </row>
    <row r="51" spans="1:14" x14ac:dyDescent="0.25">
      <c r="A51" s="79"/>
      <c r="C51" s="56"/>
      <c r="D51" s="56"/>
      <c r="E51" s="56"/>
      <c r="F51" s="56"/>
      <c r="G51" s="56"/>
      <c r="H51" s="56"/>
      <c r="I51" s="56"/>
      <c r="K51" s="88"/>
      <c r="M51" s="61"/>
      <c r="N51" s="61"/>
    </row>
    <row r="52" spans="1:14" x14ac:dyDescent="0.25">
      <c r="A52" s="79"/>
      <c r="C52" s="56"/>
      <c r="D52" s="56"/>
      <c r="E52" s="56"/>
      <c r="F52" s="56"/>
      <c r="G52" s="56"/>
      <c r="H52" s="56"/>
      <c r="I52" s="56"/>
      <c r="K52" s="88"/>
      <c r="M52" s="61"/>
      <c r="N52" s="61"/>
    </row>
    <row r="53" spans="1:14" x14ac:dyDescent="0.25">
      <c r="A53" s="79"/>
      <c r="C53" s="56"/>
      <c r="D53" s="56"/>
      <c r="E53" s="56"/>
      <c r="F53" s="56"/>
      <c r="G53" s="56"/>
      <c r="H53" s="56"/>
      <c r="I53" s="56"/>
      <c r="K53" s="88"/>
      <c r="M53" s="61"/>
      <c r="N53" s="61"/>
    </row>
    <row r="54" spans="1:14" x14ac:dyDescent="0.25">
      <c r="A54" s="79"/>
      <c r="C54" s="56"/>
      <c r="D54" s="56"/>
      <c r="E54" s="56"/>
      <c r="F54" s="56"/>
      <c r="G54" s="56"/>
      <c r="H54" s="56"/>
      <c r="I54" s="56"/>
      <c r="K54" s="88"/>
      <c r="M54" s="61"/>
      <c r="N54" s="61"/>
    </row>
    <row r="55" spans="1:14" x14ac:dyDescent="0.25">
      <c r="A55" s="79"/>
      <c r="C55" s="56"/>
      <c r="D55" s="56"/>
      <c r="E55" s="56"/>
      <c r="F55" s="56"/>
      <c r="G55" s="56"/>
      <c r="H55" s="56"/>
      <c r="I55" s="56"/>
      <c r="K55" s="88"/>
      <c r="M55" s="61"/>
      <c r="N55" s="61"/>
    </row>
    <row r="56" spans="1:14" x14ac:dyDescent="0.25">
      <c r="A56" s="79"/>
      <c r="C56" s="56"/>
      <c r="D56" s="56"/>
      <c r="E56" s="56"/>
      <c r="F56" s="56"/>
      <c r="G56" s="56"/>
      <c r="H56" s="56"/>
      <c r="I56" s="56"/>
      <c r="K56" s="88"/>
      <c r="M56" s="61"/>
      <c r="N56" s="61"/>
    </row>
    <row r="57" spans="1:14" x14ac:dyDescent="0.25">
      <c r="A57" s="79"/>
      <c r="C57" s="56"/>
      <c r="D57" s="56"/>
      <c r="E57" s="56"/>
      <c r="F57" s="56"/>
      <c r="G57" s="56"/>
      <c r="H57" s="56"/>
      <c r="I57" s="56"/>
      <c r="K57" s="88"/>
      <c r="M57" s="61"/>
      <c r="N57" s="61"/>
    </row>
    <row r="58" spans="1:14" x14ac:dyDescent="0.25">
      <c r="A58" s="79"/>
      <c r="C58" s="56"/>
      <c r="D58" s="56"/>
      <c r="E58" s="56"/>
      <c r="F58" s="56"/>
      <c r="G58" s="56"/>
      <c r="H58" s="56"/>
      <c r="I58" s="56"/>
      <c r="K58" s="88"/>
      <c r="M58" s="61"/>
      <c r="N58" s="61"/>
    </row>
    <row r="59" spans="1:14" x14ac:dyDescent="0.25">
      <c r="A59" s="79"/>
      <c r="C59" s="56"/>
      <c r="D59" s="56"/>
      <c r="E59" s="56"/>
      <c r="F59" s="56"/>
      <c r="G59" s="56"/>
      <c r="H59" s="56"/>
      <c r="I59" s="56"/>
      <c r="K59" s="88"/>
      <c r="M59" s="61"/>
      <c r="N59" s="61"/>
    </row>
    <row r="60" spans="1:14" x14ac:dyDescent="0.25">
      <c r="A60" s="79"/>
      <c r="C60" s="56"/>
      <c r="D60" s="56"/>
      <c r="E60" s="56"/>
      <c r="F60" s="56"/>
      <c r="G60" s="56"/>
      <c r="H60" s="56"/>
      <c r="I60" s="56"/>
      <c r="K60" s="88"/>
      <c r="M60" s="61"/>
      <c r="N60" s="61"/>
    </row>
    <row r="61" spans="1:14" x14ac:dyDescent="0.25">
      <c r="A61" s="79"/>
      <c r="C61" s="56"/>
      <c r="D61" s="56"/>
      <c r="E61" s="56"/>
      <c r="F61" s="56"/>
      <c r="G61" s="56"/>
      <c r="H61" s="56"/>
      <c r="I61" s="56"/>
      <c r="K61" s="88"/>
      <c r="M61" s="61"/>
      <c r="N61" s="61"/>
    </row>
    <row r="62" spans="1:14" x14ac:dyDescent="0.25">
      <c r="A62" s="79"/>
      <c r="C62" s="56"/>
      <c r="D62" s="56"/>
      <c r="E62" s="56"/>
      <c r="F62" s="56"/>
      <c r="G62" s="56"/>
      <c r="H62" s="56"/>
      <c r="I62" s="56"/>
      <c r="K62" s="88"/>
      <c r="M62" s="61"/>
      <c r="N62" s="61"/>
    </row>
    <row r="63" spans="1:14" x14ac:dyDescent="0.25">
      <c r="A63" s="79"/>
      <c r="C63" s="56"/>
      <c r="D63" s="56"/>
      <c r="E63" s="56"/>
      <c r="F63" s="56"/>
      <c r="G63" s="56"/>
      <c r="H63" s="56"/>
      <c r="I63" s="56"/>
      <c r="K63" s="88"/>
      <c r="M63" s="61"/>
      <c r="N63" s="61"/>
    </row>
    <row r="64" spans="1:14" x14ac:dyDescent="0.25">
      <c r="A64" s="79"/>
      <c r="C64" s="56"/>
      <c r="D64" s="56"/>
      <c r="E64" s="56"/>
      <c r="F64" s="56"/>
      <c r="G64" s="56"/>
      <c r="H64" s="56"/>
      <c r="I64" s="56"/>
      <c r="K64" s="88"/>
      <c r="M64" s="61"/>
      <c r="N64" s="61"/>
    </row>
    <row r="65" spans="1:14" x14ac:dyDescent="0.25">
      <c r="A65" s="79"/>
      <c r="C65" s="56"/>
      <c r="D65" s="56"/>
      <c r="E65" s="56"/>
      <c r="F65" s="56"/>
      <c r="G65" s="56"/>
      <c r="H65" s="56"/>
      <c r="I65" s="56"/>
      <c r="K65" s="88"/>
      <c r="M65" s="61"/>
      <c r="N65" s="61"/>
    </row>
    <row r="66" spans="1:14" x14ac:dyDescent="0.25">
      <c r="A66" s="79"/>
      <c r="C66" s="56"/>
      <c r="D66" s="56"/>
      <c r="E66" s="56"/>
      <c r="F66" s="56"/>
      <c r="G66" s="56"/>
      <c r="H66" s="56"/>
      <c r="I66" s="56"/>
      <c r="K66" s="88"/>
      <c r="M66" s="61"/>
      <c r="N66" s="61"/>
    </row>
    <row r="67" spans="1:14" x14ac:dyDescent="0.25">
      <c r="A67" s="79"/>
      <c r="C67" s="56"/>
      <c r="D67" s="56"/>
      <c r="E67" s="56"/>
      <c r="F67" s="56"/>
      <c r="G67" s="56"/>
      <c r="H67" s="56"/>
      <c r="I67" s="56"/>
      <c r="K67" s="88"/>
      <c r="M67" s="61"/>
      <c r="N67" s="61"/>
    </row>
    <row r="68" spans="1:14" x14ac:dyDescent="0.25">
      <c r="A68" s="79"/>
      <c r="C68" s="56"/>
      <c r="D68" s="56"/>
      <c r="E68" s="56"/>
      <c r="F68" s="56"/>
      <c r="G68" s="56"/>
      <c r="H68" s="56"/>
      <c r="I68" s="56"/>
      <c r="K68" s="88"/>
      <c r="M68" s="61"/>
      <c r="N68" s="61"/>
    </row>
    <row r="69" spans="1:14" x14ac:dyDescent="0.25">
      <c r="A69" s="79"/>
      <c r="C69" s="56"/>
      <c r="D69" s="56"/>
      <c r="E69" s="56"/>
      <c r="F69" s="56"/>
      <c r="G69" s="56"/>
      <c r="H69" s="56"/>
      <c r="I69" s="56"/>
      <c r="K69" s="88"/>
      <c r="M69" s="61"/>
      <c r="N69" s="61"/>
    </row>
    <row r="70" spans="1:14" x14ac:dyDescent="0.25">
      <c r="A70" s="79"/>
      <c r="C70" s="56"/>
      <c r="D70" s="56"/>
      <c r="E70" s="56"/>
      <c r="F70" s="56"/>
      <c r="G70" s="56"/>
      <c r="H70" s="56"/>
      <c r="I70" s="56"/>
      <c r="K70" s="88"/>
      <c r="M70" s="61"/>
      <c r="N70" s="61"/>
    </row>
  </sheetData>
  <mergeCells count="3">
    <mergeCell ref="A1:A2"/>
    <mergeCell ref="K3:K4"/>
    <mergeCell ref="M3:N3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83"/>
  <sheetViews>
    <sheetView tabSelected="1" topLeftCell="A43" zoomScaleNormal="100" workbookViewId="0">
      <selection activeCell="I78" sqref="I78"/>
    </sheetView>
  </sheetViews>
  <sheetFormatPr defaultRowHeight="15" x14ac:dyDescent="0.25"/>
  <cols>
    <col min="1" max="1" width="5.28515625" customWidth="1"/>
    <col min="2" max="2" width="31.7109375" customWidth="1"/>
    <col min="3" max="3" width="15" customWidth="1"/>
    <col min="4" max="4" width="14.28515625" customWidth="1"/>
    <col min="5" max="5" width="19.85546875" customWidth="1"/>
    <col min="6" max="6" width="8.140625" customWidth="1"/>
    <col min="7" max="7" width="5.28515625" customWidth="1"/>
    <col min="8" max="8" width="31.7109375" customWidth="1"/>
    <col min="9" max="9" width="14" customWidth="1"/>
    <col min="10" max="10" width="15.28515625" customWidth="1"/>
    <col min="11" max="11" width="19.140625" customWidth="1"/>
    <col min="12" max="12" width="8.28515625" customWidth="1"/>
    <col min="13" max="13" width="12.5703125" bestFit="1" customWidth="1"/>
    <col min="14" max="14" width="11.140625" bestFit="1" customWidth="1"/>
    <col min="15" max="15" width="10" customWidth="1"/>
  </cols>
  <sheetData>
    <row r="1" spans="1:15" x14ac:dyDescent="0.25">
      <c r="B1" s="199" t="s">
        <v>0</v>
      </c>
      <c r="C1" s="199"/>
      <c r="D1" s="199"/>
      <c r="E1" s="199"/>
      <c r="F1" s="169"/>
      <c r="G1" s="95"/>
      <c r="H1" s="199" t="s">
        <v>0</v>
      </c>
      <c r="I1" s="199"/>
      <c r="J1" s="199"/>
      <c r="K1" s="199"/>
    </row>
    <row r="2" spans="1:15" x14ac:dyDescent="0.25">
      <c r="B2" s="199" t="s">
        <v>1</v>
      </c>
      <c r="C2" s="199"/>
      <c r="D2" s="199"/>
      <c r="E2" s="199"/>
      <c r="F2" s="169"/>
      <c r="G2" s="95"/>
      <c r="H2" s="199" t="s">
        <v>1</v>
      </c>
      <c r="I2" s="199"/>
      <c r="J2" s="199"/>
      <c r="K2" s="199"/>
    </row>
    <row r="3" spans="1:15" x14ac:dyDescent="0.25">
      <c r="B3" s="199" t="s">
        <v>198</v>
      </c>
      <c r="C3" s="199"/>
      <c r="D3" s="199"/>
      <c r="E3" s="199"/>
      <c r="F3" s="169"/>
      <c r="G3" s="95"/>
      <c r="H3" s="199" t="s">
        <v>198</v>
      </c>
      <c r="I3" s="199"/>
      <c r="J3" s="199"/>
      <c r="K3" s="199"/>
    </row>
    <row r="4" spans="1:15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5" ht="18.75" x14ac:dyDescent="0.3">
      <c r="B5" s="198" t="s">
        <v>5</v>
      </c>
      <c r="C5" s="198"/>
      <c r="D5" s="198"/>
      <c r="E5" s="198"/>
      <c r="F5" s="41"/>
      <c r="G5" s="35"/>
      <c r="H5" s="198" t="s">
        <v>16</v>
      </c>
      <c r="I5" s="198"/>
      <c r="J5" s="198"/>
      <c r="K5" s="198"/>
    </row>
    <row r="6" spans="1:15" ht="30" customHeight="1" x14ac:dyDescent="0.25">
      <c r="A6" s="102" t="s">
        <v>112</v>
      </c>
      <c r="B6" s="32" t="s">
        <v>3</v>
      </c>
      <c r="C6" s="32" t="s">
        <v>7</v>
      </c>
      <c r="D6" s="32" t="s">
        <v>8</v>
      </c>
      <c r="E6" s="32" t="s">
        <v>129</v>
      </c>
      <c r="F6" s="32"/>
      <c r="G6" s="102" t="s">
        <v>112</v>
      </c>
      <c r="H6" s="32" t="s">
        <v>3</v>
      </c>
      <c r="I6" s="32" t="s">
        <v>7</v>
      </c>
      <c r="J6" s="32" t="s">
        <v>8</v>
      </c>
      <c r="K6" s="86" t="s">
        <v>129</v>
      </c>
    </row>
    <row r="7" spans="1:15" x14ac:dyDescent="0.25">
      <c r="A7" s="104">
        <v>1</v>
      </c>
      <c r="B7" s="32"/>
      <c r="C7" s="32">
        <f>ROUND(C8/E22,5)</f>
        <v>3.9500000000000004E-3</v>
      </c>
      <c r="D7" s="33">
        <v>4.6899999999999997E-2</v>
      </c>
      <c r="E7" s="32"/>
      <c r="F7" s="32"/>
      <c r="G7" s="104">
        <v>1</v>
      </c>
      <c r="H7" s="32"/>
      <c r="I7" s="32">
        <f>ROUND(I8/K22,5)</f>
        <v>1.729E-2</v>
      </c>
      <c r="J7" s="33">
        <f>D7</f>
        <v>4.6899999999999997E-2</v>
      </c>
      <c r="K7" s="32"/>
      <c r="O7" s="78"/>
    </row>
    <row r="8" spans="1:15" x14ac:dyDescent="0.25">
      <c r="A8" s="104">
        <v>2</v>
      </c>
      <c r="B8" s="63">
        <v>43739</v>
      </c>
      <c r="C8" s="34">
        <f>C58+C59</f>
        <v>522566.43192816712</v>
      </c>
      <c r="D8" s="34"/>
      <c r="E8" s="35"/>
      <c r="F8" s="35"/>
      <c r="G8" s="104">
        <v>2</v>
      </c>
      <c r="H8" s="63">
        <f>B8</f>
        <v>43739</v>
      </c>
      <c r="I8" s="34">
        <f>I58+I59</f>
        <v>1009863.4311851353</v>
      </c>
      <c r="J8" s="34"/>
      <c r="K8" s="35"/>
    </row>
    <row r="9" spans="1:15" x14ac:dyDescent="0.25">
      <c r="A9" s="104">
        <v>3</v>
      </c>
      <c r="B9" s="63">
        <f>B8+31</f>
        <v>43770</v>
      </c>
      <c r="C9" s="106">
        <f>C8+D9-$C$7*E9</f>
        <v>461685.71999498695</v>
      </c>
      <c r="D9" s="106">
        <f>(C8-$C$7*E9/2)*($D$7/12)</f>
        <v>1919.6414475544009</v>
      </c>
      <c r="E9" s="38">
        <f>'6 12 19 Forecast Usage by Sched'!M9</f>
        <v>15898823.640692307</v>
      </c>
      <c r="F9" s="38"/>
      <c r="G9" s="104">
        <v>3</v>
      </c>
      <c r="H9" s="63">
        <f t="shared" ref="H9:H20" si="0">B9</f>
        <v>43770</v>
      </c>
      <c r="I9" s="110">
        <f>I8+J9-K9*$I$7</f>
        <v>891705.63738481514</v>
      </c>
      <c r="J9" s="110">
        <f>(I8-$I$7*K9/2)*$J$7/12</f>
        <v>3708.7354010675249</v>
      </c>
      <c r="K9" s="38">
        <f>'6 12 19 Forecast Usage by Sched'!N9</f>
        <v>7048382.2557193553</v>
      </c>
      <c r="M9" s="56"/>
      <c r="N9" s="56"/>
      <c r="O9" s="56"/>
    </row>
    <row r="10" spans="1:15" x14ac:dyDescent="0.25">
      <c r="A10" s="104">
        <v>4</v>
      </c>
      <c r="B10" s="63">
        <f t="shared" ref="B10:B20" si="1">B9+31</f>
        <v>43801</v>
      </c>
      <c r="C10" s="106">
        <f t="shared" ref="C10:C20" si="2">C9+D10-$C$7*E10</f>
        <v>368222.83136034419</v>
      </c>
      <c r="D10" s="106">
        <f t="shared" ref="D10:D20" si="3">(C9-$C$7*E10/2)*($D$7/12)</f>
        <v>1618.6165808717558</v>
      </c>
      <c r="E10" s="38">
        <f>'6 12 19 Forecast Usage by Sched'!M10</f>
        <v>24071267.14316823</v>
      </c>
      <c r="F10" s="38"/>
      <c r="G10" s="104">
        <v>4</v>
      </c>
      <c r="H10" s="63">
        <f t="shared" si="0"/>
        <v>43801</v>
      </c>
      <c r="I10" s="110">
        <f t="shared" ref="I10:I20" si="4">I9+J10-K10*$I$7</f>
        <v>734064.87895838008</v>
      </c>
      <c r="J10" s="110">
        <f t="shared" ref="J10:J20" si="5">(I9-$I$7*K10/2)*$J$7/12</f>
        <v>3170.8302199658106</v>
      </c>
      <c r="K10" s="38">
        <f>'6 12 19 Forecast Usage by Sched'!N10</f>
        <v>9300843.76208218</v>
      </c>
      <c r="M10" s="56"/>
      <c r="N10" s="56"/>
      <c r="O10" s="56"/>
    </row>
    <row r="11" spans="1:15" x14ac:dyDescent="0.25">
      <c r="A11" s="104">
        <v>5</v>
      </c>
      <c r="B11" s="63">
        <f t="shared" si="1"/>
        <v>43832</v>
      </c>
      <c r="C11" s="106">
        <f t="shared" si="2"/>
        <v>274364.18812404905</v>
      </c>
      <c r="D11" s="106">
        <f t="shared" si="3"/>
        <v>1253.2730295305439</v>
      </c>
      <c r="E11" s="38">
        <f>'6 12 19 Forecast Usage by Sched'!M11</f>
        <v>24078966.143247005</v>
      </c>
      <c r="F11" s="38"/>
      <c r="G11" s="104">
        <v>5</v>
      </c>
      <c r="H11" s="63">
        <f t="shared" si="0"/>
        <v>43832</v>
      </c>
      <c r="I11" s="110">
        <f t="shared" si="4"/>
        <v>581788.59291505057</v>
      </c>
      <c r="J11" s="110">
        <f t="shared" si="5"/>
        <v>2566.3818550775318</v>
      </c>
      <c r="K11" s="38">
        <f>'6 12 19 Forecast Usage by Sched'!N11</f>
        <v>8955619.8900177591</v>
      </c>
      <c r="M11" s="56"/>
      <c r="N11" s="56"/>
      <c r="O11" s="56"/>
    </row>
    <row r="12" spans="1:15" x14ac:dyDescent="0.25">
      <c r="A12" s="104">
        <v>6</v>
      </c>
      <c r="B12" s="63">
        <f t="shared" si="1"/>
        <v>43863</v>
      </c>
      <c r="C12" s="106">
        <f t="shared" si="2"/>
        <v>195854.59308404199</v>
      </c>
      <c r="D12" s="106">
        <f t="shared" si="3"/>
        <v>917.09371431076227</v>
      </c>
      <c r="E12" s="38">
        <f>'6 12 19 Forecast Usage by Sched'!M12</f>
        <v>20108022.469447553</v>
      </c>
      <c r="F12" s="38"/>
      <c r="G12" s="104">
        <v>6</v>
      </c>
      <c r="H12" s="63">
        <f t="shared" si="0"/>
        <v>43863</v>
      </c>
      <c r="I12" s="110">
        <f t="shared" si="4"/>
        <v>453349.47157200385</v>
      </c>
      <c r="J12" s="110">
        <f t="shared" si="5"/>
        <v>2018.8870592235526</v>
      </c>
      <c r="K12" s="38">
        <f>'6 12 19 Forecast Usage by Sched'!N12</f>
        <v>7545286.7786159813</v>
      </c>
      <c r="M12" s="56"/>
      <c r="N12" s="56"/>
      <c r="O12" s="56"/>
    </row>
    <row r="13" spans="1:15" x14ac:dyDescent="0.25">
      <c r="A13" s="104">
        <v>7</v>
      </c>
      <c r="B13" s="63">
        <f t="shared" si="1"/>
        <v>43894</v>
      </c>
      <c r="C13" s="106">
        <f t="shared" si="2"/>
        <v>133871.40001031937</v>
      </c>
      <c r="D13" s="106">
        <f t="shared" si="3"/>
        <v>643.08285376183812</v>
      </c>
      <c r="E13" s="38">
        <f>'6 12 19 Forecast Usage by Sched'!M13</f>
        <v>15854753.39936316</v>
      </c>
      <c r="F13" s="38"/>
      <c r="G13" s="104">
        <v>7</v>
      </c>
      <c r="H13" s="63">
        <f t="shared" si="0"/>
        <v>43894</v>
      </c>
      <c r="I13" s="110">
        <f t="shared" si="4"/>
        <v>347928.36661225912</v>
      </c>
      <c r="J13" s="110">
        <f t="shared" si="5"/>
        <v>1562.7765163427275</v>
      </c>
      <c r="K13" s="38">
        <f>'6 12 19 Forecast Usage by Sched'!N13</f>
        <v>6187616.0483567053</v>
      </c>
      <c r="M13" s="56"/>
      <c r="N13" s="56"/>
      <c r="O13" s="56"/>
    </row>
    <row r="14" spans="1:15" x14ac:dyDescent="0.25">
      <c r="A14" s="104">
        <v>8</v>
      </c>
      <c r="B14" s="63">
        <f t="shared" si="1"/>
        <v>43925</v>
      </c>
      <c r="C14" s="106">
        <f t="shared" si="2"/>
        <v>96312.956206538598</v>
      </c>
      <c r="D14" s="106">
        <f t="shared" si="3"/>
        <v>448.94129000289593</v>
      </c>
      <c r="E14" s="38">
        <f>'6 12 19 Forecast Usage by Sched'!M14</f>
        <v>9622122.8085528277</v>
      </c>
      <c r="F14" s="38"/>
      <c r="G14" s="104">
        <v>8</v>
      </c>
      <c r="H14" s="63">
        <f t="shared" si="0"/>
        <v>43925</v>
      </c>
      <c r="I14" s="110">
        <f t="shared" si="4"/>
        <v>279047.50210854248</v>
      </c>
      <c r="J14" s="110">
        <f t="shared" si="5"/>
        <v>1222.8257381619085</v>
      </c>
      <c r="K14" s="38">
        <f>'6 12 19 Forecast Usage by Sched'!N14</f>
        <v>4054580.1180959241</v>
      </c>
      <c r="M14" s="56"/>
      <c r="N14" s="56"/>
      <c r="O14" s="56"/>
    </row>
    <row r="15" spans="1:15" x14ac:dyDescent="0.25">
      <c r="A15" s="104">
        <v>9</v>
      </c>
      <c r="B15" s="63">
        <f t="shared" si="1"/>
        <v>43956</v>
      </c>
      <c r="C15" s="106">
        <f t="shared" si="2"/>
        <v>78077.086806798834</v>
      </c>
      <c r="D15" s="106">
        <f t="shared" si="3"/>
        <v>340.1225528997719</v>
      </c>
      <c r="E15" s="38">
        <f>'6 12 19 Forecast Usage by Sched'!M15</f>
        <v>4702782.7728201356</v>
      </c>
      <c r="F15" s="38"/>
      <c r="G15" s="104">
        <v>9</v>
      </c>
      <c r="H15" s="63">
        <f t="shared" si="0"/>
        <v>43956</v>
      </c>
      <c r="I15" s="110">
        <f t="shared" si="4"/>
        <v>240131.3888447819</v>
      </c>
      <c r="J15" s="110">
        <f t="shared" si="5"/>
        <v>1012.5833261547606</v>
      </c>
      <c r="K15" s="38">
        <f>'6 12 19 Forecast Usage by Sched'!N15</f>
        <v>2309352.0294919214</v>
      </c>
      <c r="M15" s="56"/>
      <c r="N15" s="56"/>
      <c r="O15" s="56"/>
    </row>
    <row r="16" spans="1:15" x14ac:dyDescent="0.25">
      <c r="A16" s="104">
        <v>10</v>
      </c>
      <c r="B16" s="63">
        <f t="shared" si="1"/>
        <v>43987</v>
      </c>
      <c r="C16" s="106">
        <f t="shared" si="2"/>
        <v>67184.914333380235</v>
      </c>
      <c r="D16" s="106">
        <f t="shared" si="3"/>
        <v>283.31252067727644</v>
      </c>
      <c r="E16" s="38">
        <f>'6 12 19 Forecast Usage by Sched'!M16</f>
        <v>2829236.7073660442</v>
      </c>
      <c r="F16" s="38"/>
      <c r="G16" s="104">
        <v>10</v>
      </c>
      <c r="H16" s="63">
        <f t="shared" si="0"/>
        <v>43987</v>
      </c>
      <c r="I16" s="110">
        <f t="shared" si="4"/>
        <v>210235.04539222317</v>
      </c>
      <c r="J16" s="110">
        <f t="shared" si="5"/>
        <v>878.37458324006582</v>
      </c>
      <c r="K16" s="38">
        <f>'6 12 19 Forecast Usage by Sched'!N16</f>
        <v>1779914.2877847771</v>
      </c>
      <c r="M16" s="56"/>
      <c r="N16" s="56"/>
      <c r="O16" s="56"/>
    </row>
    <row r="17" spans="1:15" x14ac:dyDescent="0.25">
      <c r="A17" s="104">
        <v>11</v>
      </c>
      <c r="B17" s="63">
        <f t="shared" si="1"/>
        <v>44018</v>
      </c>
      <c r="C17" s="106">
        <f t="shared" si="2"/>
        <v>58257.196520134799</v>
      </c>
      <c r="D17" s="106">
        <f t="shared" si="3"/>
        <v>244.65669167459649</v>
      </c>
      <c r="E17" s="38">
        <f>'6 12 19 Forecast Usage by Sched'!M17</f>
        <v>2322120.1278278558</v>
      </c>
      <c r="F17" s="38"/>
      <c r="G17" s="104">
        <v>11</v>
      </c>
      <c r="H17" s="63">
        <f t="shared" si="0"/>
        <v>44018</v>
      </c>
      <c r="I17" s="110">
        <f t="shared" si="4"/>
        <v>178423.19020888172</v>
      </c>
      <c r="J17" s="110">
        <f t="shared" si="5"/>
        <v>758.02166806082357</v>
      </c>
      <c r="K17" s="38">
        <f>'6 12 19 Forecast Usage by Sched'!N17</f>
        <v>1883740.7085831282</v>
      </c>
      <c r="M17" s="56"/>
      <c r="N17" s="56"/>
      <c r="O17" s="56"/>
    </row>
    <row r="18" spans="1:15" x14ac:dyDescent="0.25">
      <c r="A18" s="104">
        <v>12</v>
      </c>
      <c r="B18" s="63">
        <f t="shared" si="1"/>
        <v>44049</v>
      </c>
      <c r="C18" s="106">
        <f t="shared" si="2"/>
        <v>49855.222377266102</v>
      </c>
      <c r="D18" s="106">
        <f t="shared" si="3"/>
        <v>210.85763430163982</v>
      </c>
      <c r="E18" s="38">
        <f>'6 12 19 Forecast Usage by Sched'!M18</f>
        <v>2180463.741055781</v>
      </c>
      <c r="F18" s="38"/>
      <c r="G18" s="104">
        <v>12</v>
      </c>
      <c r="H18" s="63">
        <f t="shared" si="0"/>
        <v>44049</v>
      </c>
      <c r="I18" s="110">
        <f t="shared" si="4"/>
        <v>144014.56881853181</v>
      </c>
      <c r="J18" s="110">
        <f t="shared" si="5"/>
        <v>628.868207477292</v>
      </c>
      <c r="K18" s="38">
        <f>'6 12 19 Forecast Usage by Sched'!N18</f>
        <v>2026459.7800941116</v>
      </c>
      <c r="M18" s="56"/>
      <c r="N18" s="56"/>
      <c r="O18" s="56"/>
    </row>
    <row r="19" spans="1:15" x14ac:dyDescent="0.25">
      <c r="A19" s="104">
        <v>13</v>
      </c>
      <c r="B19" s="63">
        <f t="shared" si="1"/>
        <v>44080</v>
      </c>
      <c r="C19" s="106">
        <f t="shared" si="2"/>
        <v>39143.846284075022</v>
      </c>
      <c r="D19" s="106">
        <f t="shared" si="3"/>
        <v>173.57980946470846</v>
      </c>
      <c r="E19" s="38">
        <f>'6 12 19 Forecast Usage by Sched'!M19</f>
        <v>2755685.0386470361</v>
      </c>
      <c r="F19" s="38"/>
      <c r="G19" s="104">
        <v>13</v>
      </c>
      <c r="H19" s="63">
        <f t="shared" si="0"/>
        <v>44080</v>
      </c>
      <c r="I19" s="110">
        <f t="shared" si="4"/>
        <v>104499.43679232555</v>
      </c>
      <c r="J19" s="110">
        <f t="shared" si="5"/>
        <v>484.69061971186352</v>
      </c>
      <c r="K19" s="38">
        <f>'6 12 19 Forecast Usage by Sched'!N19</f>
        <v>2313465.740076236</v>
      </c>
      <c r="M19" s="56"/>
      <c r="N19" s="56"/>
      <c r="O19" s="56"/>
    </row>
    <row r="20" spans="1:15" x14ac:dyDescent="0.25">
      <c r="A20" s="104">
        <v>14</v>
      </c>
      <c r="B20" s="63">
        <f t="shared" si="1"/>
        <v>44111</v>
      </c>
      <c r="C20" s="106">
        <f t="shared" si="2"/>
        <v>7610.2599570584243</v>
      </c>
      <c r="D20" s="106">
        <f t="shared" si="3"/>
        <v>91.187121113705231</v>
      </c>
      <c r="E20" s="38">
        <f>'6 12 19 Forecast Usage by Sched'!M20</f>
        <v>8006271.7590203285</v>
      </c>
      <c r="F20" s="38"/>
      <c r="G20" s="104">
        <v>14</v>
      </c>
      <c r="H20" s="63">
        <f t="shared" si="0"/>
        <v>44111</v>
      </c>
      <c r="I20" s="110">
        <f t="shared" si="4"/>
        <v>18474.823222837193</v>
      </c>
      <c r="J20" s="110">
        <f t="shared" si="5"/>
        <v>239.84350559577877</v>
      </c>
      <c r="K20" s="38">
        <f>'6 12 19 Forecast Usage by Sched'!N20</f>
        <v>4989268.7724166652</v>
      </c>
      <c r="M20" s="56"/>
      <c r="N20" s="56"/>
      <c r="O20" s="56"/>
    </row>
    <row r="21" spans="1:15" x14ac:dyDescent="0.25">
      <c r="B21" s="35"/>
      <c r="C21" s="35"/>
      <c r="D21" s="35"/>
      <c r="E21" s="35"/>
      <c r="F21" s="35"/>
      <c r="H21" s="35"/>
      <c r="I21" s="35"/>
      <c r="J21" s="35"/>
      <c r="K21" s="35"/>
    </row>
    <row r="22" spans="1:15" x14ac:dyDescent="0.25">
      <c r="A22" s="104">
        <v>15</v>
      </c>
      <c r="B22" s="35" t="s">
        <v>6</v>
      </c>
      <c r="C22" s="35"/>
      <c r="D22" s="34">
        <f>SUM(D9:D21)</f>
        <v>8144.3652461638958</v>
      </c>
      <c r="E22" s="43">
        <f>SUM(E9:E21)</f>
        <v>132430515.75120828</v>
      </c>
      <c r="F22" s="43"/>
      <c r="G22" s="104">
        <v>15</v>
      </c>
      <c r="H22" s="35" t="s">
        <v>6</v>
      </c>
      <c r="I22" s="35"/>
      <c r="J22" s="34">
        <f>SUM(J9:J21)</f>
        <v>18252.818700079639</v>
      </c>
      <c r="K22" s="43">
        <f>SUM(K9:K21)</f>
        <v>58394530.171334751</v>
      </c>
    </row>
    <row r="23" spans="1:15" ht="10.15" customHeight="1" x14ac:dyDescent="0.25">
      <c r="B23" s="35"/>
      <c r="C23" s="35"/>
      <c r="D23" s="34"/>
      <c r="E23" s="43"/>
      <c r="F23" s="43"/>
      <c r="H23" s="35"/>
      <c r="I23" s="35"/>
      <c r="J23" s="34"/>
      <c r="K23" s="43"/>
    </row>
    <row r="24" spans="1:15" ht="27" customHeight="1" x14ac:dyDescent="0.25">
      <c r="A24" s="104">
        <v>16</v>
      </c>
      <c r="B24" s="196" t="s">
        <v>10</v>
      </c>
      <c r="C24" s="196"/>
      <c r="D24" s="36">
        <f>ROUND(D22/E22,5)</f>
        <v>6.0000000000000002E-5</v>
      </c>
      <c r="E24" s="43"/>
      <c r="F24" s="43"/>
      <c r="G24" s="104">
        <v>16</v>
      </c>
      <c r="H24" s="196" t="s">
        <v>10</v>
      </c>
      <c r="I24" s="196"/>
      <c r="J24" s="36">
        <f>ROUND(J22/K22,5)</f>
        <v>3.1E-4</v>
      </c>
      <c r="K24" s="43"/>
    </row>
    <row r="25" spans="1:15" ht="28.15" customHeight="1" x14ac:dyDescent="0.25">
      <c r="A25" s="104">
        <v>17</v>
      </c>
      <c r="B25" s="196" t="s">
        <v>11</v>
      </c>
      <c r="C25" s="196"/>
      <c r="D25" s="36">
        <f>C7</f>
        <v>3.9500000000000004E-3</v>
      </c>
      <c r="E25" s="43"/>
      <c r="F25" s="43"/>
      <c r="G25" s="104">
        <v>17</v>
      </c>
      <c r="H25" s="196" t="s">
        <v>11</v>
      </c>
      <c r="I25" s="196"/>
      <c r="J25" s="36">
        <f>I7</f>
        <v>1.729E-2</v>
      </c>
      <c r="K25" s="43"/>
    </row>
    <row r="26" spans="1:15" ht="28.9" customHeight="1" x14ac:dyDescent="0.25">
      <c r="A26" s="104">
        <v>18</v>
      </c>
      <c r="B26" s="196" t="s">
        <v>12</v>
      </c>
      <c r="C26" s="196"/>
      <c r="D26" s="36">
        <f>D24+D25</f>
        <v>4.0100000000000005E-3</v>
      </c>
      <c r="E26" s="44"/>
      <c r="F26" s="44"/>
      <c r="G26" s="104">
        <v>18</v>
      </c>
      <c r="H26" s="196" t="s">
        <v>12</v>
      </c>
      <c r="I26" s="196"/>
      <c r="J26" s="36">
        <f>J24+J25</f>
        <v>1.7600000000000001E-2</v>
      </c>
      <c r="K26" s="44"/>
    </row>
    <row r="27" spans="1:15" ht="28.9" customHeight="1" x14ac:dyDescent="0.25">
      <c r="A27" s="104">
        <v>19</v>
      </c>
      <c r="B27" s="197" t="s">
        <v>13</v>
      </c>
      <c r="C27" s="197"/>
      <c r="D27" s="37">
        <f>'Conversion Factors'!$E$114</f>
        <v>1.046195</v>
      </c>
      <c r="E27" s="43"/>
      <c r="F27" s="43"/>
      <c r="G27" s="104">
        <v>19</v>
      </c>
      <c r="H27" s="197" t="s">
        <v>13</v>
      </c>
      <c r="I27" s="197"/>
      <c r="J27" s="37">
        <f>D27</f>
        <v>1.046195</v>
      </c>
      <c r="K27" s="43"/>
    </row>
    <row r="28" spans="1:15" ht="27" customHeight="1" x14ac:dyDescent="0.25">
      <c r="A28" s="104">
        <v>20</v>
      </c>
      <c r="B28" s="35" t="s">
        <v>89</v>
      </c>
      <c r="C28" s="35"/>
      <c r="D28" s="36">
        <f>ROUND(D26*D27,5)</f>
        <v>4.1999999999999997E-3</v>
      </c>
      <c r="E28" s="43"/>
      <c r="F28" s="43"/>
      <c r="G28" s="104">
        <v>20</v>
      </c>
      <c r="H28" s="35" t="s">
        <v>89</v>
      </c>
      <c r="I28" s="35"/>
      <c r="J28" s="36">
        <f>ROUND(J26*J27,5)</f>
        <v>1.8409999999999999E-2</v>
      </c>
      <c r="K28" s="43"/>
    </row>
    <row r="29" spans="1:15" ht="27" customHeight="1" x14ac:dyDescent="0.25">
      <c r="A29" s="104">
        <v>21</v>
      </c>
      <c r="B29" s="35" t="s">
        <v>77</v>
      </c>
      <c r="C29" s="35"/>
      <c r="D29" s="36">
        <f>'Earnings Test and 3% Test'!E56</f>
        <v>0</v>
      </c>
      <c r="E29" s="43"/>
      <c r="F29" s="43"/>
      <c r="G29" s="104">
        <v>21</v>
      </c>
      <c r="H29" s="35" t="s">
        <v>77</v>
      </c>
      <c r="I29" s="35"/>
      <c r="J29" s="36">
        <f>'Earnings Test and 3% Test'!F56</f>
        <v>0</v>
      </c>
      <c r="K29" s="43"/>
    </row>
    <row r="30" spans="1:15" ht="27" customHeight="1" x14ac:dyDescent="0.25">
      <c r="A30" s="104">
        <v>22</v>
      </c>
      <c r="B30" s="35" t="s">
        <v>78</v>
      </c>
      <c r="C30" s="35"/>
      <c r="D30" s="36">
        <f>D28+D29</f>
        <v>4.1999999999999997E-3</v>
      </c>
      <c r="E30" s="43" t="str">
        <f>IF(D30&lt;0,"Rebate Rate","Surcharge Rate")</f>
        <v>Surcharge Rate</v>
      </c>
      <c r="F30" s="43"/>
      <c r="G30" s="104">
        <v>22</v>
      </c>
      <c r="H30" s="35" t="s">
        <v>78</v>
      </c>
      <c r="I30" s="35"/>
      <c r="J30" s="36">
        <f>J28+J29</f>
        <v>1.8409999999999999E-2</v>
      </c>
      <c r="K30" s="43" t="str">
        <f>IF(J30&lt;0,"Rebate Rate","Surcharge Rate")</f>
        <v>Surcharge Rate</v>
      </c>
    </row>
    <row r="31" spans="1:15" ht="27" customHeight="1" x14ac:dyDescent="0.25">
      <c r="A31" s="104">
        <v>23</v>
      </c>
      <c r="B31" s="35"/>
      <c r="C31" s="39" t="s">
        <v>85</v>
      </c>
      <c r="D31" s="36">
        <f>ROUND(D30*'Conversion Factors'!$E$108,5)</f>
        <v>4.0099999999999997E-3</v>
      </c>
      <c r="E31" s="43" t="s">
        <v>14</v>
      </c>
      <c r="F31" s="43"/>
      <c r="G31" s="104">
        <v>23</v>
      </c>
      <c r="H31" s="35"/>
      <c r="I31" s="39" t="s">
        <v>85</v>
      </c>
      <c r="J31" s="36">
        <f>ROUND(J30*'Conversion Factors'!$E$108,5)</f>
        <v>1.7600000000000001E-2</v>
      </c>
      <c r="K31" s="43" t="s">
        <v>14</v>
      </c>
    </row>
    <row r="32" spans="1:15" ht="27" customHeight="1" x14ac:dyDescent="0.25">
      <c r="A32" s="104">
        <v>24</v>
      </c>
      <c r="B32" s="35" t="s">
        <v>88</v>
      </c>
      <c r="C32" s="35"/>
      <c r="D32" s="106">
        <f>IF(D29=0,0,C71)</f>
        <v>0</v>
      </c>
      <c r="E32" s="43"/>
      <c r="F32" s="43"/>
      <c r="G32" s="104">
        <v>24</v>
      </c>
      <c r="H32" s="35" t="s">
        <v>79</v>
      </c>
      <c r="I32" s="35"/>
      <c r="J32" s="106">
        <f>IF(J29=0,0,I71)</f>
        <v>0</v>
      </c>
      <c r="K32" s="43"/>
    </row>
    <row r="33" spans="1:12" ht="14.65" customHeight="1" x14ac:dyDescent="0.25">
      <c r="B33" s="35"/>
      <c r="C33" s="35"/>
      <c r="D33" s="34"/>
      <c r="E33" s="43"/>
      <c r="F33" s="43"/>
      <c r="H33" s="35"/>
      <c r="I33" s="35"/>
      <c r="J33" s="34"/>
      <c r="K33" s="43"/>
    </row>
    <row r="34" spans="1:12" ht="14.65" customHeight="1" x14ac:dyDescent="0.25">
      <c r="A34" s="64" t="s">
        <v>80</v>
      </c>
      <c r="B34" s="64" t="s">
        <v>80</v>
      </c>
      <c r="C34" s="35"/>
      <c r="D34" s="34"/>
      <c r="E34" s="43"/>
      <c r="F34" s="43"/>
      <c r="G34" s="64" t="s">
        <v>80</v>
      </c>
      <c r="H34" s="64" t="s">
        <v>80</v>
      </c>
      <c r="I34" s="35"/>
      <c r="J34" s="34"/>
      <c r="K34" s="43"/>
    </row>
    <row r="35" spans="1:12" ht="49.15" customHeight="1" x14ac:dyDescent="0.25">
      <c r="A35" s="101" t="s">
        <v>120</v>
      </c>
      <c r="B35" s="195" t="str">
        <f>"Deferral balance at the end of the month, Rate of "&amp;TEXT(D25,"$0.00000")&amp;" to recover the October 2019 balance of "&amp;TEXT(C8,"$000,000")&amp;" over 12 months.  See page 2 and 5 of Attachment A for October 2019 balance calculation."</f>
        <v>Deferral balance at the end of the month, Rate of $0.00395 to recover the October 2019 balance of $522,566 over 12 months.  See page 2 and 5 of Attachment A for October 2019 balance calculation.</v>
      </c>
      <c r="C35" s="195"/>
      <c r="D35" s="195"/>
      <c r="E35" s="195"/>
      <c r="F35" s="43"/>
      <c r="G35" s="101" t="s">
        <v>120</v>
      </c>
      <c r="H35" s="195" t="str">
        <f>"Deferral balance at the end of the month, Rate of "&amp;TEXT(J25,"$0.00000")&amp;" to recover the October 2019 balance of "&amp;TEXT(I8,"$000,000")&amp;" over 12 months.  See page 4 and 5 of Attachment A for October 2019 balance calculation."</f>
        <v>Deferral balance at the end of the month, Rate of $0.01729 to recover the October 2019 balance of $1,009,863 over 12 months.  See page 4 and 5 of Attachment A for October 2019 balance calculation.</v>
      </c>
      <c r="I35" s="195"/>
      <c r="J35" s="195"/>
      <c r="K35" s="195"/>
    </row>
    <row r="36" spans="1:12" ht="32.450000000000003" customHeight="1" x14ac:dyDescent="0.25">
      <c r="A36" s="101" t="s">
        <v>121</v>
      </c>
      <c r="B36" s="195" t="s">
        <v>122</v>
      </c>
      <c r="C36" s="195"/>
      <c r="D36" s="195"/>
      <c r="E36" s="195"/>
      <c r="F36" s="43"/>
      <c r="G36" s="101" t="s">
        <v>121</v>
      </c>
      <c r="H36" s="195" t="s">
        <v>122</v>
      </c>
      <c r="I36" s="195"/>
      <c r="J36" s="195"/>
      <c r="K36" s="195"/>
    </row>
    <row r="37" spans="1:12" ht="15.6" customHeight="1" x14ac:dyDescent="0.25">
      <c r="B37" s="68" t="s">
        <v>86</v>
      </c>
      <c r="C37" s="103"/>
      <c r="D37" s="103"/>
      <c r="E37" s="103"/>
      <c r="F37" s="43"/>
      <c r="H37" s="68" t="s">
        <v>86</v>
      </c>
      <c r="I37" s="103"/>
      <c r="J37" s="103"/>
      <c r="K37" s="103"/>
    </row>
    <row r="38" spans="1:12" ht="18" customHeight="1" x14ac:dyDescent="0.25">
      <c r="A38" s="101" t="s">
        <v>123</v>
      </c>
      <c r="B38" s="192" t="s">
        <v>199</v>
      </c>
      <c r="C38" s="192"/>
      <c r="D38" s="192"/>
      <c r="E38" s="192"/>
      <c r="F38" s="43"/>
      <c r="G38" s="101" t="s">
        <v>123</v>
      </c>
      <c r="H38" s="192" t="s">
        <v>199</v>
      </c>
      <c r="I38" s="192"/>
      <c r="J38" s="192"/>
      <c r="K38" s="192"/>
    </row>
    <row r="39" spans="1:12" ht="18" customHeight="1" x14ac:dyDescent="0.25">
      <c r="A39" s="101" t="s">
        <v>124</v>
      </c>
      <c r="B39" s="192" t="s">
        <v>142</v>
      </c>
      <c r="C39" s="192"/>
      <c r="D39" s="192"/>
      <c r="E39" s="192"/>
      <c r="F39" s="43"/>
      <c r="G39" s="101" t="s">
        <v>124</v>
      </c>
      <c r="H39" s="192" t="s">
        <v>142</v>
      </c>
      <c r="I39" s="192"/>
      <c r="J39" s="192"/>
      <c r="K39" s="192"/>
    </row>
    <row r="40" spans="1:12" ht="18" customHeight="1" x14ac:dyDescent="0.25">
      <c r="A40" s="101" t="s">
        <v>125</v>
      </c>
      <c r="B40" s="192" t="s">
        <v>128</v>
      </c>
      <c r="C40" s="192"/>
      <c r="D40" s="192"/>
      <c r="E40" s="192"/>
      <c r="F40" s="43"/>
      <c r="G40" s="101" t="s">
        <v>125</v>
      </c>
      <c r="H40" s="192" t="s">
        <v>137</v>
      </c>
      <c r="I40" s="192"/>
      <c r="J40" s="192"/>
      <c r="K40" s="192"/>
    </row>
    <row r="41" spans="1:12" x14ac:dyDescent="0.25">
      <c r="B41" s="35"/>
      <c r="C41" s="35"/>
      <c r="D41" s="34"/>
      <c r="E41" s="43"/>
      <c r="F41" s="43"/>
      <c r="H41" s="35"/>
      <c r="I41" s="35"/>
      <c r="J41" s="34"/>
      <c r="K41" s="43"/>
    </row>
    <row r="42" spans="1:12" ht="27.6" customHeight="1" x14ac:dyDescent="0.3">
      <c r="B42" s="193" t="str">
        <f>B5</f>
        <v>Residential Natural Gas</v>
      </c>
      <c r="C42" s="193"/>
      <c r="D42" s="193"/>
      <c r="E42" s="193"/>
      <c r="F42" s="32"/>
      <c r="H42" s="193" t="str">
        <f>H5</f>
        <v>Non-Residential Natural Gas</v>
      </c>
      <c r="I42" s="193"/>
      <c r="J42" s="193"/>
      <c r="K42" s="193"/>
    </row>
    <row r="43" spans="1:12" x14ac:dyDescent="0.25">
      <c r="A43" s="102"/>
      <c r="B43" s="194" t="s">
        <v>200</v>
      </c>
      <c r="C43" s="194"/>
      <c r="D43" s="194"/>
      <c r="E43" s="194"/>
      <c r="F43" s="35"/>
      <c r="G43" s="102"/>
      <c r="H43" s="194" t="str">
        <f>B43</f>
        <v>Calculate Estimated Monthly Balances through October 2020</v>
      </c>
      <c r="I43" s="194"/>
      <c r="J43" s="194"/>
      <c r="K43" s="194"/>
    </row>
    <row r="44" spans="1:12" ht="30" x14ac:dyDescent="0.25">
      <c r="A44" s="102" t="s">
        <v>112</v>
      </c>
      <c r="B44" s="35"/>
      <c r="C44" s="32" t="s">
        <v>9</v>
      </c>
      <c r="D44" s="32" t="s">
        <v>4</v>
      </c>
      <c r="E44" s="41" t="s">
        <v>84</v>
      </c>
      <c r="F44" s="129" t="s">
        <v>146</v>
      </c>
      <c r="G44" s="102" t="s">
        <v>112</v>
      </c>
      <c r="H44" s="35"/>
      <c r="I44" s="32" t="s">
        <v>9</v>
      </c>
      <c r="J44" s="32" t="s">
        <v>4</v>
      </c>
      <c r="K44" s="41" t="s">
        <v>84</v>
      </c>
      <c r="L44" s="160" t="s">
        <v>146</v>
      </c>
    </row>
    <row r="45" spans="1:12" x14ac:dyDescent="0.25">
      <c r="B45" s="35"/>
      <c r="C45" s="35"/>
      <c r="D45" s="67"/>
      <c r="E45" s="35"/>
      <c r="F45" s="35"/>
      <c r="H45" s="35"/>
      <c r="I45" s="35"/>
      <c r="J45" s="67"/>
      <c r="K45" s="35"/>
    </row>
    <row r="46" spans="1:12" x14ac:dyDescent="0.25">
      <c r="A46" s="104">
        <v>1</v>
      </c>
      <c r="B46" s="63">
        <v>43435</v>
      </c>
      <c r="C46" s="173">
        <v>740535.51</v>
      </c>
      <c r="D46" s="35"/>
      <c r="E46" s="35"/>
      <c r="F46" s="35"/>
      <c r="G46" s="104">
        <v>1</v>
      </c>
      <c r="H46" s="63">
        <f>B46</f>
        <v>43435</v>
      </c>
      <c r="I46" s="173">
        <v>984241.48</v>
      </c>
      <c r="J46" s="35"/>
      <c r="K46" s="35"/>
    </row>
    <row r="47" spans="1:12" x14ac:dyDescent="0.25">
      <c r="A47" s="104">
        <v>2</v>
      </c>
      <c r="B47" s="125" t="s">
        <v>93</v>
      </c>
      <c r="C47" s="34">
        <f>-'Earnings Test and 3% Test'!F34</f>
        <v>-189869</v>
      </c>
      <c r="D47" s="35"/>
      <c r="E47" s="35"/>
      <c r="F47" s="35"/>
      <c r="G47" s="104">
        <v>2</v>
      </c>
      <c r="H47" s="125" t="str">
        <f t="shared" ref="H47:H71" si="6">B47</f>
        <v>Earnings Sharing Adjustment</v>
      </c>
      <c r="I47" s="34">
        <f>-'Earnings Test and 3% Test'!F35</f>
        <v>-59185</v>
      </c>
      <c r="J47" s="35"/>
      <c r="K47" s="35"/>
    </row>
    <row r="48" spans="1:12" x14ac:dyDescent="0.25">
      <c r="A48" s="104">
        <v>3</v>
      </c>
      <c r="B48" s="125" t="s">
        <v>94</v>
      </c>
      <c r="C48" s="34">
        <f>C46+C47</f>
        <v>550666.51</v>
      </c>
      <c r="D48" s="35"/>
      <c r="E48" s="35"/>
      <c r="F48" s="35"/>
      <c r="G48" s="104">
        <v>3</v>
      </c>
      <c r="H48" s="125" t="str">
        <f t="shared" si="6"/>
        <v>Adjusted December Balance</v>
      </c>
      <c r="I48" s="34">
        <f>I46+I47</f>
        <v>925056.48</v>
      </c>
      <c r="J48" s="35"/>
      <c r="K48" s="35"/>
    </row>
    <row r="49" spans="1:12" x14ac:dyDescent="0.25">
      <c r="A49" s="104">
        <v>4</v>
      </c>
      <c r="B49" s="63">
        <f>B46+31</f>
        <v>43466</v>
      </c>
      <c r="C49" s="34">
        <f>C48+D49-E49</f>
        <v>553043.55376816669</v>
      </c>
      <c r="D49" s="34">
        <f>(C48-E49/2)*F49/12</f>
        <v>2377.0437681666667</v>
      </c>
      <c r="E49" s="35"/>
      <c r="F49" s="176">
        <v>5.1799999999999999E-2</v>
      </c>
      <c r="G49" s="104">
        <v>4</v>
      </c>
      <c r="H49" s="63">
        <f t="shared" si="6"/>
        <v>43466</v>
      </c>
      <c r="I49" s="34">
        <f>I48+J49-K49</f>
        <v>929049.640472</v>
      </c>
      <c r="J49" s="34">
        <f>(I48-K49/2)*L49/12</f>
        <v>3993.1604719999996</v>
      </c>
      <c r="K49" s="35"/>
      <c r="L49" s="108">
        <f>F49</f>
        <v>5.1799999999999999E-2</v>
      </c>
    </row>
    <row r="50" spans="1:12" x14ac:dyDescent="0.25">
      <c r="A50" s="104">
        <v>5</v>
      </c>
      <c r="B50" s="63">
        <f>B49+31</f>
        <v>43497</v>
      </c>
      <c r="C50" s="34">
        <f t="shared" ref="C50:C58" si="7">C49+D50-E50</f>
        <v>555430.85844193259</v>
      </c>
      <c r="D50" s="106">
        <f t="shared" ref="D50:D58" si="8">(C49-E50/2)*F50/12</f>
        <v>2387.3046737659192</v>
      </c>
      <c r="E50" s="35"/>
      <c r="F50" s="159">
        <f>F49</f>
        <v>5.1799999999999999E-2</v>
      </c>
      <c r="G50" s="104">
        <v>5</v>
      </c>
      <c r="H50" s="63">
        <f t="shared" si="6"/>
        <v>43497</v>
      </c>
      <c r="I50" s="34">
        <f t="shared" ref="I50:I71" si="9">I49+J50-K50</f>
        <v>933060.03808670409</v>
      </c>
      <c r="J50" s="106">
        <f t="shared" ref="J50:J58" si="10">(I49-K50/2)*L50/12</f>
        <v>4010.3976147041335</v>
      </c>
      <c r="K50" s="35"/>
      <c r="L50" s="108">
        <f t="shared" ref="L50:L71" si="11">F50</f>
        <v>5.1799999999999999E-2</v>
      </c>
    </row>
    <row r="51" spans="1:12" x14ac:dyDescent="0.25">
      <c r="A51" s="104">
        <v>6</v>
      </c>
      <c r="B51" s="63">
        <f t="shared" ref="B51:B57" si="12">B50+31</f>
        <v>43528</v>
      </c>
      <c r="C51" s="34">
        <f t="shared" si="7"/>
        <v>557828.46831420693</v>
      </c>
      <c r="D51" s="106">
        <f t="shared" si="8"/>
        <v>2397.6098722743423</v>
      </c>
      <c r="E51" s="35"/>
      <c r="F51" s="159">
        <f t="shared" ref="F51:F71" si="13">F50</f>
        <v>5.1799999999999999E-2</v>
      </c>
      <c r="G51" s="104">
        <v>6</v>
      </c>
      <c r="H51" s="63">
        <f t="shared" si="6"/>
        <v>43528</v>
      </c>
      <c r="I51" s="34">
        <f t="shared" si="9"/>
        <v>937087.74725111166</v>
      </c>
      <c r="J51" s="106">
        <f t="shared" si="10"/>
        <v>4027.7091644076058</v>
      </c>
      <c r="K51" s="35"/>
      <c r="L51" s="108">
        <f t="shared" si="11"/>
        <v>5.1799999999999999E-2</v>
      </c>
    </row>
    <row r="52" spans="1:12" x14ac:dyDescent="0.25">
      <c r="A52" s="104">
        <v>7</v>
      </c>
      <c r="B52" s="63">
        <f t="shared" si="12"/>
        <v>43559</v>
      </c>
      <c r="C52" s="34">
        <f t="shared" si="7"/>
        <v>560361.9392744673</v>
      </c>
      <c r="D52" s="106">
        <f t="shared" si="8"/>
        <v>2533.4709602603566</v>
      </c>
      <c r="E52" s="35"/>
      <c r="F52" s="176">
        <v>5.45E-2</v>
      </c>
      <c r="G52" s="104">
        <v>7</v>
      </c>
      <c r="H52" s="63">
        <f t="shared" si="6"/>
        <v>43559</v>
      </c>
      <c r="I52" s="34">
        <f t="shared" si="9"/>
        <v>941343.68743654375</v>
      </c>
      <c r="J52" s="106">
        <f t="shared" si="10"/>
        <v>4255.9401854321322</v>
      </c>
      <c r="K52" s="35"/>
      <c r="L52" s="108">
        <f t="shared" si="11"/>
        <v>5.45E-2</v>
      </c>
    </row>
    <row r="53" spans="1:12" x14ac:dyDescent="0.25">
      <c r="A53" s="104">
        <v>8</v>
      </c>
      <c r="B53" s="63">
        <f t="shared" si="12"/>
        <v>43590</v>
      </c>
      <c r="C53" s="34">
        <f t="shared" si="7"/>
        <v>562906.91641533887</v>
      </c>
      <c r="D53" s="106">
        <f t="shared" si="8"/>
        <v>2544.9771408715392</v>
      </c>
      <c r="E53" s="35"/>
      <c r="F53" s="159">
        <f t="shared" si="13"/>
        <v>5.45E-2</v>
      </c>
      <c r="G53" s="104">
        <v>8</v>
      </c>
      <c r="H53" s="63">
        <f t="shared" si="6"/>
        <v>43590</v>
      </c>
      <c r="I53" s="34">
        <f t="shared" si="9"/>
        <v>945618.95668365143</v>
      </c>
      <c r="J53" s="106">
        <f t="shared" si="10"/>
        <v>4275.2692471076361</v>
      </c>
      <c r="K53" s="35"/>
      <c r="L53" s="108">
        <f t="shared" si="11"/>
        <v>5.45E-2</v>
      </c>
    </row>
    <row r="54" spans="1:12" x14ac:dyDescent="0.25">
      <c r="A54" s="104">
        <v>9</v>
      </c>
      <c r="B54" s="63">
        <f t="shared" si="12"/>
        <v>43621</v>
      </c>
      <c r="C54" s="34">
        <f t="shared" si="7"/>
        <v>565463.45199405856</v>
      </c>
      <c r="D54" s="106">
        <f t="shared" si="8"/>
        <v>2556.535578719664</v>
      </c>
      <c r="E54" s="35"/>
      <c r="F54" s="159">
        <f t="shared" si="13"/>
        <v>5.45E-2</v>
      </c>
      <c r="G54" s="104">
        <v>9</v>
      </c>
      <c r="H54" s="63">
        <f t="shared" si="6"/>
        <v>43621</v>
      </c>
      <c r="I54" s="34">
        <f t="shared" si="9"/>
        <v>949913.64277858962</v>
      </c>
      <c r="J54" s="106">
        <f t="shared" si="10"/>
        <v>4294.6860949382508</v>
      </c>
      <c r="K54" s="35"/>
      <c r="L54" s="108">
        <f t="shared" si="11"/>
        <v>5.45E-2</v>
      </c>
    </row>
    <row r="55" spans="1:12" x14ac:dyDescent="0.25">
      <c r="A55" s="104">
        <v>10</v>
      </c>
      <c r="B55" s="63">
        <f t="shared" si="12"/>
        <v>43652</v>
      </c>
      <c r="C55" s="34">
        <f t="shared" si="7"/>
        <v>568055.15948236466</v>
      </c>
      <c r="D55" s="106">
        <f t="shared" si="8"/>
        <v>2591.7074883061018</v>
      </c>
      <c r="E55" s="35"/>
      <c r="F55" s="176">
        <v>5.5E-2</v>
      </c>
      <c r="G55" s="104">
        <v>10</v>
      </c>
      <c r="H55" s="63">
        <f t="shared" si="6"/>
        <v>43652</v>
      </c>
      <c r="I55" s="34">
        <f t="shared" si="9"/>
        <v>954267.41364132485</v>
      </c>
      <c r="J55" s="106">
        <f t="shared" si="10"/>
        <v>4353.7708627352022</v>
      </c>
      <c r="K55" s="35"/>
      <c r="L55" s="108">
        <f t="shared" si="11"/>
        <v>5.5E-2</v>
      </c>
    </row>
    <row r="56" spans="1:12" x14ac:dyDescent="0.25">
      <c r="A56" s="104">
        <v>11</v>
      </c>
      <c r="B56" s="63">
        <f t="shared" si="12"/>
        <v>43683</v>
      </c>
      <c r="C56" s="34">
        <f t="shared" si="7"/>
        <v>570658.74562999222</v>
      </c>
      <c r="D56" s="106">
        <f t="shared" si="8"/>
        <v>2603.5861476275045</v>
      </c>
      <c r="E56" s="35"/>
      <c r="F56" s="159">
        <f t="shared" si="13"/>
        <v>5.5E-2</v>
      </c>
      <c r="G56" s="104">
        <v>11</v>
      </c>
      <c r="H56" s="63">
        <f t="shared" si="6"/>
        <v>43683</v>
      </c>
      <c r="I56" s="34">
        <f t="shared" si="9"/>
        <v>958641.13928718097</v>
      </c>
      <c r="J56" s="106">
        <f t="shared" si="10"/>
        <v>4373.7256458560723</v>
      </c>
      <c r="K56" s="35"/>
      <c r="L56" s="108">
        <f t="shared" si="11"/>
        <v>5.5E-2</v>
      </c>
    </row>
    <row r="57" spans="1:12" x14ac:dyDescent="0.25">
      <c r="A57" s="104">
        <v>12</v>
      </c>
      <c r="B57" s="63">
        <f t="shared" si="12"/>
        <v>43714</v>
      </c>
      <c r="C57" s="34">
        <f t="shared" si="7"/>
        <v>573274.26488079631</v>
      </c>
      <c r="D57" s="106">
        <f t="shared" si="8"/>
        <v>2615.5192508041309</v>
      </c>
      <c r="E57" s="35"/>
      <c r="F57" s="159">
        <f t="shared" si="13"/>
        <v>5.5E-2</v>
      </c>
      <c r="G57" s="104">
        <v>12</v>
      </c>
      <c r="H57" s="63">
        <f t="shared" si="6"/>
        <v>43714</v>
      </c>
      <c r="I57" s="34">
        <f t="shared" si="9"/>
        <v>963034.91117558058</v>
      </c>
      <c r="J57" s="106">
        <f t="shared" si="10"/>
        <v>4393.7718883995794</v>
      </c>
      <c r="K57" s="35"/>
      <c r="L57" s="108">
        <f t="shared" si="11"/>
        <v>5.5E-2</v>
      </c>
    </row>
    <row r="58" spans="1:12" x14ac:dyDescent="0.25">
      <c r="A58" s="104">
        <v>13</v>
      </c>
      <c r="B58" s="65">
        <f>B57+31</f>
        <v>43745</v>
      </c>
      <c r="C58" s="66">
        <f t="shared" si="7"/>
        <v>575901.77192816662</v>
      </c>
      <c r="D58" s="106">
        <f t="shared" si="8"/>
        <v>2627.5070473703167</v>
      </c>
      <c r="E58" s="35"/>
      <c r="F58" s="159">
        <f t="shared" si="13"/>
        <v>5.5E-2</v>
      </c>
      <c r="G58" s="104">
        <v>13</v>
      </c>
      <c r="H58" s="63">
        <f t="shared" si="6"/>
        <v>43745</v>
      </c>
      <c r="I58" s="66">
        <f t="shared" si="9"/>
        <v>967448.82118513528</v>
      </c>
      <c r="J58" s="106">
        <f t="shared" si="10"/>
        <v>4413.9100095547446</v>
      </c>
      <c r="K58" s="35"/>
      <c r="L58" s="108">
        <f t="shared" si="11"/>
        <v>5.5E-2</v>
      </c>
    </row>
    <row r="59" spans="1:12" s="105" customFormat="1" x14ac:dyDescent="0.25">
      <c r="A59" s="112">
        <v>14</v>
      </c>
      <c r="B59" s="125" t="s">
        <v>196</v>
      </c>
      <c r="C59" s="59">
        <f>'Prior Year Amortization'!F20</f>
        <v>-53335.339999999473</v>
      </c>
      <c r="D59" s="106"/>
      <c r="E59" s="35"/>
      <c r="F59" s="159">
        <f t="shared" si="13"/>
        <v>5.5E-2</v>
      </c>
      <c r="G59" s="112">
        <v>14</v>
      </c>
      <c r="H59" s="125" t="s">
        <v>196</v>
      </c>
      <c r="I59" s="59">
        <f>'Prior Year Amortization'!F37</f>
        <v>42414.609999999971</v>
      </c>
      <c r="J59" s="106"/>
      <c r="K59" s="35"/>
      <c r="L59" s="108">
        <f t="shared" si="11"/>
        <v>5.5E-2</v>
      </c>
    </row>
    <row r="60" spans="1:12" x14ac:dyDescent="0.25">
      <c r="A60" s="112">
        <v>15</v>
      </c>
      <c r="B60" s="63">
        <f>B58+31</f>
        <v>43776</v>
      </c>
      <c r="C60" s="34">
        <f>C58+C59+D60-E60</f>
        <v>461061.14171058021</v>
      </c>
      <c r="D60" s="34">
        <f>(C58+C59-E60/2)*F60/12</f>
        <v>2248.9925815893207</v>
      </c>
      <c r="E60" s="34">
        <f>E9*D$31</f>
        <v>63754.282799176144</v>
      </c>
      <c r="F60" s="159">
        <f t="shared" si="13"/>
        <v>5.5E-2</v>
      </c>
      <c r="G60" s="112">
        <v>15</v>
      </c>
      <c r="H60" s="63">
        <f t="shared" si="6"/>
        <v>43776</v>
      </c>
      <c r="I60" s="34">
        <f>I58+I59+J60-K60</f>
        <v>890156.15945975913</v>
      </c>
      <c r="J60" s="34">
        <f>(I58+I59-K60/2)*L60/12</f>
        <v>4344.2559752845227</v>
      </c>
      <c r="K60" s="34">
        <f>K9*J$31</f>
        <v>124051.52770066066</v>
      </c>
      <c r="L60" s="108">
        <f t="shared" si="11"/>
        <v>5.5E-2</v>
      </c>
    </row>
    <row r="61" spans="1:12" x14ac:dyDescent="0.25">
      <c r="A61" s="112">
        <v>16</v>
      </c>
      <c r="B61" s="63">
        <f t="shared" ref="B61:B70" si="14">B60+31</f>
        <v>43807</v>
      </c>
      <c r="C61" s="34">
        <f t="shared" ref="C61:C71" si="15">C60+D61-E61</f>
        <v>366427.35245063133</v>
      </c>
      <c r="D61" s="106">
        <f>(C60-E61/2)*F61/12</f>
        <v>1891.991984155753</v>
      </c>
      <c r="E61" s="34">
        <f t="shared" ref="E61:E71" si="16">E10*D$31</f>
        <v>96525.781244104597</v>
      </c>
      <c r="F61" s="159">
        <f t="shared" si="13"/>
        <v>5.5E-2</v>
      </c>
      <c r="G61" s="112">
        <v>16</v>
      </c>
      <c r="H61" s="63">
        <f t="shared" si="6"/>
        <v>43807</v>
      </c>
      <c r="I61" s="34">
        <f t="shared" si="9"/>
        <v>730166.05761289934</v>
      </c>
      <c r="J61" s="34">
        <f>(I60-K61/2)*L61/12</f>
        <v>3704.7483657865814</v>
      </c>
      <c r="K61" s="34">
        <f t="shared" ref="K61:K71" si="17">K10*J$31</f>
        <v>163694.85021264639</v>
      </c>
      <c r="L61" s="108">
        <f t="shared" si="11"/>
        <v>5.5E-2</v>
      </c>
    </row>
    <row r="62" spans="1:12" ht="14.45" customHeight="1" x14ac:dyDescent="0.25">
      <c r="A62" s="112">
        <v>17</v>
      </c>
      <c r="B62" s="63">
        <f t="shared" si="14"/>
        <v>43838</v>
      </c>
      <c r="C62" s="34">
        <f t="shared" si="15"/>
        <v>271328.88124898903</v>
      </c>
      <c r="D62" s="106">
        <f t="shared" ref="D62:D71" si="18">(C61-E62/2)*F62/12</f>
        <v>1458.1830327781799</v>
      </c>
      <c r="E62" s="34">
        <f t="shared" si="16"/>
        <v>96556.654234420479</v>
      </c>
      <c r="F62" s="159">
        <f t="shared" si="13"/>
        <v>5.5E-2</v>
      </c>
      <c r="G62" s="112">
        <v>17</v>
      </c>
      <c r="H62" s="63">
        <f t="shared" si="6"/>
        <v>43838</v>
      </c>
      <c r="I62" s="34">
        <f t="shared" si="9"/>
        <v>575532.5319770819</v>
      </c>
      <c r="J62" s="106">
        <f t="shared" ref="J62:J71" si="19">(I61-K62/2)*L62/12</f>
        <v>2985.3844284950724</v>
      </c>
      <c r="K62" s="34">
        <f t="shared" si="17"/>
        <v>157618.91006431257</v>
      </c>
      <c r="L62" s="108">
        <f t="shared" si="11"/>
        <v>5.5E-2</v>
      </c>
    </row>
    <row r="63" spans="1:12" x14ac:dyDescent="0.25">
      <c r="A63" s="112">
        <v>18</v>
      </c>
      <c r="B63" s="63">
        <f t="shared" si="14"/>
        <v>43869</v>
      </c>
      <c r="C63" s="34">
        <f t="shared" si="15"/>
        <v>191754.51750407735</v>
      </c>
      <c r="D63" s="106">
        <f t="shared" si="18"/>
        <v>1058.8063575730055</v>
      </c>
      <c r="E63" s="34">
        <f t="shared" si="16"/>
        <v>80633.170102484684</v>
      </c>
      <c r="F63" s="159">
        <f t="shared" si="13"/>
        <v>5.5E-2</v>
      </c>
      <c r="G63" s="112">
        <v>18</v>
      </c>
      <c r="H63" s="63">
        <f t="shared" si="6"/>
        <v>43869</v>
      </c>
      <c r="I63" s="34">
        <f t="shared" si="9"/>
        <v>445069.01554493146</v>
      </c>
      <c r="J63" s="106">
        <f t="shared" si="19"/>
        <v>2333.530871490781</v>
      </c>
      <c r="K63" s="34">
        <f t="shared" si="17"/>
        <v>132797.04730364127</v>
      </c>
      <c r="L63" s="108">
        <f t="shared" si="11"/>
        <v>5.5E-2</v>
      </c>
    </row>
    <row r="64" spans="1:12" x14ac:dyDescent="0.25">
      <c r="A64" s="112">
        <v>19</v>
      </c>
      <c r="B64" s="63">
        <f t="shared" si="14"/>
        <v>43900</v>
      </c>
      <c r="C64" s="34">
        <f t="shared" si="15"/>
        <v>128910.13266693187</v>
      </c>
      <c r="D64" s="106">
        <f t="shared" si="18"/>
        <v>733.17629430079012</v>
      </c>
      <c r="E64" s="34">
        <f t="shared" si="16"/>
        <v>63577.561131446266</v>
      </c>
      <c r="F64" s="159">
        <f t="shared" si="13"/>
        <v>5.5E-2</v>
      </c>
      <c r="G64" s="112">
        <v>19</v>
      </c>
      <c r="H64" s="63">
        <f t="shared" si="6"/>
        <v>43900</v>
      </c>
      <c r="I64" s="34">
        <f t="shared" si="9"/>
        <v>337957.30556781736</v>
      </c>
      <c r="J64" s="106">
        <f t="shared" si="19"/>
        <v>1790.3324739638822</v>
      </c>
      <c r="K64" s="34">
        <f t="shared" si="17"/>
        <v>108902.04245107801</v>
      </c>
      <c r="L64" s="108">
        <f t="shared" si="11"/>
        <v>5.5E-2</v>
      </c>
    </row>
    <row r="65" spans="1:12" x14ac:dyDescent="0.25">
      <c r="A65" s="112">
        <v>20</v>
      </c>
      <c r="B65" s="63">
        <f t="shared" si="14"/>
        <v>43931</v>
      </c>
      <c r="C65" s="34">
        <f t="shared" si="15"/>
        <v>90827.835013299045</v>
      </c>
      <c r="D65" s="106">
        <f t="shared" si="18"/>
        <v>502.41480866400752</v>
      </c>
      <c r="E65" s="34">
        <f t="shared" si="16"/>
        <v>38584.712462296833</v>
      </c>
      <c r="F65" s="159">
        <f t="shared" si="13"/>
        <v>5.5E-2</v>
      </c>
      <c r="G65" s="112">
        <v>20</v>
      </c>
      <c r="H65" s="63">
        <f t="shared" si="6"/>
        <v>43931</v>
      </c>
      <c r="I65" s="34">
        <f t="shared" si="9"/>
        <v>267982.13174175168</v>
      </c>
      <c r="J65" s="106">
        <f t="shared" si="19"/>
        <v>1385.4362524226274</v>
      </c>
      <c r="K65" s="34">
        <f t="shared" si="17"/>
        <v>71360.610078488273</v>
      </c>
      <c r="L65" s="108">
        <f t="shared" si="11"/>
        <v>5.5E-2</v>
      </c>
    </row>
    <row r="66" spans="1:12" x14ac:dyDescent="0.25">
      <c r="A66" s="112">
        <v>21</v>
      </c>
      <c r="B66" s="63">
        <f t="shared" si="14"/>
        <v>43962</v>
      </c>
      <c r="C66" s="34">
        <f t="shared" si="15"/>
        <v>72342.753723911868</v>
      </c>
      <c r="D66" s="106">
        <f t="shared" si="18"/>
        <v>373.07762962155897</v>
      </c>
      <c r="E66" s="34">
        <f t="shared" si="16"/>
        <v>18858.158919008743</v>
      </c>
      <c r="F66" s="159">
        <f t="shared" si="13"/>
        <v>5.5E-2</v>
      </c>
      <c r="G66" s="112">
        <v>21</v>
      </c>
      <c r="H66" s="63">
        <f t="shared" si="6"/>
        <v>43962</v>
      </c>
      <c r="I66" s="34">
        <f t="shared" si="9"/>
        <v>228472.64359465404</v>
      </c>
      <c r="J66" s="106">
        <f t="shared" si="19"/>
        <v>1135.1075719601877</v>
      </c>
      <c r="K66" s="34">
        <f t="shared" si="17"/>
        <v>40644.595719057819</v>
      </c>
      <c r="L66" s="108">
        <f t="shared" si="11"/>
        <v>5.5E-2</v>
      </c>
    </row>
    <row r="67" spans="1:12" x14ac:dyDescent="0.25">
      <c r="A67" s="112">
        <v>22</v>
      </c>
      <c r="B67" s="63">
        <f t="shared" si="14"/>
        <v>43993</v>
      </c>
      <c r="C67" s="34">
        <f t="shared" si="15"/>
        <v>61303.085975449896</v>
      </c>
      <c r="D67" s="106">
        <f t="shared" si="18"/>
        <v>305.57144807586349</v>
      </c>
      <c r="E67" s="34">
        <f t="shared" si="16"/>
        <v>11345.239196537836</v>
      </c>
      <c r="F67" s="159">
        <f t="shared" si="13"/>
        <v>5.5E-2</v>
      </c>
      <c r="G67" s="112">
        <v>22</v>
      </c>
      <c r="H67" s="63">
        <f t="shared" si="6"/>
        <v>43993</v>
      </c>
      <c r="I67" s="34">
        <f t="shared" si="9"/>
        <v>198121.52853651016</v>
      </c>
      <c r="J67" s="106">
        <f t="shared" si="19"/>
        <v>975.37640686817838</v>
      </c>
      <c r="K67" s="34">
        <f t="shared" si="17"/>
        <v>31326.491465012081</v>
      </c>
      <c r="L67" s="108">
        <f t="shared" si="11"/>
        <v>5.5E-2</v>
      </c>
    </row>
    <row r="68" spans="1:12" x14ac:dyDescent="0.25">
      <c r="A68" s="112">
        <v>23</v>
      </c>
      <c r="B68" s="63">
        <f t="shared" si="14"/>
        <v>44024</v>
      </c>
      <c r="C68" s="34">
        <f t="shared" si="15"/>
        <v>52251.017423822996</v>
      </c>
      <c r="D68" s="106">
        <f t="shared" si="18"/>
        <v>259.63316096279397</v>
      </c>
      <c r="E68" s="34">
        <f t="shared" si="16"/>
        <v>9311.7017125897</v>
      </c>
      <c r="F68" s="159">
        <f t="shared" si="13"/>
        <v>5.5E-2</v>
      </c>
      <c r="G68" s="112">
        <v>23</v>
      </c>
      <c r="H68" s="63">
        <f t="shared" si="6"/>
        <v>44024</v>
      </c>
      <c r="I68" s="34">
        <f t="shared" si="9"/>
        <v>165799.77152932659</v>
      </c>
      <c r="J68" s="106">
        <f t="shared" si="19"/>
        <v>832.0794638794855</v>
      </c>
      <c r="K68" s="34">
        <f t="shared" si="17"/>
        <v>33153.836471063056</v>
      </c>
      <c r="L68" s="108">
        <f t="shared" si="11"/>
        <v>5.5E-2</v>
      </c>
    </row>
    <row r="69" spans="1:12" x14ac:dyDescent="0.25">
      <c r="A69" s="112">
        <v>24</v>
      </c>
      <c r="B69" s="63">
        <f t="shared" si="14"/>
        <v>44055</v>
      </c>
      <c r="C69" s="34">
        <f t="shared" si="15"/>
        <v>43726.804098794761</v>
      </c>
      <c r="D69" s="106">
        <f t="shared" si="18"/>
        <v>219.44627660544487</v>
      </c>
      <c r="E69" s="34">
        <f t="shared" si="16"/>
        <v>8743.6596016336807</v>
      </c>
      <c r="F69" s="159">
        <f t="shared" si="13"/>
        <v>5.5E-2</v>
      </c>
      <c r="G69" s="112">
        <v>24</v>
      </c>
      <c r="H69" s="63">
        <f t="shared" si="6"/>
        <v>44055</v>
      </c>
      <c r="I69" s="34">
        <f t="shared" si="9"/>
        <v>130812.26114138252</v>
      </c>
      <c r="J69" s="106">
        <f t="shared" si="19"/>
        <v>678.18174171228441</v>
      </c>
      <c r="K69" s="34">
        <f t="shared" si="17"/>
        <v>35665.692129656367</v>
      </c>
      <c r="L69" s="108">
        <f t="shared" si="11"/>
        <v>5.5E-2</v>
      </c>
    </row>
    <row r="70" spans="1:12" x14ac:dyDescent="0.25">
      <c r="A70" s="112">
        <v>25</v>
      </c>
      <c r="B70" s="63">
        <f t="shared" si="14"/>
        <v>44086</v>
      </c>
      <c r="C70" s="34">
        <f t="shared" si="15"/>
        <v>32851.598015303221</v>
      </c>
      <c r="D70" s="106">
        <f t="shared" si="18"/>
        <v>175.09092148307582</v>
      </c>
      <c r="E70" s="34">
        <f t="shared" si="16"/>
        <v>11050.297004974615</v>
      </c>
      <c r="F70" s="159">
        <f t="shared" si="13"/>
        <v>5.5E-2</v>
      </c>
      <c r="G70" s="112">
        <v>25</v>
      </c>
      <c r="H70" s="63">
        <f t="shared" si="6"/>
        <v>44086</v>
      </c>
      <c r="I70" s="34">
        <f t="shared" si="9"/>
        <v>90601.510528089013</v>
      </c>
      <c r="J70" s="106">
        <f t="shared" si="19"/>
        <v>506.24641204826167</v>
      </c>
      <c r="K70" s="34">
        <f t="shared" si="17"/>
        <v>40716.997025341756</v>
      </c>
      <c r="L70" s="108">
        <f t="shared" si="11"/>
        <v>5.5E-2</v>
      </c>
    </row>
    <row r="71" spans="1:12" x14ac:dyDescent="0.25">
      <c r="A71" s="112">
        <v>26</v>
      </c>
      <c r="B71" s="65">
        <f>B70+31</f>
        <v>44117</v>
      </c>
      <c r="C71" s="66">
        <f t="shared" si="15"/>
        <v>823.44378434968166</v>
      </c>
      <c r="D71" s="106">
        <f t="shared" si="18"/>
        <v>76.995522717975874</v>
      </c>
      <c r="E71" s="34">
        <f t="shared" si="16"/>
        <v>32105.149753671514</v>
      </c>
      <c r="F71" s="159">
        <f t="shared" si="13"/>
        <v>5.5E-2</v>
      </c>
      <c r="G71" s="112">
        <v>26</v>
      </c>
      <c r="H71" s="63">
        <f t="shared" si="6"/>
        <v>44117</v>
      </c>
      <c r="I71" s="66">
        <f t="shared" si="9"/>
        <v>3004.4032163219672</v>
      </c>
      <c r="J71" s="106">
        <f t="shared" si="19"/>
        <v>214.02308276626911</v>
      </c>
      <c r="K71" s="34">
        <f t="shared" si="17"/>
        <v>87811.13039453332</v>
      </c>
      <c r="L71" s="108">
        <f t="shared" si="11"/>
        <v>5.5E-2</v>
      </c>
    </row>
    <row r="72" spans="1:12" x14ac:dyDescent="0.25">
      <c r="B72" s="35"/>
      <c r="C72" s="35"/>
      <c r="D72" s="35"/>
      <c r="E72" s="35"/>
      <c r="F72" s="35"/>
      <c r="H72" s="35"/>
      <c r="I72" s="35"/>
      <c r="J72" s="35"/>
      <c r="K72" s="35"/>
    </row>
    <row r="73" spans="1:12" x14ac:dyDescent="0.25">
      <c r="A73" s="104">
        <v>27</v>
      </c>
      <c r="B73" s="39" t="s">
        <v>113</v>
      </c>
      <c r="C73" s="35"/>
      <c r="D73" s="34">
        <f>SUM(D49:D72)</f>
        <v>34538.641946694297</v>
      </c>
      <c r="E73" s="34">
        <f>SUM(E60:E71)</f>
        <v>531046.36816234502</v>
      </c>
      <c r="F73" s="35"/>
      <c r="G73" s="104">
        <v>27</v>
      </c>
      <c r="H73" s="39" t="s">
        <v>113</v>
      </c>
      <c r="I73" s="35"/>
      <c r="J73" s="34">
        <f>SUM(J49:J72)</f>
        <v>63277.044231813503</v>
      </c>
      <c r="K73" s="34">
        <f>SUM(K60:K71)</f>
        <v>1027743.7310154914</v>
      </c>
    </row>
    <row r="74" spans="1:12" x14ac:dyDescent="0.25">
      <c r="A74" s="104"/>
      <c r="B74" s="39"/>
      <c r="C74" s="35"/>
      <c r="D74" s="35"/>
      <c r="E74" s="35"/>
      <c r="F74" s="35"/>
      <c r="G74" s="104"/>
      <c r="H74" s="39"/>
      <c r="I74" s="35"/>
      <c r="J74" s="35"/>
      <c r="K74" s="35"/>
    </row>
    <row r="75" spans="1:12" x14ac:dyDescent="0.25">
      <c r="B75" s="54" t="s">
        <v>119</v>
      </c>
      <c r="H75" s="54" t="s">
        <v>119</v>
      </c>
    </row>
    <row r="76" spans="1:12" x14ac:dyDescent="0.25">
      <c r="A76" s="104">
        <v>28</v>
      </c>
      <c r="B76" t="s">
        <v>201</v>
      </c>
      <c r="C76" s="99">
        <f>C46</f>
        <v>740535.51</v>
      </c>
      <c r="G76" s="112">
        <v>28</v>
      </c>
      <c r="H76" s="105" t="s">
        <v>201</v>
      </c>
      <c r="I76" s="99">
        <f>I46</f>
        <v>984241.48</v>
      </c>
    </row>
    <row r="77" spans="1:12" x14ac:dyDescent="0.25">
      <c r="A77" s="104">
        <v>29</v>
      </c>
      <c r="B77" t="s">
        <v>115</v>
      </c>
      <c r="C77" s="99">
        <f>C47</f>
        <v>-189869</v>
      </c>
      <c r="G77" s="112">
        <v>29</v>
      </c>
      <c r="H77" s="105" t="s">
        <v>115</v>
      </c>
      <c r="I77" s="99">
        <f>I47</f>
        <v>-59185</v>
      </c>
    </row>
    <row r="78" spans="1:12" s="105" customFormat="1" x14ac:dyDescent="0.25">
      <c r="A78" s="112">
        <v>30</v>
      </c>
      <c r="B78" s="105" t="s">
        <v>195</v>
      </c>
      <c r="C78" s="99">
        <f>C59</f>
        <v>-53335.339999999473</v>
      </c>
      <c r="G78" s="112">
        <v>30</v>
      </c>
      <c r="H78" s="105" t="s">
        <v>195</v>
      </c>
      <c r="I78" s="99">
        <f>I59</f>
        <v>42414.609999999971</v>
      </c>
    </row>
    <row r="79" spans="1:12" x14ac:dyDescent="0.25">
      <c r="A79" s="112">
        <v>31</v>
      </c>
      <c r="B79" t="s">
        <v>202</v>
      </c>
      <c r="C79" s="99">
        <f>D73</f>
        <v>34538.641946694297</v>
      </c>
      <c r="G79" s="112">
        <v>31</v>
      </c>
      <c r="H79" s="105" t="s">
        <v>202</v>
      </c>
      <c r="I79" s="99">
        <f>J73</f>
        <v>63277.044231813503</v>
      </c>
    </row>
    <row r="80" spans="1:12" x14ac:dyDescent="0.25">
      <c r="A80" s="112">
        <v>32</v>
      </c>
      <c r="B80" s="105" t="s">
        <v>133</v>
      </c>
      <c r="C80" s="99">
        <f>(D30-D31)*E22-C71</f>
        <v>24338.3542083799</v>
      </c>
      <c r="G80" s="112">
        <v>32</v>
      </c>
      <c r="H80" s="105" t="s">
        <v>133</v>
      </c>
      <c r="I80" s="99">
        <f>(J30-J31)*K22-I71</f>
        <v>44295.166222459076</v>
      </c>
    </row>
    <row r="81" spans="1:9" x14ac:dyDescent="0.25">
      <c r="A81" s="112">
        <v>33</v>
      </c>
      <c r="B81" t="s">
        <v>131</v>
      </c>
      <c r="C81" s="100">
        <f>SUM(C76:C80)</f>
        <v>556208.16615507472</v>
      </c>
      <c r="G81" s="112">
        <v>33</v>
      </c>
      <c r="H81" t="s">
        <v>131</v>
      </c>
      <c r="I81" s="100">
        <f>SUM(I76:I80)</f>
        <v>1075043.3004542727</v>
      </c>
    </row>
    <row r="82" spans="1:9" x14ac:dyDescent="0.25">
      <c r="A82" s="112">
        <v>34</v>
      </c>
      <c r="B82" s="82" t="s">
        <v>116</v>
      </c>
      <c r="C82" s="99">
        <f>D30*E22</f>
        <v>556208.16615507472</v>
      </c>
      <c r="G82" s="112">
        <v>34</v>
      </c>
      <c r="H82" s="82" t="s">
        <v>116</v>
      </c>
      <c r="I82" s="99">
        <f>J30*K22</f>
        <v>1075043.3004542727</v>
      </c>
    </row>
    <row r="83" spans="1:9" x14ac:dyDescent="0.25">
      <c r="A83" s="112">
        <v>35</v>
      </c>
      <c r="B83" t="s">
        <v>117</v>
      </c>
      <c r="C83" s="99">
        <f>C81-C82</f>
        <v>0</v>
      </c>
      <c r="G83" s="112">
        <v>35</v>
      </c>
      <c r="H83" t="s">
        <v>117</v>
      </c>
      <c r="I83" s="99">
        <f>I81-I82</f>
        <v>0</v>
      </c>
    </row>
  </sheetData>
  <customSheetViews>
    <customSheetView guid="{5C6B1FA1-B621-4699-B8F7-5011E8FF1BCD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46">
      <selection activeCell="C32" sqref="C32"/>
      <rowBreaks count="1" manualBreakCount="1">
        <brk id="42" max="8" man="1"/>
      </rowBreaks>
      <colBreaks count="1" manualBreakCount="1">
        <brk id="5" max="59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0">
    <mergeCell ref="B1:E1"/>
    <mergeCell ref="H1:K1"/>
    <mergeCell ref="B2:E2"/>
    <mergeCell ref="H2:K2"/>
    <mergeCell ref="B3:E3"/>
    <mergeCell ref="H3:K3"/>
    <mergeCell ref="B5:E5"/>
    <mergeCell ref="H5:K5"/>
    <mergeCell ref="B24:C24"/>
    <mergeCell ref="H24:I24"/>
    <mergeCell ref="B25:C25"/>
    <mergeCell ref="H25:I25"/>
    <mergeCell ref="B26:C26"/>
    <mergeCell ref="H26:I26"/>
    <mergeCell ref="B27:C27"/>
    <mergeCell ref="H27:I27"/>
    <mergeCell ref="B35:E35"/>
    <mergeCell ref="H35:K35"/>
    <mergeCell ref="B36:E36"/>
    <mergeCell ref="H36:K36"/>
    <mergeCell ref="B38:E38"/>
    <mergeCell ref="H38:K38"/>
    <mergeCell ref="B39:E39"/>
    <mergeCell ref="H39:K39"/>
    <mergeCell ref="B40:E40"/>
    <mergeCell ref="H40:K40"/>
    <mergeCell ref="B42:E42"/>
    <mergeCell ref="H42:K42"/>
    <mergeCell ref="B43:E43"/>
    <mergeCell ref="H43:K4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8" man="1"/>
  </col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topLeftCell="A30" zoomScaleNormal="100" workbookViewId="0">
      <selection activeCell="A43" sqref="A43"/>
    </sheetView>
  </sheetViews>
  <sheetFormatPr defaultRowHeight="15" x14ac:dyDescent="0.25"/>
  <cols>
    <col min="1" max="1" width="4.5703125" customWidth="1"/>
    <col min="2" max="2" width="27.85546875" customWidth="1"/>
    <col min="3" max="3" width="16.85546875" customWidth="1"/>
    <col min="4" max="4" width="16" customWidth="1"/>
    <col min="5" max="5" width="16.7109375" customWidth="1"/>
    <col min="6" max="6" width="2.28515625" customWidth="1"/>
    <col min="7" max="7" width="4.85546875" customWidth="1"/>
    <col min="8" max="8" width="28" customWidth="1"/>
    <col min="9" max="9" width="18" customWidth="1"/>
    <col min="10" max="10" width="16.28515625" customWidth="1"/>
    <col min="11" max="11" width="16.7109375" customWidth="1"/>
    <col min="12" max="12" width="2.28515625" customWidth="1"/>
    <col min="13" max="14" width="11.7109375" customWidth="1"/>
    <col min="15" max="15" width="10.42578125" customWidth="1"/>
    <col min="16" max="16" width="12.7109375" customWidth="1"/>
  </cols>
  <sheetData>
    <row r="1" spans="1:11" x14ac:dyDescent="0.25">
      <c r="B1" s="200" t="s">
        <v>0</v>
      </c>
      <c r="C1" s="200"/>
      <c r="D1" s="200"/>
      <c r="E1" s="200"/>
      <c r="F1" s="62"/>
      <c r="G1" s="62"/>
      <c r="H1" s="200" t="s">
        <v>0</v>
      </c>
      <c r="I1" s="200"/>
      <c r="J1" s="200"/>
      <c r="K1" s="200"/>
    </row>
    <row r="2" spans="1:11" x14ac:dyDescent="0.25">
      <c r="B2" s="200" t="s">
        <v>1</v>
      </c>
      <c r="C2" s="200"/>
      <c r="D2" s="200"/>
      <c r="E2" s="200"/>
      <c r="F2" s="62"/>
      <c r="G2" s="62"/>
      <c r="H2" s="200" t="s">
        <v>1</v>
      </c>
      <c r="I2" s="200"/>
      <c r="J2" s="200"/>
      <c r="K2" s="200"/>
    </row>
    <row r="3" spans="1:11" x14ac:dyDescent="0.25">
      <c r="B3" s="200" t="s">
        <v>2</v>
      </c>
      <c r="C3" s="200"/>
      <c r="D3" s="200"/>
      <c r="E3" s="200"/>
      <c r="F3" s="62"/>
      <c r="G3" s="62"/>
      <c r="H3" s="200" t="s">
        <v>2</v>
      </c>
      <c r="I3" s="200"/>
      <c r="J3" s="200"/>
      <c r="K3" s="200"/>
    </row>
    <row r="5" spans="1:11" x14ac:dyDescent="0.25">
      <c r="B5" s="194" t="s">
        <v>47</v>
      </c>
      <c r="C5" s="194"/>
      <c r="D5" s="194"/>
      <c r="E5" s="194"/>
      <c r="F5" s="71"/>
      <c r="G5" s="35"/>
      <c r="H5" s="194" t="s">
        <v>48</v>
      </c>
      <c r="I5" s="194"/>
      <c r="J5" s="194"/>
      <c r="K5" s="194"/>
    </row>
    <row r="6" spans="1:11" ht="29.45" customHeight="1" x14ac:dyDescent="0.25">
      <c r="A6" s="91" t="s">
        <v>112</v>
      </c>
      <c r="B6" s="70" t="s">
        <v>3</v>
      </c>
      <c r="C6" s="70" t="s">
        <v>7</v>
      </c>
      <c r="D6" s="70" t="s">
        <v>8</v>
      </c>
      <c r="E6" s="86" t="s">
        <v>129</v>
      </c>
      <c r="F6" s="70"/>
      <c r="G6" s="91" t="s">
        <v>112</v>
      </c>
      <c r="H6" s="70" t="s">
        <v>3</v>
      </c>
      <c r="I6" s="70" t="s">
        <v>7</v>
      </c>
      <c r="J6" s="70" t="s">
        <v>8</v>
      </c>
      <c r="K6" s="86" t="s">
        <v>129</v>
      </c>
    </row>
    <row r="7" spans="1:11" x14ac:dyDescent="0.25">
      <c r="A7" s="92">
        <v>1</v>
      </c>
      <c r="B7" s="70"/>
      <c r="C7" s="90" t="e">
        <f>ROUND(C8/E22,5)</f>
        <v>#REF!</v>
      </c>
      <c r="D7" s="33">
        <v>3.5000000000000003E-2</v>
      </c>
      <c r="E7" s="70"/>
      <c r="F7" s="70"/>
      <c r="G7" s="92">
        <v>1</v>
      </c>
      <c r="H7" s="70"/>
      <c r="I7" s="70" t="e">
        <f>ROUND(I8/K22,5)</f>
        <v>#REF!</v>
      </c>
      <c r="J7" s="33">
        <f>D7</f>
        <v>3.5000000000000003E-2</v>
      </c>
      <c r="K7" s="70"/>
    </row>
    <row r="8" spans="1:11" x14ac:dyDescent="0.25">
      <c r="A8" s="92">
        <v>2</v>
      </c>
      <c r="B8" s="63">
        <v>42644</v>
      </c>
      <c r="C8" s="34" t="e">
        <f>C58</f>
        <v>#REF!</v>
      </c>
      <c r="D8" s="34"/>
      <c r="E8" s="35"/>
      <c r="F8" s="35"/>
      <c r="G8" s="92">
        <v>2</v>
      </c>
      <c r="H8" s="63">
        <v>42644</v>
      </c>
      <c r="I8" s="34" t="e">
        <f>I58</f>
        <v>#REF!</v>
      </c>
      <c r="J8" s="34"/>
      <c r="K8" s="35"/>
    </row>
    <row r="9" spans="1:11" x14ac:dyDescent="0.25">
      <c r="A9" s="92">
        <v>3</v>
      </c>
      <c r="B9" s="63">
        <v>42675</v>
      </c>
      <c r="C9" s="34" t="e">
        <f>C8-($C$7*E9)</f>
        <v>#REF!</v>
      </c>
      <c r="D9" s="34" t="e">
        <f>(C8+C9)/2*($D$7/12)</f>
        <v>#REF!</v>
      </c>
      <c r="E9" s="42" t="e">
        <f>'6 12 19 Forecast Usage by Sched'!#REF!</f>
        <v>#REF!</v>
      </c>
      <c r="F9" s="42"/>
      <c r="G9" s="92">
        <v>3</v>
      </c>
      <c r="H9" s="63">
        <v>42675</v>
      </c>
      <c r="I9" s="34" t="e">
        <f>I8-($I$7*K9)</f>
        <v>#REF!</v>
      </c>
      <c r="J9" s="34" t="e">
        <f>(I8+I9)/2*($J$7/12)</f>
        <v>#REF!</v>
      </c>
      <c r="K9" s="42" t="e">
        <f>'6 12 19 Forecast Usage by Sched'!#REF!</f>
        <v>#REF!</v>
      </c>
    </row>
    <row r="10" spans="1:11" x14ac:dyDescent="0.25">
      <c r="A10" s="92">
        <v>4</v>
      </c>
      <c r="B10" s="63">
        <v>42705</v>
      </c>
      <c r="C10" s="34" t="e">
        <f t="shared" ref="C10:C20" si="0">C9-($C$7*E10)</f>
        <v>#REF!</v>
      </c>
      <c r="D10" s="34" t="e">
        <f t="shared" ref="D10:D20" si="1">(C9+C10)/2*($D$7/12)</f>
        <v>#REF!</v>
      </c>
      <c r="E10" s="42" t="e">
        <f>'6 12 19 Forecast Usage by Sched'!#REF!</f>
        <v>#REF!</v>
      </c>
      <c r="F10" s="42"/>
      <c r="G10" s="92">
        <v>4</v>
      </c>
      <c r="H10" s="63">
        <v>42705</v>
      </c>
      <c r="I10" s="34" t="e">
        <f t="shared" ref="I10:I20" si="2">I9-($I$7*K10)</f>
        <v>#REF!</v>
      </c>
      <c r="J10" s="34" t="e">
        <f t="shared" ref="J10:J20" si="3">(I9+I10)/2*($J$7/12)</f>
        <v>#REF!</v>
      </c>
      <c r="K10" s="42" t="e">
        <f>'6 12 19 Forecast Usage by Sched'!#REF!</f>
        <v>#REF!</v>
      </c>
    </row>
    <row r="11" spans="1:11" x14ac:dyDescent="0.25">
      <c r="A11" s="92">
        <v>5</v>
      </c>
      <c r="B11" s="63">
        <v>42736</v>
      </c>
      <c r="C11" s="34" t="e">
        <f t="shared" si="0"/>
        <v>#REF!</v>
      </c>
      <c r="D11" s="34" t="e">
        <f t="shared" si="1"/>
        <v>#REF!</v>
      </c>
      <c r="E11" s="42" t="e">
        <f>'6 12 19 Forecast Usage by Sched'!#REF!</f>
        <v>#REF!</v>
      </c>
      <c r="F11" s="42"/>
      <c r="G11" s="92">
        <v>5</v>
      </c>
      <c r="H11" s="63">
        <v>42736</v>
      </c>
      <c r="I11" s="34" t="e">
        <f t="shared" si="2"/>
        <v>#REF!</v>
      </c>
      <c r="J11" s="34" t="e">
        <f t="shared" si="3"/>
        <v>#REF!</v>
      </c>
      <c r="K11" s="42" t="e">
        <f>'6 12 19 Forecast Usage by Sched'!#REF!</f>
        <v>#REF!</v>
      </c>
    </row>
    <row r="12" spans="1:11" x14ac:dyDescent="0.25">
      <c r="A12" s="92">
        <v>6</v>
      </c>
      <c r="B12" s="63">
        <v>42767</v>
      </c>
      <c r="C12" s="34" t="e">
        <f t="shared" si="0"/>
        <v>#REF!</v>
      </c>
      <c r="D12" s="34" t="e">
        <f t="shared" si="1"/>
        <v>#REF!</v>
      </c>
      <c r="E12" s="42" t="e">
        <f>'6 12 19 Forecast Usage by Sched'!#REF!</f>
        <v>#REF!</v>
      </c>
      <c r="F12" s="42"/>
      <c r="G12" s="92">
        <v>6</v>
      </c>
      <c r="H12" s="63">
        <v>42767</v>
      </c>
      <c r="I12" s="34" t="e">
        <f t="shared" si="2"/>
        <v>#REF!</v>
      </c>
      <c r="J12" s="34" t="e">
        <f t="shared" si="3"/>
        <v>#REF!</v>
      </c>
      <c r="K12" s="42" t="e">
        <f>'6 12 19 Forecast Usage by Sched'!#REF!</f>
        <v>#REF!</v>
      </c>
    </row>
    <row r="13" spans="1:11" x14ac:dyDescent="0.25">
      <c r="A13" s="92">
        <v>7</v>
      </c>
      <c r="B13" s="63">
        <v>42795</v>
      </c>
      <c r="C13" s="34" t="e">
        <f t="shared" si="0"/>
        <v>#REF!</v>
      </c>
      <c r="D13" s="34" t="e">
        <f t="shared" si="1"/>
        <v>#REF!</v>
      </c>
      <c r="E13" s="42" t="e">
        <f>'6 12 19 Forecast Usage by Sched'!#REF!</f>
        <v>#REF!</v>
      </c>
      <c r="F13" s="42"/>
      <c r="G13" s="92">
        <v>7</v>
      </c>
      <c r="H13" s="63">
        <v>42795</v>
      </c>
      <c r="I13" s="34" t="e">
        <f t="shared" si="2"/>
        <v>#REF!</v>
      </c>
      <c r="J13" s="34" t="e">
        <f t="shared" si="3"/>
        <v>#REF!</v>
      </c>
      <c r="K13" s="42" t="e">
        <f>'6 12 19 Forecast Usage by Sched'!#REF!</f>
        <v>#REF!</v>
      </c>
    </row>
    <row r="14" spans="1:11" x14ac:dyDescent="0.25">
      <c r="A14" s="92">
        <v>8</v>
      </c>
      <c r="B14" s="63">
        <v>42826</v>
      </c>
      <c r="C14" s="34" t="e">
        <f t="shared" si="0"/>
        <v>#REF!</v>
      </c>
      <c r="D14" s="34" t="e">
        <f t="shared" si="1"/>
        <v>#REF!</v>
      </c>
      <c r="E14" s="42" t="e">
        <f>'6 12 19 Forecast Usage by Sched'!#REF!</f>
        <v>#REF!</v>
      </c>
      <c r="F14" s="42"/>
      <c r="G14" s="92">
        <v>8</v>
      </c>
      <c r="H14" s="63">
        <v>42826</v>
      </c>
      <c r="I14" s="34" t="e">
        <f t="shared" si="2"/>
        <v>#REF!</v>
      </c>
      <c r="J14" s="34" t="e">
        <f t="shared" si="3"/>
        <v>#REF!</v>
      </c>
      <c r="K14" s="42" t="e">
        <f>'6 12 19 Forecast Usage by Sched'!#REF!</f>
        <v>#REF!</v>
      </c>
    </row>
    <row r="15" spans="1:11" x14ac:dyDescent="0.25">
      <c r="A15" s="92">
        <v>9</v>
      </c>
      <c r="B15" s="63">
        <v>42856</v>
      </c>
      <c r="C15" s="34" t="e">
        <f t="shared" si="0"/>
        <v>#REF!</v>
      </c>
      <c r="D15" s="34" t="e">
        <f t="shared" si="1"/>
        <v>#REF!</v>
      </c>
      <c r="E15" s="42" t="e">
        <f>'6 12 19 Forecast Usage by Sched'!#REF!</f>
        <v>#REF!</v>
      </c>
      <c r="F15" s="42"/>
      <c r="G15" s="92">
        <v>9</v>
      </c>
      <c r="H15" s="63">
        <v>42856</v>
      </c>
      <c r="I15" s="34" t="e">
        <f t="shared" si="2"/>
        <v>#REF!</v>
      </c>
      <c r="J15" s="34" t="e">
        <f t="shared" si="3"/>
        <v>#REF!</v>
      </c>
      <c r="K15" s="42" t="e">
        <f>'6 12 19 Forecast Usage by Sched'!#REF!</f>
        <v>#REF!</v>
      </c>
    </row>
    <row r="16" spans="1:11" x14ac:dyDescent="0.25">
      <c r="A16" s="92">
        <v>10</v>
      </c>
      <c r="B16" s="63">
        <v>42887</v>
      </c>
      <c r="C16" s="34" t="e">
        <f t="shared" si="0"/>
        <v>#REF!</v>
      </c>
      <c r="D16" s="34" t="e">
        <f t="shared" si="1"/>
        <v>#REF!</v>
      </c>
      <c r="E16" s="42" t="e">
        <f>'6 12 19 Forecast Usage by Sched'!#REF!</f>
        <v>#REF!</v>
      </c>
      <c r="F16" s="42"/>
      <c r="G16" s="92">
        <v>10</v>
      </c>
      <c r="H16" s="63">
        <v>42887</v>
      </c>
      <c r="I16" s="34" t="e">
        <f t="shared" si="2"/>
        <v>#REF!</v>
      </c>
      <c r="J16" s="34" t="e">
        <f t="shared" si="3"/>
        <v>#REF!</v>
      </c>
      <c r="K16" s="42" t="e">
        <f>'6 12 19 Forecast Usage by Sched'!#REF!</f>
        <v>#REF!</v>
      </c>
    </row>
    <row r="17" spans="1:11" x14ac:dyDescent="0.25">
      <c r="A17" s="92">
        <v>11</v>
      </c>
      <c r="B17" s="63">
        <v>42917</v>
      </c>
      <c r="C17" s="34" t="e">
        <f t="shared" si="0"/>
        <v>#REF!</v>
      </c>
      <c r="D17" s="34" t="e">
        <f t="shared" si="1"/>
        <v>#REF!</v>
      </c>
      <c r="E17" s="42" t="e">
        <f>'6 12 19 Forecast Usage by Sched'!#REF!</f>
        <v>#REF!</v>
      </c>
      <c r="F17" s="42"/>
      <c r="G17" s="92">
        <v>11</v>
      </c>
      <c r="H17" s="63">
        <v>42917</v>
      </c>
      <c r="I17" s="34" t="e">
        <f t="shared" si="2"/>
        <v>#REF!</v>
      </c>
      <c r="J17" s="34" t="e">
        <f t="shared" si="3"/>
        <v>#REF!</v>
      </c>
      <c r="K17" s="42" t="e">
        <f>'6 12 19 Forecast Usage by Sched'!#REF!</f>
        <v>#REF!</v>
      </c>
    </row>
    <row r="18" spans="1:11" x14ac:dyDescent="0.25">
      <c r="A18" s="92">
        <v>12</v>
      </c>
      <c r="B18" s="63">
        <v>42948</v>
      </c>
      <c r="C18" s="34" t="e">
        <f t="shared" si="0"/>
        <v>#REF!</v>
      </c>
      <c r="D18" s="34" t="e">
        <f t="shared" si="1"/>
        <v>#REF!</v>
      </c>
      <c r="E18" s="42" t="e">
        <f>'6 12 19 Forecast Usage by Sched'!#REF!</f>
        <v>#REF!</v>
      </c>
      <c r="F18" s="42"/>
      <c r="G18" s="92">
        <v>12</v>
      </c>
      <c r="H18" s="63">
        <v>42948</v>
      </c>
      <c r="I18" s="34" t="e">
        <f t="shared" si="2"/>
        <v>#REF!</v>
      </c>
      <c r="J18" s="34" t="e">
        <f t="shared" si="3"/>
        <v>#REF!</v>
      </c>
      <c r="K18" s="42" t="e">
        <f>'6 12 19 Forecast Usage by Sched'!#REF!</f>
        <v>#REF!</v>
      </c>
    </row>
    <row r="19" spans="1:11" x14ac:dyDescent="0.25">
      <c r="A19" s="92">
        <v>13</v>
      </c>
      <c r="B19" s="63">
        <v>42979</v>
      </c>
      <c r="C19" s="34" t="e">
        <f t="shared" si="0"/>
        <v>#REF!</v>
      </c>
      <c r="D19" s="34" t="e">
        <f t="shared" si="1"/>
        <v>#REF!</v>
      </c>
      <c r="E19" s="42" t="e">
        <f>'6 12 19 Forecast Usage by Sched'!#REF!</f>
        <v>#REF!</v>
      </c>
      <c r="F19" s="42"/>
      <c r="G19" s="92">
        <v>13</v>
      </c>
      <c r="H19" s="63">
        <v>42979</v>
      </c>
      <c r="I19" s="34" t="e">
        <f t="shared" si="2"/>
        <v>#REF!</v>
      </c>
      <c r="J19" s="34" t="e">
        <f t="shared" si="3"/>
        <v>#REF!</v>
      </c>
      <c r="K19" s="42" t="e">
        <f>'6 12 19 Forecast Usage by Sched'!#REF!</f>
        <v>#REF!</v>
      </c>
    </row>
    <row r="20" spans="1:11" x14ac:dyDescent="0.25">
      <c r="A20" s="92">
        <v>14</v>
      </c>
      <c r="B20" s="63">
        <v>43009</v>
      </c>
      <c r="C20" s="34" t="e">
        <f t="shared" si="0"/>
        <v>#REF!</v>
      </c>
      <c r="D20" s="34" t="e">
        <f t="shared" si="1"/>
        <v>#REF!</v>
      </c>
      <c r="E20" s="42" t="e">
        <f>'6 12 19 Forecast Usage by Sched'!#REF!</f>
        <v>#REF!</v>
      </c>
      <c r="F20" s="42"/>
      <c r="G20" s="92">
        <v>14</v>
      </c>
      <c r="H20" s="63">
        <v>43009</v>
      </c>
      <c r="I20" s="34" t="e">
        <f t="shared" si="2"/>
        <v>#REF!</v>
      </c>
      <c r="J20" s="34" t="e">
        <f t="shared" si="3"/>
        <v>#REF!</v>
      </c>
      <c r="K20" s="42" t="e">
        <f>'6 12 19 Forecast Usage by Sched'!#REF!</f>
        <v>#REF!</v>
      </c>
    </row>
    <row r="21" spans="1:11" x14ac:dyDescent="0.25">
      <c r="B21" s="35"/>
      <c r="C21" s="35"/>
      <c r="D21" s="35"/>
      <c r="E21" s="35"/>
      <c r="F21" s="35"/>
      <c r="G21" s="92"/>
      <c r="H21" s="35"/>
      <c r="I21" s="35"/>
      <c r="J21" s="35"/>
      <c r="K21" s="35"/>
    </row>
    <row r="22" spans="1:11" x14ac:dyDescent="0.25">
      <c r="A22" s="92">
        <v>15</v>
      </c>
      <c r="B22" s="35" t="s">
        <v>6</v>
      </c>
      <c r="C22" s="35"/>
      <c r="D22" s="34" t="e">
        <f>SUM(D9:D21)</f>
        <v>#REF!</v>
      </c>
      <c r="E22" s="43" t="e">
        <f>SUM(E9:E21)</f>
        <v>#REF!</v>
      </c>
      <c r="F22" s="43"/>
      <c r="G22" s="92">
        <v>15</v>
      </c>
      <c r="H22" s="35" t="s">
        <v>6</v>
      </c>
      <c r="I22" s="35"/>
      <c r="J22" s="34" t="e">
        <f>SUM(J9:J21)</f>
        <v>#REF!</v>
      </c>
      <c r="K22" s="43" t="e">
        <f>SUM(K9:K21)</f>
        <v>#REF!</v>
      </c>
    </row>
    <row r="23" spans="1:11" x14ac:dyDescent="0.25">
      <c r="B23" s="35"/>
      <c r="C23" s="35"/>
      <c r="D23" s="34"/>
      <c r="E23" s="43"/>
      <c r="F23" s="43"/>
      <c r="G23" s="92"/>
      <c r="H23" s="35"/>
      <c r="I23" s="35"/>
      <c r="J23" s="34"/>
      <c r="K23" s="43"/>
    </row>
    <row r="24" spans="1:11" ht="28.15" customHeight="1" x14ac:dyDescent="0.25">
      <c r="A24" s="92">
        <v>16</v>
      </c>
      <c r="B24" s="196" t="s">
        <v>10</v>
      </c>
      <c r="C24" s="196"/>
      <c r="D24" s="36" t="e">
        <f>ROUND(D22/E22,5)</f>
        <v>#REF!</v>
      </c>
      <c r="E24" s="43"/>
      <c r="F24" s="43"/>
      <c r="G24" s="92">
        <v>16</v>
      </c>
      <c r="H24" s="196" t="s">
        <v>10</v>
      </c>
      <c r="I24" s="196"/>
      <c r="J24" s="36" t="e">
        <f>ROUND(J22/K22,5)</f>
        <v>#REF!</v>
      </c>
      <c r="K24" s="43"/>
    </row>
    <row r="25" spans="1:11" ht="28.15" customHeight="1" x14ac:dyDescent="0.25">
      <c r="A25" s="92">
        <v>17</v>
      </c>
      <c r="B25" s="196" t="s">
        <v>11</v>
      </c>
      <c r="C25" s="196"/>
      <c r="D25" s="36" t="e">
        <f>C7</f>
        <v>#REF!</v>
      </c>
      <c r="E25" s="43"/>
      <c r="F25" s="43"/>
      <c r="G25" s="92">
        <v>17</v>
      </c>
      <c r="H25" s="196" t="s">
        <v>11</v>
      </c>
      <c r="I25" s="196"/>
      <c r="J25" s="36" t="e">
        <f>I7</f>
        <v>#REF!</v>
      </c>
      <c r="K25" s="43"/>
    </row>
    <row r="26" spans="1:11" ht="28.9" customHeight="1" x14ac:dyDescent="0.25">
      <c r="A26" s="92">
        <v>18</v>
      </c>
      <c r="B26" s="196" t="s">
        <v>12</v>
      </c>
      <c r="C26" s="196"/>
      <c r="D26" s="36" t="e">
        <f>D24+D25</f>
        <v>#REF!</v>
      </c>
      <c r="E26" s="44"/>
      <c r="F26" s="44"/>
      <c r="G26" s="92">
        <v>18</v>
      </c>
      <c r="H26" s="196" t="s">
        <v>12</v>
      </c>
      <c r="I26" s="196"/>
      <c r="J26" s="36" t="e">
        <f>J24+J25</f>
        <v>#REF!</v>
      </c>
      <c r="K26" s="44"/>
    </row>
    <row r="27" spans="1:11" ht="28.9" customHeight="1" x14ac:dyDescent="0.25">
      <c r="A27" s="92">
        <v>19</v>
      </c>
      <c r="B27" s="197" t="s">
        <v>13</v>
      </c>
      <c r="C27" s="197"/>
      <c r="D27" s="37" t="e">
        <f>'Conversion Factors'!#REF!</f>
        <v>#REF!</v>
      </c>
      <c r="E27" s="43"/>
      <c r="F27" s="43"/>
      <c r="G27" s="92">
        <v>19</v>
      </c>
      <c r="H27" s="197" t="s">
        <v>13</v>
      </c>
      <c r="I27" s="197"/>
      <c r="J27" s="37" t="e">
        <f>D27</f>
        <v>#REF!</v>
      </c>
      <c r="K27" s="43"/>
    </row>
    <row r="28" spans="1:11" ht="30" customHeight="1" x14ac:dyDescent="0.25">
      <c r="A28" s="92">
        <v>20</v>
      </c>
      <c r="B28" s="35" t="s">
        <v>89</v>
      </c>
      <c r="C28" s="35"/>
      <c r="D28" s="36" t="e">
        <f>ROUND(D26*D27,5)</f>
        <v>#REF!</v>
      </c>
      <c r="E28" s="43"/>
      <c r="F28" s="43"/>
      <c r="G28" s="92">
        <v>20</v>
      </c>
      <c r="H28" s="35" t="s">
        <v>89</v>
      </c>
      <c r="I28" s="35"/>
      <c r="J28" s="36" t="e">
        <f>ROUND(J26*J27,5)</f>
        <v>#REF!</v>
      </c>
      <c r="K28" s="43"/>
    </row>
    <row r="29" spans="1:11" ht="27.6" customHeight="1" x14ac:dyDescent="0.25">
      <c r="A29" s="92">
        <v>21</v>
      </c>
      <c r="B29" s="35" t="s">
        <v>77</v>
      </c>
      <c r="C29" s="35"/>
      <c r="D29" s="36" t="e">
        <f>'Earnings Test and 3% Test'!#REF!</f>
        <v>#REF!</v>
      </c>
      <c r="E29" s="43"/>
      <c r="F29" s="43"/>
      <c r="G29" s="92">
        <v>21</v>
      </c>
      <c r="H29" s="35" t="s">
        <v>77</v>
      </c>
      <c r="I29" s="35"/>
      <c r="J29" s="36" t="e">
        <f>'Earnings Test and 3% Test'!#REF!</f>
        <v>#REF!</v>
      </c>
      <c r="K29" s="43"/>
    </row>
    <row r="30" spans="1:11" ht="27.6" customHeight="1" x14ac:dyDescent="0.25">
      <c r="A30" s="92">
        <v>22</v>
      </c>
      <c r="B30" s="35" t="s">
        <v>78</v>
      </c>
      <c r="C30" s="35"/>
      <c r="D30" s="36" t="e">
        <f>D28+D29</f>
        <v>#REF!</v>
      </c>
      <c r="E30" s="43" t="s">
        <v>15</v>
      </c>
      <c r="F30" s="43"/>
      <c r="G30" s="92">
        <v>22</v>
      </c>
      <c r="H30" s="35" t="s">
        <v>78</v>
      </c>
      <c r="I30" s="35"/>
      <c r="J30" s="36" t="e">
        <f>J28+J29</f>
        <v>#REF!</v>
      </c>
      <c r="K30" s="43" t="s">
        <v>67</v>
      </c>
    </row>
    <row r="31" spans="1:11" ht="28.15" customHeight="1" x14ac:dyDescent="0.25">
      <c r="A31" s="92">
        <v>23</v>
      </c>
      <c r="B31" s="35"/>
      <c r="C31" s="39" t="s">
        <v>85</v>
      </c>
      <c r="D31" s="36" t="e">
        <f>ROUND(D30*'Conversion Factors'!$E$108,5)</f>
        <v>#REF!</v>
      </c>
      <c r="E31" s="43" t="s">
        <v>14</v>
      </c>
      <c r="F31" s="43"/>
      <c r="G31" s="92">
        <v>23</v>
      </c>
      <c r="H31" s="35"/>
      <c r="I31" s="39" t="s">
        <v>85</v>
      </c>
      <c r="J31" s="36" t="e">
        <f>ROUND(J30*'Conversion Factors'!$E$108,5)</f>
        <v>#REF!</v>
      </c>
      <c r="K31" s="43" t="s">
        <v>14</v>
      </c>
    </row>
    <row r="32" spans="1:11" ht="29.45" customHeight="1" x14ac:dyDescent="0.25">
      <c r="A32" s="92">
        <v>24</v>
      </c>
      <c r="B32" s="35" t="s">
        <v>88</v>
      </c>
      <c r="C32" s="35"/>
      <c r="D32" s="34" t="e">
        <f>IF(D29=0,0,C70)</f>
        <v>#REF!</v>
      </c>
      <c r="E32" s="43"/>
      <c r="F32" s="43"/>
      <c r="G32" s="92">
        <v>24</v>
      </c>
      <c r="H32" s="35" t="s">
        <v>88</v>
      </c>
      <c r="I32" s="35"/>
      <c r="J32" s="34" t="e">
        <f>IF(J29=0,0,I70)</f>
        <v>#REF!</v>
      </c>
      <c r="K32" s="43"/>
    </row>
    <row r="33" spans="1:11" ht="18" customHeight="1" x14ac:dyDescent="0.25">
      <c r="B33" s="35"/>
      <c r="C33" s="35"/>
      <c r="D33" s="45"/>
      <c r="E33" s="35"/>
      <c r="F33" s="35"/>
      <c r="G33" s="35"/>
      <c r="H33" s="197"/>
      <c r="I33" s="197"/>
      <c r="J33" s="45"/>
      <c r="K33" s="35"/>
    </row>
    <row r="34" spans="1:11" ht="16.149999999999999" customHeight="1" x14ac:dyDescent="0.25">
      <c r="A34" s="64" t="s">
        <v>80</v>
      </c>
      <c r="B34" s="64"/>
      <c r="C34" s="35"/>
      <c r="D34" s="45"/>
      <c r="E34" s="35"/>
      <c r="F34" s="35"/>
      <c r="G34" s="64" t="s">
        <v>80</v>
      </c>
      <c r="H34" s="64"/>
      <c r="I34" s="35"/>
      <c r="J34" s="45"/>
      <c r="K34" s="35"/>
    </row>
    <row r="35" spans="1:11" ht="46.9" customHeight="1" x14ac:dyDescent="0.25">
      <c r="A35" s="101" t="s">
        <v>120</v>
      </c>
      <c r="B35" s="195" t="e">
        <f>"Deferral balance at the end of the month, Rate of "&amp;TEXT(D25,"$0.00000")&amp;" to recover the October 2016 balance of "&amp;TEXT(C8,"$000,000")&amp;" over 12 months.  See page 2 of Attachment A for October 2016 balance calculation."</f>
        <v>#REF!</v>
      </c>
      <c r="C35" s="195"/>
      <c r="D35" s="195"/>
      <c r="E35" s="195"/>
      <c r="F35" s="35"/>
      <c r="G35" s="101" t="s">
        <v>120</v>
      </c>
      <c r="H35" s="195" t="e">
        <f>"Deferral balance at the end of the month, Rate of "&amp;TEXT(J25,"$0.00000")&amp;" to recover the October 2016 balance of "&amp;TEXT(I8,"$000,000")&amp;" over 12 months.  See page 4 of Attachment A for October 2016 balance calculation."</f>
        <v>#REF!</v>
      </c>
      <c r="I35" s="195"/>
      <c r="J35" s="195"/>
      <c r="K35" s="195"/>
    </row>
    <row r="36" spans="1:11" ht="32.450000000000003" customHeight="1" x14ac:dyDescent="0.25">
      <c r="A36" s="101" t="s">
        <v>121</v>
      </c>
      <c r="B36" s="195" t="s">
        <v>122</v>
      </c>
      <c r="C36" s="195"/>
      <c r="D36" s="195"/>
      <c r="E36" s="195"/>
      <c r="F36" s="35"/>
      <c r="G36" s="101" t="s">
        <v>121</v>
      </c>
      <c r="H36" s="195" t="s">
        <v>122</v>
      </c>
      <c r="I36" s="195"/>
      <c r="J36" s="195"/>
      <c r="K36" s="195"/>
    </row>
    <row r="37" spans="1:11" ht="15.6" customHeight="1" x14ac:dyDescent="0.25">
      <c r="B37" s="68" t="s">
        <v>86</v>
      </c>
      <c r="C37" s="69"/>
      <c r="D37" s="69"/>
      <c r="E37" s="69"/>
      <c r="F37" s="35"/>
      <c r="H37" s="68" t="s">
        <v>86</v>
      </c>
      <c r="I37" s="97"/>
      <c r="J37" s="97"/>
      <c r="K37" s="97"/>
    </row>
    <row r="38" spans="1:11" ht="18" customHeight="1" x14ac:dyDescent="0.25">
      <c r="A38" s="101" t="s">
        <v>123</v>
      </c>
      <c r="B38" s="192" t="s">
        <v>126</v>
      </c>
      <c r="C38" s="192"/>
      <c r="D38" s="192"/>
      <c r="E38" s="192"/>
      <c r="F38" s="35"/>
      <c r="G38" s="101" t="s">
        <v>123</v>
      </c>
      <c r="H38" s="192" t="s">
        <v>126</v>
      </c>
      <c r="I38" s="192"/>
      <c r="J38" s="192"/>
      <c r="K38" s="192"/>
    </row>
    <row r="39" spans="1:11" ht="18" customHeight="1" x14ac:dyDescent="0.25">
      <c r="A39" s="101" t="s">
        <v>124</v>
      </c>
      <c r="B39" s="192" t="s">
        <v>127</v>
      </c>
      <c r="C39" s="192"/>
      <c r="D39" s="192"/>
      <c r="E39" s="192"/>
      <c r="F39" s="35"/>
      <c r="G39" s="101" t="s">
        <v>124</v>
      </c>
      <c r="H39" s="192" t="s">
        <v>127</v>
      </c>
      <c r="I39" s="192"/>
      <c r="J39" s="192"/>
      <c r="K39" s="192"/>
    </row>
    <row r="40" spans="1:11" ht="18" customHeight="1" x14ac:dyDescent="0.25">
      <c r="A40" s="101" t="s">
        <v>125</v>
      </c>
      <c r="B40" s="192" t="s">
        <v>128</v>
      </c>
      <c r="C40" s="192"/>
      <c r="D40" s="192"/>
      <c r="E40" s="192"/>
      <c r="F40" s="35"/>
      <c r="G40" s="101" t="s">
        <v>125</v>
      </c>
      <c r="H40" s="192" t="s">
        <v>128</v>
      </c>
      <c r="I40" s="192"/>
      <c r="J40" s="192"/>
      <c r="K40" s="192"/>
    </row>
    <row r="41" spans="1:11" ht="14.45" customHeight="1" x14ac:dyDescent="0.25">
      <c r="B41" s="72"/>
      <c r="C41" s="72"/>
      <c r="D41" s="45"/>
      <c r="E41" s="35"/>
      <c r="F41" s="35"/>
      <c r="G41" s="35"/>
      <c r="H41" s="72"/>
      <c r="I41" s="72"/>
      <c r="J41" s="45"/>
      <c r="K41" s="35"/>
    </row>
    <row r="42" spans="1:11" ht="27.6" customHeight="1" x14ac:dyDescent="0.25">
      <c r="B42" s="201" t="str">
        <f>B5</f>
        <v>Residential Electric</v>
      </c>
      <c r="C42" s="201"/>
      <c r="D42" s="201"/>
      <c r="E42" s="201"/>
      <c r="F42" s="70"/>
      <c r="G42" s="35"/>
      <c r="H42" s="201" t="str">
        <f>H5</f>
        <v>Non-Residential Electric</v>
      </c>
      <c r="I42" s="201"/>
      <c r="J42" s="201"/>
      <c r="K42" s="201"/>
    </row>
    <row r="43" spans="1:11" x14ac:dyDescent="0.25">
      <c r="B43" s="194" t="s">
        <v>82</v>
      </c>
      <c r="C43" s="194"/>
      <c r="D43" s="194"/>
      <c r="E43" s="194"/>
      <c r="F43" s="35"/>
      <c r="G43" s="35"/>
      <c r="H43" s="194" t="s">
        <v>82</v>
      </c>
      <c r="I43" s="194"/>
      <c r="J43" s="194"/>
      <c r="K43" s="194"/>
    </row>
    <row r="44" spans="1:11" ht="27.6" customHeight="1" x14ac:dyDescent="0.25">
      <c r="A44" s="93" t="s">
        <v>112</v>
      </c>
      <c r="B44" s="35"/>
      <c r="C44" s="70" t="s">
        <v>9</v>
      </c>
      <c r="D44" s="70" t="s">
        <v>4</v>
      </c>
      <c r="E44" s="71" t="s">
        <v>84</v>
      </c>
      <c r="F44" s="35"/>
      <c r="G44" s="93" t="s">
        <v>112</v>
      </c>
      <c r="H44" s="35"/>
      <c r="I44" s="70" t="s">
        <v>9</v>
      </c>
      <c r="J44" s="70" t="s">
        <v>4</v>
      </c>
      <c r="K44" s="73" t="s">
        <v>84</v>
      </c>
    </row>
    <row r="45" spans="1:11" ht="45" x14ac:dyDescent="0.25">
      <c r="B45" s="35"/>
      <c r="C45" s="35"/>
      <c r="D45" s="67" t="s">
        <v>111</v>
      </c>
      <c r="E45" s="35"/>
      <c r="F45" s="35"/>
      <c r="G45" s="35"/>
      <c r="H45" s="35"/>
      <c r="I45" s="35"/>
      <c r="J45" s="67" t="str">
        <f>D45</f>
        <v>3.25% Q1 2016 3.46% Q2 2016  3.50% Q3 2016</v>
      </c>
      <c r="K45" s="35"/>
    </row>
    <row r="46" spans="1:11" x14ac:dyDescent="0.25">
      <c r="A46" s="94">
        <v>1</v>
      </c>
      <c r="B46" s="63">
        <v>42339</v>
      </c>
      <c r="C46" s="34">
        <v>7167748</v>
      </c>
      <c r="D46" s="35"/>
      <c r="E46" s="35"/>
      <c r="F46" s="35"/>
      <c r="G46" s="94">
        <v>1</v>
      </c>
      <c r="H46" s="63">
        <v>42339</v>
      </c>
      <c r="I46" s="34">
        <v>-2373472</v>
      </c>
      <c r="J46" s="35"/>
      <c r="K46" s="35"/>
    </row>
    <row r="47" spans="1:11" x14ac:dyDescent="0.25">
      <c r="A47" s="94">
        <v>2</v>
      </c>
      <c r="B47" s="63" t="s">
        <v>93</v>
      </c>
      <c r="C47" s="34" t="e">
        <f>-'Earnings Test and 3% Test'!#REF!</f>
        <v>#REF!</v>
      </c>
      <c r="D47" s="35"/>
      <c r="E47" s="35"/>
      <c r="F47" s="35"/>
      <c r="G47" s="94">
        <v>2</v>
      </c>
      <c r="H47" s="63" t="s">
        <v>93</v>
      </c>
      <c r="I47" s="34" t="e">
        <f>-'Earnings Test and 3% Test'!#REF!</f>
        <v>#REF!</v>
      </c>
      <c r="J47" s="35"/>
      <c r="K47" s="35"/>
    </row>
    <row r="48" spans="1:11" x14ac:dyDescent="0.25">
      <c r="A48" s="94">
        <v>3</v>
      </c>
      <c r="B48" s="63" t="s">
        <v>94</v>
      </c>
      <c r="C48" s="34" t="e">
        <f>C46+C47</f>
        <v>#REF!</v>
      </c>
      <c r="D48" s="35"/>
      <c r="E48" s="35"/>
      <c r="F48" s="35"/>
      <c r="G48" s="94">
        <v>3</v>
      </c>
      <c r="H48" s="63" t="s">
        <v>94</v>
      </c>
      <c r="I48" s="34" t="e">
        <f>I46+I47</f>
        <v>#REF!</v>
      </c>
      <c r="J48" s="35"/>
      <c r="K48" s="35"/>
    </row>
    <row r="49" spans="1:11" x14ac:dyDescent="0.25">
      <c r="A49" s="94">
        <v>4</v>
      </c>
      <c r="B49" s="63">
        <v>42370</v>
      </c>
      <c r="C49" s="34" t="e">
        <f>C48+D49-E49</f>
        <v>#REF!</v>
      </c>
      <c r="D49" s="34" t="e">
        <f>(C48-E49/2)*0.0325/12</f>
        <v>#REF!</v>
      </c>
      <c r="E49" s="35"/>
      <c r="F49" s="35"/>
      <c r="G49" s="94">
        <v>4</v>
      </c>
      <c r="H49" s="63">
        <v>42370</v>
      </c>
      <c r="I49" s="34" t="e">
        <f>I48+J49-K49</f>
        <v>#REF!</v>
      </c>
      <c r="J49" s="34" t="e">
        <f>(I48-K49/2)*0.0325/12</f>
        <v>#REF!</v>
      </c>
      <c r="K49" s="35"/>
    </row>
    <row r="50" spans="1:11" x14ac:dyDescent="0.25">
      <c r="A50" s="94">
        <v>5</v>
      </c>
      <c r="B50" s="63">
        <v>42401</v>
      </c>
      <c r="C50" s="34" t="e">
        <f t="shared" ref="C50:C58" si="4">C49+D50-E50</f>
        <v>#REF!</v>
      </c>
      <c r="D50" s="34" t="e">
        <f>(C49-E50/2)*0.0325/12</f>
        <v>#REF!</v>
      </c>
      <c r="E50" s="35"/>
      <c r="F50" s="35"/>
      <c r="G50" s="94">
        <v>5</v>
      </c>
      <c r="H50" s="63">
        <v>42401</v>
      </c>
      <c r="I50" s="34" t="e">
        <f t="shared" ref="I50:I58" si="5">I49+J50-K50</f>
        <v>#REF!</v>
      </c>
      <c r="J50" s="34" t="e">
        <f t="shared" ref="J50:J51" si="6">(I49-K50/2)*0.0325/12</f>
        <v>#REF!</v>
      </c>
      <c r="K50" s="35"/>
    </row>
    <row r="51" spans="1:11" x14ac:dyDescent="0.25">
      <c r="A51" s="94">
        <v>6</v>
      </c>
      <c r="B51" s="63">
        <v>42430</v>
      </c>
      <c r="C51" s="34" t="e">
        <f t="shared" si="4"/>
        <v>#REF!</v>
      </c>
      <c r="D51" s="34" t="e">
        <f t="shared" ref="D51" si="7">(C50-E51/2)*0.0325/12</f>
        <v>#REF!</v>
      </c>
      <c r="E51" s="35"/>
      <c r="F51" s="35"/>
      <c r="G51" s="94">
        <v>6</v>
      </c>
      <c r="H51" s="63">
        <v>42430</v>
      </c>
      <c r="I51" s="34" t="e">
        <f t="shared" si="5"/>
        <v>#REF!</v>
      </c>
      <c r="J51" s="34" t="e">
        <f t="shared" si="6"/>
        <v>#REF!</v>
      </c>
      <c r="K51" s="35"/>
    </row>
    <row r="52" spans="1:11" x14ac:dyDescent="0.25">
      <c r="A52" s="94">
        <v>7</v>
      </c>
      <c r="B52" s="63">
        <v>42461</v>
      </c>
      <c r="C52" s="34" t="e">
        <f t="shared" si="4"/>
        <v>#REF!</v>
      </c>
      <c r="D52" s="34" t="e">
        <f>(C51-E52/2)*0.0346/12</f>
        <v>#REF!</v>
      </c>
      <c r="E52" s="35"/>
      <c r="F52" s="35"/>
      <c r="G52" s="94">
        <v>7</v>
      </c>
      <c r="H52" s="63">
        <v>42461</v>
      </c>
      <c r="I52" s="34" t="e">
        <f t="shared" si="5"/>
        <v>#REF!</v>
      </c>
      <c r="J52" s="34" t="e">
        <f>(I51-K52/2)*0.0346/12</f>
        <v>#REF!</v>
      </c>
      <c r="K52" s="35"/>
    </row>
    <row r="53" spans="1:11" x14ac:dyDescent="0.25">
      <c r="A53" s="94">
        <v>8</v>
      </c>
      <c r="B53" s="63">
        <v>42491</v>
      </c>
      <c r="C53" s="34" t="e">
        <f t="shared" si="4"/>
        <v>#REF!</v>
      </c>
      <c r="D53" s="34" t="e">
        <f t="shared" ref="D53:D54" si="8">(C52-E53/2)*0.0346/12</f>
        <v>#REF!</v>
      </c>
      <c r="E53" s="35"/>
      <c r="F53" s="35"/>
      <c r="G53" s="94">
        <v>8</v>
      </c>
      <c r="H53" s="63">
        <v>42491</v>
      </c>
      <c r="I53" s="34" t="e">
        <f t="shared" si="5"/>
        <v>#REF!</v>
      </c>
      <c r="J53" s="34" t="e">
        <f t="shared" ref="J53:J54" si="9">(I52-K53/2)*0.0346/12</f>
        <v>#REF!</v>
      </c>
      <c r="K53" s="35"/>
    </row>
    <row r="54" spans="1:11" x14ac:dyDescent="0.25">
      <c r="A54" s="94">
        <v>9</v>
      </c>
      <c r="B54" s="63">
        <v>42522</v>
      </c>
      <c r="C54" s="34" t="e">
        <f t="shared" si="4"/>
        <v>#REF!</v>
      </c>
      <c r="D54" s="34" t="e">
        <f t="shared" si="8"/>
        <v>#REF!</v>
      </c>
      <c r="E54" s="35"/>
      <c r="F54" s="35"/>
      <c r="G54" s="94">
        <v>9</v>
      </c>
      <c r="H54" s="63">
        <v>42522</v>
      </c>
      <c r="I54" s="34" t="e">
        <f t="shared" si="5"/>
        <v>#REF!</v>
      </c>
      <c r="J54" s="34" t="e">
        <f t="shared" si="9"/>
        <v>#REF!</v>
      </c>
      <c r="K54" s="35"/>
    </row>
    <row r="55" spans="1:11" x14ac:dyDescent="0.25">
      <c r="A55" s="94">
        <v>10</v>
      </c>
      <c r="B55" s="63">
        <v>42552</v>
      </c>
      <c r="C55" s="34" t="e">
        <f t="shared" si="4"/>
        <v>#REF!</v>
      </c>
      <c r="D55" s="34" t="e">
        <f>(C54-E55/2)*0.035/12</f>
        <v>#REF!</v>
      </c>
      <c r="E55" s="35"/>
      <c r="F55" s="35"/>
      <c r="G55" s="94">
        <v>10</v>
      </c>
      <c r="H55" s="63">
        <v>42552</v>
      </c>
      <c r="I55" s="34" t="e">
        <f t="shared" si="5"/>
        <v>#REF!</v>
      </c>
      <c r="J55" s="34" t="e">
        <f>(I54-K55/2)*0.035/12</f>
        <v>#REF!</v>
      </c>
      <c r="K55" s="35"/>
    </row>
    <row r="56" spans="1:11" x14ac:dyDescent="0.25">
      <c r="A56" s="94">
        <v>11</v>
      </c>
      <c r="B56" s="63">
        <v>42583</v>
      </c>
      <c r="C56" s="34" t="e">
        <f t="shared" si="4"/>
        <v>#REF!</v>
      </c>
      <c r="D56" s="34" t="e">
        <f t="shared" ref="D56:D70" si="10">(C55-E56/2)*0.035/12</f>
        <v>#REF!</v>
      </c>
      <c r="E56" s="35"/>
      <c r="F56" s="35"/>
      <c r="G56" s="94">
        <v>11</v>
      </c>
      <c r="H56" s="63">
        <v>42583</v>
      </c>
      <c r="I56" s="34" t="e">
        <f t="shared" si="5"/>
        <v>#REF!</v>
      </c>
      <c r="J56" s="34" t="e">
        <f t="shared" ref="J56:J70" si="11">(I55-K56/2)*0.035/12</f>
        <v>#REF!</v>
      </c>
      <c r="K56" s="35"/>
    </row>
    <row r="57" spans="1:11" x14ac:dyDescent="0.25">
      <c r="A57" s="94">
        <v>12</v>
      </c>
      <c r="B57" s="63">
        <v>42614</v>
      </c>
      <c r="C57" s="34" t="e">
        <f t="shared" si="4"/>
        <v>#REF!</v>
      </c>
      <c r="D57" s="34" t="e">
        <f t="shared" si="10"/>
        <v>#REF!</v>
      </c>
      <c r="E57" s="35"/>
      <c r="F57" s="35"/>
      <c r="G57" s="94">
        <v>12</v>
      </c>
      <c r="H57" s="63">
        <v>42614</v>
      </c>
      <c r="I57" s="34" t="e">
        <f t="shared" si="5"/>
        <v>#REF!</v>
      </c>
      <c r="J57" s="34" t="e">
        <f t="shared" si="11"/>
        <v>#REF!</v>
      </c>
      <c r="K57" s="35"/>
    </row>
    <row r="58" spans="1:11" x14ac:dyDescent="0.25">
      <c r="A58" s="94">
        <v>13</v>
      </c>
      <c r="B58" s="65">
        <v>42644</v>
      </c>
      <c r="C58" s="66" t="e">
        <f t="shared" si="4"/>
        <v>#REF!</v>
      </c>
      <c r="D58" s="34" t="e">
        <f t="shared" si="10"/>
        <v>#REF!</v>
      </c>
      <c r="E58" s="35"/>
      <c r="F58" s="35"/>
      <c r="G58" s="94">
        <v>13</v>
      </c>
      <c r="H58" s="65">
        <v>42644</v>
      </c>
      <c r="I58" s="66" t="e">
        <f t="shared" si="5"/>
        <v>#REF!</v>
      </c>
      <c r="J58" s="34" t="e">
        <f t="shared" si="11"/>
        <v>#REF!</v>
      </c>
      <c r="K58" s="35"/>
    </row>
    <row r="59" spans="1:11" x14ac:dyDescent="0.25">
      <c r="A59" s="94">
        <v>14</v>
      </c>
      <c r="B59" s="63">
        <v>42675</v>
      </c>
      <c r="C59" s="34" t="e">
        <f>C58+D59-E59</f>
        <v>#REF!</v>
      </c>
      <c r="D59" s="34" t="e">
        <f t="shared" si="10"/>
        <v>#REF!</v>
      </c>
      <c r="E59" s="34" t="e">
        <f t="shared" ref="E59:E70" si="12">E9*D$31</f>
        <v>#REF!</v>
      </c>
      <c r="F59" s="35"/>
      <c r="G59" s="94">
        <v>14</v>
      </c>
      <c r="H59" s="63">
        <v>42675</v>
      </c>
      <c r="I59" s="34" t="e">
        <f>I58+J59-K59</f>
        <v>#REF!</v>
      </c>
      <c r="J59" s="34" t="e">
        <f t="shared" si="11"/>
        <v>#REF!</v>
      </c>
      <c r="K59" s="34" t="e">
        <f>K9*J$31</f>
        <v>#REF!</v>
      </c>
    </row>
    <row r="60" spans="1:11" x14ac:dyDescent="0.25">
      <c r="A60" s="94">
        <v>15</v>
      </c>
      <c r="B60" s="63">
        <v>42705</v>
      </c>
      <c r="C60" s="34" t="e">
        <f t="shared" ref="C60:C70" si="13">C59+D60-E60</f>
        <v>#REF!</v>
      </c>
      <c r="D60" s="34" t="e">
        <f t="shared" si="10"/>
        <v>#REF!</v>
      </c>
      <c r="E60" s="34" t="e">
        <f t="shared" si="12"/>
        <v>#REF!</v>
      </c>
      <c r="G60" s="94">
        <v>15</v>
      </c>
      <c r="H60" s="63">
        <v>42705</v>
      </c>
      <c r="I60" s="34" t="e">
        <f t="shared" ref="I60:I70" si="14">I59+J60-K60</f>
        <v>#REF!</v>
      </c>
      <c r="J60" s="34" t="e">
        <f t="shared" si="11"/>
        <v>#REF!</v>
      </c>
      <c r="K60" s="34" t="e">
        <f t="shared" ref="K60:K70" si="15">K10*J$31</f>
        <v>#REF!</v>
      </c>
    </row>
    <row r="61" spans="1:11" ht="14.45" customHeight="1" x14ac:dyDescent="0.25">
      <c r="A61" s="94">
        <v>16</v>
      </c>
      <c r="B61" s="63">
        <v>42736</v>
      </c>
      <c r="C61" s="34" t="e">
        <f t="shared" si="13"/>
        <v>#REF!</v>
      </c>
      <c r="D61" s="34" t="e">
        <f t="shared" si="10"/>
        <v>#REF!</v>
      </c>
      <c r="E61" s="34" t="e">
        <f t="shared" si="12"/>
        <v>#REF!</v>
      </c>
      <c r="G61" s="94">
        <v>16</v>
      </c>
      <c r="H61" s="63">
        <v>42736</v>
      </c>
      <c r="I61" s="34" t="e">
        <f t="shared" si="14"/>
        <v>#REF!</v>
      </c>
      <c r="J61" s="34" t="e">
        <f t="shared" si="11"/>
        <v>#REF!</v>
      </c>
      <c r="K61" s="34" t="e">
        <f t="shared" si="15"/>
        <v>#REF!</v>
      </c>
    </row>
    <row r="62" spans="1:11" x14ac:dyDescent="0.25">
      <c r="A62" s="94">
        <v>17</v>
      </c>
      <c r="B62" s="63">
        <v>42767</v>
      </c>
      <c r="C62" s="34" t="e">
        <f t="shared" si="13"/>
        <v>#REF!</v>
      </c>
      <c r="D62" s="34" t="e">
        <f t="shared" si="10"/>
        <v>#REF!</v>
      </c>
      <c r="E62" s="34" t="e">
        <f t="shared" si="12"/>
        <v>#REF!</v>
      </c>
      <c r="G62" s="94">
        <v>17</v>
      </c>
      <c r="H62" s="63">
        <v>42767</v>
      </c>
      <c r="I62" s="34" t="e">
        <f t="shared" si="14"/>
        <v>#REF!</v>
      </c>
      <c r="J62" s="34" t="e">
        <f t="shared" si="11"/>
        <v>#REF!</v>
      </c>
      <c r="K62" s="34" t="e">
        <f t="shared" si="15"/>
        <v>#REF!</v>
      </c>
    </row>
    <row r="63" spans="1:11" x14ac:dyDescent="0.25">
      <c r="A63" s="94">
        <v>18</v>
      </c>
      <c r="B63" s="63">
        <v>42795</v>
      </c>
      <c r="C63" s="34" t="e">
        <f t="shared" si="13"/>
        <v>#REF!</v>
      </c>
      <c r="D63" s="34" t="e">
        <f t="shared" si="10"/>
        <v>#REF!</v>
      </c>
      <c r="E63" s="34" t="e">
        <f t="shared" si="12"/>
        <v>#REF!</v>
      </c>
      <c r="G63" s="94">
        <v>18</v>
      </c>
      <c r="H63" s="63">
        <v>42795</v>
      </c>
      <c r="I63" s="34" t="e">
        <f t="shared" si="14"/>
        <v>#REF!</v>
      </c>
      <c r="J63" s="34" t="e">
        <f t="shared" si="11"/>
        <v>#REF!</v>
      </c>
      <c r="K63" s="34" t="e">
        <f t="shared" si="15"/>
        <v>#REF!</v>
      </c>
    </row>
    <row r="64" spans="1:11" x14ac:dyDescent="0.25">
      <c r="A64" s="94">
        <v>19</v>
      </c>
      <c r="B64" s="63">
        <v>42826</v>
      </c>
      <c r="C64" s="34" t="e">
        <f t="shared" si="13"/>
        <v>#REF!</v>
      </c>
      <c r="D64" s="34" t="e">
        <f t="shared" si="10"/>
        <v>#REF!</v>
      </c>
      <c r="E64" s="34" t="e">
        <f t="shared" si="12"/>
        <v>#REF!</v>
      </c>
      <c r="G64" s="94">
        <v>19</v>
      </c>
      <c r="H64" s="63">
        <v>42826</v>
      </c>
      <c r="I64" s="34" t="e">
        <f t="shared" si="14"/>
        <v>#REF!</v>
      </c>
      <c r="J64" s="34" t="e">
        <f t="shared" si="11"/>
        <v>#REF!</v>
      </c>
      <c r="K64" s="34" t="e">
        <f t="shared" si="15"/>
        <v>#REF!</v>
      </c>
    </row>
    <row r="65" spans="1:11" x14ac:dyDescent="0.25">
      <c r="A65" s="94">
        <v>20</v>
      </c>
      <c r="B65" s="63">
        <v>42856</v>
      </c>
      <c r="C65" s="34" t="e">
        <f t="shared" si="13"/>
        <v>#REF!</v>
      </c>
      <c r="D65" s="34" t="e">
        <f t="shared" si="10"/>
        <v>#REF!</v>
      </c>
      <c r="E65" s="34" t="e">
        <f t="shared" si="12"/>
        <v>#REF!</v>
      </c>
      <c r="G65" s="94">
        <v>20</v>
      </c>
      <c r="H65" s="63">
        <v>42856</v>
      </c>
      <c r="I65" s="34" t="e">
        <f t="shared" si="14"/>
        <v>#REF!</v>
      </c>
      <c r="J65" s="34" t="e">
        <f t="shared" si="11"/>
        <v>#REF!</v>
      </c>
      <c r="K65" s="34" t="e">
        <f t="shared" si="15"/>
        <v>#REF!</v>
      </c>
    </row>
    <row r="66" spans="1:11" x14ac:dyDescent="0.25">
      <c r="A66" s="94">
        <v>21</v>
      </c>
      <c r="B66" s="63">
        <v>42887</v>
      </c>
      <c r="C66" s="34" t="e">
        <f t="shared" si="13"/>
        <v>#REF!</v>
      </c>
      <c r="D66" s="34" t="e">
        <f t="shared" si="10"/>
        <v>#REF!</v>
      </c>
      <c r="E66" s="34" t="e">
        <f t="shared" si="12"/>
        <v>#REF!</v>
      </c>
      <c r="G66" s="94">
        <v>21</v>
      </c>
      <c r="H66" s="63">
        <v>42887</v>
      </c>
      <c r="I66" s="34" t="e">
        <f t="shared" si="14"/>
        <v>#REF!</v>
      </c>
      <c r="J66" s="34" t="e">
        <f t="shared" si="11"/>
        <v>#REF!</v>
      </c>
      <c r="K66" s="34" t="e">
        <f t="shared" si="15"/>
        <v>#REF!</v>
      </c>
    </row>
    <row r="67" spans="1:11" x14ac:dyDescent="0.25">
      <c r="A67" s="94">
        <v>22</v>
      </c>
      <c r="B67" s="63">
        <v>42917</v>
      </c>
      <c r="C67" s="34" t="e">
        <f t="shared" si="13"/>
        <v>#REF!</v>
      </c>
      <c r="D67" s="34" t="e">
        <f t="shared" si="10"/>
        <v>#REF!</v>
      </c>
      <c r="E67" s="34" t="e">
        <f t="shared" si="12"/>
        <v>#REF!</v>
      </c>
      <c r="G67" s="94">
        <v>22</v>
      </c>
      <c r="H67" s="63">
        <v>42917</v>
      </c>
      <c r="I67" s="34" t="e">
        <f t="shared" si="14"/>
        <v>#REF!</v>
      </c>
      <c r="J67" s="34" t="e">
        <f t="shared" si="11"/>
        <v>#REF!</v>
      </c>
      <c r="K67" s="34" t="e">
        <f t="shared" si="15"/>
        <v>#REF!</v>
      </c>
    </row>
    <row r="68" spans="1:11" x14ac:dyDescent="0.25">
      <c r="A68" s="94">
        <v>23</v>
      </c>
      <c r="B68" s="63">
        <v>42948</v>
      </c>
      <c r="C68" s="34" t="e">
        <f t="shared" si="13"/>
        <v>#REF!</v>
      </c>
      <c r="D68" s="34" t="e">
        <f t="shared" si="10"/>
        <v>#REF!</v>
      </c>
      <c r="E68" s="34" t="e">
        <f t="shared" si="12"/>
        <v>#REF!</v>
      </c>
      <c r="G68" s="94">
        <v>23</v>
      </c>
      <c r="H68" s="63">
        <v>42948</v>
      </c>
      <c r="I68" s="34" t="e">
        <f t="shared" si="14"/>
        <v>#REF!</v>
      </c>
      <c r="J68" s="34" t="e">
        <f t="shared" si="11"/>
        <v>#REF!</v>
      </c>
      <c r="K68" s="34" t="e">
        <f t="shared" si="15"/>
        <v>#REF!</v>
      </c>
    </row>
    <row r="69" spans="1:11" x14ac:dyDescent="0.25">
      <c r="A69" s="94">
        <v>24</v>
      </c>
      <c r="B69" s="63">
        <v>42979</v>
      </c>
      <c r="C69" s="34" t="e">
        <f t="shared" si="13"/>
        <v>#REF!</v>
      </c>
      <c r="D69" s="34" t="e">
        <f t="shared" si="10"/>
        <v>#REF!</v>
      </c>
      <c r="E69" s="34" t="e">
        <f t="shared" si="12"/>
        <v>#REF!</v>
      </c>
      <c r="G69" s="94">
        <v>24</v>
      </c>
      <c r="H69" s="63">
        <v>42979</v>
      </c>
      <c r="I69" s="34" t="e">
        <f t="shared" si="14"/>
        <v>#REF!</v>
      </c>
      <c r="J69" s="34" t="e">
        <f t="shared" si="11"/>
        <v>#REF!</v>
      </c>
      <c r="K69" s="34" t="e">
        <f t="shared" si="15"/>
        <v>#REF!</v>
      </c>
    </row>
    <row r="70" spans="1:11" x14ac:dyDescent="0.25">
      <c r="A70" s="94">
        <v>25</v>
      </c>
      <c r="B70" s="65">
        <v>43009</v>
      </c>
      <c r="C70" s="66" t="e">
        <f t="shared" si="13"/>
        <v>#REF!</v>
      </c>
      <c r="D70" s="34" t="e">
        <f t="shared" si="10"/>
        <v>#REF!</v>
      </c>
      <c r="E70" s="34" t="e">
        <f t="shared" si="12"/>
        <v>#REF!</v>
      </c>
      <c r="G70" s="94">
        <v>25</v>
      </c>
      <c r="H70" s="65">
        <v>43009</v>
      </c>
      <c r="I70" s="66" t="e">
        <f t="shared" si="14"/>
        <v>#REF!</v>
      </c>
      <c r="J70" s="34" t="e">
        <f t="shared" si="11"/>
        <v>#REF!</v>
      </c>
      <c r="K70" s="34" t="e">
        <f t="shared" si="15"/>
        <v>#REF!</v>
      </c>
    </row>
    <row r="71" spans="1:11" x14ac:dyDescent="0.25">
      <c r="B71" s="35"/>
      <c r="C71" s="35"/>
      <c r="D71" s="35"/>
      <c r="E71" s="35"/>
    </row>
    <row r="72" spans="1:11" x14ac:dyDescent="0.25">
      <c r="A72" s="98">
        <v>26</v>
      </c>
      <c r="B72" s="39" t="s">
        <v>113</v>
      </c>
      <c r="C72" s="35"/>
      <c r="D72" s="34" t="e">
        <f>SUM(D49:D71)</f>
        <v>#REF!</v>
      </c>
      <c r="E72" s="34" t="e">
        <f>SUM(E59:E70)</f>
        <v>#REF!</v>
      </c>
      <c r="G72" s="98">
        <v>26</v>
      </c>
      <c r="H72" s="39" t="s">
        <v>113</v>
      </c>
      <c r="I72" s="35"/>
      <c r="J72" s="34" t="e">
        <f>SUM(J49:J71)</f>
        <v>#REF!</v>
      </c>
      <c r="K72" s="34" t="e">
        <f>SUM(K59:K70)</f>
        <v>#REF!</v>
      </c>
    </row>
    <row r="73" spans="1:11" x14ac:dyDescent="0.25">
      <c r="A73" s="98"/>
      <c r="B73" s="39"/>
      <c r="C73" s="35"/>
      <c r="D73" s="34"/>
      <c r="E73" s="34"/>
      <c r="G73" s="98"/>
      <c r="H73" s="39"/>
      <c r="I73" s="35"/>
      <c r="J73" s="34"/>
      <c r="K73" s="34"/>
    </row>
    <row r="74" spans="1:11" x14ac:dyDescent="0.25">
      <c r="B74" s="54" t="s">
        <v>119</v>
      </c>
      <c r="H74" s="54" t="s">
        <v>118</v>
      </c>
    </row>
    <row r="75" spans="1:11" x14ac:dyDescent="0.25">
      <c r="A75" s="98">
        <v>27</v>
      </c>
      <c r="B75" t="s">
        <v>114</v>
      </c>
      <c r="C75" s="99">
        <f>C46</f>
        <v>7167748</v>
      </c>
      <c r="G75" s="98">
        <v>27</v>
      </c>
      <c r="H75" t="s">
        <v>114</v>
      </c>
      <c r="I75" s="99">
        <f>I46</f>
        <v>-2373472</v>
      </c>
    </row>
    <row r="76" spans="1:11" x14ac:dyDescent="0.25">
      <c r="A76" s="98">
        <v>28</v>
      </c>
      <c r="B76" t="s">
        <v>115</v>
      </c>
      <c r="C76" s="99" t="e">
        <f>C47</f>
        <v>#REF!</v>
      </c>
      <c r="G76" s="98">
        <v>28</v>
      </c>
      <c r="H76" t="s">
        <v>115</v>
      </c>
      <c r="I76" s="99" t="e">
        <f>I47</f>
        <v>#REF!</v>
      </c>
    </row>
    <row r="77" spans="1:11" x14ac:dyDescent="0.25">
      <c r="A77" s="98">
        <v>29</v>
      </c>
      <c r="B77" t="s">
        <v>130</v>
      </c>
      <c r="C77" s="99" t="e">
        <f>D72</f>
        <v>#REF!</v>
      </c>
      <c r="G77" s="98">
        <v>29</v>
      </c>
      <c r="H77" t="s">
        <v>130</v>
      </c>
      <c r="I77" s="99" t="e">
        <f>J72</f>
        <v>#REF!</v>
      </c>
    </row>
    <row r="78" spans="1:11" x14ac:dyDescent="0.25">
      <c r="A78" s="98">
        <v>30</v>
      </c>
      <c r="B78" t="s">
        <v>133</v>
      </c>
      <c r="C78" s="99" t="e">
        <f>(D30-D31)*E22</f>
        <v>#REF!</v>
      </c>
      <c r="G78" s="98">
        <v>30</v>
      </c>
      <c r="H78" t="s">
        <v>133</v>
      </c>
      <c r="I78" s="99" t="e">
        <f>(J30-J31)*K22-I70</f>
        <v>#REF!</v>
      </c>
    </row>
    <row r="79" spans="1:11" x14ac:dyDescent="0.25">
      <c r="A79" s="98">
        <v>31</v>
      </c>
      <c r="B79" t="s">
        <v>131</v>
      </c>
      <c r="C79" s="100" t="e">
        <f>SUM(C75:C78)</f>
        <v>#REF!</v>
      </c>
      <c r="G79" s="98">
        <v>31</v>
      </c>
      <c r="H79" t="s">
        <v>132</v>
      </c>
      <c r="I79" s="100" t="e">
        <f>SUM(I75:I78)</f>
        <v>#REF!</v>
      </c>
    </row>
    <row r="80" spans="1:11" x14ac:dyDescent="0.25">
      <c r="A80" s="98">
        <v>32</v>
      </c>
      <c r="B80" t="s">
        <v>116</v>
      </c>
      <c r="C80" s="99" t="e">
        <f>D30*E22</f>
        <v>#REF!</v>
      </c>
      <c r="G80" s="98">
        <v>32</v>
      </c>
      <c r="H80" t="s">
        <v>134</v>
      </c>
      <c r="I80" s="99" t="e">
        <f>J30*K22</f>
        <v>#REF!</v>
      </c>
    </row>
    <row r="81" spans="1:9" x14ac:dyDescent="0.25">
      <c r="A81" s="98">
        <v>33</v>
      </c>
      <c r="B81" t="s">
        <v>117</v>
      </c>
      <c r="C81" s="99" t="e">
        <f>C79-C80</f>
        <v>#REF!</v>
      </c>
      <c r="G81" s="98">
        <v>33</v>
      </c>
      <c r="H81" t="s">
        <v>117</v>
      </c>
      <c r="I81" s="99" t="e">
        <f>I79-I80</f>
        <v>#REF!</v>
      </c>
    </row>
  </sheetData>
  <customSheetViews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H24:I24"/>
    <mergeCell ref="B5:E5"/>
    <mergeCell ref="H5:K5"/>
    <mergeCell ref="H1:K1"/>
    <mergeCell ref="H2:K2"/>
    <mergeCell ref="H3:K3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B38:E38"/>
    <mergeCell ref="B39:E39"/>
    <mergeCell ref="B40:E40"/>
    <mergeCell ref="B1:E1"/>
    <mergeCell ref="B2:E2"/>
    <mergeCell ref="B3:E3"/>
    <mergeCell ref="B35:E35"/>
    <mergeCell ref="B36:E36"/>
    <mergeCell ref="B24:C24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1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7"/>
  <sheetViews>
    <sheetView view="pageBreakPreview" zoomScale="60" zoomScaleNormal="100" workbookViewId="0">
      <selection activeCell="K9" sqref="K9"/>
    </sheetView>
  </sheetViews>
  <sheetFormatPr defaultRowHeight="15" x14ac:dyDescent="0.25"/>
  <cols>
    <col min="1" max="1" width="4.140625" customWidth="1"/>
    <col min="3" max="3" width="18" customWidth="1"/>
    <col min="4" max="4" width="12.28515625" customWidth="1"/>
    <col min="5" max="5" width="14.7109375" customWidth="1"/>
    <col min="6" max="6" width="17.28515625" customWidth="1"/>
    <col min="7" max="7" width="8.28515625" customWidth="1"/>
    <col min="8" max="8" width="12.42578125" customWidth="1"/>
    <col min="9" max="9" width="16.140625" customWidth="1"/>
    <col min="11" max="11" width="13" customWidth="1"/>
  </cols>
  <sheetData>
    <row r="1" spans="1:11" x14ac:dyDescent="0.25">
      <c r="A1" s="105"/>
      <c r="B1" s="199" t="s">
        <v>0</v>
      </c>
      <c r="C1" s="199"/>
      <c r="D1" s="199"/>
      <c r="E1" s="199"/>
      <c r="F1" s="199"/>
      <c r="G1" s="199"/>
      <c r="H1" s="199"/>
    </row>
    <row r="2" spans="1:11" x14ac:dyDescent="0.25">
      <c r="A2" s="105"/>
      <c r="B2" s="199" t="s">
        <v>143</v>
      </c>
      <c r="C2" s="199"/>
      <c r="D2" s="199"/>
      <c r="E2" s="199"/>
      <c r="F2" s="199"/>
      <c r="G2" s="199"/>
      <c r="H2" s="199"/>
    </row>
    <row r="3" spans="1:11" x14ac:dyDescent="0.25">
      <c r="A3" s="105"/>
      <c r="B3" s="199" t="s">
        <v>192</v>
      </c>
      <c r="C3" s="199"/>
      <c r="D3" s="199"/>
      <c r="E3" s="199"/>
      <c r="F3" s="199"/>
      <c r="G3" s="199"/>
      <c r="H3" s="199"/>
    </row>
    <row r="4" spans="1:11" x14ac:dyDescent="0.25">
      <c r="A4" s="105"/>
      <c r="B4" s="199" t="s">
        <v>203</v>
      </c>
      <c r="C4" s="199"/>
      <c r="D4" s="199"/>
      <c r="E4" s="199"/>
      <c r="F4" s="199"/>
      <c r="G4" s="199"/>
      <c r="H4" s="199"/>
    </row>
    <row r="5" spans="1:11" x14ac:dyDescent="0.25">
      <c r="A5" s="105"/>
    </row>
    <row r="6" spans="1:11" x14ac:dyDescent="0.25">
      <c r="A6" s="105"/>
      <c r="B6" s="199" t="s">
        <v>148</v>
      </c>
      <c r="C6" s="199"/>
      <c r="D6" s="199"/>
      <c r="E6" s="199"/>
      <c r="F6" s="199"/>
      <c r="G6" s="199"/>
      <c r="H6" s="199"/>
    </row>
    <row r="7" spans="1:11" ht="57.6" customHeight="1" x14ac:dyDescent="0.25">
      <c r="A7" s="117" t="s">
        <v>112</v>
      </c>
      <c r="B7" s="112" t="s">
        <v>3</v>
      </c>
      <c r="C7" s="111" t="s">
        <v>144</v>
      </c>
      <c r="D7" s="112" t="s">
        <v>4</v>
      </c>
      <c r="E7" s="112" t="s">
        <v>84</v>
      </c>
      <c r="F7" s="111" t="s">
        <v>145</v>
      </c>
      <c r="G7" s="111" t="s">
        <v>146</v>
      </c>
      <c r="H7" s="111" t="s">
        <v>147</v>
      </c>
    </row>
    <row r="8" spans="1:11" x14ac:dyDescent="0.25">
      <c r="A8" s="105"/>
      <c r="B8" s="105"/>
      <c r="C8" s="105"/>
      <c r="D8" s="105"/>
      <c r="E8" s="105"/>
      <c r="F8" s="105"/>
      <c r="G8" s="105"/>
      <c r="H8" s="105"/>
    </row>
    <row r="9" spans="1:11" x14ac:dyDescent="0.25">
      <c r="A9" s="112">
        <v>1</v>
      </c>
      <c r="B9" s="118">
        <v>43405</v>
      </c>
      <c r="C9" s="172">
        <f>744045.32-4034823.84</f>
        <v>-3290778.52</v>
      </c>
      <c r="D9" s="120">
        <f>ROUND(((C9+C9+E9)/2)*G9/12,2)</f>
        <v>-12921.1</v>
      </c>
      <c r="E9" s="119">
        <v>329412.96000000002</v>
      </c>
      <c r="F9" s="121">
        <f>C9+D9+E9</f>
        <v>-2974286.66</v>
      </c>
      <c r="G9" s="122">
        <v>4.9599999999999998E-2</v>
      </c>
      <c r="H9" s="105"/>
      <c r="I9" s="170"/>
      <c r="K9" s="121"/>
    </row>
    <row r="10" spans="1:11" x14ac:dyDescent="0.25">
      <c r="A10" s="112">
        <v>2</v>
      </c>
      <c r="B10" s="118">
        <f>B9+31</f>
        <v>43436</v>
      </c>
      <c r="C10" s="119">
        <f>F9</f>
        <v>-2974286.66</v>
      </c>
      <c r="D10" s="120">
        <f>ROUND(((C10+C10+E10)/2)*G10/12,2)</f>
        <v>-11199.48</v>
      </c>
      <c r="E10" s="119">
        <v>529470.57999999996</v>
      </c>
      <c r="F10" s="121">
        <f t="shared" ref="F10:F20" si="0">C10+D10+E10</f>
        <v>-2456015.56</v>
      </c>
      <c r="G10" s="108">
        <f>G9</f>
        <v>4.9599999999999998E-2</v>
      </c>
      <c r="H10" s="105"/>
      <c r="I10" s="171"/>
    </row>
    <row r="11" spans="1:11" x14ac:dyDescent="0.25">
      <c r="A11" s="112">
        <v>3</v>
      </c>
      <c r="B11" s="118">
        <f t="shared" ref="B11:B20" si="1">B10+31</f>
        <v>43467</v>
      </c>
      <c r="C11" s="119">
        <f t="shared" ref="C11:C20" si="2">F10</f>
        <v>-2456015.56</v>
      </c>
      <c r="D11" s="120">
        <f t="shared" ref="D11:D20" si="3">ROUND(((C11+C11+E11)/2)*G11/12,2)</f>
        <v>-9417.4599999999991</v>
      </c>
      <c r="E11" s="119">
        <v>548728.18000000005</v>
      </c>
      <c r="F11" s="121">
        <f t="shared" si="0"/>
        <v>-1916704.8399999999</v>
      </c>
      <c r="G11" s="122">
        <v>5.1799999999999999E-2</v>
      </c>
      <c r="H11" s="105"/>
    </row>
    <row r="12" spans="1:11" x14ac:dyDescent="0.25">
      <c r="A12" s="112">
        <v>4</v>
      </c>
      <c r="B12" s="118">
        <f t="shared" si="1"/>
        <v>43498</v>
      </c>
      <c r="C12" s="119">
        <f t="shared" si="2"/>
        <v>-1916704.8399999999</v>
      </c>
      <c r="D12" s="120">
        <f t="shared" si="3"/>
        <v>-6960.88</v>
      </c>
      <c r="E12" s="119">
        <v>608289.41</v>
      </c>
      <c r="F12" s="121">
        <f t="shared" si="0"/>
        <v>-1315376.3099999996</v>
      </c>
      <c r="G12" s="108">
        <f>G11</f>
        <v>5.1799999999999999E-2</v>
      </c>
      <c r="H12" s="105"/>
    </row>
    <row r="13" spans="1:11" x14ac:dyDescent="0.25">
      <c r="A13" s="112">
        <v>5</v>
      </c>
      <c r="B13" s="118">
        <f t="shared" si="1"/>
        <v>43529</v>
      </c>
      <c r="C13" s="119">
        <f t="shared" si="2"/>
        <v>-1315376.3099999996</v>
      </c>
      <c r="D13" s="120">
        <f t="shared" si="3"/>
        <v>-4641.43</v>
      </c>
      <c r="E13" s="119">
        <v>480282.6</v>
      </c>
      <c r="F13" s="121">
        <f t="shared" si="0"/>
        <v>-839735.13999999955</v>
      </c>
      <c r="G13" s="108">
        <f>G12</f>
        <v>5.1799999999999999E-2</v>
      </c>
      <c r="H13" s="105"/>
    </row>
    <row r="14" spans="1:11" x14ac:dyDescent="0.25">
      <c r="A14" s="112">
        <v>6</v>
      </c>
      <c r="B14" s="118">
        <f t="shared" si="1"/>
        <v>43560</v>
      </c>
      <c r="C14" s="119">
        <f t="shared" si="2"/>
        <v>-839735.13999999955</v>
      </c>
      <c r="D14" s="120">
        <f t="shared" si="3"/>
        <v>-3301.49</v>
      </c>
      <c r="E14" s="119">
        <v>225602.9</v>
      </c>
      <c r="F14" s="121">
        <f t="shared" si="0"/>
        <v>-617433.72999999952</v>
      </c>
      <c r="G14" s="122">
        <v>5.45E-2</v>
      </c>
      <c r="H14" s="105"/>
    </row>
    <row r="15" spans="1:11" x14ac:dyDescent="0.25">
      <c r="A15" s="112">
        <v>7</v>
      </c>
      <c r="B15" s="118">
        <f t="shared" si="1"/>
        <v>43591</v>
      </c>
      <c r="C15" s="119">
        <f t="shared" si="2"/>
        <v>-617433.72999999952</v>
      </c>
      <c r="D15" s="120">
        <f t="shared" si="3"/>
        <v>-2549.6</v>
      </c>
      <c r="E15" s="119">
        <v>112108.5</v>
      </c>
      <c r="F15" s="121">
        <f t="shared" si="0"/>
        <v>-507874.82999999949</v>
      </c>
      <c r="G15" s="108">
        <f>G14</f>
        <v>5.45E-2</v>
      </c>
      <c r="H15" s="105"/>
    </row>
    <row r="16" spans="1:11" x14ac:dyDescent="0.25">
      <c r="A16" s="112">
        <v>8</v>
      </c>
      <c r="B16" s="118">
        <f t="shared" si="1"/>
        <v>43622</v>
      </c>
      <c r="C16" s="119">
        <f t="shared" si="2"/>
        <v>-507874.82999999949</v>
      </c>
      <c r="D16" s="120">
        <f t="shared" si="3"/>
        <v>-2159.19</v>
      </c>
      <c r="E16" s="119">
        <v>64915.17</v>
      </c>
      <c r="F16" s="121">
        <f t="shared" si="0"/>
        <v>-445118.84999999951</v>
      </c>
      <c r="G16" s="108">
        <f>G15</f>
        <v>5.45E-2</v>
      </c>
      <c r="H16" s="105"/>
    </row>
    <row r="17" spans="1:11" x14ac:dyDescent="0.25">
      <c r="A17" s="112">
        <v>9</v>
      </c>
      <c r="B17" s="118">
        <f t="shared" si="1"/>
        <v>43653</v>
      </c>
      <c r="C17" s="119">
        <f t="shared" si="2"/>
        <v>-445118.84999999951</v>
      </c>
      <c r="D17" s="120">
        <f t="shared" si="3"/>
        <v>-1897.6</v>
      </c>
      <c r="E17" s="123">
        <v>62193.77</v>
      </c>
      <c r="F17" s="121">
        <f t="shared" si="0"/>
        <v>-384822.67999999947</v>
      </c>
      <c r="G17" s="122">
        <v>5.5E-2</v>
      </c>
      <c r="H17" s="56"/>
    </row>
    <row r="18" spans="1:11" x14ac:dyDescent="0.25">
      <c r="A18" s="112">
        <v>10</v>
      </c>
      <c r="B18" s="118">
        <f t="shared" si="1"/>
        <v>43684</v>
      </c>
      <c r="C18" s="119">
        <f t="shared" si="2"/>
        <v>-384822.67999999947</v>
      </c>
      <c r="D18" s="120">
        <f t="shared" si="3"/>
        <v>-1639.37</v>
      </c>
      <c r="E18" s="123">
        <f>-ROUND(H18*-0.02597,2)</f>
        <v>54285.22</v>
      </c>
      <c r="F18" s="121">
        <f t="shared" si="0"/>
        <v>-332176.82999999949</v>
      </c>
      <c r="G18" s="108">
        <f>G17</f>
        <v>5.5E-2</v>
      </c>
      <c r="H18" s="56">
        <f>'6 12 19 Forecast Usage by Sched'!M6</f>
        <v>2090304.9976579968</v>
      </c>
    </row>
    <row r="19" spans="1:11" x14ac:dyDescent="0.25">
      <c r="A19" s="112">
        <v>11</v>
      </c>
      <c r="B19" s="118">
        <f t="shared" si="1"/>
        <v>43715</v>
      </c>
      <c r="C19" s="119">
        <f t="shared" si="2"/>
        <v>-332176.82999999949</v>
      </c>
      <c r="D19" s="120">
        <f t="shared" si="3"/>
        <v>-1360.4</v>
      </c>
      <c r="E19" s="123">
        <f t="shared" ref="E19:E20" si="4">-ROUND(H19*-0.02597,2)</f>
        <v>70722.41</v>
      </c>
      <c r="F19" s="121">
        <f t="shared" si="0"/>
        <v>-262814.81999999948</v>
      </c>
      <c r="G19" s="108">
        <f>G18</f>
        <v>5.5E-2</v>
      </c>
      <c r="H19" s="56">
        <f>'6 12 19 Forecast Usage by Sched'!M7</f>
        <v>2723234.9856473482</v>
      </c>
    </row>
    <row r="20" spans="1:11" x14ac:dyDescent="0.25">
      <c r="A20" s="112">
        <v>12</v>
      </c>
      <c r="B20" s="118">
        <f t="shared" si="1"/>
        <v>43746</v>
      </c>
      <c r="C20" s="119">
        <f t="shared" si="2"/>
        <v>-262814.81999999948</v>
      </c>
      <c r="D20" s="120">
        <f t="shared" si="3"/>
        <v>-722.85</v>
      </c>
      <c r="E20" s="123">
        <f t="shared" si="4"/>
        <v>210202.33</v>
      </c>
      <c r="F20" s="124">
        <f t="shared" si="0"/>
        <v>-53335.339999999473</v>
      </c>
      <c r="G20" s="108">
        <f>G19</f>
        <v>5.5E-2</v>
      </c>
      <c r="H20" s="56">
        <f>'6 12 19 Forecast Usage by Sched'!M8</f>
        <v>8094044.4497186495</v>
      </c>
    </row>
    <row r="21" spans="1:11" x14ac:dyDescent="0.25">
      <c r="A21" s="105"/>
      <c r="B21" s="105"/>
      <c r="C21" s="105"/>
      <c r="D21" s="105"/>
      <c r="E21" s="105"/>
      <c r="F21" s="105"/>
      <c r="G21" s="105"/>
      <c r="H21" s="105"/>
    </row>
    <row r="22" spans="1:11" x14ac:dyDescent="0.25">
      <c r="A22" s="105"/>
      <c r="B22" s="105"/>
      <c r="C22" s="105"/>
      <c r="D22" s="105"/>
      <c r="E22" s="105"/>
      <c r="F22" s="105"/>
      <c r="G22" s="105"/>
      <c r="H22" s="105"/>
    </row>
    <row r="23" spans="1:11" x14ac:dyDescent="0.25">
      <c r="A23" s="105"/>
      <c r="B23" s="199" t="s">
        <v>149</v>
      </c>
      <c r="C23" s="199"/>
      <c r="D23" s="199"/>
      <c r="E23" s="199"/>
      <c r="F23" s="199"/>
      <c r="G23" s="199"/>
      <c r="H23" s="199"/>
    </row>
    <row r="24" spans="1:11" ht="57.6" customHeight="1" x14ac:dyDescent="0.25">
      <c r="A24" s="117" t="s">
        <v>112</v>
      </c>
      <c r="B24" s="112" t="s">
        <v>3</v>
      </c>
      <c r="C24" s="111" t="s">
        <v>144</v>
      </c>
      <c r="D24" s="112" t="s">
        <v>4</v>
      </c>
      <c r="E24" s="112" t="s">
        <v>84</v>
      </c>
      <c r="F24" s="111" t="s">
        <v>145</v>
      </c>
      <c r="G24" s="111" t="s">
        <v>146</v>
      </c>
      <c r="H24" s="111" t="s">
        <v>147</v>
      </c>
    </row>
    <row r="25" spans="1:11" x14ac:dyDescent="0.25">
      <c r="A25" s="105"/>
      <c r="B25" s="105"/>
      <c r="C25" s="105"/>
      <c r="D25" s="105"/>
      <c r="E25" s="105"/>
      <c r="F25" s="105"/>
      <c r="G25" s="105"/>
      <c r="H25" s="105"/>
    </row>
    <row r="26" spans="1:11" x14ac:dyDescent="0.25">
      <c r="A26" s="112">
        <v>13</v>
      </c>
      <c r="B26" s="118">
        <f>B9</f>
        <v>43405</v>
      </c>
      <c r="C26" s="172">
        <f>282597.98+132632.34</f>
        <v>415230.31999999995</v>
      </c>
      <c r="D26" s="120">
        <f>ROUND(((C26+C26+E26)/2)*G26/12,2)</f>
        <v>1641.67</v>
      </c>
      <c r="E26" s="119">
        <v>-36103.269999999997</v>
      </c>
      <c r="F26" s="121">
        <f>C26+D26+E26</f>
        <v>380768.71999999991</v>
      </c>
      <c r="G26" s="161">
        <f>G9</f>
        <v>4.9599999999999998E-2</v>
      </c>
      <c r="H26" s="105"/>
      <c r="I26" s="170"/>
      <c r="J26" s="105"/>
      <c r="K26" s="121"/>
    </row>
    <row r="27" spans="1:11" x14ac:dyDescent="0.25">
      <c r="A27" s="112">
        <v>14</v>
      </c>
      <c r="B27" s="118">
        <f t="shared" ref="B27:B37" si="5">B10</f>
        <v>43436</v>
      </c>
      <c r="C27" s="119">
        <f>F26</f>
        <v>380768.71999999991</v>
      </c>
      <c r="D27" s="120">
        <f t="shared" ref="D27:D37" si="6">ROUND(((C27+C27+E27)/2)*G27/12,2)</f>
        <v>1468.32</v>
      </c>
      <c r="E27" s="119">
        <v>-51062</v>
      </c>
      <c r="F27" s="121">
        <f t="shared" ref="F27:F37" si="7">C27+D27+E27</f>
        <v>331175.03999999992</v>
      </c>
      <c r="G27" s="161">
        <f t="shared" ref="G27:G37" si="8">G10</f>
        <v>4.9599999999999998E-2</v>
      </c>
      <c r="H27" s="105"/>
      <c r="I27" s="171"/>
    </row>
    <row r="28" spans="1:11" x14ac:dyDescent="0.25">
      <c r="A28" s="112">
        <v>15</v>
      </c>
      <c r="B28" s="118">
        <f t="shared" si="5"/>
        <v>43467</v>
      </c>
      <c r="C28" s="119">
        <f t="shared" ref="C28:C37" si="9">F27</f>
        <v>331175.03999999992</v>
      </c>
      <c r="D28" s="120">
        <f t="shared" si="6"/>
        <v>1312.93</v>
      </c>
      <c r="E28" s="119">
        <v>-54040.6</v>
      </c>
      <c r="F28" s="121">
        <f t="shared" si="7"/>
        <v>278447.36999999994</v>
      </c>
      <c r="G28" s="161">
        <f t="shared" si="8"/>
        <v>5.1799999999999999E-2</v>
      </c>
      <c r="H28" s="105"/>
    </row>
    <row r="29" spans="1:11" x14ac:dyDescent="0.25">
      <c r="A29" s="112">
        <v>16</v>
      </c>
      <c r="B29" s="118">
        <f t="shared" si="5"/>
        <v>43498</v>
      </c>
      <c r="C29" s="119">
        <f t="shared" si="9"/>
        <v>278447.36999999994</v>
      </c>
      <c r="D29" s="120">
        <f t="shared" si="6"/>
        <v>1071.49</v>
      </c>
      <c r="E29" s="119">
        <v>-60452.59</v>
      </c>
      <c r="F29" s="121">
        <f t="shared" si="7"/>
        <v>219066.26999999993</v>
      </c>
      <c r="G29" s="161">
        <f t="shared" si="8"/>
        <v>5.1799999999999999E-2</v>
      </c>
      <c r="H29" s="105"/>
    </row>
    <row r="30" spans="1:11" x14ac:dyDescent="0.25">
      <c r="A30" s="112">
        <v>17</v>
      </c>
      <c r="B30" s="118">
        <f t="shared" si="5"/>
        <v>43529</v>
      </c>
      <c r="C30" s="119">
        <f t="shared" si="9"/>
        <v>219066.26999999993</v>
      </c>
      <c r="D30" s="120">
        <f t="shared" si="6"/>
        <v>846.79</v>
      </c>
      <c r="E30" s="119">
        <v>-45797.84</v>
      </c>
      <c r="F30" s="121">
        <f t="shared" si="7"/>
        <v>174115.21999999994</v>
      </c>
      <c r="G30" s="161">
        <f t="shared" si="8"/>
        <v>5.1799999999999999E-2</v>
      </c>
      <c r="H30" s="105"/>
    </row>
    <row r="31" spans="1:11" x14ac:dyDescent="0.25">
      <c r="A31" s="112">
        <v>18</v>
      </c>
      <c r="B31" s="118">
        <f t="shared" si="5"/>
        <v>43560</v>
      </c>
      <c r="C31" s="119">
        <f t="shared" si="9"/>
        <v>174115.21999999994</v>
      </c>
      <c r="D31" s="120">
        <f t="shared" si="6"/>
        <v>721.3</v>
      </c>
      <c r="E31" s="119">
        <v>-30594.48</v>
      </c>
      <c r="F31" s="121">
        <f t="shared" si="7"/>
        <v>144242.03999999992</v>
      </c>
      <c r="G31" s="161">
        <f t="shared" si="8"/>
        <v>5.45E-2</v>
      </c>
      <c r="H31" s="105"/>
    </row>
    <row r="32" spans="1:11" x14ac:dyDescent="0.25">
      <c r="A32" s="112">
        <v>19</v>
      </c>
      <c r="B32" s="118">
        <f t="shared" si="5"/>
        <v>43591</v>
      </c>
      <c r="C32" s="119">
        <f t="shared" si="9"/>
        <v>144242.03999999992</v>
      </c>
      <c r="D32" s="120">
        <f t="shared" si="6"/>
        <v>617.76</v>
      </c>
      <c r="E32" s="119">
        <v>-16444.46</v>
      </c>
      <c r="F32" s="121">
        <f t="shared" si="7"/>
        <v>128415.33999999994</v>
      </c>
      <c r="G32" s="161">
        <f t="shared" si="8"/>
        <v>5.45E-2</v>
      </c>
      <c r="H32" s="105"/>
    </row>
    <row r="33" spans="1:8" x14ac:dyDescent="0.25">
      <c r="A33" s="112">
        <v>20</v>
      </c>
      <c r="B33" s="118">
        <f t="shared" si="5"/>
        <v>43622</v>
      </c>
      <c r="C33" s="119">
        <f t="shared" si="9"/>
        <v>128415.33999999994</v>
      </c>
      <c r="D33" s="120">
        <f t="shared" si="6"/>
        <v>548.47</v>
      </c>
      <c r="E33" s="119">
        <v>-15300.98</v>
      </c>
      <c r="F33" s="121">
        <f t="shared" si="7"/>
        <v>113662.82999999994</v>
      </c>
      <c r="G33" s="161">
        <f t="shared" si="8"/>
        <v>5.45E-2</v>
      </c>
      <c r="H33" s="105"/>
    </row>
    <row r="34" spans="1:8" x14ac:dyDescent="0.25">
      <c r="A34" s="112">
        <v>21</v>
      </c>
      <c r="B34" s="118">
        <f t="shared" si="5"/>
        <v>43653</v>
      </c>
      <c r="C34" s="119">
        <f t="shared" si="9"/>
        <v>113662.82999999994</v>
      </c>
      <c r="D34" s="120">
        <f t="shared" si="6"/>
        <v>491.49</v>
      </c>
      <c r="E34" s="123">
        <v>-12859.23</v>
      </c>
      <c r="F34" s="121">
        <f t="shared" si="7"/>
        <v>101295.08999999995</v>
      </c>
      <c r="G34" s="161">
        <f t="shared" si="8"/>
        <v>5.5E-2</v>
      </c>
      <c r="H34" s="56"/>
    </row>
    <row r="35" spans="1:8" x14ac:dyDescent="0.25">
      <c r="A35" s="112">
        <v>22</v>
      </c>
      <c r="B35" s="118">
        <f t="shared" si="5"/>
        <v>43684</v>
      </c>
      <c r="C35" s="119">
        <f t="shared" si="9"/>
        <v>101295.08999999995</v>
      </c>
      <c r="D35" s="120">
        <f t="shared" si="6"/>
        <v>433.08</v>
      </c>
      <c r="E35" s="123">
        <f>-ROUND(H35*0.0066,2)</f>
        <v>-13610.21</v>
      </c>
      <c r="F35" s="121">
        <f t="shared" si="7"/>
        <v>88117.959999999963</v>
      </c>
      <c r="G35" s="161">
        <f t="shared" si="8"/>
        <v>5.5E-2</v>
      </c>
      <c r="H35" s="56">
        <f>'6 12 19 Forecast Usage by Sched'!N6-'6 12 19 Forecast Usage by Sched'!E18</f>
        <v>2062153.7384900567</v>
      </c>
    </row>
    <row r="36" spans="1:8" x14ac:dyDescent="0.25">
      <c r="A36" s="112">
        <v>23</v>
      </c>
      <c r="B36" s="118">
        <f t="shared" si="5"/>
        <v>43715</v>
      </c>
      <c r="C36" s="119">
        <f t="shared" si="9"/>
        <v>88117.959999999963</v>
      </c>
      <c r="D36" s="120">
        <f t="shared" si="6"/>
        <v>369.36</v>
      </c>
      <c r="E36" s="123">
        <f t="shared" ref="E36:E37" si="10">-ROUND(H36*0.0066,2)</f>
        <v>-15059.65</v>
      </c>
      <c r="F36" s="121">
        <f t="shared" si="7"/>
        <v>73427.669999999969</v>
      </c>
      <c r="G36" s="161">
        <f t="shared" si="8"/>
        <v>5.5E-2</v>
      </c>
      <c r="H36" s="56">
        <f>'6 12 19 Forecast Usage by Sched'!N7-'6 12 19 Forecast Usage by Sched'!E19</f>
        <v>2281765.0636296524</v>
      </c>
    </row>
    <row r="37" spans="1:8" x14ac:dyDescent="0.25">
      <c r="A37" s="112">
        <v>24</v>
      </c>
      <c r="B37" s="118">
        <f t="shared" si="5"/>
        <v>43746</v>
      </c>
      <c r="C37" s="119">
        <f t="shared" si="9"/>
        <v>73427.669999999969</v>
      </c>
      <c r="D37" s="120">
        <f t="shared" si="6"/>
        <v>264.86</v>
      </c>
      <c r="E37" s="123">
        <f t="shared" si="10"/>
        <v>-31277.919999999998</v>
      </c>
      <c r="F37" s="124">
        <f t="shared" si="7"/>
        <v>42414.609999999971</v>
      </c>
      <c r="G37" s="161">
        <f t="shared" si="8"/>
        <v>5.5E-2</v>
      </c>
      <c r="H37" s="56">
        <f>'6 12 19 Forecast Usage by Sched'!N8-'6 12 19 Forecast Usage by Sched'!E20</f>
        <v>4739079.0784133924</v>
      </c>
    </row>
  </sheetData>
  <mergeCells count="6">
    <mergeCell ref="B1:H1"/>
    <mergeCell ref="B2:H2"/>
    <mergeCell ref="B3:H3"/>
    <mergeCell ref="B6:H6"/>
    <mergeCell ref="B23:H23"/>
    <mergeCell ref="B4:H4"/>
  </mergeCells>
  <pageMargins left="0.7" right="0.7" top="0.75" bottom="0.75" header="0.3" footer="0.3"/>
  <pageSetup scale="93" firstPageNumber="5" orientation="portrait" useFirstPageNumber="1" r:id="rId1"/>
  <headerFooter scaleWithDoc="0">
    <oddFooter>&amp;CATTACHMENT A&amp;RPage 5 of 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7"/>
  <sheetViews>
    <sheetView view="pageBreakPreview" topLeftCell="A33" zoomScale="60" zoomScaleNormal="100" workbookViewId="0">
      <selection activeCell="K9" sqref="K9"/>
    </sheetView>
  </sheetViews>
  <sheetFormatPr defaultRowHeight="15" x14ac:dyDescent="0.25"/>
  <cols>
    <col min="1" max="1" width="7.42578125" style="92" customWidth="1"/>
    <col min="2" max="2" width="31.7109375" customWidth="1"/>
    <col min="4" max="4" width="3.28515625" customWidth="1"/>
    <col min="5" max="5" width="15.42578125" customWidth="1"/>
    <col min="6" max="6" width="15.28515625" customWidth="1"/>
    <col min="7" max="7" width="3.42578125" customWidth="1"/>
    <col min="8" max="8" width="1.42578125" hidden="1" customWidth="1"/>
    <col min="9" max="9" width="20.42578125" customWidth="1"/>
    <col min="10" max="10" width="19.42578125" customWidth="1"/>
    <col min="11" max="11" width="16.28515625" customWidth="1"/>
    <col min="12" max="12" width="14" customWidth="1"/>
    <col min="13" max="13" width="15" customWidth="1"/>
    <col min="14" max="14" width="4.5703125" customWidth="1"/>
    <col min="15" max="15" width="25.28515625" customWidth="1"/>
    <col min="16" max="16" width="16.7109375" customWidth="1"/>
    <col min="17" max="17" width="17" customWidth="1"/>
    <col min="18" max="18" width="12.42578125" customWidth="1"/>
    <col min="19" max="19" width="13.5703125" customWidth="1"/>
  </cols>
  <sheetData>
    <row r="1" spans="1:7" x14ac:dyDescent="0.25">
      <c r="B1" s="199" t="s">
        <v>0</v>
      </c>
      <c r="C1" s="199"/>
      <c r="D1" s="199"/>
      <c r="E1" s="199"/>
      <c r="F1" s="199"/>
      <c r="G1" s="199"/>
    </row>
    <row r="2" spans="1:7" x14ac:dyDescent="0.25">
      <c r="B2" s="199" t="s">
        <v>49</v>
      </c>
      <c r="C2" s="199"/>
      <c r="D2" s="199"/>
      <c r="E2" s="199"/>
      <c r="F2" s="199"/>
      <c r="G2" s="199"/>
    </row>
    <row r="3" spans="1:7" x14ac:dyDescent="0.25">
      <c r="B3" s="199" t="s">
        <v>221</v>
      </c>
      <c r="C3" s="199"/>
      <c r="D3" s="199"/>
      <c r="E3" s="199"/>
      <c r="F3" s="199"/>
      <c r="G3" s="199"/>
    </row>
    <row r="5" spans="1:7" x14ac:dyDescent="0.25">
      <c r="B5" s="95" t="s">
        <v>204</v>
      </c>
      <c r="C5" s="95"/>
      <c r="D5" s="95"/>
    </row>
    <row r="7" spans="1:7" x14ac:dyDescent="0.25">
      <c r="A7" s="92" t="s">
        <v>112</v>
      </c>
      <c r="D7" s="92"/>
      <c r="E7" s="40" t="s">
        <v>50</v>
      </c>
      <c r="F7" s="104"/>
      <c r="G7" s="53"/>
    </row>
    <row r="9" spans="1:7" x14ac:dyDescent="0.25">
      <c r="A9" s="92">
        <v>1</v>
      </c>
      <c r="B9" t="s">
        <v>51</v>
      </c>
      <c r="E9" s="48">
        <v>341366000</v>
      </c>
      <c r="F9" s="48"/>
      <c r="G9" s="48"/>
    </row>
    <row r="11" spans="1:7" x14ac:dyDescent="0.25">
      <c r="A11" s="92">
        <v>2</v>
      </c>
      <c r="B11" t="s">
        <v>52</v>
      </c>
      <c r="E11" s="48">
        <v>25757000</v>
      </c>
      <c r="F11" s="48"/>
      <c r="G11" s="48"/>
    </row>
    <row r="13" spans="1:7" x14ac:dyDescent="0.25">
      <c r="A13" s="92">
        <v>3</v>
      </c>
      <c r="B13" t="s">
        <v>53</v>
      </c>
      <c r="E13" s="46">
        <f>E11/E9</f>
        <v>7.5452739874504196E-2</v>
      </c>
      <c r="F13" s="46"/>
      <c r="G13" s="46"/>
    </row>
    <row r="14" spans="1:7" x14ac:dyDescent="0.25">
      <c r="A14" s="92">
        <v>4</v>
      </c>
      <c r="B14" t="s">
        <v>54</v>
      </c>
      <c r="C14" s="105" t="s">
        <v>206</v>
      </c>
      <c r="D14" s="46"/>
      <c r="E14" s="46">
        <f>(7.29%*4+7.5%*8)/12</f>
        <v>7.4299999999999991E-2</v>
      </c>
      <c r="F14" s="46"/>
      <c r="G14" s="46"/>
    </row>
    <row r="15" spans="1:7" x14ac:dyDescent="0.25">
      <c r="A15" s="92">
        <v>5</v>
      </c>
      <c r="B15" t="s">
        <v>55</v>
      </c>
      <c r="E15" s="47">
        <f>E13-E14</f>
        <v>1.152739874504205E-3</v>
      </c>
      <c r="F15" s="47"/>
      <c r="G15" s="47"/>
    </row>
    <row r="17" spans="1:8" x14ac:dyDescent="0.25">
      <c r="A17" s="92">
        <v>6</v>
      </c>
      <c r="B17" t="s">
        <v>56</v>
      </c>
      <c r="E17" s="48">
        <f>IF(E15&gt;0,E9*E15,0)</f>
        <v>393506.20000000246</v>
      </c>
      <c r="F17" s="48"/>
      <c r="G17" s="48"/>
    </row>
    <row r="18" spans="1:8" x14ac:dyDescent="0.25">
      <c r="A18" s="92">
        <v>7</v>
      </c>
      <c r="B18" t="s">
        <v>57</v>
      </c>
      <c r="E18" s="49">
        <f>'Conversion Factors'!E112</f>
        <v>0.75511799999999996</v>
      </c>
      <c r="F18" s="49"/>
      <c r="G18" s="49"/>
    </row>
    <row r="19" spans="1:8" x14ac:dyDescent="0.25">
      <c r="A19" s="92">
        <v>8</v>
      </c>
      <c r="B19" t="s">
        <v>58</v>
      </c>
      <c r="E19" s="48">
        <f>E17/E18</f>
        <v>521118.81851578492</v>
      </c>
      <c r="F19" s="48"/>
      <c r="G19" s="48"/>
      <c r="H19" s="48"/>
    </row>
    <row r="20" spans="1:8" ht="15.75" thickBot="1" x14ac:dyDescent="0.3">
      <c r="A20" s="92">
        <v>9</v>
      </c>
      <c r="B20" t="s">
        <v>59</v>
      </c>
      <c r="E20" s="50">
        <v>0.5</v>
      </c>
      <c r="F20" s="50"/>
      <c r="G20" s="50"/>
    </row>
    <row r="21" spans="1:8" ht="16.5" thickTop="1" thickBot="1" x14ac:dyDescent="0.3">
      <c r="A21" s="92">
        <v>10</v>
      </c>
      <c r="B21" t="s">
        <v>197</v>
      </c>
      <c r="E21" s="51">
        <f>E19*E20</f>
        <v>260559.40925789246</v>
      </c>
      <c r="F21" s="59"/>
      <c r="G21" s="59"/>
    </row>
    <row r="22" spans="1:8" ht="15.75" thickTop="1" x14ac:dyDescent="0.25"/>
    <row r="24" spans="1:8" x14ac:dyDescent="0.25">
      <c r="B24" s="95" t="s">
        <v>205</v>
      </c>
      <c r="C24" s="95"/>
      <c r="D24" s="95"/>
      <c r="E24" s="95"/>
      <c r="F24" s="95"/>
      <c r="G24" s="95"/>
    </row>
    <row r="26" spans="1:8" x14ac:dyDescent="0.25">
      <c r="A26" s="92">
        <v>11</v>
      </c>
      <c r="B26" t="s">
        <v>60</v>
      </c>
      <c r="D26" s="46"/>
      <c r="E26" s="81">
        <v>98537757</v>
      </c>
      <c r="F26" s="46">
        <f>E26/E30</f>
        <v>0.76236002978702977</v>
      </c>
    </row>
    <row r="27" spans="1:8" x14ac:dyDescent="0.25">
      <c r="E27" s="82"/>
      <c r="H27" s="46"/>
    </row>
    <row r="28" spans="1:8" x14ac:dyDescent="0.25">
      <c r="A28" s="92">
        <v>12</v>
      </c>
      <c r="B28" t="s">
        <v>61</v>
      </c>
      <c r="D28" s="46"/>
      <c r="E28" s="81">
        <v>30715815</v>
      </c>
      <c r="F28" s="46">
        <f>E28/E30</f>
        <v>0.2376399702129702</v>
      </c>
    </row>
    <row r="29" spans="1:8" x14ac:dyDescent="0.25">
      <c r="H29" s="46"/>
    </row>
    <row r="30" spans="1:8" x14ac:dyDescent="0.25">
      <c r="A30" s="92">
        <v>13</v>
      </c>
      <c r="B30" t="s">
        <v>62</v>
      </c>
      <c r="D30" s="47"/>
      <c r="E30" s="48">
        <f>E26+E28</f>
        <v>129253572</v>
      </c>
      <c r="F30" s="47">
        <f>F26+F28</f>
        <v>1</v>
      </c>
    </row>
    <row r="31" spans="1:8" s="105" customFormat="1" x14ac:dyDescent="0.25">
      <c r="A31" s="107"/>
      <c r="D31" s="108"/>
      <c r="E31" s="109"/>
      <c r="F31" s="108"/>
    </row>
    <row r="32" spans="1:8" x14ac:dyDescent="0.25">
      <c r="E32" s="189" t="s">
        <v>138</v>
      </c>
      <c r="F32" s="189" t="s">
        <v>139</v>
      </c>
      <c r="H32" s="47"/>
    </row>
    <row r="33" spans="1:10" x14ac:dyDescent="0.25">
      <c r="B33" s="54" t="s">
        <v>63</v>
      </c>
      <c r="E33" s="189"/>
      <c r="F33" s="189"/>
    </row>
    <row r="34" spans="1:10" x14ac:dyDescent="0.25">
      <c r="A34" s="92">
        <v>14</v>
      </c>
      <c r="B34" t="s">
        <v>65</v>
      </c>
      <c r="E34" s="48">
        <f>E21*F26</f>
        <v>198640.07900313777</v>
      </c>
      <c r="F34" s="109">
        <f>ROUND(E34*'Conversion Factors'!$E$108,0)</f>
        <v>189869</v>
      </c>
    </row>
    <row r="35" spans="1:10" x14ac:dyDescent="0.25">
      <c r="A35" s="92">
        <v>15</v>
      </c>
      <c r="B35" t="s">
        <v>97</v>
      </c>
      <c r="E35" s="48">
        <f>E21*F28</f>
        <v>61919.330254754677</v>
      </c>
      <c r="F35" s="109">
        <f>ROUND(E35*'Conversion Factors'!$E$108,0)</f>
        <v>59185</v>
      </c>
    </row>
    <row r="36" spans="1:10" x14ac:dyDescent="0.25">
      <c r="A36" s="92">
        <v>16</v>
      </c>
      <c r="B36" t="s">
        <v>64</v>
      </c>
      <c r="E36" s="52">
        <f>SUM(E34:E35)</f>
        <v>260559.40925789246</v>
      </c>
      <c r="F36" s="52">
        <f>SUM(F34:F35)</f>
        <v>249054</v>
      </c>
      <c r="I36" s="109"/>
    </row>
    <row r="38" spans="1:10" ht="32.450000000000003" customHeight="1" x14ac:dyDescent="0.25">
      <c r="A38" s="92" t="s">
        <v>112</v>
      </c>
      <c r="B38" s="96" t="s">
        <v>71</v>
      </c>
      <c r="E38" s="112" t="s">
        <v>140</v>
      </c>
      <c r="F38" s="112" t="s">
        <v>141</v>
      </c>
      <c r="G38" s="112"/>
      <c r="J38" s="126"/>
    </row>
    <row r="39" spans="1:10" s="105" customFormat="1" ht="15" customHeight="1" x14ac:dyDescent="0.25">
      <c r="A39" s="112"/>
      <c r="B39" s="96"/>
      <c r="E39" s="112"/>
      <c r="F39" s="112"/>
      <c r="G39" s="112"/>
    </row>
    <row r="40" spans="1:10" s="105" customFormat="1" ht="30.6" customHeight="1" x14ac:dyDescent="0.25">
      <c r="A40" s="114">
        <v>1</v>
      </c>
      <c r="B40" s="204" t="s">
        <v>210</v>
      </c>
      <c r="C40" s="204"/>
      <c r="D40" s="115"/>
      <c r="E40" s="116">
        <f>E26</f>
        <v>98537757</v>
      </c>
      <c r="F40" s="116">
        <f>E28</f>
        <v>30715815</v>
      </c>
      <c r="G40" s="116"/>
      <c r="J40" s="116"/>
    </row>
    <row r="41" spans="1:10" s="105" customFormat="1" ht="15" customHeight="1" x14ac:dyDescent="0.25">
      <c r="A41" s="112"/>
      <c r="B41" s="96"/>
      <c r="E41" s="112"/>
      <c r="F41" s="112"/>
      <c r="G41" s="112"/>
    </row>
    <row r="42" spans="1:10" ht="15" customHeight="1" x14ac:dyDescent="0.25">
      <c r="A42" s="92">
        <v>2</v>
      </c>
      <c r="B42" t="s">
        <v>193</v>
      </c>
      <c r="E42" s="89">
        <f>'Nat Gas 2018 Rate Calc'!E22</f>
        <v>132430515.75120828</v>
      </c>
      <c r="F42" s="89">
        <f>'Nat Gas 2018 Rate Calc'!K22</f>
        <v>58394530.171334751</v>
      </c>
      <c r="I42" s="105"/>
    </row>
    <row r="43" spans="1:10" ht="15" customHeight="1" x14ac:dyDescent="0.25"/>
    <row r="44" spans="1:10" ht="15" customHeight="1" x14ac:dyDescent="0.25">
      <c r="A44" s="92">
        <v>3</v>
      </c>
      <c r="B44" t="s">
        <v>66</v>
      </c>
      <c r="E44" s="57">
        <f>'Nat Gas 2018 Rate Calc'!D28</f>
        <v>4.1999999999999997E-3</v>
      </c>
      <c r="F44" s="57">
        <f>'Nat Gas 2018 Rate Calc'!J28</f>
        <v>1.8409999999999999E-2</v>
      </c>
    </row>
    <row r="45" spans="1:10" ht="15" customHeight="1" x14ac:dyDescent="0.25"/>
    <row r="46" spans="1:10" ht="15" customHeight="1" x14ac:dyDescent="0.25">
      <c r="A46" s="92">
        <v>4</v>
      </c>
      <c r="B46" t="s">
        <v>214</v>
      </c>
      <c r="E46" s="57">
        <v>0</v>
      </c>
      <c r="F46" s="57">
        <v>6.9100000000000003E-3</v>
      </c>
      <c r="I46" s="57"/>
    </row>
    <row r="47" spans="1:10" ht="15" customHeight="1" x14ac:dyDescent="0.25"/>
    <row r="48" spans="1:10" ht="15" customHeight="1" x14ac:dyDescent="0.25">
      <c r="A48" s="92">
        <v>5</v>
      </c>
      <c r="B48" t="s">
        <v>69</v>
      </c>
      <c r="E48" s="57">
        <f>E44-E46</f>
        <v>4.1999999999999997E-3</v>
      </c>
      <c r="F48" s="57">
        <f>F44-F46</f>
        <v>1.15E-2</v>
      </c>
    </row>
    <row r="49" spans="1:7" ht="15" customHeight="1" x14ac:dyDescent="0.25"/>
    <row r="50" spans="1:7" ht="15" customHeight="1" x14ac:dyDescent="0.25">
      <c r="A50" s="92">
        <v>6</v>
      </c>
      <c r="B50" t="s">
        <v>70</v>
      </c>
      <c r="E50" s="55">
        <f>E48*E42</f>
        <v>556208.16615507472</v>
      </c>
      <c r="F50" s="55">
        <f>F48*F42</f>
        <v>671537.09697034967</v>
      </c>
      <c r="G50" s="55"/>
    </row>
    <row r="51" spans="1:7" ht="15" customHeight="1" x14ac:dyDescent="0.25">
      <c r="E51" s="55"/>
      <c r="F51" s="55"/>
    </row>
    <row r="52" spans="1:7" ht="15" customHeight="1" x14ac:dyDescent="0.25">
      <c r="A52" s="92">
        <v>7</v>
      </c>
      <c r="B52" t="s">
        <v>72</v>
      </c>
      <c r="E52" s="58">
        <f>E50/E40</f>
        <v>5.6446197182575888E-3</v>
      </c>
      <c r="F52" s="58">
        <f t="shared" ref="F52" si="0">F50/F40</f>
        <v>2.1862909936472455E-2</v>
      </c>
      <c r="G52" s="58"/>
    </row>
    <row r="53" spans="1:7" ht="15" customHeight="1" x14ac:dyDescent="0.25"/>
    <row r="54" spans="1:7" ht="15" customHeight="1" x14ac:dyDescent="0.25">
      <c r="A54" s="92">
        <v>8</v>
      </c>
      <c r="B54" t="s">
        <v>213</v>
      </c>
      <c r="E54" s="48">
        <f>IF(E52&gt;0.03,E40*0.03-E50,0)</f>
        <v>0</v>
      </c>
      <c r="F54" s="109">
        <f>IF(F52&gt;0.03,F40*0.03-F50,0)</f>
        <v>0</v>
      </c>
    </row>
    <row r="55" spans="1:7" ht="15" customHeight="1" x14ac:dyDescent="0.25"/>
    <row r="56" spans="1:7" ht="15" customHeight="1" x14ac:dyDescent="0.25">
      <c r="A56" s="92">
        <v>9</v>
      </c>
      <c r="B56" t="s">
        <v>73</v>
      </c>
      <c r="E56" s="57">
        <f>ROUND(E54/E42,5)</f>
        <v>0</v>
      </c>
      <c r="F56" s="57">
        <f>ROUND(F54/F42,5)</f>
        <v>0</v>
      </c>
    </row>
    <row r="57" spans="1:7" ht="15" customHeight="1" x14ac:dyDescent="0.25"/>
    <row r="58" spans="1:7" ht="15" customHeight="1" x14ac:dyDescent="0.25">
      <c r="A58" s="92">
        <v>10</v>
      </c>
      <c r="B58" t="s">
        <v>74</v>
      </c>
      <c r="E58" s="57">
        <f>E44+E56</f>
        <v>4.1999999999999997E-3</v>
      </c>
      <c r="F58" s="57">
        <f>F44+F56</f>
        <v>1.8409999999999999E-2</v>
      </c>
    </row>
    <row r="59" spans="1:7" ht="15" customHeight="1" x14ac:dyDescent="0.25"/>
    <row r="60" spans="1:7" ht="15" customHeight="1" x14ac:dyDescent="0.25">
      <c r="A60" s="92">
        <v>11</v>
      </c>
      <c r="B60" t="s">
        <v>75</v>
      </c>
      <c r="E60" s="55">
        <f>(E58-E46)*E42</f>
        <v>556208.16615507472</v>
      </c>
      <c r="F60" s="55">
        <f>(F58-F46)*F42</f>
        <v>671537.09697034967</v>
      </c>
      <c r="G60" s="61"/>
    </row>
    <row r="61" spans="1:7" ht="15" customHeight="1" x14ac:dyDescent="0.25">
      <c r="E61" s="61"/>
      <c r="F61" s="61"/>
    </row>
    <row r="62" spans="1:7" ht="15" customHeight="1" x14ac:dyDescent="0.25">
      <c r="A62" s="92">
        <v>12</v>
      </c>
      <c r="B62" t="s">
        <v>76</v>
      </c>
      <c r="E62" s="58">
        <f>E60/E40</f>
        <v>5.6446197182575888E-3</v>
      </c>
      <c r="F62" s="58">
        <f t="shared" ref="F62" si="1">F60/F40</f>
        <v>2.1862909936472455E-2</v>
      </c>
      <c r="G62" s="58"/>
    </row>
    <row r="63" spans="1:7" ht="15" customHeight="1" x14ac:dyDescent="0.25"/>
    <row r="64" spans="1:7" x14ac:dyDescent="0.25">
      <c r="B64" t="s">
        <v>80</v>
      </c>
    </row>
    <row r="65" spans="1:8" ht="36" customHeight="1" x14ac:dyDescent="0.25">
      <c r="A65" s="112"/>
      <c r="B65" s="203" t="s">
        <v>211</v>
      </c>
      <c r="C65" s="203"/>
      <c r="D65" s="203"/>
      <c r="E65" s="203"/>
      <c r="F65" s="203"/>
      <c r="G65" s="203"/>
      <c r="H65" s="203"/>
    </row>
    <row r="66" spans="1:8" ht="51" customHeight="1" x14ac:dyDescent="0.25">
      <c r="A66" s="112"/>
      <c r="B66" s="203" t="s">
        <v>220</v>
      </c>
      <c r="C66" s="203"/>
      <c r="D66" s="203"/>
      <c r="E66" s="203"/>
      <c r="F66" s="203"/>
      <c r="G66" s="203"/>
      <c r="H66" s="203"/>
    </row>
    <row r="67" spans="1:8" ht="51" customHeight="1" x14ac:dyDescent="0.25">
      <c r="B67" s="202" t="s">
        <v>212</v>
      </c>
      <c r="C67" s="202"/>
      <c r="D67" s="202"/>
      <c r="E67" s="202"/>
      <c r="F67" s="202"/>
      <c r="G67" s="202"/>
      <c r="H67" s="202"/>
    </row>
  </sheetData>
  <customSheetViews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1"/>
    </customSheetView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2"/>
    </customSheetView>
  </customSheetViews>
  <mergeCells count="9">
    <mergeCell ref="B67:H67"/>
    <mergeCell ref="B66:H66"/>
    <mergeCell ref="B1:G1"/>
    <mergeCell ref="B2:G2"/>
    <mergeCell ref="B3:G3"/>
    <mergeCell ref="E32:E33"/>
    <mergeCell ref="F32:F33"/>
    <mergeCell ref="B40:C40"/>
    <mergeCell ref="B65:H65"/>
  </mergeCells>
  <printOptions horizontalCentered="1"/>
  <pageMargins left="0.7" right="0.7" top="0.75" bottom="0.75" header="0.3" footer="0.3"/>
  <pageSetup scale="95" firstPageNumber="6" orientation="portrait" useFirstPageNumber="1" r:id="rId3"/>
  <headerFooter scaleWithDoc="0">
    <oddFooter>&amp;CATTACHMENT A&amp;RPage &amp;P of 9</oddFooter>
  </headerFooter>
  <rowBreaks count="1" manualBreakCount="1">
    <brk id="3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16"/>
  <sheetViews>
    <sheetView topLeftCell="A89" zoomScaleNormal="100" workbookViewId="0">
      <selection activeCell="K9" sqref="K9"/>
    </sheetView>
  </sheetViews>
  <sheetFormatPr defaultRowHeight="15" x14ac:dyDescent="0.25"/>
  <cols>
    <col min="1" max="1" width="6.5703125" customWidth="1"/>
    <col min="2" max="2" width="2.42578125" customWidth="1"/>
    <col min="3" max="3" width="34.28515625" customWidth="1"/>
    <col min="4" max="4" width="8.85546875" customWidth="1"/>
    <col min="5" max="5" width="12.5703125" customWidth="1"/>
    <col min="6" max="6" width="3" customWidth="1"/>
    <col min="8" max="8" width="12.5703125" bestFit="1" customWidth="1"/>
  </cols>
  <sheetData>
    <row r="1" spans="1:5" hidden="1" x14ac:dyDescent="0.25">
      <c r="A1" s="205" t="s">
        <v>17</v>
      </c>
      <c r="B1" s="205"/>
      <c r="C1" s="205"/>
      <c r="D1" s="205"/>
      <c r="E1" s="205"/>
    </row>
    <row r="2" spans="1:5" ht="14.45" hidden="1" customHeight="1" x14ac:dyDescent="0.25">
      <c r="A2" s="1" t="s">
        <v>18</v>
      </c>
      <c r="B2" s="1"/>
      <c r="C2" s="1"/>
      <c r="D2" s="1"/>
      <c r="E2" s="2"/>
    </row>
    <row r="3" spans="1:5" ht="14.45" hidden="1" customHeight="1" x14ac:dyDescent="0.25">
      <c r="A3" s="1" t="s">
        <v>33</v>
      </c>
      <c r="B3" s="1"/>
      <c r="C3" s="1"/>
      <c r="D3" s="1"/>
      <c r="E3" s="2"/>
    </row>
    <row r="4" spans="1:5" ht="15.6" hidden="1" customHeight="1" x14ac:dyDescent="0.25">
      <c r="A4" s="1" t="s">
        <v>19</v>
      </c>
      <c r="B4" s="1"/>
      <c r="C4" s="1"/>
      <c r="D4" s="1"/>
      <c r="E4" s="2"/>
    </row>
    <row r="5" spans="1:5" hidden="1" x14ac:dyDescent="0.25">
      <c r="A5" s="3"/>
      <c r="B5" s="3"/>
      <c r="C5" s="3"/>
      <c r="D5" s="3"/>
      <c r="E5" s="4"/>
    </row>
    <row r="6" spans="1:5" hidden="1" x14ac:dyDescent="0.25">
      <c r="A6" s="5" t="s">
        <v>20</v>
      </c>
      <c r="B6" s="5"/>
      <c r="C6" s="5"/>
      <c r="D6" s="5"/>
      <c r="E6" s="6"/>
    </row>
    <row r="7" spans="1:5" hidden="1" x14ac:dyDescent="0.25">
      <c r="A7" s="7" t="s">
        <v>21</v>
      </c>
      <c r="B7" s="5"/>
      <c r="C7" s="7" t="s">
        <v>22</v>
      </c>
      <c r="D7" s="8"/>
      <c r="E7" s="9" t="s">
        <v>23</v>
      </c>
    </row>
    <row r="8" spans="1:5" hidden="1" x14ac:dyDescent="0.25">
      <c r="A8" s="3"/>
      <c r="B8" s="3"/>
      <c r="C8" s="3"/>
      <c r="D8" s="3"/>
      <c r="E8" s="4"/>
    </row>
    <row r="9" spans="1:5" hidden="1" x14ac:dyDescent="0.25">
      <c r="A9" s="10">
        <v>1</v>
      </c>
      <c r="B9" s="3"/>
      <c r="C9" s="11" t="s">
        <v>24</v>
      </c>
      <c r="D9" s="3"/>
      <c r="E9" s="12">
        <v>1</v>
      </c>
    </row>
    <row r="10" spans="1:5" hidden="1" x14ac:dyDescent="0.25">
      <c r="A10" s="10"/>
      <c r="B10" s="3"/>
      <c r="C10" s="3"/>
      <c r="D10" s="3"/>
      <c r="E10" s="12"/>
    </row>
    <row r="11" spans="1:5" hidden="1" x14ac:dyDescent="0.25">
      <c r="A11" s="10"/>
      <c r="B11" s="3"/>
      <c r="C11" s="13" t="s">
        <v>25</v>
      </c>
      <c r="D11" s="14"/>
      <c r="E11" s="12"/>
    </row>
    <row r="12" spans="1:5" hidden="1" x14ac:dyDescent="0.25">
      <c r="A12" s="10">
        <v>2</v>
      </c>
      <c r="B12" s="3"/>
      <c r="C12" s="14" t="s">
        <v>26</v>
      </c>
      <c r="D12" s="14"/>
      <c r="E12" s="14">
        <v>4.8500000000000001E-3</v>
      </c>
    </row>
    <row r="13" spans="1:5" hidden="1" x14ac:dyDescent="0.25">
      <c r="A13" s="10"/>
      <c r="B13" s="3"/>
      <c r="C13" s="14"/>
      <c r="D13" s="14"/>
      <c r="E13" s="14"/>
    </row>
    <row r="14" spans="1:5" hidden="1" x14ac:dyDescent="0.25">
      <c r="A14" s="10">
        <v>3</v>
      </c>
      <c r="B14" s="3"/>
      <c r="C14" s="14" t="s">
        <v>27</v>
      </c>
      <c r="D14" s="14"/>
      <c r="E14" s="14">
        <v>2E-3</v>
      </c>
    </row>
    <row r="15" spans="1:5" hidden="1" x14ac:dyDescent="0.25">
      <c r="A15" s="10"/>
      <c r="B15" s="3"/>
      <c r="C15" s="14"/>
      <c r="D15" s="14"/>
      <c r="E15" s="14"/>
    </row>
    <row r="16" spans="1:5" hidden="1" x14ac:dyDescent="0.25">
      <c r="A16" s="10">
        <v>4</v>
      </c>
      <c r="B16" s="3"/>
      <c r="C16" s="14" t="s">
        <v>28</v>
      </c>
      <c r="D16" s="14"/>
      <c r="E16" s="14">
        <v>3.8332999999999999E-2</v>
      </c>
    </row>
    <row r="17" spans="1:5" hidden="1" x14ac:dyDescent="0.25">
      <c r="A17" s="10"/>
      <c r="B17" s="3"/>
      <c r="C17" s="14"/>
      <c r="D17" s="14"/>
      <c r="E17" s="14"/>
    </row>
    <row r="18" spans="1:5" hidden="1" x14ac:dyDescent="0.25">
      <c r="A18" s="10">
        <v>5</v>
      </c>
      <c r="B18" s="3"/>
      <c r="C18" s="14" t="s">
        <v>29</v>
      </c>
      <c r="D18" s="14"/>
      <c r="E18" s="15">
        <f>SUM(E12:E16)</f>
        <v>4.5183000000000001E-2</v>
      </c>
    </row>
    <row r="19" spans="1:5" hidden="1" x14ac:dyDescent="0.25">
      <c r="A19" s="10"/>
      <c r="B19" s="3"/>
      <c r="C19" s="14"/>
      <c r="D19" s="14"/>
      <c r="E19" s="16"/>
    </row>
    <row r="20" spans="1:5" hidden="1" x14ac:dyDescent="0.25">
      <c r="A20" s="10">
        <v>6</v>
      </c>
      <c r="B20" s="3"/>
      <c r="C20" s="14" t="s">
        <v>30</v>
      </c>
      <c r="D20" s="14"/>
      <c r="E20" s="16">
        <f>E9-E18</f>
        <v>0.95481700000000003</v>
      </c>
    </row>
    <row r="21" spans="1:5" hidden="1" x14ac:dyDescent="0.25">
      <c r="A21" s="3"/>
      <c r="B21" s="3"/>
      <c r="C21" s="14"/>
      <c r="D21" s="14"/>
      <c r="E21" s="16"/>
    </row>
    <row r="22" spans="1:5" hidden="1" x14ac:dyDescent="0.25">
      <c r="A22" s="10">
        <v>7</v>
      </c>
      <c r="B22" s="3"/>
      <c r="C22" s="14" t="s">
        <v>31</v>
      </c>
      <c r="D22" s="17"/>
      <c r="E22" s="18">
        <f>ROUND(E20*0.35,6)</f>
        <v>0.33418599999999998</v>
      </c>
    </row>
    <row r="23" spans="1:5" hidden="1" x14ac:dyDescent="0.25">
      <c r="A23" s="3"/>
      <c r="B23" s="3"/>
      <c r="C23" s="14"/>
      <c r="D23" s="14"/>
      <c r="E23" s="16"/>
    </row>
    <row r="24" spans="1:5" ht="15.75" hidden="1" thickBot="1" x14ac:dyDescent="0.3">
      <c r="A24" s="10">
        <v>8</v>
      </c>
      <c r="B24" s="3"/>
      <c r="C24" s="13" t="s">
        <v>32</v>
      </c>
      <c r="D24" s="14"/>
      <c r="E24" s="20">
        <f>ROUND(E20-E22,5)</f>
        <v>0.62063000000000001</v>
      </c>
    </row>
    <row r="25" spans="1:5" hidden="1" x14ac:dyDescent="0.25"/>
    <row r="26" spans="1:5" hidden="1" x14ac:dyDescent="0.25">
      <c r="C26" t="s">
        <v>34</v>
      </c>
    </row>
    <row r="27" spans="1:5" hidden="1" x14ac:dyDescent="0.25">
      <c r="C27" t="s">
        <v>35</v>
      </c>
    </row>
    <row r="28" spans="1:5" hidden="1" x14ac:dyDescent="0.25">
      <c r="C28" t="s">
        <v>46</v>
      </c>
      <c r="E28">
        <f>1/E20</f>
        <v>1.0473211096995549</v>
      </c>
    </row>
    <row r="29" spans="1:5" hidden="1" x14ac:dyDescent="0.25"/>
    <row r="30" spans="1:5" hidden="1" x14ac:dyDescent="0.25">
      <c r="A30" s="205" t="s">
        <v>17</v>
      </c>
      <c r="B30" s="205"/>
      <c r="C30" s="205"/>
      <c r="D30" s="205"/>
      <c r="E30" s="205"/>
    </row>
    <row r="31" spans="1:5" ht="14.45" hidden="1" customHeight="1" x14ac:dyDescent="0.25">
      <c r="A31" s="1" t="s">
        <v>18</v>
      </c>
      <c r="B31" s="1"/>
      <c r="C31" s="1"/>
      <c r="D31" s="1"/>
      <c r="E31" s="2"/>
    </row>
    <row r="32" spans="1:5" ht="14.45" hidden="1" customHeight="1" x14ac:dyDescent="0.25">
      <c r="A32" s="1" t="s">
        <v>33</v>
      </c>
      <c r="B32" s="1"/>
      <c r="C32" s="1"/>
      <c r="D32" s="1"/>
      <c r="E32" s="2"/>
    </row>
    <row r="33" spans="1:5" ht="15.6" hidden="1" customHeight="1" x14ac:dyDescent="0.25">
      <c r="A33" s="1" t="s">
        <v>36</v>
      </c>
      <c r="B33" s="1"/>
      <c r="C33" s="1"/>
      <c r="D33" s="1"/>
      <c r="E33" s="2"/>
    </row>
    <row r="34" spans="1:5" hidden="1" x14ac:dyDescent="0.25">
      <c r="A34" s="3"/>
      <c r="B34" s="3"/>
      <c r="C34" s="3"/>
      <c r="D34" s="3"/>
      <c r="E34" s="4"/>
    </row>
    <row r="35" spans="1:5" hidden="1" x14ac:dyDescent="0.25">
      <c r="A35" s="5" t="s">
        <v>20</v>
      </c>
      <c r="B35" s="5"/>
      <c r="C35" s="5"/>
      <c r="D35" s="5"/>
      <c r="E35" s="6"/>
    </row>
    <row r="36" spans="1:5" hidden="1" x14ac:dyDescent="0.25">
      <c r="A36" s="7" t="s">
        <v>21</v>
      </c>
      <c r="B36" s="5"/>
      <c r="C36" s="7" t="s">
        <v>22</v>
      </c>
      <c r="D36" s="8"/>
      <c r="E36" s="9" t="s">
        <v>23</v>
      </c>
    </row>
    <row r="37" spans="1:5" hidden="1" x14ac:dyDescent="0.25">
      <c r="A37" s="3"/>
      <c r="B37" s="3"/>
      <c r="C37" s="3"/>
      <c r="D37" s="3"/>
      <c r="E37" s="4"/>
    </row>
    <row r="38" spans="1:5" hidden="1" x14ac:dyDescent="0.25">
      <c r="A38" s="10">
        <v>1</v>
      </c>
      <c r="B38" s="3"/>
      <c r="C38" s="11" t="s">
        <v>24</v>
      </c>
      <c r="D38" s="3"/>
      <c r="E38" s="12">
        <v>1</v>
      </c>
    </row>
    <row r="39" spans="1:5" hidden="1" x14ac:dyDescent="0.25">
      <c r="A39" s="10"/>
      <c r="B39" s="3"/>
      <c r="C39" s="3"/>
      <c r="D39" s="3"/>
      <c r="E39" s="12"/>
    </row>
    <row r="40" spans="1:5" hidden="1" x14ac:dyDescent="0.25">
      <c r="A40" s="10"/>
      <c r="B40" s="3"/>
      <c r="C40" s="13" t="s">
        <v>25</v>
      </c>
      <c r="D40" s="14"/>
      <c r="E40" s="12"/>
    </row>
    <row r="41" spans="1:5" hidden="1" x14ac:dyDescent="0.25">
      <c r="A41" s="10">
        <v>2</v>
      </c>
      <c r="B41" s="3"/>
      <c r="C41" s="14" t="s">
        <v>26</v>
      </c>
      <c r="D41" s="14"/>
      <c r="E41" s="14">
        <v>4.4485628026109834E-3</v>
      </c>
    </row>
    <row r="42" spans="1:5" hidden="1" x14ac:dyDescent="0.25">
      <c r="A42" s="10"/>
      <c r="B42" s="3"/>
      <c r="C42" s="14"/>
      <c r="D42" s="14"/>
      <c r="E42" s="14"/>
    </row>
    <row r="43" spans="1:5" hidden="1" x14ac:dyDescent="0.25">
      <c r="A43" s="10">
        <v>3</v>
      </c>
      <c r="B43" s="3"/>
      <c r="C43" s="14" t="s">
        <v>27</v>
      </c>
      <c r="D43" s="14"/>
      <c r="E43" s="14">
        <v>2E-3</v>
      </c>
    </row>
    <row r="44" spans="1:5" hidden="1" x14ac:dyDescent="0.25">
      <c r="A44" s="10"/>
      <c r="B44" s="3"/>
      <c r="C44" s="14"/>
      <c r="D44" s="14"/>
      <c r="E44" s="14"/>
    </row>
    <row r="45" spans="1:5" hidden="1" x14ac:dyDescent="0.25">
      <c r="A45" s="10">
        <v>4</v>
      </c>
      <c r="B45" s="3"/>
      <c r="C45" s="14" t="s">
        <v>28</v>
      </c>
      <c r="D45" s="14"/>
      <c r="E45" s="14">
        <v>3.8348641360843427E-2</v>
      </c>
    </row>
    <row r="46" spans="1:5" hidden="1" x14ac:dyDescent="0.25">
      <c r="A46" s="10"/>
      <c r="B46" s="3"/>
      <c r="C46" s="14"/>
      <c r="D46" s="14"/>
      <c r="E46" s="14"/>
    </row>
    <row r="47" spans="1:5" hidden="1" x14ac:dyDescent="0.25">
      <c r="A47" s="10">
        <v>5</v>
      </c>
      <c r="B47" s="3"/>
      <c r="C47" s="14" t="s">
        <v>37</v>
      </c>
      <c r="D47" s="14"/>
      <c r="E47" s="14">
        <v>0</v>
      </c>
    </row>
    <row r="48" spans="1:5" hidden="1" x14ac:dyDescent="0.25">
      <c r="A48" s="10"/>
      <c r="B48" s="3"/>
      <c r="C48" s="14"/>
      <c r="D48" s="14"/>
      <c r="E48" s="14"/>
    </row>
    <row r="49" spans="1:6" ht="15.75" hidden="1" thickBot="1" x14ac:dyDescent="0.3">
      <c r="A49" s="10">
        <v>6</v>
      </c>
      <c r="B49" s="3"/>
      <c r="C49" s="14" t="s">
        <v>29</v>
      </c>
      <c r="D49" s="14"/>
      <c r="E49" s="21">
        <f>SUM(E41:E47)</f>
        <v>4.479720416345441E-2</v>
      </c>
      <c r="F49" t="s">
        <v>39</v>
      </c>
    </row>
    <row r="50" spans="1:6" hidden="1" x14ac:dyDescent="0.25">
      <c r="A50" s="3"/>
      <c r="B50" s="3"/>
      <c r="C50" s="14"/>
      <c r="D50" s="14"/>
      <c r="E50" s="16"/>
    </row>
    <row r="51" spans="1:6" hidden="1" x14ac:dyDescent="0.25">
      <c r="A51" s="10">
        <v>7</v>
      </c>
      <c r="B51" s="3"/>
      <c r="C51" s="14" t="s">
        <v>30</v>
      </c>
      <c r="D51" s="14"/>
      <c r="E51" s="16">
        <f>E38-E49</f>
        <v>0.95520279583654555</v>
      </c>
    </row>
    <row r="52" spans="1:6" hidden="1" x14ac:dyDescent="0.25">
      <c r="A52" s="3"/>
      <c r="B52" s="3"/>
      <c r="C52" s="14"/>
      <c r="D52" s="14"/>
      <c r="E52" s="16"/>
    </row>
    <row r="53" spans="1:6" hidden="1" x14ac:dyDescent="0.25">
      <c r="A53" s="10">
        <v>8</v>
      </c>
      <c r="B53" s="3"/>
      <c r="C53" s="14" t="s">
        <v>31</v>
      </c>
      <c r="D53" s="17"/>
      <c r="E53" s="18">
        <f>ROUND(E51*0.35,6)</f>
        <v>0.33432099999999998</v>
      </c>
    </row>
    <row r="54" spans="1:6" hidden="1" x14ac:dyDescent="0.25">
      <c r="A54" s="3"/>
      <c r="B54" s="3"/>
      <c r="C54" s="14"/>
      <c r="D54" s="14"/>
      <c r="E54" s="16"/>
    </row>
    <row r="55" spans="1:6" ht="15.75" hidden="1" thickBot="1" x14ac:dyDescent="0.3">
      <c r="A55" s="10">
        <v>9</v>
      </c>
      <c r="B55" s="3"/>
      <c r="C55" s="13" t="s">
        <v>32</v>
      </c>
      <c r="D55" s="14"/>
      <c r="E55" s="20">
        <f>ROUND(E51-E53,5)</f>
        <v>0.62087999999999999</v>
      </c>
    </row>
    <row r="56" spans="1:6" hidden="1" x14ac:dyDescent="0.25">
      <c r="A56" s="19"/>
      <c r="B56" s="19"/>
      <c r="C56" s="19"/>
      <c r="D56" s="19"/>
      <c r="E56" s="19"/>
    </row>
    <row r="57" spans="1:6" hidden="1" x14ac:dyDescent="0.25">
      <c r="C57" t="s">
        <v>34</v>
      </c>
    </row>
    <row r="58" spans="1:6" hidden="1" x14ac:dyDescent="0.25">
      <c r="C58" t="s">
        <v>38</v>
      </c>
    </row>
    <row r="59" spans="1:6" hidden="1" x14ac:dyDescent="0.25">
      <c r="C59" t="s">
        <v>46</v>
      </c>
      <c r="E59">
        <f>1/E51</f>
        <v>1.0468981082956548</v>
      </c>
    </row>
    <row r="60" spans="1:6" hidden="1" x14ac:dyDescent="0.25"/>
    <row r="61" spans="1:6" ht="14.45" hidden="1" customHeight="1" x14ac:dyDescent="0.25">
      <c r="A61" s="22" t="s">
        <v>18</v>
      </c>
      <c r="B61" s="22"/>
      <c r="C61" s="22"/>
      <c r="D61" s="22"/>
      <c r="E61" s="23"/>
    </row>
    <row r="62" spans="1:6" ht="14.45" hidden="1" customHeight="1" x14ac:dyDescent="0.25">
      <c r="A62" s="1" t="s">
        <v>33</v>
      </c>
      <c r="B62" s="1"/>
      <c r="C62" s="1"/>
      <c r="D62" s="1"/>
      <c r="E62" s="2"/>
    </row>
    <row r="63" spans="1:6" ht="15.6" hidden="1" customHeight="1" x14ac:dyDescent="0.25">
      <c r="A63" s="207" t="s">
        <v>40</v>
      </c>
      <c r="B63" s="207"/>
      <c r="C63" s="207"/>
      <c r="D63" s="207"/>
      <c r="E63" s="207"/>
    </row>
    <row r="64" spans="1:6" hidden="1" x14ac:dyDescent="0.25">
      <c r="A64" s="3"/>
      <c r="B64" s="3"/>
      <c r="C64" s="3"/>
      <c r="D64" s="3"/>
      <c r="E64" s="4"/>
    </row>
    <row r="65" spans="1:5" hidden="1" x14ac:dyDescent="0.25">
      <c r="A65" s="5" t="s">
        <v>20</v>
      </c>
      <c r="B65" s="5"/>
      <c r="C65" s="5"/>
      <c r="D65" s="5"/>
      <c r="E65" s="6"/>
    </row>
    <row r="66" spans="1:5" hidden="1" x14ac:dyDescent="0.25">
      <c r="A66" s="7" t="s">
        <v>21</v>
      </c>
      <c r="B66" s="5"/>
      <c r="C66" s="7" t="s">
        <v>22</v>
      </c>
      <c r="D66" s="8"/>
      <c r="E66" s="9" t="s">
        <v>23</v>
      </c>
    </row>
    <row r="67" spans="1:5" hidden="1" x14ac:dyDescent="0.25">
      <c r="A67" s="3"/>
      <c r="B67" s="3"/>
      <c r="C67" s="3"/>
      <c r="D67" s="3"/>
      <c r="E67" s="4"/>
    </row>
    <row r="68" spans="1:5" hidden="1" x14ac:dyDescent="0.25">
      <c r="A68" s="10">
        <v>1</v>
      </c>
      <c r="B68" s="3"/>
      <c r="C68" s="11" t="s">
        <v>24</v>
      </c>
      <c r="D68" s="3"/>
      <c r="E68" s="12">
        <v>1</v>
      </c>
    </row>
    <row r="69" spans="1:5" hidden="1" x14ac:dyDescent="0.25">
      <c r="A69" s="10"/>
      <c r="B69" s="3"/>
      <c r="C69" s="3"/>
      <c r="D69" s="3"/>
      <c r="E69" s="12"/>
    </row>
    <row r="70" spans="1:5" hidden="1" x14ac:dyDescent="0.25">
      <c r="A70" s="10"/>
      <c r="B70" s="3"/>
      <c r="C70" s="13" t="s">
        <v>25</v>
      </c>
      <c r="D70" s="14"/>
      <c r="E70" s="12"/>
    </row>
    <row r="71" spans="1:5" hidden="1" x14ac:dyDescent="0.25">
      <c r="A71" s="10">
        <v>2</v>
      </c>
      <c r="B71" s="3"/>
      <c r="C71" s="14" t="s">
        <v>26</v>
      </c>
      <c r="D71" s="14"/>
      <c r="E71" s="14">
        <v>5.85543782177716E-3</v>
      </c>
    </row>
    <row r="72" spans="1:5" hidden="1" x14ac:dyDescent="0.25">
      <c r="A72" s="10"/>
      <c r="B72" s="3"/>
      <c r="C72" s="14"/>
      <c r="D72" s="14"/>
      <c r="E72" s="14"/>
    </row>
    <row r="73" spans="1:5" hidden="1" x14ac:dyDescent="0.25">
      <c r="A73" s="10">
        <v>3</v>
      </c>
      <c r="B73" s="3"/>
      <c r="C73" s="14" t="s">
        <v>27</v>
      </c>
      <c r="D73" s="14"/>
      <c r="E73" s="14">
        <v>2E-3</v>
      </c>
    </row>
    <row r="74" spans="1:5" hidden="1" x14ac:dyDescent="0.25">
      <c r="A74" s="10"/>
      <c r="B74" s="3"/>
      <c r="C74" s="14"/>
      <c r="D74" s="14"/>
      <c r="E74" s="14"/>
    </row>
    <row r="75" spans="1:5" hidden="1" x14ac:dyDescent="0.25">
      <c r="A75" s="10">
        <v>4</v>
      </c>
      <c r="B75" s="3"/>
      <c r="C75" s="14" t="s">
        <v>28</v>
      </c>
      <c r="D75" s="14"/>
      <c r="E75" s="14">
        <v>3.8294448535105101E-2</v>
      </c>
    </row>
    <row r="76" spans="1:5" hidden="1" x14ac:dyDescent="0.25">
      <c r="A76" s="10"/>
      <c r="B76" s="3"/>
      <c r="C76" s="14"/>
      <c r="D76" s="14"/>
      <c r="E76" s="14"/>
    </row>
    <row r="77" spans="1:5" hidden="1" x14ac:dyDescent="0.25">
      <c r="A77" s="10">
        <v>5</v>
      </c>
      <c r="B77" s="3"/>
      <c r="C77" s="14" t="s">
        <v>29</v>
      </c>
      <c r="D77" s="14"/>
      <c r="E77" s="15">
        <f>SUM(E71:E75)</f>
        <v>4.6149886356882261E-2</v>
      </c>
    </row>
    <row r="78" spans="1:5" hidden="1" x14ac:dyDescent="0.25">
      <c r="A78" s="10"/>
      <c r="B78" s="3"/>
      <c r="C78" s="14"/>
      <c r="D78" s="14"/>
      <c r="E78" s="16"/>
    </row>
    <row r="79" spans="1:5" hidden="1" x14ac:dyDescent="0.25">
      <c r="A79" s="10">
        <v>6</v>
      </c>
      <c r="B79" s="3"/>
      <c r="C79" s="14" t="s">
        <v>30</v>
      </c>
      <c r="D79" s="14"/>
      <c r="E79" s="16">
        <f>E68-E77</f>
        <v>0.95385011364311778</v>
      </c>
    </row>
    <row r="80" spans="1:5" hidden="1" x14ac:dyDescent="0.25">
      <c r="A80" s="3"/>
      <c r="B80" s="3"/>
      <c r="C80" s="14"/>
      <c r="D80" s="14"/>
      <c r="E80" s="16"/>
    </row>
    <row r="81" spans="1:5" hidden="1" x14ac:dyDescent="0.25">
      <c r="A81" s="10">
        <v>7</v>
      </c>
      <c r="B81" s="3"/>
      <c r="C81" s="14" t="s">
        <v>31</v>
      </c>
      <c r="D81" s="17"/>
      <c r="E81" s="18">
        <f>E79*0.35</f>
        <v>0.33384753977509118</v>
      </c>
    </row>
    <row r="82" spans="1:5" hidden="1" x14ac:dyDescent="0.25">
      <c r="A82" s="3"/>
      <c r="B82" s="3"/>
      <c r="C82" s="14"/>
      <c r="D82" s="14"/>
      <c r="E82" s="16"/>
    </row>
    <row r="83" spans="1:5" ht="15.75" hidden="1" thickBot="1" x14ac:dyDescent="0.3">
      <c r="A83" s="10">
        <v>8</v>
      </c>
      <c r="B83" s="3"/>
      <c r="C83" s="13" t="s">
        <v>32</v>
      </c>
      <c r="D83" s="14"/>
      <c r="E83" s="24">
        <f>ROUND(E79-E81,6)</f>
        <v>0.62000299999999997</v>
      </c>
    </row>
    <row r="84" spans="1:5" hidden="1" x14ac:dyDescent="0.25">
      <c r="A84" s="19"/>
      <c r="B84" s="19"/>
      <c r="C84" s="19"/>
      <c r="D84" s="19"/>
      <c r="E84" s="19"/>
    </row>
    <row r="85" spans="1:5" hidden="1" x14ac:dyDescent="0.25">
      <c r="C85" t="s">
        <v>41</v>
      </c>
    </row>
    <row r="86" spans="1:5" hidden="1" x14ac:dyDescent="0.25">
      <c r="C86" t="s">
        <v>38</v>
      </c>
    </row>
    <row r="87" spans="1:5" hidden="1" x14ac:dyDescent="0.25">
      <c r="C87" t="s">
        <v>46</v>
      </c>
      <c r="E87">
        <f>1/E79</f>
        <v>1.0483827445180232</v>
      </c>
    </row>
    <row r="88" spans="1:5" hidden="1" x14ac:dyDescent="0.25"/>
    <row r="89" spans="1:5" x14ac:dyDescent="0.25">
      <c r="A89" s="206" t="s">
        <v>17</v>
      </c>
      <c r="B89" s="206"/>
      <c r="C89" s="206"/>
      <c r="D89" s="206"/>
      <c r="E89" s="206"/>
    </row>
    <row r="90" spans="1:5" x14ac:dyDescent="0.25">
      <c r="A90" s="206" t="s">
        <v>18</v>
      </c>
      <c r="B90" s="206"/>
      <c r="C90" s="206"/>
      <c r="D90" s="206"/>
      <c r="E90" s="206"/>
    </row>
    <row r="91" spans="1:5" x14ac:dyDescent="0.25">
      <c r="A91" s="206" t="s">
        <v>42</v>
      </c>
      <c r="B91" s="206"/>
      <c r="C91" s="206"/>
      <c r="D91" s="206"/>
      <c r="E91" s="206"/>
    </row>
    <row r="92" spans="1:5" x14ac:dyDescent="0.25">
      <c r="A92" s="206" t="s">
        <v>207</v>
      </c>
      <c r="B92" s="206"/>
      <c r="C92" s="206"/>
      <c r="D92" s="206"/>
      <c r="E92" s="206"/>
    </row>
    <row r="93" spans="1:5" x14ac:dyDescent="0.25">
      <c r="A93" s="3"/>
      <c r="B93" s="3"/>
      <c r="C93" s="25"/>
      <c r="D93" s="14"/>
      <c r="E93" s="4"/>
    </row>
    <row r="94" spans="1:5" x14ac:dyDescent="0.25">
      <c r="A94" s="25" t="s">
        <v>20</v>
      </c>
      <c r="B94" s="3"/>
      <c r="C94" s="25"/>
      <c r="D94" s="14"/>
      <c r="E94" s="25"/>
    </row>
    <row r="95" spans="1:5" x14ac:dyDescent="0.25">
      <c r="A95" s="26" t="s">
        <v>21</v>
      </c>
      <c r="B95" s="3"/>
      <c r="C95" s="26" t="s">
        <v>22</v>
      </c>
      <c r="D95" s="14"/>
      <c r="E95" s="26" t="s">
        <v>23</v>
      </c>
    </row>
    <row r="96" spans="1:5" x14ac:dyDescent="0.25">
      <c r="A96" s="25"/>
      <c r="B96" s="3"/>
      <c r="C96" s="14"/>
      <c r="D96" s="14"/>
      <c r="E96" s="14"/>
    </row>
    <row r="97" spans="1:8" x14ac:dyDescent="0.25">
      <c r="A97" s="10">
        <v>1</v>
      </c>
      <c r="B97" s="3"/>
      <c r="C97" s="13" t="s">
        <v>24</v>
      </c>
      <c r="D97" s="14"/>
      <c r="E97" s="14">
        <v>1</v>
      </c>
    </row>
    <row r="98" spans="1:8" x14ac:dyDescent="0.25">
      <c r="A98" s="10"/>
      <c r="B98" s="3"/>
      <c r="C98" s="13"/>
      <c r="D98" s="14"/>
      <c r="E98" s="14"/>
    </row>
    <row r="99" spans="1:8" x14ac:dyDescent="0.25">
      <c r="A99" s="10"/>
      <c r="B99" s="3"/>
      <c r="C99" s="13" t="s">
        <v>25</v>
      </c>
      <c r="D99" s="14"/>
      <c r="E99" s="14"/>
    </row>
    <row r="100" spans="1:8" x14ac:dyDescent="0.25">
      <c r="A100" s="10">
        <v>2</v>
      </c>
      <c r="B100" s="27"/>
      <c r="C100" s="14" t="s">
        <v>43</v>
      </c>
      <c r="D100" s="14"/>
      <c r="E100" s="28">
        <v>3.7810000000000001E-3</v>
      </c>
    </row>
    <row r="101" spans="1:8" x14ac:dyDescent="0.25">
      <c r="A101" s="10"/>
      <c r="B101" s="3"/>
      <c r="C101" s="14"/>
      <c r="D101" s="14"/>
      <c r="E101" s="28"/>
    </row>
    <row r="102" spans="1:8" x14ac:dyDescent="0.25">
      <c r="A102" s="10">
        <v>3</v>
      </c>
      <c r="B102" s="3"/>
      <c r="C102" s="14" t="s">
        <v>44</v>
      </c>
      <c r="D102" s="14"/>
      <c r="E102" s="28">
        <v>2E-3</v>
      </c>
    </row>
    <row r="103" spans="1:8" x14ac:dyDescent="0.25">
      <c r="A103" s="10"/>
      <c r="B103" s="3"/>
      <c r="C103" s="14"/>
      <c r="D103" s="14"/>
      <c r="E103" s="28"/>
    </row>
    <row r="104" spans="1:8" x14ac:dyDescent="0.25">
      <c r="A104" s="10">
        <v>4</v>
      </c>
      <c r="B104" s="3"/>
      <c r="C104" s="14" t="s">
        <v>45</v>
      </c>
      <c r="D104" s="14"/>
      <c r="E104" s="28">
        <v>3.8373999999999998E-2</v>
      </c>
    </row>
    <row r="105" spans="1:8" x14ac:dyDescent="0.25">
      <c r="A105" s="10"/>
      <c r="B105" s="3"/>
      <c r="C105" s="14"/>
      <c r="D105" s="14"/>
      <c r="E105" s="29"/>
    </row>
    <row r="106" spans="1:8" x14ac:dyDescent="0.25">
      <c r="A106" s="10">
        <v>5</v>
      </c>
      <c r="B106" s="3"/>
      <c r="C106" s="14" t="s">
        <v>29</v>
      </c>
      <c r="D106" s="14"/>
      <c r="E106" s="30">
        <f>SUM(E100:E105)</f>
        <v>4.4155E-2</v>
      </c>
    </row>
    <row r="107" spans="1:8" x14ac:dyDescent="0.25">
      <c r="A107" s="10"/>
      <c r="B107" s="3"/>
      <c r="C107" s="14"/>
      <c r="D107" s="14"/>
      <c r="E107" s="14"/>
    </row>
    <row r="108" spans="1:8" x14ac:dyDescent="0.25">
      <c r="A108" s="10">
        <v>6</v>
      </c>
      <c r="B108" s="3"/>
      <c r="C108" s="14" t="s">
        <v>30</v>
      </c>
      <c r="D108" s="14"/>
      <c r="E108" s="14">
        <f>E97-E106</f>
        <v>0.95584500000000006</v>
      </c>
      <c r="H108" s="113"/>
    </row>
    <row r="109" spans="1:8" x14ac:dyDescent="0.25">
      <c r="A109" s="10"/>
      <c r="B109" s="3"/>
      <c r="C109" s="14"/>
      <c r="D109" s="14"/>
      <c r="E109" s="14"/>
      <c r="H109" s="113"/>
    </row>
    <row r="110" spans="1:8" x14ac:dyDescent="0.25">
      <c r="A110" s="10">
        <v>7</v>
      </c>
      <c r="B110" s="3"/>
      <c r="C110" s="14" t="s">
        <v>209</v>
      </c>
      <c r="D110" s="17"/>
      <c r="E110" s="14">
        <f>E108*0.21</f>
        <v>0.20072745</v>
      </c>
    </row>
    <row r="111" spans="1:8" x14ac:dyDescent="0.25">
      <c r="A111" s="3"/>
      <c r="B111" s="3"/>
      <c r="C111" s="14"/>
      <c r="D111" s="14"/>
      <c r="E111" s="14"/>
    </row>
    <row r="112" spans="1:8" ht="15.75" thickBot="1" x14ac:dyDescent="0.3">
      <c r="A112" s="10">
        <v>8</v>
      </c>
      <c r="B112" s="3"/>
      <c r="C112" s="14" t="s">
        <v>32</v>
      </c>
      <c r="D112" s="14"/>
      <c r="E112" s="31">
        <f>ROUND(E108-E110,6)</f>
        <v>0.75511799999999996</v>
      </c>
    </row>
    <row r="113" spans="1:5" ht="15.75" thickTop="1" x14ac:dyDescent="0.25"/>
    <row r="114" spans="1:5" x14ac:dyDescent="0.25">
      <c r="A114" s="92">
        <v>9</v>
      </c>
      <c r="C114" t="s">
        <v>46</v>
      </c>
      <c r="E114">
        <f>ROUND(1/E108,6)</f>
        <v>1.046195</v>
      </c>
    </row>
    <row r="116" spans="1:5" x14ac:dyDescent="0.25">
      <c r="A116" s="105" t="s">
        <v>208</v>
      </c>
    </row>
  </sheetData>
  <customSheetViews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7">
    <mergeCell ref="A1:E1"/>
    <mergeCell ref="A30:E30"/>
    <mergeCell ref="A92:E92"/>
    <mergeCell ref="A91:E91"/>
    <mergeCell ref="A90:E90"/>
    <mergeCell ref="A89:E89"/>
    <mergeCell ref="A63:E63"/>
  </mergeCells>
  <printOptions horizontalCentered="1"/>
  <pageMargins left="0.7" right="0.7" top="0.75" bottom="0.75" header="0.3" footer="0.3"/>
  <pageSetup firstPageNumber="8" orientation="portrait" useFirstPageNumber="1" r:id="rId3"/>
  <headerFooter scaleWithDoc="0">
    <oddFooter>&amp;CATTACHMENT A&amp;RPage 8 of  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B1:M43"/>
  <sheetViews>
    <sheetView zoomScaleNormal="100" workbookViewId="0">
      <selection activeCell="L22" sqref="L22"/>
    </sheetView>
  </sheetViews>
  <sheetFormatPr defaultColWidth="8.85546875" defaultRowHeight="15" x14ac:dyDescent="0.25"/>
  <cols>
    <col min="1" max="1" width="2.140625" style="105" customWidth="1"/>
    <col min="2" max="2" width="21.42578125" style="105" customWidth="1"/>
    <col min="3" max="3" width="10.7109375" style="105" customWidth="1"/>
    <col min="4" max="4" width="13.7109375" style="105" customWidth="1"/>
    <col min="5" max="5" width="11.28515625" style="105" customWidth="1"/>
    <col min="6" max="6" width="12.140625" style="105" customWidth="1"/>
    <col min="7" max="7" width="12.85546875" style="105" customWidth="1"/>
    <col min="8" max="8" width="12.7109375" style="105" customWidth="1"/>
    <col min="9" max="10" width="12.28515625" style="105" customWidth="1"/>
    <col min="11" max="11" width="2.5703125" style="105" customWidth="1"/>
    <col min="12" max="12" width="13.28515625" style="105" customWidth="1"/>
    <col min="13" max="13" width="8.140625" style="105" customWidth="1"/>
    <col min="14" max="16384" width="8.85546875" style="105"/>
  </cols>
  <sheetData>
    <row r="1" spans="2:13" x14ac:dyDescent="0.25">
      <c r="B1" s="54" t="s">
        <v>0</v>
      </c>
    </row>
    <row r="2" spans="2:13" x14ac:dyDescent="0.25">
      <c r="B2" s="54" t="s">
        <v>150</v>
      </c>
    </row>
    <row r="3" spans="2:13" x14ac:dyDescent="0.25">
      <c r="B3" s="54" t="s">
        <v>215</v>
      </c>
    </row>
    <row r="4" spans="2:13" x14ac:dyDescent="0.25">
      <c r="B4" s="54" t="s">
        <v>50</v>
      </c>
    </row>
    <row r="6" spans="2:13" x14ac:dyDescent="0.25">
      <c r="D6" s="127" t="s">
        <v>151</v>
      </c>
      <c r="E6" s="127" t="s">
        <v>152</v>
      </c>
      <c r="F6" s="127" t="s">
        <v>153</v>
      </c>
      <c r="G6" s="127" t="s">
        <v>154</v>
      </c>
      <c r="H6" s="127" t="s">
        <v>155</v>
      </c>
      <c r="I6" s="127" t="s">
        <v>155</v>
      </c>
      <c r="J6" s="127" t="s">
        <v>156</v>
      </c>
      <c r="L6" s="127" t="s">
        <v>153</v>
      </c>
    </row>
    <row r="7" spans="2:13" x14ac:dyDescent="0.25">
      <c r="B7" s="130" t="s">
        <v>157</v>
      </c>
      <c r="C7" s="130" t="s">
        <v>158</v>
      </c>
      <c r="D7" s="127" t="s">
        <v>159</v>
      </c>
      <c r="E7" s="127" t="s">
        <v>151</v>
      </c>
      <c r="F7" s="127" t="s">
        <v>151</v>
      </c>
      <c r="G7" s="127" t="s">
        <v>151</v>
      </c>
      <c r="H7" s="127" t="s">
        <v>151</v>
      </c>
      <c r="I7" s="127" t="s">
        <v>151</v>
      </c>
      <c r="J7" s="127" t="s">
        <v>160</v>
      </c>
      <c r="L7" s="127" t="s">
        <v>161</v>
      </c>
    </row>
    <row r="8" spans="2:13" x14ac:dyDescent="0.25">
      <c r="B8" s="131" t="s">
        <v>162</v>
      </c>
      <c r="C8" s="131" t="s">
        <v>163</v>
      </c>
      <c r="D8" s="132" t="s">
        <v>164</v>
      </c>
      <c r="E8" s="132" t="s">
        <v>160</v>
      </c>
      <c r="F8" s="132" t="s">
        <v>165</v>
      </c>
      <c r="G8" s="132" t="s">
        <v>194</v>
      </c>
      <c r="H8" s="132" t="s">
        <v>165</v>
      </c>
      <c r="I8" s="132" t="s">
        <v>160</v>
      </c>
      <c r="J8" s="133" t="s">
        <v>166</v>
      </c>
      <c r="L8" s="134" t="s">
        <v>165</v>
      </c>
    </row>
    <row r="9" spans="2:13" x14ac:dyDescent="0.25">
      <c r="B9" s="130" t="s">
        <v>167</v>
      </c>
      <c r="C9" s="130" t="s">
        <v>168</v>
      </c>
      <c r="D9" s="130" t="s">
        <v>169</v>
      </c>
      <c r="E9" s="130" t="s">
        <v>170</v>
      </c>
      <c r="F9" s="130" t="s">
        <v>171</v>
      </c>
      <c r="G9" s="130" t="s">
        <v>172</v>
      </c>
      <c r="H9" s="130" t="s">
        <v>173</v>
      </c>
      <c r="I9" s="130" t="s">
        <v>174</v>
      </c>
      <c r="J9" s="134" t="s">
        <v>175</v>
      </c>
    </row>
    <row r="10" spans="2:13" x14ac:dyDescent="0.25">
      <c r="B10" s="135"/>
      <c r="C10" s="130"/>
    </row>
    <row r="11" spans="2:13" s="54" customFormat="1" x14ac:dyDescent="0.25">
      <c r="B11" s="163" t="s">
        <v>176</v>
      </c>
      <c r="C11" s="164" t="s">
        <v>177</v>
      </c>
      <c r="D11" s="165">
        <f>SUM('6 12 19 Forecast Usage by Sched'!C9:C20)</f>
        <v>132430515.75120828</v>
      </c>
      <c r="E11" s="138">
        <v>-2.7199999999999998E-2</v>
      </c>
      <c r="F11" s="166">
        <f>D11*E11</f>
        <v>-3602110.0284328647</v>
      </c>
      <c r="G11" s="166">
        <f>H11-F11</f>
        <v>4158318.1945879394</v>
      </c>
      <c r="H11" s="167">
        <f>D11*I11</f>
        <v>556208.16615507472</v>
      </c>
      <c r="I11" s="138">
        <f>'Nat Gas 2018 Rate Calc'!D30</f>
        <v>4.1999999999999997E-3</v>
      </c>
      <c r="J11" s="168">
        <f>ROUND(I11-E11,5)</f>
        <v>3.1399999999999997E-2</v>
      </c>
      <c r="L11" s="166">
        <v>98537757</v>
      </c>
      <c r="M11" s="58">
        <f>G11/L11</f>
        <v>4.2200252179354351E-2</v>
      </c>
    </row>
    <row r="12" spans="2:13" x14ac:dyDescent="0.25">
      <c r="B12" s="135"/>
      <c r="C12" s="130"/>
      <c r="E12" s="138"/>
      <c r="F12" s="55"/>
      <c r="G12" s="55"/>
      <c r="H12" s="109"/>
      <c r="I12" s="138"/>
      <c r="J12" s="139"/>
      <c r="L12" s="55"/>
      <c r="M12" s="46"/>
    </row>
    <row r="13" spans="2:13" x14ac:dyDescent="0.25">
      <c r="B13" s="135" t="s">
        <v>178</v>
      </c>
      <c r="C13" s="140" t="s">
        <v>222</v>
      </c>
      <c r="D13" s="136">
        <f>SUM('6 12 19 Forecast Usage by Sched'!D9:E20)</f>
        <v>56349750.88574867</v>
      </c>
      <c r="E13" s="174">
        <v>6.9100000000000003E-3</v>
      </c>
      <c r="F13" s="55">
        <f t="shared" ref="F13:F17" si="0">D13*E13</f>
        <v>389376.77862052334</v>
      </c>
      <c r="G13" s="55">
        <f>H13-F13</f>
        <v>648022.13518610969</v>
      </c>
      <c r="H13" s="109">
        <f>D13*I13</f>
        <v>1037398.913806633</v>
      </c>
      <c r="I13" s="138">
        <f>'Nat Gas 2018 Rate Calc'!J30</f>
        <v>1.8409999999999999E-2</v>
      </c>
      <c r="J13" s="139">
        <f t="shared" ref="J13:J17" si="1">I13-E13</f>
        <v>1.15E-2</v>
      </c>
      <c r="L13" s="55">
        <v>29915788</v>
      </c>
      <c r="M13" s="46">
        <f t="shared" ref="M13:M24" si="2">G13/L13</f>
        <v>2.1661543235501925E-2</v>
      </c>
    </row>
    <row r="14" spans="2:13" customFormat="1" x14ac:dyDescent="0.25"/>
    <row r="15" spans="2:13" ht="30" customHeight="1" x14ac:dyDescent="0.25">
      <c r="B15" s="142" t="s">
        <v>180</v>
      </c>
      <c r="C15" s="143" t="s">
        <v>223</v>
      </c>
      <c r="D15" s="144">
        <f>SUM('6 12 19 Forecast Usage by Sched'!F9:F20)</f>
        <v>2044779.2855860698</v>
      </c>
      <c r="E15" s="175">
        <v>6.9100000000000003E-3</v>
      </c>
      <c r="F15" s="145">
        <f t="shared" si="0"/>
        <v>14129.424863399743</v>
      </c>
      <c r="G15" s="145">
        <f>H15-F15</f>
        <v>23514.9617842398</v>
      </c>
      <c r="H15" s="146">
        <f>D15*I15</f>
        <v>37644.386647639541</v>
      </c>
      <c r="I15" s="147">
        <f>I13</f>
        <v>1.8409999999999999E-2</v>
      </c>
      <c r="J15" s="148">
        <f t="shared" si="1"/>
        <v>1.15E-2</v>
      </c>
      <c r="K15" s="149"/>
      <c r="L15" s="145">
        <v>800027</v>
      </c>
      <c r="M15" s="150">
        <f t="shared" si="2"/>
        <v>2.939271022632961E-2</v>
      </c>
    </row>
    <row r="16" spans="2:13" s="82" customFormat="1" x14ac:dyDescent="0.25">
      <c r="B16" s="177"/>
      <c r="C16" s="178"/>
      <c r="D16" s="179"/>
      <c r="E16" s="180"/>
      <c r="F16" s="181"/>
      <c r="G16" s="181"/>
      <c r="H16" s="182"/>
      <c r="I16" s="183"/>
      <c r="J16" s="184"/>
      <c r="K16" s="185"/>
      <c r="L16" s="181"/>
      <c r="M16" s="186"/>
    </row>
    <row r="17" spans="2:13" x14ac:dyDescent="0.25">
      <c r="B17" s="135" t="s">
        <v>181</v>
      </c>
      <c r="C17" s="140">
        <v>131</v>
      </c>
      <c r="D17" s="144">
        <v>0</v>
      </c>
      <c r="E17" s="174">
        <v>6.9100000000000003E-3</v>
      </c>
      <c r="F17" s="55">
        <f t="shared" si="0"/>
        <v>0</v>
      </c>
      <c r="G17" s="55">
        <f>H17-F17</f>
        <v>0</v>
      </c>
      <c r="H17" s="109">
        <f>D17*I17</f>
        <v>0</v>
      </c>
      <c r="I17" s="138">
        <f>I13</f>
        <v>1.8409999999999999E-2</v>
      </c>
      <c r="J17" s="139">
        <f t="shared" si="1"/>
        <v>1.15E-2</v>
      </c>
      <c r="L17" s="55">
        <v>0</v>
      </c>
      <c r="M17" s="46">
        <v>0</v>
      </c>
    </row>
    <row r="18" spans="2:13" x14ac:dyDescent="0.25">
      <c r="B18" s="135" t="s">
        <v>181</v>
      </c>
      <c r="C18" s="140">
        <v>132</v>
      </c>
      <c r="D18" s="141" t="s">
        <v>179</v>
      </c>
      <c r="E18" s="137"/>
      <c r="F18" s="55"/>
      <c r="G18" s="55"/>
      <c r="H18" s="109"/>
      <c r="I18" s="138"/>
      <c r="J18" s="139"/>
      <c r="L18" s="55">
        <v>464206</v>
      </c>
      <c r="M18" s="46">
        <f t="shared" ref="M18:M19" si="3">G18/L18</f>
        <v>0</v>
      </c>
    </row>
    <row r="19" spans="2:13" x14ac:dyDescent="0.25">
      <c r="B19" s="135" t="s">
        <v>182</v>
      </c>
      <c r="C19" s="140">
        <v>146</v>
      </c>
      <c r="D19" s="141" t="s">
        <v>179</v>
      </c>
      <c r="E19" s="137"/>
      <c r="F19" s="55"/>
      <c r="G19" s="55"/>
      <c r="H19" s="109"/>
      <c r="I19" s="138"/>
      <c r="J19" s="139"/>
      <c r="L19" s="55">
        <v>3222768</v>
      </c>
      <c r="M19" s="46">
        <f t="shared" si="3"/>
        <v>0</v>
      </c>
    </row>
    <row r="20" spans="2:13" ht="26.25" x14ac:dyDescent="0.25">
      <c r="B20" s="142" t="s">
        <v>183</v>
      </c>
      <c r="C20" s="140">
        <v>148</v>
      </c>
      <c r="D20" s="141" t="s">
        <v>179</v>
      </c>
      <c r="E20" s="137"/>
      <c r="F20" s="55"/>
      <c r="G20" s="55"/>
      <c r="H20" s="109"/>
      <c r="I20" s="138"/>
      <c r="J20" s="139"/>
      <c r="L20" s="55">
        <v>1401909</v>
      </c>
      <c r="M20" s="46">
        <v>0</v>
      </c>
    </row>
    <row r="21" spans="2:13" x14ac:dyDescent="0.25">
      <c r="B21" s="135"/>
      <c r="C21" s="130"/>
      <c r="L21" s="55"/>
      <c r="M21" s="46"/>
    </row>
    <row r="22" spans="2:13" x14ac:dyDescent="0.25">
      <c r="B22" s="151" t="s">
        <v>64</v>
      </c>
      <c r="C22" s="130"/>
      <c r="D22" s="136">
        <f>SUM(D11:D17)</f>
        <v>190825045.92254299</v>
      </c>
      <c r="F22" s="109">
        <f>SUM(F11:F17)</f>
        <v>-3198603.8249489414</v>
      </c>
      <c r="G22" s="109">
        <f>SUM(G11:G17)</f>
        <v>4829855.291558289</v>
      </c>
      <c r="H22" s="109">
        <f>SUM(H11:H17)</f>
        <v>1631251.4666093474</v>
      </c>
      <c r="L22" s="152">
        <f>SUM(L11:L20)</f>
        <v>134342455</v>
      </c>
      <c r="M22" s="46">
        <f t="shared" si="2"/>
        <v>3.5951816509221073E-2</v>
      </c>
    </row>
    <row r="23" spans="2:13" x14ac:dyDescent="0.25">
      <c r="B23" s="151"/>
      <c r="C23" s="130"/>
      <c r="D23" s="136"/>
      <c r="F23" s="109"/>
      <c r="G23" s="109"/>
      <c r="H23" s="109"/>
      <c r="L23" s="152"/>
      <c r="M23" s="46"/>
    </row>
    <row r="24" spans="2:13" s="54" customFormat="1" x14ac:dyDescent="0.25">
      <c r="B24" s="54" t="s">
        <v>184</v>
      </c>
      <c r="D24" s="165">
        <f>D13+D15+D17</f>
        <v>58394530.171334736</v>
      </c>
      <c r="F24" s="167">
        <f>F13+F15+F17</f>
        <v>403506.20348392311</v>
      </c>
      <c r="G24" s="167">
        <f>G13+G15+G17</f>
        <v>671537.09697034955</v>
      </c>
      <c r="H24" s="167">
        <f t="shared" ref="H24" si="4">H13+H15+H17</f>
        <v>1075043.3004542724</v>
      </c>
      <c r="L24" s="167">
        <f t="shared" ref="L24" si="5">L13+L15+L17</f>
        <v>30715815</v>
      </c>
      <c r="M24" s="58">
        <f t="shared" si="2"/>
        <v>2.1862909936472451E-2</v>
      </c>
    </row>
    <row r="26" spans="2:13" x14ac:dyDescent="0.25">
      <c r="B26"/>
      <c r="C26"/>
      <c r="D26"/>
      <c r="E26"/>
      <c r="G26" s="46"/>
      <c r="H26" s="127" t="s">
        <v>185</v>
      </c>
      <c r="J26" s="187" t="s">
        <v>217</v>
      </c>
      <c r="K26" s="153"/>
    </row>
    <row r="27" spans="2:13" x14ac:dyDescent="0.25">
      <c r="B27"/>
      <c r="C27"/>
      <c r="D27"/>
      <c r="E27"/>
      <c r="G27" s="154"/>
      <c r="H27" s="155" t="s">
        <v>186</v>
      </c>
      <c r="I27" s="156">
        <v>9.5</v>
      </c>
      <c r="J27" s="156">
        <f>I27</f>
        <v>9.5</v>
      </c>
      <c r="K27" s="153"/>
      <c r="L27" s="121"/>
    </row>
    <row r="28" spans="2:13" x14ac:dyDescent="0.25">
      <c r="B28"/>
      <c r="C28"/>
      <c r="D28"/>
      <c r="E28"/>
      <c r="G28" s="46"/>
      <c r="H28" s="155" t="s">
        <v>187</v>
      </c>
      <c r="I28" s="57">
        <v>0.58013999999999999</v>
      </c>
      <c r="J28" s="162">
        <f>ROUND(66*I28,2)</f>
        <v>38.29</v>
      </c>
    </row>
    <row r="29" spans="2:13" x14ac:dyDescent="0.25">
      <c r="B29"/>
      <c r="C29"/>
      <c r="D29"/>
      <c r="E29"/>
      <c r="H29" s="155" t="s">
        <v>188</v>
      </c>
      <c r="I29" s="57">
        <v>0.69020000000000004</v>
      </c>
      <c r="J29" s="156">
        <f>ROUND(0*I29,2)</f>
        <v>0</v>
      </c>
    </row>
    <row r="30" spans="2:13" x14ac:dyDescent="0.25">
      <c r="B30"/>
      <c r="C30"/>
      <c r="D30"/>
      <c r="E30"/>
      <c r="H30" s="127" t="s">
        <v>216</v>
      </c>
      <c r="J30" s="157">
        <f>SUM(J27:J29)</f>
        <v>47.79</v>
      </c>
    </row>
    <row r="31" spans="2:13" x14ac:dyDescent="0.25">
      <c r="B31"/>
      <c r="C31"/>
      <c r="D31"/>
      <c r="E31"/>
      <c r="H31" s="155" t="s">
        <v>189</v>
      </c>
      <c r="I31" s="139">
        <f>J11</f>
        <v>3.1399999999999997E-2</v>
      </c>
      <c r="J31" s="156">
        <f>ROUND(I31*66,2)</f>
        <v>2.0699999999999998</v>
      </c>
    </row>
    <row r="32" spans="2:13" x14ac:dyDescent="0.25">
      <c r="B32"/>
      <c r="C32"/>
      <c r="D32"/>
      <c r="E32"/>
      <c r="H32" s="127" t="s">
        <v>190</v>
      </c>
      <c r="J32" s="157">
        <f>J30+J31</f>
        <v>49.86</v>
      </c>
    </row>
    <row r="33" spans="2:12" x14ac:dyDescent="0.25">
      <c r="B33"/>
      <c r="C33"/>
      <c r="D33"/>
      <c r="E33"/>
      <c r="H33" s="127" t="s">
        <v>219</v>
      </c>
      <c r="J33" s="46">
        <f>J31/J30</f>
        <v>4.331450094161958E-2</v>
      </c>
      <c r="L33" s="153"/>
    </row>
    <row r="34" spans="2:12" x14ac:dyDescent="0.25">
      <c r="B34"/>
      <c r="C34"/>
      <c r="D34"/>
      <c r="E34"/>
      <c r="J34" s="158"/>
    </row>
    <row r="35" spans="2:12" x14ac:dyDescent="0.25">
      <c r="B35"/>
      <c r="C35"/>
      <c r="D35"/>
      <c r="E35"/>
      <c r="J35" s="158"/>
    </row>
    <row r="36" spans="2:12" x14ac:dyDescent="0.25">
      <c r="B36"/>
      <c r="C36"/>
      <c r="D36"/>
      <c r="E36"/>
      <c r="J36" s="121"/>
    </row>
    <row r="37" spans="2:12" x14ac:dyDescent="0.25">
      <c r="B37"/>
      <c r="C37"/>
      <c r="D37"/>
      <c r="E37"/>
      <c r="L37" s="46"/>
    </row>
    <row r="38" spans="2:12" x14ac:dyDescent="0.25">
      <c r="B38"/>
      <c r="C38"/>
      <c r="D38"/>
      <c r="E38"/>
    </row>
    <row r="39" spans="2:12" x14ac:dyDescent="0.25">
      <c r="B39"/>
      <c r="C39"/>
      <c r="D39"/>
      <c r="E39"/>
    </row>
    <row r="40" spans="2:12" x14ac:dyDescent="0.25">
      <c r="B40"/>
      <c r="C40"/>
      <c r="D40"/>
      <c r="E40"/>
    </row>
    <row r="41" spans="2:12" x14ac:dyDescent="0.25">
      <c r="B41"/>
      <c r="C41"/>
      <c r="D41"/>
      <c r="E41"/>
    </row>
    <row r="42" spans="2:12" x14ac:dyDescent="0.25">
      <c r="B42"/>
      <c r="C42"/>
      <c r="D42"/>
      <c r="E42"/>
    </row>
    <row r="43" spans="2:12" x14ac:dyDescent="0.25">
      <c r="B43"/>
      <c r="C43"/>
      <c r="D43"/>
      <c r="E43"/>
    </row>
  </sheetData>
  <printOptions horizontalCentered="1"/>
  <pageMargins left="0.45" right="0.45" top="0.75" bottom="0.75" header="0.3" footer="0.55000000000000004"/>
  <pageSetup scale="75" firstPageNumber="9" orientation="landscape" useFirstPageNumber="1" r:id="rId1"/>
  <headerFooter scaleWithDoc="0">
    <oddFooter>&amp;CATTACHMENT A&amp;RPage 9 of 9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74"/>
  <sheetViews>
    <sheetView topLeftCell="A13" workbookViewId="0">
      <selection activeCell="R26" sqref="R26:R63"/>
    </sheetView>
  </sheetViews>
  <sheetFormatPr defaultRowHeight="15" x14ac:dyDescent="0.25"/>
  <cols>
    <col min="1" max="1" width="23.7109375" customWidth="1"/>
    <col min="2" max="2" width="17.7109375" customWidth="1"/>
    <col min="3" max="3" width="14.28515625" customWidth="1"/>
    <col min="4" max="4" width="19.85546875" customWidth="1"/>
    <col min="5" max="5" width="2" customWidth="1"/>
    <col min="6" max="6" width="2.28515625" customWidth="1"/>
    <col min="7" max="7" width="24.140625" customWidth="1"/>
    <col min="8" max="8" width="17.7109375" customWidth="1"/>
    <col min="9" max="9" width="15.28515625" customWidth="1"/>
    <col min="10" max="10" width="19.140625" customWidth="1"/>
    <col min="12" max="12" width="10.7109375" customWidth="1"/>
    <col min="16" max="16" width="26.5703125" customWidth="1"/>
    <col min="18" max="18" width="16.140625" customWidth="1"/>
    <col min="20" max="20" width="16.42578125" customWidth="1"/>
  </cols>
  <sheetData>
    <row r="1" spans="1:21" x14ac:dyDescent="0.25">
      <c r="A1" s="200" t="s">
        <v>0</v>
      </c>
      <c r="B1" s="200"/>
      <c r="C1" s="200"/>
      <c r="D1" s="200"/>
      <c r="E1" s="74"/>
      <c r="F1" s="62"/>
      <c r="G1" s="200" t="s">
        <v>0</v>
      </c>
      <c r="H1" s="200"/>
      <c r="I1" s="200"/>
      <c r="J1" s="200"/>
    </row>
    <row r="2" spans="1:21" x14ac:dyDescent="0.25">
      <c r="A2" s="200" t="s">
        <v>1</v>
      </c>
      <c r="B2" s="200"/>
      <c r="C2" s="200"/>
      <c r="D2" s="200"/>
      <c r="E2" s="74"/>
      <c r="F2" s="62"/>
      <c r="G2" s="200" t="s">
        <v>1</v>
      </c>
      <c r="H2" s="200"/>
      <c r="I2" s="200"/>
      <c r="J2" s="200"/>
    </row>
    <row r="3" spans="1:21" x14ac:dyDescent="0.25">
      <c r="A3" s="200" t="s">
        <v>98</v>
      </c>
      <c r="B3" s="200"/>
      <c r="C3" s="200"/>
      <c r="D3" s="200"/>
      <c r="E3" s="74"/>
      <c r="F3" s="62"/>
      <c r="G3" s="200" t="s">
        <v>98</v>
      </c>
      <c r="H3" s="200"/>
      <c r="I3" s="200"/>
      <c r="J3" s="200"/>
    </row>
    <row r="4" spans="1:2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21" x14ac:dyDescent="0.25">
      <c r="A5" s="194" t="s">
        <v>5</v>
      </c>
      <c r="B5" s="194"/>
      <c r="C5" s="194"/>
      <c r="D5" s="194"/>
      <c r="E5" s="75"/>
      <c r="F5" s="35"/>
      <c r="G5" s="194" t="s">
        <v>16</v>
      </c>
      <c r="H5" s="194"/>
      <c r="I5" s="194"/>
      <c r="J5" s="194"/>
    </row>
    <row r="6" spans="1:21" ht="30" customHeight="1" x14ac:dyDescent="0.25">
      <c r="A6" s="77" t="s">
        <v>3</v>
      </c>
      <c r="B6" s="77" t="s">
        <v>7</v>
      </c>
      <c r="C6" s="77" t="s">
        <v>8</v>
      </c>
      <c r="D6" s="86" t="s">
        <v>135</v>
      </c>
      <c r="E6" s="77"/>
      <c r="F6" s="35"/>
      <c r="G6" s="77" t="s">
        <v>3</v>
      </c>
      <c r="H6" s="77" t="s">
        <v>7</v>
      </c>
      <c r="I6" s="77" t="s">
        <v>8</v>
      </c>
      <c r="J6" s="86" t="s">
        <v>129</v>
      </c>
    </row>
    <row r="7" spans="1:21" x14ac:dyDescent="0.25">
      <c r="A7" s="77"/>
      <c r="B7" s="77">
        <f>ROUND(B8/D22,5)</f>
        <v>1.0000000000000001E-5</v>
      </c>
      <c r="C7" s="33">
        <v>3.4599999999999999E-2</v>
      </c>
      <c r="D7" s="77"/>
      <c r="E7" s="77"/>
      <c r="F7" s="35"/>
      <c r="G7" s="77"/>
      <c r="H7" s="77">
        <f>ROUND(H8/J22,5)</f>
        <v>5.0000000000000002E-5</v>
      </c>
      <c r="I7" s="33">
        <v>3.4599999999999999E-2</v>
      </c>
      <c r="J7" s="77"/>
      <c r="N7" s="78"/>
      <c r="P7" s="199" t="s">
        <v>107</v>
      </c>
      <c r="Q7" s="199"/>
      <c r="R7" s="199"/>
      <c r="S7" s="199"/>
      <c r="T7" s="199"/>
      <c r="U7" s="199"/>
    </row>
    <row r="8" spans="1:21" x14ac:dyDescent="0.25">
      <c r="A8" s="63">
        <v>43009</v>
      </c>
      <c r="B8" s="34">
        <f>'Nat Gas 2018 Rate Calc'!C71</f>
        <v>823.44378434968166</v>
      </c>
      <c r="C8" s="34"/>
      <c r="D8" s="35"/>
      <c r="E8" s="35"/>
      <c r="F8" s="35"/>
      <c r="G8" s="63">
        <v>43009</v>
      </c>
      <c r="H8" s="34">
        <f>'Nat Gas 2018 Rate Calc'!I71</f>
        <v>3004.4032163219672</v>
      </c>
      <c r="I8" s="34"/>
      <c r="J8" s="35"/>
    </row>
    <row r="9" spans="1:21" x14ac:dyDescent="0.25">
      <c r="A9" s="63">
        <v>43040</v>
      </c>
      <c r="B9" s="34">
        <f>B8-($B$7*D9)</f>
        <v>664.45554794275859</v>
      </c>
      <c r="C9" s="34">
        <f>(B8+B9)/2*($C$7/12)</f>
        <v>2.1450548707216015</v>
      </c>
      <c r="D9" s="56">
        <f>'6 12 19 Forecast Usage by Sched'!M9</f>
        <v>15898823.640692307</v>
      </c>
      <c r="E9" s="38"/>
      <c r="F9" s="35"/>
      <c r="G9" s="63">
        <v>43040</v>
      </c>
      <c r="H9" s="34">
        <f>H8-($H$7*J9)</f>
        <v>2651.9841035359996</v>
      </c>
      <c r="I9" s="34">
        <f>(H8+H9)/2*($I$7/12)</f>
        <v>8.154625052795236</v>
      </c>
      <c r="J9" s="42">
        <f>'6 12 19 Forecast Usage by Sched'!N9</f>
        <v>7048382.2557193553</v>
      </c>
      <c r="L9" s="56"/>
      <c r="M9" s="56"/>
      <c r="N9" s="56"/>
      <c r="P9" t="s">
        <v>60</v>
      </c>
      <c r="R9" s="81">
        <f>232958000+6405000</f>
        <v>239363000</v>
      </c>
      <c r="S9" s="46">
        <f>R9/R13</f>
        <v>0.51065522883834646</v>
      </c>
      <c r="T9" s="81">
        <f>120056000+3463000</f>
        <v>123519000</v>
      </c>
      <c r="U9" s="46">
        <f>T9/T13</f>
        <v>0.76292335424142377</v>
      </c>
    </row>
    <row r="10" spans="1:21" x14ac:dyDescent="0.25">
      <c r="A10" s="63">
        <v>43070</v>
      </c>
      <c r="B10" s="34">
        <f t="shared" ref="B10:B20" si="0">B9-($B$7*D10)</f>
        <v>423.74287651107625</v>
      </c>
      <c r="C10" s="34">
        <f t="shared" ref="C10:C20" si="1">(B9+B10)/2*($C$7/12)</f>
        <v>1.5688193952542786</v>
      </c>
      <c r="D10" s="56">
        <f>'6 12 19 Forecast Usage by Sched'!M10</f>
        <v>24071267.14316823</v>
      </c>
      <c r="E10" s="38"/>
      <c r="F10" s="35"/>
      <c r="G10" s="63">
        <v>43070</v>
      </c>
      <c r="H10" s="34">
        <f t="shared" ref="H10:H20" si="2">H9-($H$7*J10)</f>
        <v>2186.9419154318907</v>
      </c>
      <c r="I10" s="34">
        <f t="shared" ref="I10:I20" si="3">(H9+H10)/2*($I$7/12)</f>
        <v>6.9761183440120407</v>
      </c>
      <c r="J10" s="42">
        <f>'6 12 19 Forecast Usage by Sched'!N10</f>
        <v>9300843.76208218</v>
      </c>
      <c r="L10" s="56"/>
      <c r="M10" s="56"/>
      <c r="N10" s="56"/>
      <c r="R10" s="82"/>
      <c r="T10" s="82"/>
    </row>
    <row r="11" spans="1:21" x14ac:dyDescent="0.25">
      <c r="A11" s="63">
        <v>43101</v>
      </c>
      <c r="B11" s="34">
        <f t="shared" si="0"/>
        <v>182.95321507860618</v>
      </c>
      <c r="C11" s="34">
        <f t="shared" si="1"/>
        <v>0.87465353204179208</v>
      </c>
      <c r="D11" s="56">
        <f>'6 12 19 Forecast Usage by Sched'!M11</f>
        <v>24078966.143247005</v>
      </c>
      <c r="E11" s="38"/>
      <c r="F11" s="35"/>
      <c r="G11" s="63">
        <v>43101</v>
      </c>
      <c r="H11" s="34">
        <f t="shared" si="2"/>
        <v>1739.1609209310027</v>
      </c>
      <c r="I11" s="34">
        <f t="shared" si="3"/>
        <v>5.660131589089838</v>
      </c>
      <c r="J11" s="42">
        <f>'6 12 19 Forecast Usage by Sched'!N11</f>
        <v>8955619.8900177591</v>
      </c>
      <c r="L11" s="56"/>
      <c r="M11" s="56"/>
      <c r="N11" s="56"/>
      <c r="P11" t="s">
        <v>61</v>
      </c>
      <c r="R11" s="81">
        <f>77798000+141783000+13851000-4058000</f>
        <v>229374000</v>
      </c>
      <c r="S11" s="46">
        <f>R11/R13</f>
        <v>0.48934477116165354</v>
      </c>
      <c r="T11" s="81">
        <f>34290000+2990240+1103000</f>
        <v>38383240</v>
      </c>
      <c r="U11" s="46">
        <f>T11/T13</f>
        <v>0.23707664575857629</v>
      </c>
    </row>
    <row r="12" spans="1:21" x14ac:dyDescent="0.25">
      <c r="A12" s="63">
        <v>43132</v>
      </c>
      <c r="B12" s="34">
        <f t="shared" si="0"/>
        <v>-18.127009615869383</v>
      </c>
      <c r="C12" s="34">
        <f t="shared" si="1"/>
        <v>0.23762444620877887</v>
      </c>
      <c r="D12" s="56">
        <f>'6 12 19 Forecast Usage by Sched'!M12</f>
        <v>20108022.469447553</v>
      </c>
      <c r="E12" s="38"/>
      <c r="F12" s="35"/>
      <c r="G12" s="63">
        <v>43132</v>
      </c>
      <c r="H12" s="34">
        <f t="shared" si="2"/>
        <v>1361.8965820002036</v>
      </c>
      <c r="I12" s="34">
        <f t="shared" si="3"/>
        <v>4.4706912333924889</v>
      </c>
      <c r="J12" s="42">
        <f>'6 12 19 Forecast Usage by Sched'!N12</f>
        <v>7545286.7786159813</v>
      </c>
      <c r="L12" s="56"/>
      <c r="M12" s="56"/>
      <c r="N12" s="56"/>
    </row>
    <row r="13" spans="1:21" x14ac:dyDescent="0.25">
      <c r="A13" s="63">
        <v>43160</v>
      </c>
      <c r="B13" s="34">
        <f t="shared" si="0"/>
        <v>-176.674543609501</v>
      </c>
      <c r="C13" s="34">
        <f t="shared" si="1"/>
        <v>-0.28083890589990895</v>
      </c>
      <c r="D13" s="56">
        <f>'6 12 19 Forecast Usage by Sched'!M13</f>
        <v>15854753.39936316</v>
      </c>
      <c r="E13" s="38"/>
      <c r="F13" s="35"/>
      <c r="G13" s="63">
        <v>43160</v>
      </c>
      <c r="H13" s="34">
        <f t="shared" si="2"/>
        <v>1052.5157795823684</v>
      </c>
      <c r="I13" s="34">
        <f t="shared" si="3"/>
        <v>3.4807778212815412</v>
      </c>
      <c r="J13" s="42">
        <f>'6 12 19 Forecast Usage by Sched'!N13</f>
        <v>6187616.0483567053</v>
      </c>
      <c r="L13" s="56"/>
      <c r="M13" s="56"/>
      <c r="N13" s="56"/>
      <c r="P13" t="s">
        <v>62</v>
      </c>
      <c r="R13" s="48">
        <f>R9+R11</f>
        <v>468737000</v>
      </c>
      <c r="S13" s="47">
        <f>S9+S11</f>
        <v>1</v>
      </c>
      <c r="T13" s="48">
        <f>T9+T11</f>
        <v>161902240</v>
      </c>
      <c r="U13" s="47">
        <f>U9+U11</f>
        <v>1</v>
      </c>
    </row>
    <row r="14" spans="1:21" x14ac:dyDescent="0.25">
      <c r="A14" s="63">
        <v>43191</v>
      </c>
      <c r="B14" s="34">
        <f t="shared" si="0"/>
        <v>-272.89577169502928</v>
      </c>
      <c r="C14" s="34">
        <f t="shared" si="1"/>
        <v>-0.64813053789736441</v>
      </c>
      <c r="D14" s="56">
        <f>'6 12 19 Forecast Usage by Sched'!M14</f>
        <v>9622122.8085528277</v>
      </c>
      <c r="E14" s="38"/>
      <c r="F14" s="35"/>
      <c r="G14" s="63">
        <v>43191</v>
      </c>
      <c r="H14" s="34">
        <f t="shared" si="2"/>
        <v>849.78677367757223</v>
      </c>
      <c r="I14" s="34">
        <f t="shared" si="3"/>
        <v>2.7424861809497476</v>
      </c>
      <c r="J14" s="42">
        <f>'6 12 19 Forecast Usage by Sched'!N14</f>
        <v>4054580.1180959241</v>
      </c>
      <c r="L14" s="56"/>
      <c r="M14" s="56"/>
      <c r="N14" s="56"/>
    </row>
    <row r="15" spans="1:21" x14ac:dyDescent="0.25">
      <c r="A15" s="63">
        <v>43221</v>
      </c>
      <c r="B15" s="34">
        <f t="shared" si="0"/>
        <v>-319.92359942323066</v>
      </c>
      <c r="C15" s="34">
        <f t="shared" si="1"/>
        <v>-0.85464792669549139</v>
      </c>
      <c r="D15" s="56">
        <f>'6 12 19 Forecast Usage by Sched'!M15</f>
        <v>4702782.7728201356</v>
      </c>
      <c r="E15" s="38"/>
      <c r="F15" s="35"/>
      <c r="G15" s="63">
        <v>43221</v>
      </c>
      <c r="H15" s="34">
        <f t="shared" si="2"/>
        <v>734.31917220297612</v>
      </c>
      <c r="I15" s="34">
        <f t="shared" si="3"/>
        <v>2.2837527386444574</v>
      </c>
      <c r="J15" s="42">
        <f>'6 12 19 Forecast Usage by Sched'!N15</f>
        <v>2309352.0294919214</v>
      </c>
      <c r="L15" s="56"/>
      <c r="M15" s="56"/>
      <c r="N15" s="56"/>
      <c r="P15" s="54" t="s">
        <v>63</v>
      </c>
    </row>
    <row r="16" spans="1:21" x14ac:dyDescent="0.25">
      <c r="A16" s="63">
        <v>43252</v>
      </c>
      <c r="B16" s="34">
        <f t="shared" si="0"/>
        <v>-348.2159664968911</v>
      </c>
      <c r="C16" s="34">
        <f t="shared" si="1"/>
        <v>-0.9632345408681755</v>
      </c>
      <c r="D16" s="56">
        <f>'6 12 19 Forecast Usage by Sched'!M16</f>
        <v>2829236.7073660442</v>
      </c>
      <c r="E16" s="38"/>
      <c r="F16" s="35"/>
      <c r="G16" s="63">
        <v>43252</v>
      </c>
      <c r="H16" s="34">
        <f t="shared" si="2"/>
        <v>645.32345781373726</v>
      </c>
      <c r="I16" s="34">
        <f t="shared" si="3"/>
        <v>1.9889847916074284</v>
      </c>
      <c r="J16" s="42">
        <f>'6 12 19 Forecast Usage by Sched'!N16</f>
        <v>1779914.2877847771</v>
      </c>
      <c r="L16" s="56"/>
      <c r="M16" s="56"/>
      <c r="N16" s="56"/>
      <c r="P16" t="s">
        <v>65</v>
      </c>
      <c r="R16" s="48">
        <v>0</v>
      </c>
      <c r="T16" s="48">
        <v>0</v>
      </c>
    </row>
    <row r="17" spans="1:20" x14ac:dyDescent="0.25">
      <c r="A17" s="63">
        <v>43282</v>
      </c>
      <c r="B17" s="34">
        <f t="shared" si="0"/>
        <v>-371.43716777516966</v>
      </c>
      <c r="C17" s="34">
        <f t="shared" si="1"/>
        <v>-1.0374999352422207</v>
      </c>
      <c r="D17" s="56">
        <f>'6 12 19 Forecast Usage by Sched'!M17</f>
        <v>2322120.1278278558</v>
      </c>
      <c r="E17" s="38"/>
      <c r="F17" s="35"/>
      <c r="G17" s="63">
        <v>43282</v>
      </c>
      <c r="H17" s="34">
        <f t="shared" si="2"/>
        <v>551.1364223845809</v>
      </c>
      <c r="I17" s="34">
        <f t="shared" si="3"/>
        <v>1.7248963272859086</v>
      </c>
      <c r="J17" s="42">
        <f>'6 12 19 Forecast Usage by Sched'!N17</f>
        <v>1883740.7085831282</v>
      </c>
      <c r="L17" s="56"/>
      <c r="M17" s="56"/>
      <c r="N17" s="56"/>
      <c r="P17" t="s">
        <v>97</v>
      </c>
      <c r="R17" s="48">
        <v>0</v>
      </c>
      <c r="T17" s="48">
        <v>0</v>
      </c>
    </row>
    <row r="18" spans="1:20" x14ac:dyDescent="0.25">
      <c r="A18" s="63">
        <v>43313</v>
      </c>
      <c r="B18" s="34">
        <f t="shared" si="0"/>
        <v>-393.24180518572746</v>
      </c>
      <c r="C18" s="34">
        <f t="shared" si="1"/>
        <v>-1.1024121860186267</v>
      </c>
      <c r="D18" s="56">
        <f>'6 12 19 Forecast Usage by Sched'!M18</f>
        <v>2180463.741055781</v>
      </c>
      <c r="E18" s="38"/>
      <c r="F18" s="35"/>
      <c r="G18" s="63">
        <v>43313</v>
      </c>
      <c r="H18" s="34">
        <f t="shared" si="2"/>
        <v>449.81343337987528</v>
      </c>
      <c r="I18" s="34">
        <f t="shared" si="3"/>
        <v>1.4430360420604242</v>
      </c>
      <c r="J18" s="42">
        <f>'6 12 19 Forecast Usage by Sched'!N18</f>
        <v>2026459.7800941116</v>
      </c>
      <c r="L18" s="56"/>
      <c r="M18" s="56"/>
      <c r="N18" s="56"/>
      <c r="P18" t="s">
        <v>64</v>
      </c>
      <c r="R18" s="52">
        <f>SUM(R16:R17)</f>
        <v>0</v>
      </c>
      <c r="T18" s="52">
        <f>SUM(T16:T17)</f>
        <v>0</v>
      </c>
    </row>
    <row r="19" spans="1:20" x14ac:dyDescent="0.25">
      <c r="A19" s="63">
        <v>43344</v>
      </c>
      <c r="B19" s="34">
        <f t="shared" si="0"/>
        <v>-420.79865557219784</v>
      </c>
      <c r="C19" s="34">
        <f t="shared" si="1"/>
        <v>-1.1735749975926757</v>
      </c>
      <c r="D19" s="56">
        <f>'6 12 19 Forecast Usage by Sched'!M19</f>
        <v>2755685.0386470361</v>
      </c>
      <c r="E19" s="38"/>
      <c r="F19" s="35"/>
      <c r="G19" s="63">
        <v>43344</v>
      </c>
      <c r="H19" s="34">
        <f t="shared" si="2"/>
        <v>334.14014637606346</v>
      </c>
      <c r="I19" s="34">
        <f t="shared" si="3"/>
        <v>1.1301997441481451</v>
      </c>
      <c r="J19" s="42">
        <f>'6 12 19 Forecast Usage by Sched'!N19</f>
        <v>2313465.740076236</v>
      </c>
      <c r="L19" s="56"/>
      <c r="M19" s="56"/>
      <c r="N19" s="56"/>
    </row>
    <row r="20" spans="1:20" x14ac:dyDescent="0.25">
      <c r="A20" s="63">
        <v>43374</v>
      </c>
      <c r="B20" s="34">
        <f t="shared" si="0"/>
        <v>-500.86137316240115</v>
      </c>
      <c r="C20" s="34">
        <f t="shared" si="1"/>
        <v>-1.3287265414257134</v>
      </c>
      <c r="D20" s="56">
        <f>'6 12 19 Forecast Usage by Sched'!M20</f>
        <v>8006271.7590203285</v>
      </c>
      <c r="E20" s="38"/>
      <c r="F20" s="35"/>
      <c r="G20" s="63">
        <v>43374</v>
      </c>
      <c r="H20" s="34">
        <f t="shared" si="2"/>
        <v>84.676707755230183</v>
      </c>
      <c r="I20" s="34">
        <f t="shared" si="3"/>
        <v>0.60379429803928164</v>
      </c>
      <c r="J20" s="42">
        <f>'6 12 19 Forecast Usage by Sched'!N20</f>
        <v>4989268.7724166652</v>
      </c>
      <c r="L20" s="56"/>
      <c r="M20" s="56"/>
      <c r="N20" s="56"/>
      <c r="P20" s="54" t="s">
        <v>71</v>
      </c>
    </row>
    <row r="21" spans="1:20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P21" t="s">
        <v>136</v>
      </c>
    </row>
    <row r="22" spans="1:20" x14ac:dyDescent="0.25">
      <c r="A22" s="35" t="s">
        <v>6</v>
      </c>
      <c r="B22" s="35"/>
      <c r="C22" s="34">
        <f>SUM(C9:C21)</f>
        <v>-2.5629133274137259</v>
      </c>
      <c r="D22" s="43">
        <f>SUM(D9:D21)</f>
        <v>132430515.75120828</v>
      </c>
      <c r="E22" s="43"/>
      <c r="F22" s="35"/>
      <c r="G22" s="35" t="s">
        <v>6</v>
      </c>
      <c r="H22" s="35"/>
      <c r="I22" s="34">
        <f>SUM(I9:I21)</f>
        <v>40.65949416330654</v>
      </c>
      <c r="J22" s="43">
        <f>SUM(J9:J21)</f>
        <v>58394530.171334751</v>
      </c>
      <c r="P22" t="s">
        <v>65</v>
      </c>
      <c r="R22" s="56">
        <f>'Electric 2015 Rate Calc'!T5</f>
        <v>0</v>
      </c>
      <c r="T22" s="56">
        <f>D22</f>
        <v>132430515.75120828</v>
      </c>
    </row>
    <row r="23" spans="1:20" ht="17.45" customHeight="1" x14ac:dyDescent="0.25">
      <c r="A23" s="35"/>
      <c r="B23" s="35"/>
      <c r="C23" s="34"/>
      <c r="D23" s="43"/>
      <c r="E23" s="43"/>
      <c r="F23" s="35"/>
      <c r="G23" s="35"/>
      <c r="H23" s="35"/>
      <c r="I23" s="34"/>
      <c r="J23" s="43"/>
      <c r="P23" t="s">
        <v>97</v>
      </c>
      <c r="R23" s="56">
        <f>'Electric 2015 Rate Calc'!Z5</f>
        <v>0</v>
      </c>
      <c r="T23" s="56">
        <f>J22</f>
        <v>58394530.171334751</v>
      </c>
    </row>
    <row r="24" spans="1:20" ht="27" customHeight="1" x14ac:dyDescent="0.25">
      <c r="A24" s="196" t="s">
        <v>10</v>
      </c>
      <c r="B24" s="196"/>
      <c r="C24" s="36">
        <f>ROUND(C22/D22,5)</f>
        <v>0</v>
      </c>
      <c r="D24" s="43"/>
      <c r="E24" s="43"/>
      <c r="F24" s="35"/>
      <c r="G24" s="196" t="s">
        <v>10</v>
      </c>
      <c r="H24" s="196"/>
      <c r="I24" s="36">
        <f>ROUND(I22/J22,5)</f>
        <v>0</v>
      </c>
      <c r="J24" s="43"/>
    </row>
    <row r="25" spans="1:20" ht="28.15" customHeight="1" x14ac:dyDescent="0.25">
      <c r="A25" s="196" t="s">
        <v>11</v>
      </c>
      <c r="B25" s="196"/>
      <c r="C25" s="36">
        <f>B7</f>
        <v>1.0000000000000001E-5</v>
      </c>
      <c r="D25" s="43"/>
      <c r="E25" s="43"/>
      <c r="F25" s="35"/>
      <c r="G25" s="196" t="s">
        <v>11</v>
      </c>
      <c r="H25" s="196"/>
      <c r="I25" s="36">
        <f>H7</f>
        <v>5.0000000000000002E-5</v>
      </c>
      <c r="J25" s="43"/>
      <c r="P25" t="s">
        <v>66</v>
      </c>
    </row>
    <row r="26" spans="1:20" ht="28.9" customHeight="1" x14ac:dyDescent="0.25">
      <c r="A26" s="196" t="s">
        <v>12</v>
      </c>
      <c r="B26" s="196"/>
      <c r="C26" s="36">
        <f>C24+C25</f>
        <v>1.0000000000000001E-5</v>
      </c>
      <c r="D26" s="44"/>
      <c r="E26" s="44"/>
      <c r="F26" s="35"/>
      <c r="G26" s="196" t="s">
        <v>12</v>
      </c>
      <c r="H26" s="196"/>
      <c r="I26" s="36">
        <f>I24+I25</f>
        <v>5.0000000000000002E-5</v>
      </c>
      <c r="J26" s="44"/>
      <c r="P26" t="s">
        <v>65</v>
      </c>
      <c r="R26" s="57"/>
      <c r="T26" s="57">
        <f>C28</f>
        <v>1.0000000000000001E-5</v>
      </c>
    </row>
    <row r="27" spans="1:20" ht="28.9" customHeight="1" x14ac:dyDescent="0.25">
      <c r="A27" s="197" t="s">
        <v>13</v>
      </c>
      <c r="B27" s="197"/>
      <c r="C27" s="37">
        <f>'Conversion Factors'!$E$114</f>
        <v>1.046195</v>
      </c>
      <c r="D27" s="43"/>
      <c r="E27" s="43"/>
      <c r="F27" s="35"/>
      <c r="G27" s="197" t="s">
        <v>13</v>
      </c>
      <c r="H27" s="197"/>
      <c r="I27" s="37">
        <f>C27</f>
        <v>1.046195</v>
      </c>
      <c r="J27" s="43"/>
      <c r="P27" t="s">
        <v>97</v>
      </c>
      <c r="R27" s="57"/>
      <c r="T27" s="57">
        <f>I28</f>
        <v>5.0000000000000002E-5</v>
      </c>
    </row>
    <row r="28" spans="1:20" ht="27" customHeight="1" x14ac:dyDescent="0.25">
      <c r="A28" s="35" t="s">
        <v>89</v>
      </c>
      <c r="B28" s="35"/>
      <c r="C28" s="36">
        <f>ROUND(C26*C27,5)</f>
        <v>1.0000000000000001E-5</v>
      </c>
      <c r="D28" s="43"/>
      <c r="E28" s="43"/>
      <c r="F28" s="35"/>
      <c r="G28" s="35" t="s">
        <v>89</v>
      </c>
      <c r="H28" s="35"/>
      <c r="I28" s="36">
        <f>ROUND(I26*I27,5)</f>
        <v>5.0000000000000002E-5</v>
      </c>
      <c r="J28" s="43"/>
    </row>
    <row r="29" spans="1:20" ht="27" customHeight="1" x14ac:dyDescent="0.25">
      <c r="A29" s="35" t="s">
        <v>77</v>
      </c>
      <c r="B29" s="35"/>
      <c r="C29" s="36">
        <f>T50</f>
        <v>0</v>
      </c>
      <c r="D29" s="43"/>
      <c r="E29" s="43"/>
      <c r="F29" s="35"/>
      <c r="G29" s="35" t="s">
        <v>77</v>
      </c>
      <c r="H29" s="35"/>
      <c r="I29" s="36">
        <f>T51</f>
        <v>0</v>
      </c>
      <c r="J29" s="43"/>
      <c r="P29" t="s">
        <v>68</v>
      </c>
    </row>
    <row r="30" spans="1:20" ht="27" customHeight="1" x14ac:dyDescent="0.25">
      <c r="A30" s="35" t="s">
        <v>78</v>
      </c>
      <c r="B30" s="35"/>
      <c r="C30" s="36">
        <f>C28+C29</f>
        <v>1.0000000000000001E-5</v>
      </c>
      <c r="D30" s="43" t="s">
        <v>15</v>
      </c>
      <c r="E30" s="43"/>
      <c r="F30" s="35"/>
      <c r="G30" s="35" t="s">
        <v>78</v>
      </c>
      <c r="H30" s="35"/>
      <c r="I30" s="36">
        <f>I28+I29</f>
        <v>5.0000000000000002E-5</v>
      </c>
      <c r="J30" s="43" t="s">
        <v>15</v>
      </c>
      <c r="P30" t="s">
        <v>65</v>
      </c>
      <c r="R30" s="57"/>
      <c r="T30" s="57">
        <f>'Nat Gas 2018 Rate Calc'!D30</f>
        <v>4.1999999999999997E-3</v>
      </c>
    </row>
    <row r="31" spans="1:20" ht="27" customHeight="1" x14ac:dyDescent="0.25">
      <c r="A31" s="35"/>
      <c r="B31" s="39" t="s">
        <v>85</v>
      </c>
      <c r="C31" s="36">
        <f>ROUND(C30*'Conversion Factors'!$E$108,5)</f>
        <v>1.0000000000000001E-5</v>
      </c>
      <c r="D31" s="43" t="s">
        <v>14</v>
      </c>
      <c r="E31" s="43"/>
      <c r="F31" s="35"/>
      <c r="G31" s="35"/>
      <c r="H31" s="39" t="s">
        <v>85</v>
      </c>
      <c r="I31" s="36">
        <f>ROUND(I30*'Conversion Factors'!$E$108,5)</f>
        <v>5.0000000000000002E-5</v>
      </c>
      <c r="J31" s="43" t="s">
        <v>14</v>
      </c>
      <c r="P31" t="s">
        <v>97</v>
      </c>
      <c r="R31" s="57"/>
      <c r="T31" s="57">
        <f>'Nat Gas 2018 Rate Calc'!J30</f>
        <v>1.8409999999999999E-2</v>
      </c>
    </row>
    <row r="32" spans="1:20" ht="27" customHeight="1" x14ac:dyDescent="0.25">
      <c r="A32" s="35" t="s">
        <v>88</v>
      </c>
      <c r="B32" s="35"/>
      <c r="C32" s="34">
        <f>B60</f>
        <v>-503.34025145333004</v>
      </c>
      <c r="D32" s="43"/>
      <c r="E32" s="43"/>
      <c r="F32" s="35"/>
      <c r="G32" s="35" t="s">
        <v>79</v>
      </c>
      <c r="H32" s="35"/>
      <c r="I32" s="34">
        <f>H60</f>
        <v>126.2564937374012</v>
      </c>
      <c r="J32" s="43"/>
    </row>
    <row r="33" spans="1:20" ht="14.65" customHeight="1" x14ac:dyDescent="0.25">
      <c r="A33" s="35"/>
      <c r="B33" s="35"/>
      <c r="C33" s="34"/>
      <c r="D33" s="43"/>
      <c r="E33" s="43"/>
      <c r="F33" s="35"/>
      <c r="G33" s="35"/>
      <c r="H33" s="35"/>
      <c r="I33" s="34"/>
      <c r="J33" s="43"/>
      <c r="P33" t="s">
        <v>69</v>
      </c>
    </row>
    <row r="34" spans="1:20" ht="14.65" customHeight="1" x14ac:dyDescent="0.25">
      <c r="A34" s="64" t="s">
        <v>80</v>
      </c>
      <c r="B34" s="35"/>
      <c r="C34" s="34"/>
      <c r="D34" s="43"/>
      <c r="E34" s="43"/>
      <c r="F34" s="35"/>
      <c r="G34" s="64" t="s">
        <v>80</v>
      </c>
      <c r="H34" s="35"/>
      <c r="I34" s="34"/>
      <c r="J34" s="43"/>
      <c r="P34" t="s">
        <v>65</v>
      </c>
      <c r="R34" s="57"/>
      <c r="T34" s="57">
        <f>T26-T30</f>
        <v>-4.1900000000000001E-3</v>
      </c>
    </row>
    <row r="35" spans="1:20" ht="34.15" customHeight="1" x14ac:dyDescent="0.25">
      <c r="A35" s="192" t="str">
        <f>"(1)  Deferral balance at the end of the month, Rate of "&amp;TEXT(C25,"$0.00000")&amp;" to recover the October 2016 
       balance of "&amp;TEXT(B8,"$000,000")&amp;" over 12 months."</f>
        <v>(1)  Deferral balance at the end of the month, Rate of $0.00001 to recover the October 2016 
       balance of $000,823 over 12 months.</v>
      </c>
      <c r="B35" s="192"/>
      <c r="C35" s="192"/>
      <c r="D35" s="192"/>
      <c r="E35" s="43"/>
      <c r="F35" s="35"/>
      <c r="G35" s="192" t="str">
        <f>"(1)  Deferral balance at the end of the month, Rate of "&amp;TEXT(I25,"$0.00000")&amp;" to recover the October 2016 
       balance of "&amp;TEXT(H8,"$000,000")&amp;" over 12 months."</f>
        <v>(1)  Deferral balance at the end of the month, Rate of $0.00005 to recover the October 2016 
       balance of $003,004 over 12 months.</v>
      </c>
      <c r="H35" s="192"/>
      <c r="I35" s="192"/>
      <c r="J35" s="192"/>
      <c r="P35" t="s">
        <v>97</v>
      </c>
      <c r="R35" s="57"/>
      <c r="T35" s="57">
        <f>T27-T31</f>
        <v>-1.8359999999999998E-2</v>
      </c>
    </row>
    <row r="36" spans="1:20" ht="36" customHeight="1" x14ac:dyDescent="0.25">
      <c r="A36" s="192" t="s">
        <v>81</v>
      </c>
      <c r="B36" s="192"/>
      <c r="C36" s="192"/>
      <c r="D36" s="192"/>
      <c r="E36" s="43"/>
      <c r="F36" s="35"/>
      <c r="G36" s="192" t="s">
        <v>81</v>
      </c>
      <c r="H36" s="192"/>
      <c r="I36" s="192"/>
      <c r="J36" s="192"/>
    </row>
    <row r="37" spans="1:20" ht="15.6" customHeight="1" x14ac:dyDescent="0.25">
      <c r="A37" s="68" t="s">
        <v>86</v>
      </c>
      <c r="B37" s="76"/>
      <c r="C37" s="76"/>
      <c r="D37" s="76"/>
      <c r="E37" s="43"/>
      <c r="F37" s="35"/>
      <c r="G37" s="68" t="s">
        <v>86</v>
      </c>
      <c r="H37" s="76"/>
      <c r="I37" s="76"/>
      <c r="J37" s="76"/>
      <c r="P37" t="s">
        <v>70</v>
      </c>
      <c r="R37" s="55"/>
      <c r="T37" s="55">
        <f>T38+T39</f>
        <v>-1627007.4349432685</v>
      </c>
    </row>
    <row r="38" spans="1:20" ht="18.600000000000001" customHeight="1" x14ac:dyDescent="0.25">
      <c r="A38" s="192" t="s">
        <v>90</v>
      </c>
      <c r="B38" s="192"/>
      <c r="C38" s="192"/>
      <c r="D38" s="192"/>
      <c r="E38" s="43"/>
      <c r="F38" s="35"/>
      <c r="G38" s="192" t="s">
        <v>90</v>
      </c>
      <c r="H38" s="192"/>
      <c r="I38" s="192"/>
      <c r="J38" s="192"/>
      <c r="P38" t="s">
        <v>65</v>
      </c>
      <c r="R38" s="55"/>
      <c r="T38" s="55">
        <f>T34*T22</f>
        <v>-554883.86099756265</v>
      </c>
    </row>
    <row r="39" spans="1:20" ht="21" customHeight="1" x14ac:dyDescent="0.25">
      <c r="A39" s="192" t="s">
        <v>91</v>
      </c>
      <c r="B39" s="192"/>
      <c r="C39" s="192"/>
      <c r="D39" s="192"/>
      <c r="E39" s="43"/>
      <c r="F39" s="35"/>
      <c r="G39" s="192" t="s">
        <v>91</v>
      </c>
      <c r="H39" s="192"/>
      <c r="I39" s="192"/>
      <c r="J39" s="192"/>
      <c r="P39" t="s">
        <v>97</v>
      </c>
      <c r="R39" s="55"/>
      <c r="T39" s="55">
        <f>T35*T23</f>
        <v>-1072123.573945706</v>
      </c>
    </row>
    <row r="40" spans="1:20" ht="18.600000000000001" customHeight="1" x14ac:dyDescent="0.25">
      <c r="A40" s="192" t="s">
        <v>92</v>
      </c>
      <c r="B40" s="192"/>
      <c r="C40" s="192"/>
      <c r="D40" s="192"/>
      <c r="E40" s="43"/>
      <c r="F40" s="35"/>
      <c r="G40" s="192" t="s">
        <v>92</v>
      </c>
      <c r="H40" s="192"/>
      <c r="I40" s="192"/>
      <c r="J40" s="192"/>
      <c r="R40" s="55"/>
      <c r="T40" s="55"/>
    </row>
    <row r="41" spans="1:20" ht="14.65" customHeight="1" x14ac:dyDescent="0.25">
      <c r="A41" s="35"/>
      <c r="B41" s="35"/>
      <c r="C41" s="34"/>
      <c r="D41" s="43"/>
      <c r="E41" s="43"/>
      <c r="F41" s="35"/>
      <c r="G41" s="35"/>
      <c r="H41" s="35"/>
      <c r="I41" s="34"/>
      <c r="J41" s="43"/>
      <c r="P41" t="s">
        <v>72</v>
      </c>
      <c r="R41" s="58"/>
      <c r="T41" s="58"/>
    </row>
    <row r="42" spans="1:20" x14ac:dyDescent="0.25">
      <c r="A42" s="35"/>
      <c r="B42" s="35"/>
      <c r="C42" s="34"/>
      <c r="D42" s="43"/>
      <c r="E42" s="43"/>
      <c r="F42" s="35"/>
      <c r="G42" s="35"/>
      <c r="H42" s="35"/>
      <c r="I42" s="34"/>
      <c r="J42" s="43"/>
      <c r="P42" t="s">
        <v>65</v>
      </c>
      <c r="R42" s="58"/>
      <c r="T42" s="58">
        <f>T38/T9</f>
        <v>-4.4922956063242307E-3</v>
      </c>
    </row>
    <row r="43" spans="1:20" ht="27.6" customHeight="1" x14ac:dyDescent="0.25">
      <c r="A43" s="201" t="str">
        <f>A5</f>
        <v>Residential Natural Gas</v>
      </c>
      <c r="B43" s="201"/>
      <c r="C43" s="201"/>
      <c r="D43" s="201"/>
      <c r="E43" s="77"/>
      <c r="F43" s="35"/>
      <c r="G43" s="201" t="str">
        <f>G5</f>
        <v>Non-Residential Natural Gas</v>
      </c>
      <c r="H43" s="201"/>
      <c r="I43" s="201"/>
      <c r="J43" s="201"/>
      <c r="P43" t="s">
        <v>97</v>
      </c>
      <c r="R43" s="58"/>
      <c r="T43" s="58">
        <f>T39/T11</f>
        <v>-2.7932075925474399E-2</v>
      </c>
    </row>
    <row r="44" spans="1:20" x14ac:dyDescent="0.25">
      <c r="A44" s="194" t="s">
        <v>82</v>
      </c>
      <c r="B44" s="194"/>
      <c r="C44" s="194"/>
      <c r="D44" s="194"/>
      <c r="E44" s="35"/>
      <c r="F44" s="35"/>
      <c r="G44" s="194" t="s">
        <v>83</v>
      </c>
      <c r="H44" s="194"/>
      <c r="I44" s="194"/>
      <c r="J44" s="194"/>
    </row>
    <row r="45" spans="1:20" x14ac:dyDescent="0.25">
      <c r="A45" s="35"/>
      <c r="B45" s="77" t="s">
        <v>9</v>
      </c>
      <c r="C45" s="77" t="s">
        <v>4</v>
      </c>
      <c r="D45" s="75" t="s">
        <v>84</v>
      </c>
      <c r="E45" s="75"/>
      <c r="F45" s="35"/>
      <c r="G45" s="35"/>
      <c r="H45" s="77" t="s">
        <v>9</v>
      </c>
      <c r="I45" s="77" t="s">
        <v>4</v>
      </c>
      <c r="J45" s="75" t="s">
        <v>84</v>
      </c>
      <c r="P45" t="s">
        <v>95</v>
      </c>
      <c r="R45" s="48"/>
      <c r="T45" s="48"/>
    </row>
    <row r="46" spans="1:20" x14ac:dyDescent="0.25">
      <c r="A46" s="35"/>
      <c r="B46" s="35"/>
      <c r="C46" s="67" t="s">
        <v>87</v>
      </c>
      <c r="D46" s="35"/>
      <c r="E46" s="35"/>
      <c r="F46" s="35"/>
      <c r="G46" s="35"/>
      <c r="H46" s="35"/>
      <c r="I46" s="67" t="str">
        <f>C46</f>
        <v>3.25% / 3.46%</v>
      </c>
      <c r="J46" s="35"/>
      <c r="P46" t="s">
        <v>65</v>
      </c>
      <c r="R46" s="48"/>
      <c r="T46" s="48">
        <f>IF(T42&gt;0.03,T9*0.03-T38,0)</f>
        <v>0</v>
      </c>
    </row>
    <row r="47" spans="1:20" x14ac:dyDescent="0.25">
      <c r="A47" s="63"/>
      <c r="B47" s="34"/>
      <c r="C47" s="35"/>
      <c r="D47" s="35"/>
      <c r="E47" s="35"/>
      <c r="F47" s="35"/>
      <c r="G47" s="63"/>
      <c r="H47" s="34"/>
      <c r="I47" s="35"/>
      <c r="J47" s="35"/>
      <c r="P47" t="s">
        <v>97</v>
      </c>
      <c r="R47" s="48"/>
      <c r="T47" s="48">
        <f>IF(T35&gt;0.03,T11*0.03-T39,0)</f>
        <v>0</v>
      </c>
    </row>
    <row r="48" spans="1:20" x14ac:dyDescent="0.25">
      <c r="A48" s="65">
        <v>43009</v>
      </c>
      <c r="B48" s="66">
        <f>'Nat Gas 2018 Rate Calc'!C71</f>
        <v>823.44378434968166</v>
      </c>
      <c r="C48" s="34"/>
      <c r="D48" s="35"/>
      <c r="E48" s="35"/>
      <c r="F48" s="35"/>
      <c r="G48" s="65">
        <v>43009</v>
      </c>
      <c r="H48" s="66">
        <f>'Nat Gas 2018 Rate Calc'!I71</f>
        <v>3004.4032163219672</v>
      </c>
      <c r="I48" s="34"/>
      <c r="J48" s="35"/>
    </row>
    <row r="49" spans="1:21" x14ac:dyDescent="0.25">
      <c r="A49" s="63">
        <v>43040</v>
      </c>
      <c r="B49" s="34">
        <f>B48+C49-D49</f>
        <v>666.60060281348024</v>
      </c>
      <c r="C49" s="34">
        <f t="shared" ref="C49:C60" si="4">(B48-D49/2)*0.0346/12</f>
        <v>2.1450548707216011</v>
      </c>
      <c r="D49" s="34">
        <f t="shared" ref="D49:D60" si="5">D9*C$31</f>
        <v>158.98823640692308</v>
      </c>
      <c r="E49" s="34"/>
      <c r="F49" s="35"/>
      <c r="G49" s="63">
        <v>43040</v>
      </c>
      <c r="H49" s="34">
        <f t="shared" ref="H49:H60" si="6">H48+I49-J49</f>
        <v>2660.1387285887949</v>
      </c>
      <c r="I49" s="34">
        <f t="shared" ref="I49:I60" si="7">(H48-J49/2)*0.0346/12</f>
        <v>8.1546250527952342</v>
      </c>
      <c r="J49" s="34">
        <f t="shared" ref="J49:J60" si="8">J9*I$31</f>
        <v>352.4191127859678</v>
      </c>
      <c r="P49" t="s">
        <v>73</v>
      </c>
    </row>
    <row r="50" spans="1:21" x14ac:dyDescent="0.25">
      <c r="A50" s="63">
        <v>43070</v>
      </c>
      <c r="B50" s="34">
        <f t="shared" ref="B50:B60" si="9">B49+C50-D50</f>
        <v>427.46293568526278</v>
      </c>
      <c r="C50" s="34">
        <f t="shared" si="4"/>
        <v>1.5750043034648593</v>
      </c>
      <c r="D50" s="34">
        <f t="shared" si="5"/>
        <v>240.71267143168231</v>
      </c>
      <c r="E50" s="34"/>
      <c r="F50" s="35"/>
      <c r="G50" s="63">
        <v>43070</v>
      </c>
      <c r="H50" s="34">
        <f t="shared" si="6"/>
        <v>2202.0961713309339</v>
      </c>
      <c r="I50" s="34">
        <f t="shared" si="7"/>
        <v>6.9996308462476007</v>
      </c>
      <c r="J50" s="34">
        <f t="shared" si="8"/>
        <v>465.04218810410902</v>
      </c>
      <c r="P50" t="s">
        <v>65</v>
      </c>
      <c r="R50" s="57"/>
      <c r="T50" s="57">
        <f>ROUND(T46/T22,5)</f>
        <v>0</v>
      </c>
      <c r="U50" s="60"/>
    </row>
    <row r="51" spans="1:21" x14ac:dyDescent="0.25">
      <c r="A51" s="63">
        <v>43101</v>
      </c>
      <c r="B51" s="34">
        <f t="shared" si="9"/>
        <v>187.55865395545342</v>
      </c>
      <c r="C51" s="34">
        <f t="shared" si="4"/>
        <v>0.88537970266069665</v>
      </c>
      <c r="D51" s="34">
        <f t="shared" si="5"/>
        <v>240.78966143247007</v>
      </c>
      <c r="E51" s="34"/>
      <c r="F51" s="35"/>
      <c r="G51" s="63">
        <v>43101</v>
      </c>
      <c r="H51" s="34">
        <f t="shared" si="6"/>
        <v>1760.0190031903112</v>
      </c>
      <c r="I51" s="34">
        <f t="shared" si="7"/>
        <v>5.7038263602654125</v>
      </c>
      <c r="J51" s="34">
        <f t="shared" si="8"/>
        <v>447.78099450088797</v>
      </c>
      <c r="P51" t="s">
        <v>97</v>
      </c>
      <c r="R51" s="57"/>
      <c r="T51" s="57">
        <f>ROUND(T47/T23,5)</f>
        <v>0</v>
      </c>
    </row>
    <row r="52" spans="1:21" x14ac:dyDescent="0.25">
      <c r="A52" s="63">
        <v>43132</v>
      </c>
      <c r="B52" s="34">
        <f t="shared" si="9"/>
        <v>-13.270667277385115</v>
      </c>
      <c r="C52" s="34">
        <f t="shared" si="4"/>
        <v>0.25090346163702176</v>
      </c>
      <c r="D52" s="34">
        <f t="shared" si="5"/>
        <v>201.08022469447556</v>
      </c>
      <c r="E52" s="34"/>
      <c r="F52" s="35"/>
      <c r="G52" s="63">
        <v>43132</v>
      </c>
      <c r="H52" s="34">
        <f t="shared" si="6"/>
        <v>1387.2854962967522</v>
      </c>
      <c r="I52" s="34">
        <f t="shared" si="7"/>
        <v>4.5308320372401623</v>
      </c>
      <c r="J52" s="34">
        <f t="shared" si="8"/>
        <v>377.26433893079911</v>
      </c>
    </row>
    <row r="53" spans="1:21" x14ac:dyDescent="0.25">
      <c r="A53" s="63">
        <v>43160</v>
      </c>
      <c r="B53" s="34">
        <f t="shared" si="9"/>
        <v>-172.08503772317403</v>
      </c>
      <c r="C53" s="34">
        <f t="shared" si="4"/>
        <v>-0.2668364521572793</v>
      </c>
      <c r="D53" s="34">
        <f t="shared" si="5"/>
        <v>158.54753399363162</v>
      </c>
      <c r="E53" s="34"/>
      <c r="F53" s="35"/>
      <c r="G53" s="63">
        <v>43160</v>
      </c>
      <c r="H53" s="34">
        <f t="shared" si="6"/>
        <v>1081.4586764030869</v>
      </c>
      <c r="I53" s="34">
        <f t="shared" si="7"/>
        <v>3.553982524169923</v>
      </c>
      <c r="J53" s="34">
        <f t="shared" si="8"/>
        <v>309.3808024178353</v>
      </c>
      <c r="P53" t="s">
        <v>74</v>
      </c>
    </row>
    <row r="54" spans="1:21" x14ac:dyDescent="0.25">
      <c r="A54" s="63">
        <v>43191</v>
      </c>
      <c r="B54" s="34">
        <f t="shared" si="9"/>
        <v>-268.9411632712941</v>
      </c>
      <c r="C54" s="34">
        <f t="shared" si="4"/>
        <v>-0.63489746259178836</v>
      </c>
      <c r="D54" s="34">
        <f t="shared" si="5"/>
        <v>96.221228085528281</v>
      </c>
      <c r="E54" s="34"/>
      <c r="F54" s="35"/>
      <c r="G54" s="63">
        <v>43191</v>
      </c>
      <c r="H54" s="34">
        <f t="shared" si="6"/>
        <v>881.55560869840679</v>
      </c>
      <c r="I54" s="34">
        <f t="shared" si="7"/>
        <v>2.8259382001161524</v>
      </c>
      <c r="J54" s="34">
        <f t="shared" si="8"/>
        <v>202.72900590479622</v>
      </c>
      <c r="P54" t="s">
        <v>65</v>
      </c>
      <c r="R54" s="57"/>
      <c r="T54" s="57">
        <f>T26+T50</f>
        <v>1.0000000000000001E-5</v>
      </c>
    </row>
    <row r="55" spans="1:21" x14ac:dyDescent="0.25">
      <c r="A55" s="63">
        <v>43221</v>
      </c>
      <c r="B55" s="34">
        <f t="shared" si="9"/>
        <v>-316.81223647190251</v>
      </c>
      <c r="C55" s="34">
        <f t="shared" si="4"/>
        <v>-0.84324547240705494</v>
      </c>
      <c r="D55" s="34">
        <f t="shared" si="5"/>
        <v>47.027827728201359</v>
      </c>
      <c r="E55" s="34"/>
      <c r="F55" s="35"/>
      <c r="G55" s="63">
        <v>43221</v>
      </c>
      <c r="H55" s="34">
        <f t="shared" si="6"/>
        <v>768.46336010343191</v>
      </c>
      <c r="I55" s="34">
        <f t="shared" si="7"/>
        <v>2.3753528796211971</v>
      </c>
      <c r="J55" s="34">
        <f t="shared" si="8"/>
        <v>115.46760147459608</v>
      </c>
      <c r="P55" t="s">
        <v>97</v>
      </c>
      <c r="R55" s="57"/>
      <c r="T55" s="57">
        <f>T27+T51</f>
        <v>5.0000000000000002E-5</v>
      </c>
    </row>
    <row r="56" spans="1:21" x14ac:dyDescent="0.25">
      <c r="A56" s="63">
        <v>43252</v>
      </c>
      <c r="B56" s="34">
        <f t="shared" si="9"/>
        <v>-346.05886698992146</v>
      </c>
      <c r="C56" s="34">
        <f t="shared" si="4"/>
        <v>-0.95426344435851274</v>
      </c>
      <c r="D56" s="34">
        <f t="shared" si="5"/>
        <v>28.292367073660444</v>
      </c>
      <c r="E56" s="34"/>
      <c r="F56" s="35"/>
      <c r="G56" s="63">
        <v>43252</v>
      </c>
      <c r="H56" s="34">
        <f t="shared" si="6"/>
        <v>681.55507958091346</v>
      </c>
      <c r="I56" s="34">
        <f t="shared" si="7"/>
        <v>2.0874338667204095</v>
      </c>
      <c r="J56" s="34">
        <f t="shared" si="8"/>
        <v>88.995714389238856</v>
      </c>
    </row>
    <row r="57" spans="1:21" x14ac:dyDescent="0.25">
      <c r="A57" s="63">
        <v>43282</v>
      </c>
      <c r="B57" s="34">
        <f t="shared" si="9"/>
        <v>-370.31134856653046</v>
      </c>
      <c r="C57" s="34">
        <f t="shared" si="4"/>
        <v>-1.0312802983304585</v>
      </c>
      <c r="D57" s="34">
        <f t="shared" si="5"/>
        <v>23.22120127827856</v>
      </c>
      <c r="E57" s="34"/>
      <c r="F57" s="35"/>
      <c r="G57" s="63">
        <v>43282</v>
      </c>
      <c r="H57" s="34">
        <f t="shared" si="6"/>
        <v>589.19740832180503</v>
      </c>
      <c r="I57" s="34">
        <f t="shared" si="7"/>
        <v>1.8293641700479333</v>
      </c>
      <c r="J57" s="34">
        <f t="shared" si="8"/>
        <v>94.18703542915641</v>
      </c>
      <c r="P57" t="s">
        <v>75</v>
      </c>
      <c r="R57" s="61"/>
      <c r="T57" s="61">
        <f>T58+T59</f>
        <v>4244.0316660788203</v>
      </c>
    </row>
    <row r="58" spans="1:21" x14ac:dyDescent="0.25">
      <c r="A58" s="63">
        <v>43313</v>
      </c>
      <c r="B58" s="34">
        <f t="shared" si="9"/>
        <v>-393.21515205105533</v>
      </c>
      <c r="C58" s="34">
        <f t="shared" si="4"/>
        <v>-1.0991660739670503</v>
      </c>
      <c r="D58" s="34">
        <f t="shared" si="5"/>
        <v>21.804637410557813</v>
      </c>
      <c r="E58" s="34"/>
      <c r="F58" s="35"/>
      <c r="G58" s="63">
        <v>43313</v>
      </c>
      <c r="H58" s="34">
        <f t="shared" si="6"/>
        <v>489.42719786861221</v>
      </c>
      <c r="I58" s="34">
        <f t="shared" si="7"/>
        <v>1.5527785515127539</v>
      </c>
      <c r="J58" s="34">
        <f t="shared" si="8"/>
        <v>101.32298900470559</v>
      </c>
      <c r="P58" t="s">
        <v>65</v>
      </c>
      <c r="R58" s="61"/>
      <c r="T58" s="61">
        <f>T54*T22</f>
        <v>1324.3051575120828</v>
      </c>
    </row>
    <row r="59" spans="1:21" x14ac:dyDescent="0.25">
      <c r="A59" s="63">
        <v>43344</v>
      </c>
      <c r="B59" s="34">
        <f t="shared" si="9"/>
        <v>-421.94550058524675</v>
      </c>
      <c r="C59" s="34">
        <f t="shared" si="4"/>
        <v>-1.1734981477210376</v>
      </c>
      <c r="D59" s="34">
        <f t="shared" si="5"/>
        <v>27.556850386470362</v>
      </c>
      <c r="E59" s="34"/>
      <c r="F59" s="35"/>
      <c r="G59" s="63">
        <v>43344</v>
      </c>
      <c r="H59" s="34">
        <f t="shared" si="6"/>
        <v>374.99833029655775</v>
      </c>
      <c r="I59" s="34">
        <f t="shared" si="7"/>
        <v>1.2444194317573365</v>
      </c>
      <c r="J59" s="34">
        <f t="shared" si="8"/>
        <v>115.67328700381181</v>
      </c>
      <c r="P59" t="s">
        <v>97</v>
      </c>
      <c r="R59" s="61"/>
      <c r="T59" s="61">
        <f>T55*T23</f>
        <v>2919.7265085667377</v>
      </c>
    </row>
    <row r="60" spans="1:21" x14ac:dyDescent="0.25">
      <c r="A60" s="65">
        <v>43374</v>
      </c>
      <c r="B60" s="66">
        <f t="shared" si="9"/>
        <v>-503.34025145333004</v>
      </c>
      <c r="C60" s="34">
        <f t="shared" si="4"/>
        <v>-1.3320332778800046</v>
      </c>
      <c r="D60" s="34">
        <f t="shared" si="5"/>
        <v>80.062717590203292</v>
      </c>
      <c r="E60" s="34"/>
      <c r="F60" s="35"/>
      <c r="G60" s="65">
        <v>43374</v>
      </c>
      <c r="H60" s="66">
        <f t="shared" si="6"/>
        <v>126.2564937374012</v>
      </c>
      <c r="I60" s="34">
        <f t="shared" si="7"/>
        <v>0.72160206167670682</v>
      </c>
      <c r="J60" s="34">
        <f t="shared" si="8"/>
        <v>249.46343862083327</v>
      </c>
      <c r="R60" s="61"/>
      <c r="T60" s="61"/>
    </row>
    <row r="61" spans="1:21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P61" t="s">
        <v>76</v>
      </c>
    </row>
    <row r="62" spans="1:21" ht="14.45" customHeight="1" x14ac:dyDescent="0.25">
      <c r="A62" s="35"/>
      <c r="B62" s="35"/>
      <c r="C62" s="35"/>
      <c r="D62" s="34">
        <f>SUM(D49:D60)</f>
        <v>1324.3051575120828</v>
      </c>
      <c r="E62" s="35"/>
      <c r="F62" s="35"/>
      <c r="G62" s="35"/>
      <c r="H62" s="35"/>
      <c r="I62" s="35"/>
      <c r="J62" s="34">
        <f>SUM(J49:J60)</f>
        <v>2919.7265085667373</v>
      </c>
      <c r="P62" t="s">
        <v>65</v>
      </c>
      <c r="R62" s="58"/>
      <c r="T62" s="58">
        <f>T58/T9</f>
        <v>1.0721469227504131E-5</v>
      </c>
    </row>
    <row r="63" spans="1:21" x14ac:dyDescent="0.25">
      <c r="P63" t="s">
        <v>97</v>
      </c>
      <c r="R63" s="58"/>
      <c r="T63" s="58">
        <f>T59/T11</f>
        <v>7.6067744895082792E-5</v>
      </c>
    </row>
    <row r="65" spans="1:21" x14ac:dyDescent="0.25">
      <c r="P65" t="s">
        <v>80</v>
      </c>
    </row>
    <row r="66" spans="1:21" ht="14.45" customHeight="1" x14ac:dyDescent="0.25">
      <c r="P66" s="208" t="s">
        <v>96</v>
      </c>
      <c r="Q66" s="208"/>
      <c r="R66" s="208"/>
      <c r="S66" s="208"/>
      <c r="T66" s="208"/>
      <c r="U66" s="208"/>
    </row>
    <row r="67" spans="1:21" x14ac:dyDescent="0.25">
      <c r="P67" s="208"/>
      <c r="Q67" s="208"/>
      <c r="R67" s="208"/>
      <c r="S67" s="208"/>
      <c r="T67" s="208"/>
      <c r="U67" s="208"/>
    </row>
    <row r="74" spans="1:2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</row>
  </sheetData>
  <mergeCells count="32">
    <mergeCell ref="P7:U7"/>
    <mergeCell ref="P66:U67"/>
    <mergeCell ref="A40:D40"/>
    <mergeCell ref="G40:J40"/>
    <mergeCell ref="A43:D43"/>
    <mergeCell ref="G43:J43"/>
    <mergeCell ref="A44:D44"/>
    <mergeCell ref="G44:J44"/>
    <mergeCell ref="A36:D36"/>
    <mergeCell ref="G36:J36"/>
    <mergeCell ref="A38:D38"/>
    <mergeCell ref="G38:J38"/>
    <mergeCell ref="A39:D39"/>
    <mergeCell ref="G39:J39"/>
    <mergeCell ref="A26:B26"/>
    <mergeCell ref="G26:H26"/>
    <mergeCell ref="A27:B27"/>
    <mergeCell ref="G27:H27"/>
    <mergeCell ref="A35:D35"/>
    <mergeCell ref="G35:J35"/>
    <mergeCell ref="A5:D5"/>
    <mergeCell ref="G5:J5"/>
    <mergeCell ref="A24:B24"/>
    <mergeCell ref="G24:H24"/>
    <mergeCell ref="A25:B25"/>
    <mergeCell ref="G25:H25"/>
    <mergeCell ref="A1:D1"/>
    <mergeCell ref="G1:J1"/>
    <mergeCell ref="A2:D2"/>
    <mergeCell ref="G2:J2"/>
    <mergeCell ref="A3:D3"/>
    <mergeCell ref="G3:J3"/>
  </mergeCells>
  <hyperlinks>
    <hyperlink ref="A37" r:id="rId1"/>
    <hyperlink ref="G37" r:id="rId2"/>
  </hyperlinks>
  <printOptions horizontalCentered="1"/>
  <pageMargins left="0.7" right="0.7" top="0.55000000000000004" bottom="0.48" header="0.3" footer="0.3"/>
  <pageSetup scale="88" orientation="portrait" r:id="rId3"/>
  <rowBreaks count="1" manualBreakCount="1">
    <brk id="42" max="8" man="1"/>
  </rowBreaks>
  <colBreaks count="1" manualBreakCount="1">
    <brk id="5" max="5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7E8002718A36D46A3E3F8FEA2EBA44E" ma:contentTypeVersion="56" ma:contentTypeDescription="" ma:contentTypeScope="" ma:versionID="20edc9aceaeb0e9b60e9283b293be5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2019-08-22T07:00:00+00:00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190710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857544-D235-40A7-B571-D7EC70C76254}"/>
</file>

<file path=customXml/itemProps2.xml><?xml version="1.0" encoding="utf-8"?>
<ds:datastoreItem xmlns:ds="http://schemas.openxmlformats.org/officeDocument/2006/customXml" ds:itemID="{96561159-8088-4BB7-98AA-D38B7ECC2C4F}"/>
</file>

<file path=customXml/itemProps3.xml><?xml version="1.0" encoding="utf-8"?>
<ds:datastoreItem xmlns:ds="http://schemas.openxmlformats.org/officeDocument/2006/customXml" ds:itemID="{BECA2FF1-E6DC-47BA-B51C-5502267FA3EF}"/>
</file>

<file path=customXml/itemProps4.xml><?xml version="1.0" encoding="utf-8"?>
<ds:datastoreItem xmlns:ds="http://schemas.openxmlformats.org/officeDocument/2006/customXml" ds:itemID="{767D17FE-C1B0-4CCD-A966-F490029FA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6 12 19 Forecast Usage by Sched</vt:lpstr>
      <vt:lpstr>Nat Gas 2018 Rate Calc</vt:lpstr>
      <vt:lpstr>Electric 2015 Rate Calc</vt:lpstr>
      <vt:lpstr>Prior Year Amortization</vt:lpstr>
      <vt:lpstr>Earnings Test and 3% Test</vt:lpstr>
      <vt:lpstr>Conversion Factors</vt:lpstr>
      <vt:lpstr>Bill Impact</vt:lpstr>
      <vt:lpstr>Nat Gas 2015carryover Rate Calc</vt:lpstr>
      <vt:lpstr>'Conversion Factors'!Print_Area</vt:lpstr>
      <vt:lpstr>'Earnings Test and 3% Test'!Print_Area</vt:lpstr>
      <vt:lpstr>'Electric 2015 Rate Calc'!Print_Area</vt:lpstr>
      <vt:lpstr>'Nat Gas 2015carryover Rate Calc'!Print_Area</vt:lpstr>
      <vt:lpstr>'Nat Gas 2018 Rate Calc'!Print_Area</vt:lpstr>
      <vt:lpstr>'Prior Year Amortization'!Print_Area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0x0101006E56B4D1795A2E4DB2F0B01679ED314A0067E8002718A36D46A3E3F8FEA2EBA44E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