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1m107\c01m107\WWP CBR\WWP 2018-12 CBR\2.18 ECBR - Power Supply\"/>
    </mc:Choice>
  </mc:AlternateContent>
  <bookViews>
    <workbookView xWindow="0" yWindow="0" windowWidth="20160" windowHeight="9615"/>
  </bookViews>
  <sheets>
    <sheet name="PF Power Supply Adjustments" sheetId="1" r:id="rId1"/>
    <sheet name="Monthly Authorized" sheetId="4" r:id="rId2"/>
    <sheet name="12.2018 Actual" sheetId="3" r:id="rId3"/>
  </sheets>
  <definedNames>
    <definedName name="_xlnm.Print_Area" localSheetId="2">'12.2018 Actual'!$A$1:$F$116</definedName>
    <definedName name="_xlnm.Print_Area" localSheetId="1">'Monthly Authorized'!$A$1:$O$154</definedName>
    <definedName name="_xlnm.Print_Area" localSheetId="0">'PF Power Supply Adjustments'!$A$1:$AP$55</definedName>
    <definedName name="_xlnm.Print_Titles" localSheetId="2">'12.2018 Actual'!$1:$7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AR33" i="1"/>
  <c r="Z47" i="1"/>
  <c r="X33" i="1"/>
  <c r="AD50" i="1"/>
  <c r="B43" i="4" l="1"/>
  <c r="D51" i="4"/>
  <c r="E51" i="4"/>
  <c r="F51" i="4"/>
  <c r="G51" i="4"/>
  <c r="H51" i="4"/>
  <c r="I51" i="4"/>
  <c r="J51" i="4"/>
  <c r="K51" i="4"/>
  <c r="L51" i="4"/>
  <c r="M51" i="4"/>
  <c r="N51" i="4"/>
  <c r="C51" i="4"/>
  <c r="B51" i="4" l="1"/>
  <c r="B50" i="4"/>
  <c r="M54" i="1"/>
  <c r="M55" i="1"/>
  <c r="D48" i="4"/>
  <c r="E48" i="4"/>
  <c r="F48" i="4"/>
  <c r="G48" i="4"/>
  <c r="H48" i="4"/>
  <c r="I48" i="4"/>
  <c r="J48" i="4"/>
  <c r="K48" i="4"/>
  <c r="L48" i="4"/>
  <c r="M48" i="4"/>
  <c r="N48" i="4"/>
  <c r="C48" i="4"/>
  <c r="M51" i="1"/>
  <c r="B48" i="4"/>
  <c r="B47" i="4"/>
  <c r="D47" i="4"/>
  <c r="E47" i="4"/>
  <c r="F47" i="4"/>
  <c r="G47" i="4"/>
  <c r="H47" i="4"/>
  <c r="I47" i="4"/>
  <c r="J47" i="4"/>
  <c r="K47" i="4"/>
  <c r="L47" i="4"/>
  <c r="M47" i="4"/>
  <c r="N47" i="4"/>
  <c r="C47" i="4"/>
  <c r="B45" i="4"/>
  <c r="B46" i="4"/>
  <c r="K54" i="1" l="1"/>
  <c r="O11" i="1" l="1"/>
  <c r="X25" i="1" l="1"/>
  <c r="X27" i="1"/>
  <c r="X30" i="1"/>
  <c r="X31" i="1"/>
  <c r="X15" i="1"/>
  <c r="X17" i="1"/>
  <c r="X18" i="1"/>
  <c r="X19" i="1"/>
  <c r="L41" i="4" l="1"/>
  <c r="M41" i="4"/>
  <c r="N41" i="4"/>
  <c r="D119" i="3" l="1"/>
  <c r="E110" i="3"/>
  <c r="E109" i="3"/>
  <c r="E108" i="3"/>
  <c r="E107" i="3"/>
  <c r="D98" i="3"/>
  <c r="E96" i="3"/>
  <c r="D39" i="3"/>
  <c r="E28" i="3"/>
  <c r="K52" i="1" l="1"/>
  <c r="K51" i="1" s="1"/>
  <c r="O47" i="1" s="1"/>
  <c r="D16" i="1"/>
  <c r="Q106" i="3"/>
  <c r="R106" i="3"/>
  <c r="S106" i="3"/>
  <c r="S18" i="3" l="1"/>
  <c r="R18" i="3"/>
  <c r="L26" i="4" l="1"/>
  <c r="M26" i="4"/>
  <c r="N26" i="4"/>
  <c r="L24" i="4"/>
  <c r="M24" i="4"/>
  <c r="N24" i="4"/>
  <c r="L22" i="4"/>
  <c r="M22" i="4"/>
  <c r="N22" i="4"/>
  <c r="L12" i="4"/>
  <c r="M12" i="4"/>
  <c r="N12" i="4"/>
  <c r="N20" i="4" s="1"/>
  <c r="L14" i="4"/>
  <c r="M14" i="4"/>
  <c r="N14" i="4"/>
  <c r="L16" i="4"/>
  <c r="M16" i="4"/>
  <c r="N16" i="4"/>
  <c r="L18" i="4"/>
  <c r="M18" i="4"/>
  <c r="N18" i="4"/>
  <c r="K12" i="4"/>
  <c r="G12" i="4"/>
  <c r="M20" i="4" l="1"/>
  <c r="L20" i="4"/>
  <c r="L29" i="4" s="1"/>
  <c r="L31" i="4" s="1"/>
  <c r="C18" i="4"/>
  <c r="F13" i="1"/>
  <c r="C12" i="4"/>
  <c r="D12" i="4"/>
  <c r="E12" i="4"/>
  <c r="F12" i="4"/>
  <c r="H12" i="4"/>
  <c r="I12" i="4"/>
  <c r="J12" i="4"/>
  <c r="C14" i="4"/>
  <c r="D14" i="4"/>
  <c r="E14" i="4"/>
  <c r="F14" i="4"/>
  <c r="G14" i="4"/>
  <c r="G20" i="4" s="1"/>
  <c r="H14" i="4"/>
  <c r="I14" i="4"/>
  <c r="J14" i="4"/>
  <c r="K14" i="4"/>
  <c r="K20" i="4" s="1"/>
  <c r="C16" i="4"/>
  <c r="D16" i="4"/>
  <c r="E16" i="4"/>
  <c r="F16" i="4"/>
  <c r="G16" i="4"/>
  <c r="H16" i="4"/>
  <c r="I16" i="4"/>
  <c r="J16" i="4"/>
  <c r="K16" i="4"/>
  <c r="D18" i="4"/>
  <c r="E18" i="4"/>
  <c r="F18" i="4"/>
  <c r="G18" i="4"/>
  <c r="H18" i="4"/>
  <c r="I18" i="4"/>
  <c r="J18" i="4"/>
  <c r="K18" i="4"/>
  <c r="N29" i="4"/>
  <c r="N31" i="4" s="1"/>
  <c r="E20" i="4"/>
  <c r="C22" i="4"/>
  <c r="D22" i="4"/>
  <c r="E22" i="4"/>
  <c r="F22" i="4"/>
  <c r="G22" i="4"/>
  <c r="H22" i="4"/>
  <c r="I22" i="4"/>
  <c r="J22" i="4"/>
  <c r="K22" i="4"/>
  <c r="C24" i="4"/>
  <c r="D24" i="4"/>
  <c r="E24" i="4"/>
  <c r="F24" i="4"/>
  <c r="G24" i="4"/>
  <c r="H24" i="4"/>
  <c r="I24" i="4"/>
  <c r="J24" i="4"/>
  <c r="K24" i="4"/>
  <c r="C26" i="4"/>
  <c r="D26" i="4"/>
  <c r="E26" i="4"/>
  <c r="E29" i="4" s="1"/>
  <c r="E31" i="4" s="1"/>
  <c r="F26" i="4"/>
  <c r="G26" i="4"/>
  <c r="H26" i="4"/>
  <c r="I26" i="4"/>
  <c r="J26" i="4"/>
  <c r="K26" i="4"/>
  <c r="M29" i="4"/>
  <c r="M31" i="4" s="1"/>
  <c r="C39" i="4"/>
  <c r="D39" i="4"/>
  <c r="E39" i="4"/>
  <c r="F39" i="4"/>
  <c r="G39" i="4"/>
  <c r="H39" i="4"/>
  <c r="I39" i="4"/>
  <c r="J39" i="4"/>
  <c r="K39" i="4"/>
  <c r="L39" i="4"/>
  <c r="M39" i="4"/>
  <c r="N39" i="4"/>
  <c r="C41" i="4"/>
  <c r="D41" i="4"/>
  <c r="E41" i="4"/>
  <c r="F41" i="4"/>
  <c r="G41" i="4"/>
  <c r="H41" i="4"/>
  <c r="I41" i="4"/>
  <c r="J41" i="4"/>
  <c r="K41" i="4"/>
  <c r="K29" i="4" l="1"/>
  <c r="K31" i="4" s="1"/>
  <c r="G29" i="4"/>
  <c r="G31" i="4" s="1"/>
  <c r="B14" i="4"/>
  <c r="B26" i="4"/>
  <c r="B24" i="4"/>
  <c r="B16" i="4"/>
  <c r="I20" i="4"/>
  <c r="I29" i="4" s="1"/>
  <c r="I31" i="4" s="1"/>
  <c r="B22" i="4"/>
  <c r="F20" i="4"/>
  <c r="F29" i="4" s="1"/>
  <c r="F31" i="4" s="1"/>
  <c r="H20" i="4"/>
  <c r="H29" i="4" s="1"/>
  <c r="H31" i="4" s="1"/>
  <c r="D20" i="4"/>
  <c r="D29" i="4" s="1"/>
  <c r="D31" i="4" s="1"/>
  <c r="J20" i="4"/>
  <c r="J29" i="4" s="1"/>
  <c r="J31" i="4" s="1"/>
  <c r="B12" i="4"/>
  <c r="B41" i="4"/>
  <c r="B18" i="4"/>
  <c r="C20" i="4"/>
  <c r="B20" i="4" l="1"/>
  <c r="B29" i="4" s="1"/>
  <c r="R32" i="4" s="1"/>
  <c r="C29" i="4"/>
  <c r="C31" i="4" s="1"/>
  <c r="B31" i="4" s="1"/>
  <c r="R31" i="4" l="1"/>
  <c r="R33" i="4" s="1"/>
  <c r="Z11" i="1" s="1"/>
  <c r="M29" i="1"/>
  <c r="X29" i="1" s="1"/>
  <c r="M14" i="1"/>
  <c r="X14" i="1" s="1"/>
  <c r="K18" i="3"/>
  <c r="J18" i="3"/>
  <c r="I18" i="3"/>
  <c r="H18" i="3"/>
  <c r="I106" i="3" l="1"/>
  <c r="J106" i="3"/>
  <c r="J107" i="3" s="1"/>
  <c r="K106" i="3"/>
  <c r="K107" i="3" s="1"/>
  <c r="L106" i="3"/>
  <c r="L107" i="3" s="1"/>
  <c r="M106" i="3"/>
  <c r="N106" i="3"/>
  <c r="N107" i="3" s="1"/>
  <c r="O106" i="3"/>
  <c r="O107" i="3" s="1"/>
  <c r="P106" i="3"/>
  <c r="P107" i="3" s="1"/>
  <c r="S107" i="3"/>
  <c r="H106" i="3"/>
  <c r="I107" i="3"/>
  <c r="M107" i="3"/>
  <c r="Q107" i="3"/>
  <c r="R107" i="3"/>
  <c r="G105" i="3"/>
  <c r="G104" i="3"/>
  <c r="G103" i="3"/>
  <c r="G102" i="3"/>
  <c r="G101" i="3"/>
  <c r="G100" i="3"/>
  <c r="G108" i="3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40" i="3"/>
  <c r="R40" i="3"/>
  <c r="S40" i="3"/>
  <c r="H39" i="3"/>
  <c r="H40" i="3" s="1"/>
  <c r="G34" i="3"/>
  <c r="G35" i="3"/>
  <c r="G36" i="3"/>
  <c r="G37" i="3"/>
  <c r="G38" i="3"/>
  <c r="H107" i="3" l="1"/>
  <c r="G106" i="3"/>
  <c r="D106" i="3" s="1"/>
  <c r="G80" i="3"/>
  <c r="G110" i="3"/>
  <c r="G99" i="3"/>
  <c r="G98" i="3"/>
  <c r="H77" i="3"/>
  <c r="I77" i="3"/>
  <c r="J77" i="3"/>
  <c r="K77" i="3"/>
  <c r="L77" i="3"/>
  <c r="M77" i="3"/>
  <c r="N77" i="3"/>
  <c r="O77" i="3"/>
  <c r="P77" i="3"/>
  <c r="Q77" i="3"/>
  <c r="R77" i="3"/>
  <c r="S77" i="3"/>
  <c r="G75" i="3"/>
  <c r="D75" i="3" s="1"/>
  <c r="G76" i="3"/>
  <c r="D76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H61" i="3"/>
  <c r="I61" i="3"/>
  <c r="J61" i="3"/>
  <c r="K61" i="3"/>
  <c r="L61" i="3"/>
  <c r="M61" i="3"/>
  <c r="N61" i="3"/>
  <c r="O61" i="3"/>
  <c r="P61" i="3"/>
  <c r="Q61" i="3"/>
  <c r="R61" i="3"/>
  <c r="S61" i="3"/>
  <c r="H47" i="3"/>
  <c r="I47" i="3"/>
  <c r="J47" i="3"/>
  <c r="K47" i="3"/>
  <c r="L47" i="3"/>
  <c r="M47" i="3"/>
  <c r="N47" i="3"/>
  <c r="O47" i="3"/>
  <c r="P47" i="3"/>
  <c r="Q47" i="3"/>
  <c r="R47" i="3"/>
  <c r="S47" i="3"/>
  <c r="G54" i="3"/>
  <c r="D54" i="3" s="1"/>
  <c r="G55" i="3"/>
  <c r="D55" i="3" s="1"/>
  <c r="G56" i="3"/>
  <c r="D56" i="3" s="1"/>
  <c r="G57" i="3"/>
  <c r="D57" i="3" s="1"/>
  <c r="G58" i="3"/>
  <c r="D58" i="3" s="1"/>
  <c r="G59" i="3"/>
  <c r="D59" i="3" s="1"/>
  <c r="G60" i="3"/>
  <c r="D60" i="3" s="1"/>
  <c r="G53" i="3"/>
  <c r="D53" i="3" s="1"/>
  <c r="G52" i="3"/>
  <c r="D52" i="3" s="1"/>
  <c r="G51" i="3"/>
  <c r="D51" i="3" s="1"/>
  <c r="G50" i="3"/>
  <c r="D50" i="3" s="1"/>
  <c r="G46" i="3"/>
  <c r="D46" i="3" s="1"/>
  <c r="G45" i="3"/>
  <c r="D45" i="3" s="1"/>
  <c r="G44" i="3"/>
  <c r="D44" i="3" s="1"/>
  <c r="G43" i="3"/>
  <c r="D43" i="3" s="1"/>
  <c r="G31" i="3"/>
  <c r="D31" i="3" s="1"/>
  <c r="D33" i="1" s="1"/>
  <c r="G32" i="3"/>
  <c r="D32" i="3" s="1"/>
  <c r="G33" i="3"/>
  <c r="D33" i="3" s="1"/>
  <c r="G39" i="3"/>
  <c r="G30" i="3"/>
  <c r="D30" i="3" s="1"/>
  <c r="H95" i="3"/>
  <c r="I95" i="3"/>
  <c r="J95" i="3"/>
  <c r="K95" i="3"/>
  <c r="L95" i="3"/>
  <c r="M95" i="3"/>
  <c r="N95" i="3"/>
  <c r="O95" i="3"/>
  <c r="P95" i="3"/>
  <c r="Q95" i="3"/>
  <c r="R95" i="3"/>
  <c r="S95" i="3"/>
  <c r="G94" i="3"/>
  <c r="D94" i="3" s="1"/>
  <c r="G93" i="3"/>
  <c r="D93" i="3" s="1"/>
  <c r="G92" i="3"/>
  <c r="D92" i="3" s="1"/>
  <c r="G91" i="3"/>
  <c r="D91" i="3" s="1"/>
  <c r="G90" i="3"/>
  <c r="D90" i="3" s="1"/>
  <c r="G89" i="3"/>
  <c r="D89" i="3" s="1"/>
  <c r="G88" i="3"/>
  <c r="D88" i="3" s="1"/>
  <c r="G87" i="3"/>
  <c r="D87" i="3" s="1"/>
  <c r="G86" i="3"/>
  <c r="D86" i="3" s="1"/>
  <c r="G85" i="3"/>
  <c r="D85" i="3" s="1"/>
  <c r="H27" i="3"/>
  <c r="I27" i="3"/>
  <c r="J27" i="3"/>
  <c r="K27" i="3"/>
  <c r="L27" i="3"/>
  <c r="M27" i="3"/>
  <c r="N27" i="3"/>
  <c r="O27" i="3"/>
  <c r="P27" i="3"/>
  <c r="Q27" i="3"/>
  <c r="R27" i="3"/>
  <c r="S27" i="3"/>
  <c r="G15" i="3"/>
  <c r="D15" i="3" s="1"/>
  <c r="G14" i="3"/>
  <c r="D14" i="3" s="1"/>
  <c r="G13" i="3"/>
  <c r="D13" i="3" s="1"/>
  <c r="G12" i="3"/>
  <c r="D12" i="3" s="1"/>
  <c r="G11" i="3"/>
  <c r="D11" i="3" s="1"/>
  <c r="G10" i="3"/>
  <c r="D10" i="3" s="1"/>
  <c r="G9" i="3"/>
  <c r="D9" i="3" s="1"/>
  <c r="G17" i="3"/>
  <c r="D17" i="3" s="1"/>
  <c r="G18" i="3"/>
  <c r="D18" i="3" s="1"/>
  <c r="G19" i="3"/>
  <c r="D19" i="3" s="1"/>
  <c r="G20" i="3"/>
  <c r="D20" i="3" s="1"/>
  <c r="G21" i="3"/>
  <c r="D21" i="3" s="1"/>
  <c r="G22" i="3"/>
  <c r="D22" i="3" s="1"/>
  <c r="G23" i="3"/>
  <c r="D23" i="3" s="1"/>
  <c r="G24" i="3"/>
  <c r="D24" i="3" s="1"/>
  <c r="G25" i="3"/>
  <c r="D25" i="3" s="1"/>
  <c r="G26" i="3"/>
  <c r="D26" i="3" s="1"/>
  <c r="G16" i="3"/>
  <c r="D16" i="3" s="1"/>
  <c r="G107" i="3" l="1"/>
  <c r="G77" i="3"/>
  <c r="G40" i="3"/>
  <c r="G47" i="3"/>
  <c r="G61" i="3"/>
  <c r="G95" i="3"/>
  <c r="G27" i="3"/>
  <c r="D137" i="4" l="1"/>
  <c r="D33" i="4" s="1"/>
  <c r="D35" i="4" s="1"/>
  <c r="E137" i="4"/>
  <c r="E33" i="4" s="1"/>
  <c r="E35" i="4" s="1"/>
  <c r="F137" i="4"/>
  <c r="F33" i="4" s="1"/>
  <c r="F35" i="4" s="1"/>
  <c r="G137" i="4"/>
  <c r="H137" i="4"/>
  <c r="I137" i="4"/>
  <c r="J137" i="4"/>
  <c r="K137" i="4"/>
  <c r="L137" i="4"/>
  <c r="M137" i="4"/>
  <c r="N137" i="4"/>
  <c r="C137" i="4"/>
  <c r="C33" i="4" s="1"/>
  <c r="B94" i="4"/>
  <c r="N92" i="4"/>
  <c r="M92" i="4"/>
  <c r="L92" i="4"/>
  <c r="K92" i="4"/>
  <c r="J92" i="4"/>
  <c r="I92" i="4"/>
  <c r="H92" i="4"/>
  <c r="G92" i="4"/>
  <c r="F92" i="4"/>
  <c r="E92" i="4"/>
  <c r="D92" i="4"/>
  <c r="C92" i="4"/>
  <c r="N83" i="4"/>
  <c r="N33" i="4" s="1"/>
  <c r="M83" i="4"/>
  <c r="M33" i="4" s="1"/>
  <c r="L83" i="4"/>
  <c r="L33" i="4" s="1"/>
  <c r="K83" i="4"/>
  <c r="K33" i="4" s="1"/>
  <c r="K35" i="4" s="1"/>
  <c r="J83" i="4"/>
  <c r="J33" i="4" s="1"/>
  <c r="J35" i="4" s="1"/>
  <c r="I83" i="4"/>
  <c r="I33" i="4" s="1"/>
  <c r="I35" i="4" s="1"/>
  <c r="H83" i="4"/>
  <c r="H33" i="4" s="1"/>
  <c r="H35" i="4" s="1"/>
  <c r="G83" i="4"/>
  <c r="G33" i="4" s="1"/>
  <c r="G35" i="4" s="1"/>
  <c r="F83" i="4"/>
  <c r="E83" i="4"/>
  <c r="D83" i="4"/>
  <c r="C83" i="4"/>
  <c r="B77" i="4"/>
  <c r="B75" i="4"/>
  <c r="B73" i="4"/>
  <c r="N71" i="4"/>
  <c r="N79" i="4" s="1"/>
  <c r="N81" i="4" s="1"/>
  <c r="M71" i="4"/>
  <c r="M79" i="4" s="1"/>
  <c r="L71" i="4"/>
  <c r="L79" i="4" s="1"/>
  <c r="L81" i="4" s="1"/>
  <c r="K71" i="4"/>
  <c r="K79" i="4" s="1"/>
  <c r="K81" i="4" s="1"/>
  <c r="J71" i="4"/>
  <c r="J79" i="4" s="1"/>
  <c r="J81" i="4" s="1"/>
  <c r="I71" i="4"/>
  <c r="I79" i="4" s="1"/>
  <c r="H71" i="4"/>
  <c r="H79" i="4" s="1"/>
  <c r="H81" i="4" s="1"/>
  <c r="G71" i="4"/>
  <c r="G79" i="4" s="1"/>
  <c r="G81" i="4" s="1"/>
  <c r="F71" i="4"/>
  <c r="F79" i="4" s="1"/>
  <c r="F81" i="4" s="1"/>
  <c r="E71" i="4"/>
  <c r="E79" i="4" s="1"/>
  <c r="D71" i="4"/>
  <c r="D79" i="4" s="1"/>
  <c r="D81" i="4" s="1"/>
  <c r="C71" i="4"/>
  <c r="C79" i="4" s="1"/>
  <c r="C81" i="4" s="1"/>
  <c r="B69" i="4"/>
  <c r="B67" i="4"/>
  <c r="B65" i="4"/>
  <c r="B63" i="4"/>
  <c r="N35" i="4" l="1"/>
  <c r="M35" i="4"/>
  <c r="L35" i="4"/>
  <c r="B33" i="4"/>
  <c r="B35" i="4" s="1"/>
  <c r="C35" i="4"/>
  <c r="B83" i="4"/>
  <c r="D85" i="4"/>
  <c r="H85" i="4"/>
  <c r="L85" i="4"/>
  <c r="M81" i="4"/>
  <c r="M85" i="4" s="1"/>
  <c r="I81" i="4"/>
  <c r="I85" i="4" s="1"/>
  <c r="E81" i="4"/>
  <c r="E85" i="4" s="1"/>
  <c r="N85" i="4"/>
  <c r="F85" i="4"/>
  <c r="J85" i="4"/>
  <c r="G85" i="4"/>
  <c r="K85" i="4"/>
  <c r="B79" i="4"/>
  <c r="B71" i="4"/>
  <c r="B81" i="4" l="1"/>
  <c r="B85" i="4" s="1"/>
  <c r="B96" i="4" s="1"/>
  <c r="C85" i="4"/>
  <c r="L42" i="4" l="1"/>
  <c r="M42" i="4"/>
  <c r="M43" i="4" s="1"/>
  <c r="N42" i="4"/>
  <c r="N43" i="4" s="1"/>
  <c r="G42" i="4"/>
  <c r="G43" i="4" s="1"/>
  <c r="J42" i="4"/>
  <c r="J43" i="4" s="1"/>
  <c r="K42" i="4"/>
  <c r="K43" i="4" s="1"/>
  <c r="H42" i="4"/>
  <c r="H43" i="4" s="1"/>
  <c r="I42" i="4"/>
  <c r="I43" i="4" s="1"/>
  <c r="M32" i="1"/>
  <c r="X32" i="1" s="1"/>
  <c r="B145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30" i="4"/>
  <c r="B128" i="4"/>
  <c r="B126" i="4"/>
  <c r="N124" i="4"/>
  <c r="N133" i="4" s="1"/>
  <c r="N135" i="4" s="1"/>
  <c r="N139" i="4" s="1"/>
  <c r="M124" i="4"/>
  <c r="M133" i="4" s="1"/>
  <c r="M135" i="4" s="1"/>
  <c r="M139" i="4" s="1"/>
  <c r="K124" i="4"/>
  <c r="J124" i="4"/>
  <c r="J133" i="4" s="1"/>
  <c r="J135" i="4" s="1"/>
  <c r="J139" i="4" s="1"/>
  <c r="I124" i="4"/>
  <c r="I133" i="4" s="1"/>
  <c r="I135" i="4" s="1"/>
  <c r="I139" i="4" s="1"/>
  <c r="G124" i="4"/>
  <c r="F124" i="4"/>
  <c r="F133" i="4" s="1"/>
  <c r="F135" i="4" s="1"/>
  <c r="F139" i="4" s="1"/>
  <c r="E124" i="4"/>
  <c r="E133" i="4" s="1"/>
  <c r="E135" i="4" s="1"/>
  <c r="E139" i="4" s="1"/>
  <c r="C124" i="4"/>
  <c r="C133" i="4" s="1"/>
  <c r="C135" i="4" s="1"/>
  <c r="C139" i="4" s="1"/>
  <c r="B120" i="4"/>
  <c r="B118" i="4"/>
  <c r="L124" i="4"/>
  <c r="L133" i="4" s="1"/>
  <c r="L135" i="4" s="1"/>
  <c r="L139" i="4" s="1"/>
  <c r="H124" i="4"/>
  <c r="H133" i="4" s="1"/>
  <c r="H135" i="4" s="1"/>
  <c r="H139" i="4" s="1"/>
  <c r="B116" i="4"/>
  <c r="L43" i="4" l="1"/>
  <c r="M16" i="1"/>
  <c r="X16" i="1" s="1"/>
  <c r="M26" i="1"/>
  <c r="X26" i="1" s="1"/>
  <c r="M52" i="1"/>
  <c r="M53" i="1" s="1"/>
  <c r="M28" i="1"/>
  <c r="X28" i="1" s="1"/>
  <c r="M34" i="1"/>
  <c r="X34" i="1" s="1"/>
  <c r="M13" i="1"/>
  <c r="M24" i="1"/>
  <c r="X24" i="1" s="1"/>
  <c r="K133" i="4"/>
  <c r="K135" i="4" s="1"/>
  <c r="K139" i="4" s="1"/>
  <c r="G133" i="4"/>
  <c r="G135" i="4" s="1"/>
  <c r="G139" i="4" s="1"/>
  <c r="D124" i="4"/>
  <c r="B122" i="4"/>
  <c r="X13" i="1" l="1"/>
  <c r="Q13" i="1"/>
  <c r="D133" i="4"/>
  <c r="B124" i="4"/>
  <c r="B133" i="4" s="1"/>
  <c r="D135" i="4" l="1"/>
  <c r="D139" i="4" s="1"/>
  <c r="B135" i="4" l="1"/>
  <c r="E111" i="3"/>
  <c r="B139" i="4" l="1"/>
  <c r="B147" i="4" s="1"/>
  <c r="C42" i="4" s="1"/>
  <c r="F42" i="4" l="1"/>
  <c r="F43" i="4" s="1"/>
  <c r="D42" i="4"/>
  <c r="D43" i="4" s="1"/>
  <c r="E42" i="4"/>
  <c r="E43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D27" i="3"/>
  <c r="D28" i="1" s="1"/>
  <c r="D40" i="3"/>
  <c r="D47" i="3"/>
  <c r="D61" i="3"/>
  <c r="D26" i="1" s="1"/>
  <c r="D77" i="3"/>
  <c r="D34" i="1" s="1"/>
  <c r="D95" i="3"/>
  <c r="D13" i="1" s="1"/>
  <c r="D107" i="3"/>
  <c r="B42" i="4" l="1"/>
  <c r="D32" i="1"/>
  <c r="F40" i="3"/>
  <c r="C43" i="4"/>
  <c r="F107" i="3"/>
  <c r="D19" i="1"/>
  <c r="E48" i="3"/>
  <c r="D24" i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80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8" i="3" s="1"/>
  <c r="A99" i="3" s="1"/>
  <c r="A106" i="3" s="1"/>
  <c r="A107" i="3" s="1"/>
  <c r="A110" i="3" s="1"/>
  <c r="A113" i="3" s="1"/>
  <c r="A115" i="3" s="1"/>
  <c r="E44" i="3"/>
  <c r="D113" i="3"/>
  <c r="D82" i="3"/>
  <c r="AR29" i="1"/>
  <c r="AR18" i="1"/>
  <c r="AB13" i="1"/>
  <c r="D115" i="3" l="1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AM36" i="1" l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AM38" i="1" l="1"/>
  <c r="AK20" i="1" l="1"/>
  <c r="AI21" i="1"/>
  <c r="AK17" i="1"/>
  <c r="Z14" i="1"/>
  <c r="Z20" i="1"/>
  <c r="X21" i="1"/>
  <c r="Z17" i="1"/>
  <c r="M33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M21" i="1" s="1"/>
  <c r="S18" i="1"/>
  <c r="AQ18" i="1" s="1"/>
  <c r="Q18" i="1"/>
  <c r="Q17" i="1"/>
  <c r="O17" i="1"/>
  <c r="F17" i="1"/>
  <c r="Q16" i="1"/>
  <c r="O16" i="1"/>
  <c r="F16" i="1"/>
  <c r="Q15" i="1"/>
  <c r="O15" i="1"/>
  <c r="F15" i="1"/>
  <c r="O14" i="1"/>
  <c r="F14" i="1"/>
  <c r="O13" i="1"/>
  <c r="M38" i="1" l="1"/>
  <c r="M40" i="1" s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S13" i="1"/>
  <c r="F19" i="1"/>
  <c r="F21" i="1" s="1"/>
  <c r="D21" i="1"/>
  <c r="S26" i="1"/>
  <c r="AQ34" i="1" l="1"/>
  <c r="AK24" i="1"/>
  <c r="O33" i="1"/>
  <c r="S33" i="1" s="1"/>
  <c r="AB33" i="1"/>
  <c r="AB38" i="1" s="1"/>
  <c r="AB40" i="1" s="1"/>
  <c r="Q33" i="1"/>
  <c r="X38" i="1"/>
  <c r="X40" i="1" s="1"/>
  <c r="Z33" i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Q38" i="1"/>
  <c r="Q40" i="1" s="1"/>
  <c r="Z38" i="1"/>
  <c r="Z40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>
  <authors>
    <author>gzhkw6</author>
  </authors>
  <commentList>
    <comment ref="M3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</commentList>
</comments>
</file>

<file path=xl/comments2.xml><?xml version="1.0" encoding="utf-8"?>
<comments xmlns="http://schemas.openxmlformats.org/spreadsheetml/2006/main">
  <authors>
    <author>annette brandon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557150 included in this number.  Only part of 557 needed for reconcilation is the physical fuel dispatch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</commentList>
</comments>
</file>

<file path=xl/sharedStrings.xml><?xml version="1.0" encoding="utf-8"?>
<sst xmlns="http://schemas.openxmlformats.org/spreadsheetml/2006/main" count="462" uniqueCount="261">
  <si>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</si>
  <si>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</si>
  <si>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</si>
  <si>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</si>
  <si>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</si>
  <si>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</si>
  <si>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</si>
  <si>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</si>
  <si>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</si>
  <si>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</si>
  <si>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</si>
  <si>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</si>
  <si>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</si>
  <si>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</si>
  <si>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</si>
  <si>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</si>
  <si>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</si>
  <si>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</si>
  <si>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</si>
  <si>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</si>
  <si>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</si>
  <si>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</si>
  <si>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</si>
  <si>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</si>
  <si>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</si>
  <si>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</si>
  <si>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</si>
  <si>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</si>
  <si>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</si>
  <si>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</si>
  <si>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</si>
  <si>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</si>
  <si>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</si>
  <si>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</si>
  <si>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</si>
  <si>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</si>
  <si>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</si>
  <si>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</si>
  <si>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</si>
  <si>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</si>
  <si>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</si>
  <si>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</si>
  <si>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</si>
  <si>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</si>
  <si>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</si>
  <si>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</si>
  <si>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</si>
  <si>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</si>
  <si>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</si>
  <si>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</si>
  <si>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</si>
  <si>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</si>
  <si>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</si>
  <si>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</si>
  <si>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</si>
  <si>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NET EXPENSE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</si>
  <si>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</si>
  <si>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</si>
  <si>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</si>
  <si>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</si>
  <si>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</si>
  <si>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</si>
  <si>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WA EIA REC Sales</t>
  </si>
  <si>
    <t>Non-WA EIA REC Sales</t>
  </si>
  <si>
    <t>456 OTHER ELECTRIC REVENUE</t>
  </si>
  <si>
    <t>Total Account 447</t>
  </si>
  <si>
    <t>Intracompany Generation</t>
  </si>
  <si>
    <t>COB Optimization</t>
  </si>
  <si>
    <t>Energy America</t>
  </si>
  <si>
    <t>Pend Oreille DES &amp; Spinning</t>
  </si>
  <si>
    <t>Sovereign/Kaiser DES</t>
  </si>
  <si>
    <t>Nichols Pumping Sale</t>
  </si>
  <si>
    <t>PGE Capacity Sale</t>
  </si>
  <si>
    <t>Actual ST Market Sales - Financial M-to-M</t>
  </si>
  <si>
    <t>Actual ST Market Sales - Physical</t>
  </si>
  <si>
    <t>Modeled Short-Term Market Sales</t>
  </si>
  <si>
    <t>447 SALES FOR RESALE</t>
  </si>
  <si>
    <t>TOTAL EXPENSE</t>
  </si>
  <si>
    <t>Headwater Benefits Payments</t>
  </si>
  <si>
    <t>536 WATER FOR POWER</t>
  </si>
  <si>
    <t>Total Account 565</t>
  </si>
  <si>
    <t>PGE Firm Wheeling</t>
  </si>
  <si>
    <t>Northwestern for Colstrip</t>
  </si>
  <si>
    <t>Sagle-Northern Lights</t>
  </si>
  <si>
    <t>Kootenai for Worley</t>
  </si>
  <si>
    <t>Avista on BPA - Borderline</t>
  </si>
  <si>
    <t>BPA Townsend-Garrison Wheeling</t>
  </si>
  <si>
    <t>BPA PTP for Colstrip, Coyote &amp; Lancaster</t>
  </si>
  <si>
    <t>Short-term Transmission Purchases</t>
  </si>
  <si>
    <t>WNP-3</t>
  </si>
  <si>
    <t>565 TRANSMISSION OF ELECTRICITY BY OTHERS</t>
  </si>
  <si>
    <t>Total Account 547</t>
  </si>
  <si>
    <t>Kettle Falls CT Gas</t>
  </si>
  <si>
    <t>Boulder Park Gas</t>
  </si>
  <si>
    <t>Northeast CT Gas</t>
  </si>
  <si>
    <t>Rathdrum  Gas</t>
  </si>
  <si>
    <t>Gas Transportation for BP, NE and KFCT</t>
  </si>
  <si>
    <t>Actual Financial Gas Transactions M-to-M</t>
  </si>
  <si>
    <t>Lancaster Gas Transportation</t>
  </si>
  <si>
    <t>Lancaster Gas</t>
  </si>
  <si>
    <t>Coyote Springs 2 Gas Transportation</t>
  </si>
  <si>
    <t>Coyote Springs Gas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</si>
  <si>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</si>
  <si>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</si>
  <si>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</si>
  <si>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</si>
  <si>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</si>
  <si>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</si>
  <si>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</si>
  <si>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</si>
  <si>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</si>
  <si>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Rathdrum Solar, Buck-a-Block</t>
  </si>
  <si>
    <t>REC Expenses (offset to REC Revenue)</t>
  </si>
  <si>
    <t>WA EIA REC Purchase - 100% WA Allocation</t>
  </si>
  <si>
    <t>Broker Commission Fees</t>
  </si>
  <si>
    <t>557 OTHER EXPENSES</t>
  </si>
  <si>
    <t>Total Account 555</t>
  </si>
  <si>
    <t>Palouse Wind</t>
  </si>
  <si>
    <t>Ancillary Services</t>
  </si>
  <si>
    <t xml:space="preserve">Non-Monetary </t>
  </si>
  <si>
    <t>Spokane Waste-to-Energy</t>
  </si>
  <si>
    <t>Spokane-Upriver</t>
  </si>
  <si>
    <t>Stimson</t>
  </si>
  <si>
    <t>Small Power</t>
  </si>
  <si>
    <t>Deer Lake-IP&amp;L</t>
  </si>
  <si>
    <t>Lancaster Capacity Payment</t>
  </si>
  <si>
    <t>Douglas Settlement</t>
  </si>
  <si>
    <t>Priest Rapids Project</t>
  </si>
  <si>
    <t>Wells - Avista Share</t>
  </si>
  <si>
    <t>Rocky Reach/Rock Island Purchase</t>
  </si>
  <si>
    <t>Actual ST Purchases - Financial M-to-M</t>
  </si>
  <si>
    <t>Actual ST Market Purchases</t>
  </si>
  <si>
    <t>Modeled ST Market Purchases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</si>
  <si>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</si>
  <si>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</si>
  <si>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</si>
  <si>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</si>
  <si>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</si>
  <si>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</si>
  <si>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Miscellaneous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</si>
  <si>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</si>
  <si>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</si>
  <si>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</si>
  <si>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</si>
  <si>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</si>
  <si>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</si>
  <si>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Fuel Handling Costs not included in ERM</t>
  </si>
  <si>
    <t>Labor</t>
  </si>
  <si>
    <t>Deferrals &amp; Amorts</t>
  </si>
  <si>
    <t>Nez Perce &amp; other</t>
  </si>
  <si>
    <t>Misc Elec Rev</t>
  </si>
  <si>
    <t>Decoupling</t>
  </si>
  <si>
    <t>Transmission Revenue</t>
  </si>
  <si>
    <t xml:space="preserve">EXCLUDES TRANSMISSION REVENUES AND EXPENSES </t>
  </si>
  <si>
    <t>Avista Utilities</t>
  </si>
  <si>
    <t>Commission Basis Power Supply</t>
  </si>
  <si>
    <t xml:space="preserve">ERM Authorized Values changed 5/1/2018 </t>
  </si>
  <si>
    <t>Avista Corp</t>
  </si>
  <si>
    <t>Pro forma January 2016 - December 2016</t>
  </si>
  <si>
    <t>ERM Authorized Expense and Retail Sales</t>
  </si>
  <si>
    <t>Including November Power Supply Update</t>
  </si>
  <si>
    <t>October 2013 - September 2014 Historic Normalized Loads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</si>
  <si>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</si>
  <si>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</si>
  <si>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</si>
  <si>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</si>
  <si>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</si>
  <si>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</si>
  <si>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</si>
  <si>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</si>
  <si>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</si>
  <si>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</si>
  <si>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</si>
  <si>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</si>
  <si>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</si>
  <si>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</si>
  <si>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</si>
  <si>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</si>
  <si>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</si>
  <si>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</si>
  <si>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</si>
  <si>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</si>
  <si>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 xml:space="preserve">  Total</t>
  </si>
  <si>
    <t>WA Share of System Costs</t>
  </si>
  <si>
    <t>Direct WA (Agreed-To Adjustment) (3)</t>
  </si>
  <si>
    <t>WA ERM Base</t>
  </si>
  <si>
    <t>ERM Authorized Washington Retail Sales (2)</t>
  </si>
  <si>
    <t>Total Retail Sales, MWh (2)</t>
  </si>
  <si>
    <t>Retail Revenue Credit Rate</t>
  </si>
  <si>
    <t>/MWh</t>
  </si>
  <si>
    <t>UE-140188 Settlement Method</t>
  </si>
  <si>
    <t>(1)  Multiply system numbers by 64.71% to determine Washington share.</t>
  </si>
  <si>
    <t>(2)  Twelve months ended September 2014 normalized monthly WA Retail Sales.</t>
  </si>
  <si>
    <t>(3)  Additional adjustment of $1.5 million (Washington basis) agreed-to by the Parties per Multiparty Settlement Stipulation, page 4, Section 5.c.</t>
  </si>
  <si>
    <t>UE-150204 Authorized</t>
  </si>
  <si>
    <t>Effective from 1/11/2016 - 4/30/2018</t>
  </si>
  <si>
    <t>ERM Authorized Power Supply Expense - System Numbers</t>
  </si>
  <si>
    <t xml:space="preserve">Direct WA (Agreed-To Adjustment) </t>
  </si>
  <si>
    <t>ERM Authorized Washington Retail Sales</t>
  </si>
  <si>
    <t>Total Retail Sales, 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</si>
  <si>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</si>
  <si>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</si>
  <si>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</si>
  <si>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</si>
  <si>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</si>
  <si>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</si>
  <si>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</si>
  <si>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</si>
  <si>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</si>
  <si>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</si>
  <si>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</si>
  <si>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Retail Revenue Credit Adj Rate/MWh</t>
  </si>
  <si>
    <t>Ferc Acct</t>
  </si>
  <si>
    <t>Clearwater Power Company</t>
  </si>
  <si>
    <t>Gas Transport Optimization</t>
  </si>
  <si>
    <t>Federal Income Tax (pro-rated rate)</t>
  </si>
  <si>
    <t xml:space="preserve">(2)  Includes authorized directly assigned reductions and a power cost adjustment for change in WA retail loads from authorized.  </t>
  </si>
  <si>
    <t>pro-rated authorized</t>
  </si>
  <si>
    <t>(3)</t>
  </si>
  <si>
    <t>WA Power Supply Current Authorized Net Costs</t>
  </si>
  <si>
    <t>October through April UE-150204 Authorized, May through September UE-170485 Authorized</t>
  </si>
  <si>
    <t>Pro-Rated Total</t>
  </si>
  <si>
    <t>12.31.2018 Historical Loads</t>
  </si>
  <si>
    <t>12.2018 Actual</t>
  </si>
  <si>
    <t>12 ME 12.2018 Actual</t>
  </si>
  <si>
    <t>UE-170485</t>
  </si>
  <si>
    <t>UE-150204</t>
  </si>
  <si>
    <t>ERM 12.2018 Embedded Authorized</t>
  </si>
  <si>
    <t>12 ME 12.2018 Normalized</t>
  </si>
  <si>
    <t>Restated 12.2018</t>
  </si>
  <si>
    <t>12.2018 Actual per books</t>
  </si>
  <si>
    <t>12.2018</t>
  </si>
  <si>
    <t>Twelve Months Ended December 2018 Embedded Authorized Power Supply</t>
  </si>
  <si>
    <t>Slar Select</t>
  </si>
  <si>
    <t>Solar Select</t>
  </si>
  <si>
    <t>TOTAL REVENUES (INCL TRANSMISSION)</t>
  </si>
  <si>
    <t>Calculated PT Ratio</t>
  </si>
  <si>
    <t>Total Costs</t>
  </si>
  <si>
    <t>WA %</t>
  </si>
  <si>
    <t>Total WA Share</t>
  </si>
  <si>
    <t xml:space="preserve">System Numbers - 12.2018 Actual </t>
  </si>
  <si>
    <t>12.2018 Weather Normalized</t>
  </si>
  <si>
    <t>Per Results</t>
  </si>
  <si>
    <t>(1)  64.71% per UE-150204 authorized, 65.73% per UE-170485 authorized, weighted by monthly cost 65.37%. ROO current production/transmission allocation ratio 65.39%.</t>
  </si>
  <si>
    <t>2018 Actual Retail Revenue Credit Adj</t>
  </si>
  <si>
    <t>2018 Weather Correction Usage (kWh)</t>
  </si>
  <si>
    <t>2018 Actual Billed Usage (kWh)</t>
  </si>
  <si>
    <t>2018 Actual Sales per Books (MWh)</t>
  </si>
  <si>
    <t>2018 Weather Correction Retail Rev. Credit</t>
  </si>
  <si>
    <t>2018 Net Booked Unbilled Usage (kWh)</t>
  </si>
  <si>
    <t>Eliminate Power Cost of Weather Adjustment</t>
  </si>
  <si>
    <t>Production Transmission Ratio True-Up</t>
  </si>
  <si>
    <t>Decoupling Normalization Cost Change</t>
  </si>
  <si>
    <t>weighted Retail Revenue Adjustment rate</t>
  </si>
  <si>
    <t>2015 and 2017 GRC Authorized Power Supply Costs by month as effective - applicable Historical Loads with weighted RRA for WA load change to match 12.2018 normalized Commission Basis revenue</t>
  </si>
  <si>
    <t>2015 and 2017 GRC Authorized Power Supply Costs by month as effective - applicable Historical Loads with weighted RRA for WA load change to match 2018 actual revenue with 2018 weighted ERM authorized allocation</t>
  </si>
  <si>
    <t>ERM Retail Revenue Adjustment rate (weighted average)</t>
  </si>
  <si>
    <t>P/T Allocation Percentages (authorized weighted average)</t>
  </si>
  <si>
    <t>Decoupling Normalized Power Cost 2018 Authorized Actual</t>
  </si>
  <si>
    <t>Earnings Test Power Cost True-Up</t>
  </si>
  <si>
    <t>Earnings Test Only
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</si>
</sst>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b/>
      <sz val="12"/>
      <name val="Geneva"/>
    </font>
    <font>
      <b/>
      <u/>
      <sz val="10"/>
      <name val="Geneva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9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5" xfId="3" applyFont="1" applyBorder="1"/>
    <xf numFmtId="3" fontId="2" fillId="0" borderId="0" xfId="3" applyNumberFormat="1" applyFill="1" applyBorder="1" applyAlignment="1">
      <alignment horizontal="right"/>
    </xf>
    <xf numFmtId="0" fontId="13" fillId="0" borderId="0" xfId="3" applyFont="1" applyBorder="1"/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2" xfId="3" applyFont="1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8" fillId="4" borderId="0" xfId="5" applyFont="1" applyFill="1" applyAlignment="1">
      <alignment horizontal="center"/>
    </xf>
    <xf numFmtId="0" fontId="7" fillId="4" borderId="0" xfId="5" applyFont="1" applyFill="1"/>
    <xf numFmtId="0" fontId="7" fillId="4" borderId="0" xfId="5" quotePrefix="1" applyFont="1" applyFill="1" applyAlignment="1">
      <alignment horizontal="center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164" fontId="2" fillId="0" borderId="1" xfId="3" applyNumberFormat="1" applyBorder="1"/>
    <xf numFmtId="0" fontId="16" fillId="0" borderId="0" xfId="0" applyFont="1" applyFill="1"/>
    <xf numFmtId="0" fontId="0" fillId="0" borderId="0" xfId="0" applyFill="1"/>
    <xf numFmtId="0" fontId="0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2" xfId="0" applyFill="1" applyBorder="1"/>
    <xf numFmtId="166" fontId="0" fillId="0" borderId="2" xfId="0" applyNumberFormat="1" applyFill="1" applyBorder="1"/>
    <xf numFmtId="0" fontId="12" fillId="0" borderId="0" xfId="0" applyFont="1" applyFill="1"/>
    <xf numFmtId="166" fontId="2" fillId="0" borderId="0" xfId="0" applyNumberFormat="1" applyFont="1" applyFill="1"/>
    <xf numFmtId="0" fontId="0" fillId="0" borderId="1" xfId="0" applyFill="1" applyBorder="1"/>
    <xf numFmtId="3" fontId="0" fillId="0" borderId="0" xfId="0" applyNumberFormat="1" applyFill="1"/>
    <xf numFmtId="167" fontId="0" fillId="0" borderId="0" xfId="0" applyNumberFormat="1" applyFill="1"/>
    <xf numFmtId="0" fontId="0" fillId="0" borderId="0" xfId="0" quotePrefix="1" applyFill="1"/>
    <xf numFmtId="167" fontId="2" fillId="0" borderId="0" xfId="0" applyNumberFormat="1" applyFont="1" applyFill="1"/>
    <xf numFmtId="0" fontId="15" fillId="0" borderId="0" xfId="0" applyFont="1"/>
    <xf numFmtId="0" fontId="15" fillId="0" borderId="0" xfId="0" applyFont="1" applyAlignment="1">
      <alignment horizontal="right"/>
    </xf>
    <xf numFmtId="166" fontId="0" fillId="0" borderId="1" xfId="0" applyNumberFormat="1" applyFill="1" applyBorder="1"/>
    <xf numFmtId="0" fontId="12" fillId="0" borderId="0" xfId="0" applyFont="1" applyFill="1" applyAlignment="1">
      <alignment wrapText="1"/>
    </xf>
    <xf numFmtId="166" fontId="2" fillId="0" borderId="2" xfId="0" applyNumberFormat="1" applyFont="1" applyFill="1" applyBorder="1"/>
    <xf numFmtId="0" fontId="2" fillId="0" borderId="0" xfId="3" quotePrefix="1" applyBorder="1" applyAlignment="1">
      <alignment horizontal="center"/>
    </xf>
    <xf numFmtId="17" fontId="2" fillId="0" borderId="0" xfId="3" applyNumberFormat="1"/>
    <xf numFmtId="6" fontId="2" fillId="0" borderId="0" xfId="3" applyNumberFormat="1"/>
    <xf numFmtId="6" fontId="2" fillId="0" borderId="0" xfId="2" applyNumberFormat="1" applyFont="1"/>
    <xf numFmtId="6" fontId="2" fillId="0" borderId="1" xfId="3" applyNumberFormat="1" applyBorder="1"/>
    <xf numFmtId="6" fontId="2" fillId="5" borderId="0" xfId="3" applyNumberFormat="1" applyFill="1"/>
    <xf numFmtId="166" fontId="2" fillId="0" borderId="0" xfId="3" applyNumberFormat="1" applyFill="1" applyBorder="1" applyAlignment="1">
      <alignment horizontal="right"/>
    </xf>
    <xf numFmtId="3" fontId="2" fillId="0" borderId="1" xfId="3" applyNumberFormat="1" applyBorder="1" applyAlignment="1">
      <alignment horizontal="right"/>
    </xf>
    <xf numFmtId="3" fontId="2" fillId="5" borderId="0" xfId="3" applyNumberFormat="1" applyFill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0" fontId="13" fillId="0" borderId="0" xfId="0" applyFont="1" applyFill="1" applyAlignment="1">
      <alignment horizontal="right"/>
    </xf>
    <xf numFmtId="17" fontId="2" fillId="4" borderId="0" xfId="3" applyNumberFormat="1" applyFill="1"/>
    <xf numFmtId="6" fontId="2" fillId="6" borderId="0" xfId="3" applyNumberFormat="1" applyFill="1"/>
    <xf numFmtId="3" fontId="19" fillId="0" borderId="0" xfId="5" applyNumberFormat="1" applyFont="1" applyFill="1"/>
    <xf numFmtId="17" fontId="13" fillId="4" borderId="0" xfId="0" applyNumberFormat="1" applyFont="1" applyFill="1" applyAlignment="1">
      <alignment horizontal="center"/>
    </xf>
    <xf numFmtId="0" fontId="7" fillId="4" borderId="0" xfId="5" applyFont="1" applyFill="1" applyAlignment="1">
      <alignment horizontal="centerContinuous"/>
    </xf>
    <xf numFmtId="0" fontId="17" fillId="0" borderId="0" xfId="0" applyFont="1" applyFill="1" applyAlignment="1">
      <alignment horizontal="right" wrapText="1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164" fontId="2" fillId="0" borderId="1" xfId="3" applyNumberFormat="1" applyFill="1" applyBorder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Border="1" applyAlignment="1">
      <alignment horizontal="right"/>
    </xf>
    <xf numFmtId="0" fontId="2" fillId="0" borderId="0" xfId="3" applyFill="1" applyAlignment="1">
      <alignment horizontal="center"/>
    </xf>
    <xf numFmtId="6" fontId="2" fillId="0" borderId="0" xfId="3" applyNumberFormat="1" applyFont="1" applyFill="1"/>
    <xf numFmtId="166" fontId="20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10" fontId="0" fillId="0" borderId="0" xfId="8" applyNumberFormat="1" applyFont="1"/>
    <xf numFmtId="0" fontId="12" fillId="4" borderId="5" xfId="3" applyFont="1" applyFill="1" applyBorder="1"/>
    <xf numFmtId="0" fontId="2" fillId="4" borderId="3" xfId="3" applyFill="1" applyBorder="1"/>
    <xf numFmtId="3" fontId="2" fillId="4" borderId="3" xfId="3" applyNumberFormat="1" applyFill="1" applyBorder="1" applyAlignment="1">
      <alignment horizontal="right"/>
    </xf>
    <xf numFmtId="0" fontId="2" fillId="4" borderId="0" xfId="3" applyFill="1" applyAlignment="1">
      <alignment horizontal="center"/>
    </xf>
    <xf numFmtId="0" fontId="12" fillId="4" borderId="0" xfId="3" applyFont="1" applyFill="1"/>
    <xf numFmtId="0" fontId="2" fillId="4" borderId="0" xfId="3" applyFill="1"/>
    <xf numFmtId="3" fontId="2" fillId="4" borderId="4" xfId="3" applyNumberFormat="1" applyFill="1" applyBorder="1"/>
    <xf numFmtId="164" fontId="19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4" fontId="19" fillId="0" borderId="0" xfId="5" applyNumberFormat="1" applyFont="1" applyFill="1"/>
    <xf numFmtId="0" fontId="2" fillId="0" borderId="0" xfId="0" applyFont="1" applyFill="1"/>
    <xf numFmtId="164" fontId="0" fillId="0" borderId="0" xfId="1" applyNumberFormat="1" applyFont="1" applyFill="1"/>
    <xf numFmtId="166" fontId="15" fillId="0" borderId="0" xfId="0" applyNumberFormat="1" applyFont="1" applyFill="1"/>
    <xf numFmtId="164" fontId="15" fillId="0" borderId="0" xfId="1" applyNumberFormat="1" applyFont="1" applyFill="1"/>
    <xf numFmtId="3" fontId="15" fillId="0" borderId="0" xfId="0" applyNumberFormat="1" applyFont="1" applyFill="1"/>
    <xf numFmtId="166" fontId="12" fillId="0" borderId="0" xfId="0" applyNumberFormat="1" applyFont="1" applyFill="1"/>
    <xf numFmtId="166" fontId="15" fillId="0" borderId="2" xfId="0" applyNumberFormat="1" applyFont="1" applyFill="1" applyBorder="1"/>
    <xf numFmtId="0" fontId="15" fillId="0" borderId="0" xfId="0" applyFont="1" applyFill="1"/>
    <xf numFmtId="0" fontId="15" fillId="0" borderId="1" xfId="0" applyFont="1" applyFill="1" applyBorder="1"/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/>
    </xf>
    <xf numFmtId="0" fontId="7" fillId="2" borderId="0" xfId="5" applyFont="1" applyFill="1" applyAlignment="1">
      <alignment horizontal="center"/>
    </xf>
    <xf numFmtId="0" fontId="6" fillId="0" borderId="0" xfId="5" applyFont="1" applyAlignment="1">
      <alignment horizontal="center" wrapText="1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4" borderId="0" xfId="3" applyFont="1" applyFill="1" applyAlignment="1">
      <alignment horizontal="left" vertical="top"/>
    </xf>
    <xf numFmtId="0" fontId="2" fillId="0" borderId="0" xfId="3" applyAlignment="1">
      <alignment horizontal="center" wrapText="1"/>
    </xf>
  </cellXfs>
  <cellStyles count="9">
    <cellStyle name="Comma" xfId="1" builtinId="3"/>
    <cellStyle name="Comma 2" xfId="4"/>
    <cellStyle name="Currency" xfId="2" builtinId="4"/>
    <cellStyle name="Normal" xfId="0" builtinId="0"/>
    <cellStyle name="Normal 2" xfId="3"/>
    <cellStyle name="Normal 2 3" xfId="5"/>
    <cellStyle name="Normal 8" xfId="7"/>
    <cellStyle name="Percent" xfId="8" builtinId="5"/>
    <cellStyle name="Percent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5"/>
  <sheetViews>
    <sheetView tabSelected="1" zoomScaleNormal="100" zoomScaleSheetLayoutView="100" workbookViewId="0">
      <selection activeCell="AD4" sqref="AD4"/>
    </sheetView>
  </sheetViews>
  <sheetFormatPr defaultRowHeight="15"/>
  <cols>
    <col min="1" max="1" width="34.7109375" customWidth="1"/>
    <col min="2" max="2" width="9.140625" hidden="1" customWidth="1"/>
    <col min="3" max="3" width="9.5703125" customWidth="1"/>
    <col min="4" max="4" width="10.425781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hidden="1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30" customWidth="1"/>
    <col min="22" max="22" width="2.140625" customWidth="1"/>
    <col min="23" max="23" width="4.85546875" customWidth="1"/>
    <col min="24" max="24" width="11.28515625" customWidth="1"/>
    <col min="25" max="25" width="3.85546875" customWidth="1"/>
    <col min="26" max="26" width="13.7109375" customWidth="1"/>
    <col min="27" max="27" width="1.7109375" customWidth="1"/>
    <col min="28" max="28" width="19.42578125" customWidth="1"/>
    <col min="29" max="29" width="1.85546875" customWidth="1"/>
    <col min="30" max="30" width="20.7109375" customWidth="1"/>
    <col min="31" max="31" width="0.28515625" customWidth="1"/>
    <col min="32" max="32" width="8.85546875" hidden="1" customWidth="1"/>
    <col min="33" max="33" width="1.42578125" hidden="1" customWidth="1"/>
    <col min="34" max="34" width="5.7109375" hidden="1" customWidth="1"/>
    <col min="35" max="35" width="14.28515625" hidden="1" customWidth="1"/>
    <col min="36" max="36" width="4.7109375" hidden="1" customWidth="1"/>
    <col min="37" max="37" width="10.85546875" hidden="1" customWidth="1"/>
    <col min="38" max="38" width="1.7109375" hidden="1" customWidth="1"/>
    <col min="39" max="39" width="13.5703125" hidden="1" customWidth="1"/>
    <col min="40" max="40" width="1" hidden="1" customWidth="1"/>
    <col min="41" max="41" width="0.140625" hidden="1" customWidth="1"/>
    <col min="42" max="42" width="1.28515625" customWidth="1"/>
    <col min="43" max="43" width="12.28515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189" t="s">
        <v>0</v>
      </c>
      <c r="L1" s="189"/>
      <c r="M1" s="189"/>
      <c r="N1" s="189"/>
      <c r="O1" s="189"/>
      <c r="P1" s="2"/>
      <c r="Q1" s="1"/>
      <c r="R1" s="3"/>
      <c r="S1" s="1"/>
      <c r="T1" s="2"/>
      <c r="U1" s="191" t="s">
        <v>0</v>
      </c>
      <c r="V1" s="191"/>
      <c r="W1" s="191"/>
      <c r="X1" s="191"/>
      <c r="Y1" s="191"/>
      <c r="Z1" s="191"/>
      <c r="AA1" s="2"/>
      <c r="AB1" s="1"/>
      <c r="AC1" s="3"/>
      <c r="AD1" s="1"/>
      <c r="AE1" s="2"/>
      <c r="AF1" s="1"/>
      <c r="AG1" s="191" t="s">
        <v>0</v>
      </c>
      <c r="AH1" s="191"/>
      <c r="AI1" s="191"/>
      <c r="AJ1" s="191"/>
      <c r="AK1" s="191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191" t="s">
        <v>140</v>
      </c>
      <c r="L2" s="191"/>
      <c r="M2" s="191"/>
      <c r="N2" s="191"/>
      <c r="O2" s="191"/>
      <c r="P2" s="2"/>
      <c r="Q2" s="4"/>
      <c r="R2" s="3"/>
      <c r="S2" s="94"/>
      <c r="T2" s="2"/>
      <c r="U2" s="191" t="s">
        <v>219</v>
      </c>
      <c r="V2" s="191"/>
      <c r="W2" s="191"/>
      <c r="X2" s="191"/>
      <c r="Y2" s="191"/>
      <c r="Z2" s="191"/>
      <c r="AA2" s="2"/>
      <c r="AB2" s="4"/>
      <c r="AC2" s="3"/>
      <c r="AD2" s="93"/>
      <c r="AE2" s="2"/>
      <c r="AF2" s="8"/>
      <c r="AG2" s="189" t="s">
        <v>52</v>
      </c>
      <c r="AH2" s="189"/>
      <c r="AI2" s="189"/>
      <c r="AJ2" s="189"/>
      <c r="AK2" s="189"/>
      <c r="AL2" s="2"/>
      <c r="AM2" s="4"/>
      <c r="AN2" s="3"/>
      <c r="AO2" s="93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193" t="s">
        <v>254</v>
      </c>
      <c r="L3" s="193"/>
      <c r="M3" s="193"/>
      <c r="N3" s="193"/>
      <c r="O3" s="193"/>
      <c r="P3" s="2"/>
      <c r="Q3" s="4"/>
      <c r="R3" s="3"/>
      <c r="S3" s="94" t="s">
        <v>54</v>
      </c>
      <c r="T3" s="2"/>
      <c r="U3" s="193" t="s">
        <v>255</v>
      </c>
      <c r="V3" s="193"/>
      <c r="W3" s="193"/>
      <c r="X3" s="193"/>
      <c r="Y3" s="193"/>
      <c r="Z3" s="193"/>
      <c r="AA3" s="2"/>
      <c r="AB3" s="4"/>
      <c r="AC3" s="3"/>
      <c r="AD3" s="187" t="s">
        <v>260</v>
      </c>
      <c r="AE3" s="2"/>
      <c r="AF3" s="54"/>
      <c r="AG3" s="189"/>
      <c r="AH3" s="189"/>
      <c r="AI3" s="189"/>
      <c r="AJ3" s="189"/>
      <c r="AK3" s="189"/>
      <c r="AL3" s="2"/>
      <c r="AM3" s="4"/>
      <c r="AN3" s="3"/>
      <c r="AO3" s="94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193"/>
      <c r="L4" s="193"/>
      <c r="M4" s="193"/>
      <c r="N4" s="193"/>
      <c r="O4" s="193"/>
      <c r="P4" s="2"/>
      <c r="Q4" s="4"/>
      <c r="R4" s="3"/>
      <c r="S4" s="145">
        <v>2.1800000000000002</v>
      </c>
      <c r="T4" s="2"/>
      <c r="U4" s="193"/>
      <c r="V4" s="193"/>
      <c r="W4" s="193"/>
      <c r="X4" s="193"/>
      <c r="Y4" s="193"/>
      <c r="Z4" s="193"/>
      <c r="AA4" s="2"/>
      <c r="AB4" s="4"/>
      <c r="AC4" s="3"/>
      <c r="AD4" s="145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5">
        <v>3.01</v>
      </c>
      <c r="AP4" s="2"/>
    </row>
    <row r="5" spans="1:44" ht="16.149999999999999" customHeight="1">
      <c r="A5" s="5" t="s">
        <v>222</v>
      </c>
      <c r="B5" s="1"/>
      <c r="C5" s="1"/>
      <c r="D5" s="1"/>
      <c r="E5" s="1"/>
      <c r="F5" s="1"/>
      <c r="G5" s="1"/>
      <c r="H5" s="1"/>
      <c r="I5" s="2"/>
      <c r="J5" s="50"/>
      <c r="K5" s="193"/>
      <c r="L5" s="193"/>
      <c r="M5" s="193"/>
      <c r="N5" s="193"/>
      <c r="O5" s="193"/>
      <c r="P5" s="2"/>
      <c r="Q5" s="4" t="s">
        <v>1</v>
      </c>
      <c r="R5" s="3"/>
      <c r="S5" s="94" t="s">
        <v>2</v>
      </c>
      <c r="T5" s="2"/>
      <c r="U5" s="193"/>
      <c r="V5" s="193"/>
      <c r="W5" s="193"/>
      <c r="X5" s="193"/>
      <c r="Y5" s="193"/>
      <c r="Z5" s="193"/>
      <c r="AA5" s="2"/>
      <c r="AB5" s="4" t="s">
        <v>1</v>
      </c>
      <c r="AC5" s="3"/>
      <c r="AD5" s="93" t="s">
        <v>2</v>
      </c>
      <c r="AE5" s="2"/>
      <c r="AF5" s="50"/>
      <c r="AG5" s="188" t="s">
        <v>142</v>
      </c>
      <c r="AH5" s="188"/>
      <c r="AI5" s="188"/>
      <c r="AJ5" s="188"/>
      <c r="AK5" s="188"/>
      <c r="AL5" s="2"/>
      <c r="AM5" s="4" t="s">
        <v>1</v>
      </c>
      <c r="AN5" s="3"/>
      <c r="AO5" s="93" t="s">
        <v>2</v>
      </c>
      <c r="AP5" s="2"/>
    </row>
    <row r="6" spans="1:44">
      <c r="A6" s="192" t="s">
        <v>223</v>
      </c>
      <c r="B6" s="192"/>
      <c r="C6" s="192"/>
      <c r="D6" s="192"/>
      <c r="E6" s="192"/>
      <c r="F6" s="192"/>
      <c r="G6" s="192"/>
      <c r="H6" s="192"/>
      <c r="I6" s="2"/>
      <c r="J6" s="192" t="s">
        <v>227</v>
      </c>
      <c r="K6" s="192"/>
      <c r="L6" s="192"/>
      <c r="M6" s="192"/>
      <c r="N6" s="192"/>
      <c r="O6" s="192"/>
      <c r="P6" s="2"/>
      <c r="Q6" s="51" t="s">
        <v>3</v>
      </c>
      <c r="R6" s="3"/>
      <c r="S6" s="93" t="s">
        <v>4</v>
      </c>
      <c r="T6" s="2"/>
      <c r="U6" s="192" t="s">
        <v>227</v>
      </c>
      <c r="V6" s="192"/>
      <c r="W6" s="192"/>
      <c r="X6" s="192"/>
      <c r="Y6" s="192"/>
      <c r="Z6" s="192"/>
      <c r="AA6" s="2"/>
      <c r="AB6" s="51" t="s">
        <v>3</v>
      </c>
      <c r="AC6" s="3"/>
      <c r="AD6" s="93" t="s">
        <v>4</v>
      </c>
      <c r="AE6" s="2"/>
      <c r="AF6" s="192" t="s">
        <v>48</v>
      </c>
      <c r="AG6" s="192"/>
      <c r="AH6" s="192"/>
      <c r="AI6" s="192"/>
      <c r="AJ6" s="192"/>
      <c r="AK6" s="192"/>
      <c r="AL6" s="2"/>
      <c r="AM6" s="51" t="s">
        <v>3</v>
      </c>
      <c r="AN6" s="3"/>
      <c r="AO6" s="93" t="s">
        <v>4</v>
      </c>
      <c r="AP6" s="2"/>
      <c r="AQ6" s="64" t="s">
        <v>51</v>
      </c>
    </row>
    <row r="7" spans="1:44" ht="30.6" customHeight="1">
      <c r="A7" s="2"/>
      <c r="B7" s="2"/>
      <c r="C7" s="98"/>
      <c r="D7" s="97" t="s">
        <v>224</v>
      </c>
      <c r="E7" s="98"/>
      <c r="F7" s="99"/>
      <c r="G7" s="6"/>
      <c r="H7" s="7"/>
      <c r="I7" s="2"/>
      <c r="J7" s="2"/>
      <c r="K7" s="190" t="s">
        <v>228</v>
      </c>
      <c r="L7" s="190"/>
      <c r="M7" s="190"/>
      <c r="N7" s="190"/>
      <c r="O7" s="190"/>
      <c r="P7" s="2"/>
      <c r="Q7" s="63" t="s">
        <v>229</v>
      </c>
      <c r="R7" s="3"/>
      <c r="S7" s="96" t="s">
        <v>229</v>
      </c>
      <c r="T7" s="2"/>
      <c r="U7" s="190" t="s">
        <v>258</v>
      </c>
      <c r="V7" s="190"/>
      <c r="W7" s="190"/>
      <c r="X7" s="190"/>
      <c r="Y7" s="190"/>
      <c r="Z7" s="190"/>
      <c r="AA7" s="2"/>
      <c r="AB7" s="63" t="s">
        <v>259</v>
      </c>
      <c r="AC7" s="3"/>
      <c r="AD7" s="63" t="s">
        <v>259</v>
      </c>
      <c r="AE7" s="2"/>
      <c r="AF7" s="2"/>
      <c r="AG7" s="190" t="s">
        <v>42</v>
      </c>
      <c r="AH7" s="190"/>
      <c r="AI7" s="190"/>
      <c r="AJ7" s="190"/>
      <c r="AK7" s="190"/>
      <c r="AL7" s="2"/>
      <c r="AM7" s="63" t="s">
        <v>53</v>
      </c>
      <c r="AN7" s="3"/>
      <c r="AO7" s="96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19" t="s">
        <v>242</v>
      </c>
      <c r="E11" s="12"/>
      <c r="F11" s="15">
        <v>0.65390000000000004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70">
        <f>F11</f>
        <v>0.65390000000000004</v>
      </c>
      <c r="P11" s="2"/>
      <c r="Q11" s="3"/>
      <c r="R11" s="3"/>
      <c r="S11" s="15"/>
      <c r="T11" s="2"/>
      <c r="U11" s="3" t="s">
        <v>257</v>
      </c>
      <c r="V11" s="3"/>
      <c r="W11" s="3"/>
      <c r="X11" s="3"/>
      <c r="Y11" s="16" t="s">
        <v>12</v>
      </c>
      <c r="Z11" s="170">
        <f>'Monthly Authorized'!R33</f>
        <v>0.65365364164525197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0.65365364164525197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'12.2018 Actual'!D95</f>
        <v>91755</v>
      </c>
      <c r="E13" s="20"/>
      <c r="F13" s="20">
        <f>F$11*D13</f>
        <v>59998.594500000007</v>
      </c>
      <c r="G13" s="18"/>
      <c r="H13" s="17"/>
      <c r="I13" s="2"/>
      <c r="J13" s="19" t="s">
        <v>13</v>
      </c>
      <c r="K13" s="19"/>
      <c r="L13" s="19"/>
      <c r="M13" s="20">
        <f>ROUND('Monthly Authorized'!B18/1000,0)</f>
        <v>64736</v>
      </c>
      <c r="N13" s="20"/>
      <c r="O13" s="20">
        <f>O$11*M13</f>
        <v>42330.8704</v>
      </c>
      <c r="P13" s="2"/>
      <c r="Q13" s="17">
        <f>M13-D13</f>
        <v>-27019</v>
      </c>
      <c r="R13" s="3"/>
      <c r="S13" s="17">
        <f>O13-F13</f>
        <v>-17667.724100000007</v>
      </c>
      <c r="T13" s="2"/>
      <c r="U13" s="19" t="s">
        <v>13</v>
      </c>
      <c r="V13" s="19"/>
      <c r="W13" s="19"/>
      <c r="X13" s="20">
        <f>M13</f>
        <v>64736</v>
      </c>
      <c r="Y13" s="20"/>
      <c r="Z13" s="20">
        <f>Z$11*X13</f>
        <v>42314.922145547032</v>
      </c>
      <c r="AA13" s="2"/>
      <c r="AB13" s="17">
        <f>X13-M13</f>
        <v>0</v>
      </c>
      <c r="AC13" s="3"/>
      <c r="AD13" s="17">
        <f>Z13-O13</f>
        <v>-15.948254452967376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-17683.672354452974</v>
      </c>
      <c r="AR13" s="66">
        <f>Z13+AK13-F13</f>
        <v>-17683.672354452974</v>
      </c>
    </row>
    <row r="14" spans="1:44" ht="0.6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59"/>
      <c r="M14" s="20">
        <f>ROUND('Monthly Authorized'!B19/1000,0)</f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0.6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'12.2018 Actual'!E108-D17-D18</f>
        <v>18082.488000000001</v>
      </c>
      <c r="E16" s="23"/>
      <c r="F16" s="23">
        <f>F$11*D16</f>
        <v>11824.138903200001</v>
      </c>
      <c r="G16" s="22"/>
      <c r="H16" s="25"/>
      <c r="I16" s="2"/>
      <c r="J16" s="19" t="s">
        <v>16</v>
      </c>
      <c r="K16" s="19"/>
      <c r="L16" s="19"/>
      <c r="M16" s="138">
        <f>ROUND('Monthly Authorized'!B24/1000,0)</f>
        <v>15263</v>
      </c>
      <c r="N16" s="23"/>
      <c r="O16" s="23">
        <f>O$11*M16</f>
        <v>9980.4757000000009</v>
      </c>
      <c r="P16" s="2"/>
      <c r="Q16" s="24">
        <f t="shared" si="4"/>
        <v>-2819.4880000000012</v>
      </c>
      <c r="R16" s="3"/>
      <c r="S16" s="24">
        <f t="shared" si="5"/>
        <v>-1843.6632031999998</v>
      </c>
      <c r="T16" s="2"/>
      <c r="U16" s="19" t="s">
        <v>16</v>
      </c>
      <c r="V16" s="19"/>
      <c r="W16" s="19"/>
      <c r="X16" s="20">
        <f t="shared" si="0"/>
        <v>15263</v>
      </c>
      <c r="Y16" s="23"/>
      <c r="Z16" s="23">
        <f>Z$11*X16</f>
        <v>9976.7155324314808</v>
      </c>
      <c r="AA16" s="2"/>
      <c r="AB16" s="23">
        <f t="shared" si="1"/>
        <v>0</v>
      </c>
      <c r="AC16" s="23"/>
      <c r="AD16" s="23">
        <f t="shared" si="2"/>
        <v>-3.7601675685200462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-1847.4233707685198</v>
      </c>
      <c r="AR16" s="66">
        <f t="shared" si="3"/>
        <v>-1847.4233707685198</v>
      </c>
    </row>
    <row r="17" spans="1:44">
      <c r="A17" s="3" t="s">
        <v>16</v>
      </c>
      <c r="B17" s="3"/>
      <c r="C17" s="3" t="s">
        <v>17</v>
      </c>
      <c r="D17" s="143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/>
      <c r="N17" s="23"/>
      <c r="O17" s="27">
        <f>M17</f>
        <v>0</v>
      </c>
      <c r="P17" s="2"/>
      <c r="Q17" s="24">
        <f t="shared" si="4"/>
        <v>-105</v>
      </c>
      <c r="R17" s="3"/>
      <c r="S17" s="24">
        <f t="shared" si="5"/>
        <v>-105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-105</v>
      </c>
      <c r="AR17" s="66">
        <f t="shared" si="3"/>
        <v>-105</v>
      </c>
    </row>
    <row r="18" spans="1:44">
      <c r="A18" s="3" t="s">
        <v>16</v>
      </c>
      <c r="B18" s="3"/>
      <c r="C18" s="3" t="s">
        <v>18</v>
      </c>
      <c r="D18" s="143">
        <v>51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/>
      <c r="N18" s="23"/>
      <c r="O18" s="27">
        <v>0</v>
      </c>
      <c r="P18" s="2"/>
      <c r="Q18" s="24">
        <f t="shared" si="4"/>
        <v>-51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'12.2018 Actual'!D107</f>
        <v>74935.922000000006</v>
      </c>
      <c r="E19" s="23"/>
      <c r="F19" s="23">
        <f>F$11*D19</f>
        <v>49000.599395800004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-74935.922000000006</v>
      </c>
      <c r="R19" s="3"/>
      <c r="S19" s="24">
        <f t="shared" si="5"/>
        <v>-49000.599395800004</v>
      </c>
      <c r="T19" s="2"/>
      <c r="U19" s="19" t="s">
        <v>19</v>
      </c>
      <c r="V19" s="19"/>
      <c r="W19" s="19"/>
      <c r="X19" s="159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-49000.599395800004</v>
      </c>
      <c r="AR19" s="66">
        <f t="shared" si="3"/>
        <v>-49000.599395800004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184929.41</v>
      </c>
      <c r="E21" s="27"/>
      <c r="F21" s="61">
        <f>SUM(F13:F20)</f>
        <v>120928.33279900001</v>
      </c>
      <c r="G21" s="22"/>
      <c r="H21" s="17"/>
      <c r="I21" s="2"/>
      <c r="J21" s="19" t="s">
        <v>21</v>
      </c>
      <c r="K21" s="19"/>
      <c r="L21" s="19"/>
      <c r="M21" s="61">
        <f>SUM(M13:M20)</f>
        <v>79999</v>
      </c>
      <c r="N21" s="27"/>
      <c r="O21" s="61">
        <f>SUM(O13:O20)</f>
        <v>52311.346100000002</v>
      </c>
      <c r="P21" s="2"/>
      <c r="Q21" s="52">
        <f>SUM(Q13:Q20)</f>
        <v>-104930.41</v>
      </c>
      <c r="R21" s="3"/>
      <c r="S21" s="52">
        <f>SUM(S13:S20)</f>
        <v>-68616.986699000001</v>
      </c>
      <c r="T21" s="2"/>
      <c r="U21" s="19" t="s">
        <v>21</v>
      </c>
      <c r="V21" s="19"/>
      <c r="W21" s="19"/>
      <c r="X21" s="61">
        <f>SUM(X13:X20)</f>
        <v>79999</v>
      </c>
      <c r="Y21" s="27"/>
      <c r="Z21" s="61">
        <f>SUM(Z13:Z20)</f>
        <v>52291.637677978513</v>
      </c>
      <c r="AA21" s="2"/>
      <c r="AB21" s="52">
        <f>SUM(AB13:AB20)</f>
        <v>0</v>
      </c>
      <c r="AC21" s="3"/>
      <c r="AD21" s="52">
        <f>SUM(AD13:AD20)</f>
        <v>-19.708422021487422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-68636.69512102149</v>
      </c>
      <c r="AR21" s="66">
        <f t="shared" si="3"/>
        <v>-68636.695121021505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'12.2018 Actual'!D47</f>
        <v>26090</v>
      </c>
      <c r="E24" s="22"/>
      <c r="F24" s="21">
        <f t="shared" ref="F24:F32" si="7">F$11*D24</f>
        <v>17060.251</v>
      </c>
      <c r="G24" s="22"/>
      <c r="H24" s="17"/>
      <c r="I24" s="2"/>
      <c r="J24" s="19" t="s">
        <v>22</v>
      </c>
      <c r="K24" s="19"/>
      <c r="L24" s="19"/>
      <c r="M24" s="138">
        <f>ROUND('Monthly Authorized'!B14/1000,0)</f>
        <v>27894</v>
      </c>
      <c r="N24" s="27"/>
      <c r="O24" s="23">
        <f t="shared" ref="O24:O28" si="8">O$11*M24</f>
        <v>18239.886600000002</v>
      </c>
      <c r="P24" s="2"/>
      <c r="Q24" s="17">
        <f>M24-D24</f>
        <v>1804</v>
      </c>
      <c r="R24" s="3"/>
      <c r="S24" s="17">
        <f>O24-F24</f>
        <v>1179.6356000000014</v>
      </c>
      <c r="T24" s="2"/>
      <c r="U24" s="19" t="s">
        <v>22</v>
      </c>
      <c r="V24" s="19"/>
      <c r="W24" s="19"/>
      <c r="X24" s="138">
        <f>M24</f>
        <v>27894</v>
      </c>
      <c r="Y24" s="27"/>
      <c r="Z24" s="23">
        <f t="shared" ref="Z24:Z28" si="9">Z$11*X24</f>
        <v>18233.01468005266</v>
      </c>
      <c r="AA24" s="2"/>
      <c r="AB24" s="17">
        <f>X24-M24</f>
        <v>0</v>
      </c>
      <c r="AC24" s="3"/>
      <c r="AD24" s="17">
        <f>Z24-O24</f>
        <v>-6.8719199473416666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1172.7636800526598</v>
      </c>
      <c r="AR24" s="66">
        <f t="shared" ref="AR24:AR40" si="11">Z24+AK24-F24</f>
        <v>1172.7636800526598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38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38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'12.2018 Actual'!D61</f>
        <v>63239</v>
      </c>
      <c r="E26" s="22"/>
      <c r="F26" s="21">
        <f t="shared" si="7"/>
        <v>41351.982100000001</v>
      </c>
      <c r="G26" s="22"/>
      <c r="H26" s="17"/>
      <c r="I26" s="2"/>
      <c r="J26" s="19" t="s">
        <v>24</v>
      </c>
      <c r="K26" s="19"/>
      <c r="L26" s="19"/>
      <c r="M26" s="138">
        <f>ROUND('Monthly Authorized'!B16/1000,0)</f>
        <v>72414</v>
      </c>
      <c r="N26" s="27"/>
      <c r="O26" s="23">
        <f t="shared" si="8"/>
        <v>47351.514600000002</v>
      </c>
      <c r="P26" s="2"/>
      <c r="Q26" s="24">
        <f t="shared" ref="Q26:Q28" si="16">M26-D26</f>
        <v>9175</v>
      </c>
      <c r="R26" s="3"/>
      <c r="S26" s="24">
        <f t="shared" si="12"/>
        <v>5999.5325000000012</v>
      </c>
      <c r="T26" s="2"/>
      <c r="U26" s="19" t="s">
        <v>24</v>
      </c>
      <c r="V26" s="19"/>
      <c r="W26" s="19"/>
      <c r="X26" s="138">
        <f t="shared" si="13"/>
        <v>72414</v>
      </c>
      <c r="Y26" s="27"/>
      <c r="Z26" s="23">
        <f t="shared" si="9"/>
        <v>47333.674806099276</v>
      </c>
      <c r="AA26" s="2"/>
      <c r="AB26" s="23">
        <f t="shared" ref="AB26:AB37" si="17">X26-M26</f>
        <v>0</v>
      </c>
      <c r="AC26" s="23"/>
      <c r="AD26" s="23">
        <f t="shared" ref="AD26:AD37" si="18">Z26-O26</f>
        <v>-17.839793900726363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5981.6927060992748</v>
      </c>
      <c r="AR26" s="66">
        <f t="shared" si="11"/>
        <v>5981.6927060992748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59"/>
      <c r="M27" s="138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38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'12.2018 Actual'!D27</f>
        <v>136242</v>
      </c>
      <c r="E28" s="22"/>
      <c r="F28" s="21">
        <f t="shared" si="7"/>
        <v>89088.643800000005</v>
      </c>
      <c r="G28" s="22"/>
      <c r="H28" s="17"/>
      <c r="I28" s="2"/>
      <c r="J28" s="19" t="s">
        <v>26</v>
      </c>
      <c r="K28" s="19"/>
      <c r="L28" s="19"/>
      <c r="M28" s="138">
        <f>ROUND('Monthly Authorized'!B12/1000,0)</f>
        <v>113084</v>
      </c>
      <c r="N28" s="27"/>
      <c r="O28" s="23">
        <f t="shared" si="8"/>
        <v>73945.627600000007</v>
      </c>
      <c r="P28" s="2"/>
      <c r="Q28" s="24">
        <f t="shared" si="16"/>
        <v>-23158</v>
      </c>
      <c r="R28" s="3"/>
      <c r="S28" s="24">
        <f t="shared" si="12"/>
        <v>-15143.016199999998</v>
      </c>
      <c r="T28" s="2"/>
      <c r="U28" s="19" t="s">
        <v>26</v>
      </c>
      <c r="V28" s="19"/>
      <c r="W28" s="19"/>
      <c r="X28" s="138">
        <f t="shared" si="13"/>
        <v>113084</v>
      </c>
      <c r="Y28" s="27"/>
      <c r="Z28" s="23">
        <f t="shared" si="9"/>
        <v>73917.768411811674</v>
      </c>
      <c r="AA28" s="2"/>
      <c r="AB28" s="23">
        <f t="shared" si="17"/>
        <v>0</v>
      </c>
      <c r="AC28" s="23"/>
      <c r="AD28" s="23">
        <f t="shared" si="18"/>
        <v>-27.859188188333064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-15170.875388188331</v>
      </c>
      <c r="AR28" s="66">
        <f t="shared" si="11"/>
        <v>-15170.875388188331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38">
        <f>ROUND('Monthly Authorized'!B19/1000,0)</f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38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38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38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59"/>
      <c r="M31" s="138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38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'12.2018 Actual'!D40-D33</f>
        <v>58595</v>
      </c>
      <c r="E32" s="22"/>
      <c r="F32" s="21">
        <f t="shared" si="7"/>
        <v>38315.270499999999</v>
      </c>
      <c r="G32" s="22"/>
      <c r="H32" s="17"/>
      <c r="I32" s="2"/>
      <c r="J32" s="19" t="s">
        <v>30</v>
      </c>
      <c r="K32" s="19"/>
      <c r="L32" s="19"/>
      <c r="M32" s="138">
        <f>ROUND('Monthly Authorized'!B26/1000,0)</f>
        <v>504</v>
      </c>
      <c r="N32" s="27"/>
      <c r="O32" s="23">
        <f t="shared" si="19"/>
        <v>329.56560000000002</v>
      </c>
      <c r="P32" s="2"/>
      <c r="Q32" s="24">
        <f t="shared" ref="Q32:Q34" si="23">M32-D32</f>
        <v>-58091</v>
      </c>
      <c r="R32" s="3"/>
      <c r="S32" s="24">
        <f t="shared" si="12"/>
        <v>-37985.704899999997</v>
      </c>
      <c r="T32" s="2"/>
      <c r="U32" s="19" t="s">
        <v>30</v>
      </c>
      <c r="V32" s="19"/>
      <c r="W32" s="19"/>
      <c r="X32" s="138">
        <f t="shared" si="13"/>
        <v>504</v>
      </c>
      <c r="Y32" s="27"/>
      <c r="Z32" s="23">
        <f t="shared" si="20"/>
        <v>329.44143538920702</v>
      </c>
      <c r="AA32" s="2"/>
      <c r="AB32" s="23">
        <f t="shared" si="17"/>
        <v>0</v>
      </c>
      <c r="AC32" s="23"/>
      <c r="AD32" s="23">
        <f t="shared" si="18"/>
        <v>-0.12416461079300234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-37985.829064610793</v>
      </c>
      <c r="AR32" s="66">
        <f t="shared" si="11"/>
        <v>-37985.829064610793</v>
      </c>
    </row>
    <row r="33" spans="1:44">
      <c r="A33" s="3" t="s">
        <v>31</v>
      </c>
      <c r="B33" s="3"/>
      <c r="C33" s="3"/>
      <c r="D33" s="21">
        <f>'12.2018 Actual'!D31</f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Authorized'!B33/1000,0)+ROUND((M55+K55)/1000,0)</f>
        <v>-2643</v>
      </c>
      <c r="N33" s="27"/>
      <c r="O33" s="23">
        <f>M33</f>
        <v>-2643</v>
      </c>
      <c r="P33" s="2"/>
      <c r="Q33" s="24">
        <f t="shared" si="23"/>
        <v>-2643</v>
      </c>
      <c r="R33" s="3"/>
      <c r="S33" s="24">
        <f t="shared" si="12"/>
        <v>-2643</v>
      </c>
      <c r="T33" s="2"/>
      <c r="U33" s="19" t="s">
        <v>31</v>
      </c>
      <c r="V33" s="19"/>
      <c r="W33" s="34" t="s">
        <v>218</v>
      </c>
      <c r="X33" s="186">
        <f>ROUND('Monthly Authorized'!B33/1000,0)+ROUND((M55)/1000,0)</f>
        <v>-3150</v>
      </c>
      <c r="Y33" s="27"/>
      <c r="Z33" s="23">
        <f>X33</f>
        <v>-3150</v>
      </c>
      <c r="AA33" s="2"/>
      <c r="AB33" s="23">
        <f t="shared" si="17"/>
        <v>-507</v>
      </c>
      <c r="AC33" s="23"/>
      <c r="AD33" s="23">
        <f t="shared" si="18"/>
        <v>-507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14">
        <f t="shared" si="22"/>
        <v>-3150</v>
      </c>
      <c r="AR33" s="66">
        <f>Z33+AK33-F33</f>
        <v>-3150</v>
      </c>
    </row>
    <row r="34" spans="1:44">
      <c r="A34" s="3" t="s">
        <v>33</v>
      </c>
      <c r="B34" s="3"/>
      <c r="C34" s="3"/>
      <c r="D34" s="23">
        <f>'12.2018 Actual'!D77</f>
        <v>17529</v>
      </c>
      <c r="E34" s="22"/>
      <c r="F34" s="21">
        <f>F$11*D34</f>
        <v>11462.213100000001</v>
      </c>
      <c r="G34" s="22"/>
      <c r="H34" s="17"/>
      <c r="I34" s="2"/>
      <c r="J34" s="19" t="s">
        <v>33</v>
      </c>
      <c r="K34" s="19"/>
      <c r="L34" s="19"/>
      <c r="M34" s="138">
        <f>ROUND('Monthly Authorized'!B22/1000,0)</f>
        <v>17345</v>
      </c>
      <c r="N34" s="27"/>
      <c r="O34" s="23">
        <f>O$11*M34</f>
        <v>11341.895500000001</v>
      </c>
      <c r="P34" s="2"/>
      <c r="Q34" s="55">
        <f t="shared" si="23"/>
        <v>-184</v>
      </c>
      <c r="R34" s="3"/>
      <c r="S34" s="24">
        <f t="shared" si="12"/>
        <v>-120.31760000000031</v>
      </c>
      <c r="T34" s="2"/>
      <c r="U34" s="19" t="s">
        <v>33</v>
      </c>
      <c r="V34" s="19"/>
      <c r="W34" s="19"/>
      <c r="X34" s="138">
        <f>M34</f>
        <v>17345</v>
      </c>
      <c r="Y34" s="27"/>
      <c r="Z34" s="23">
        <f>Z$11*X34</f>
        <v>11337.622414336896</v>
      </c>
      <c r="AA34" s="2"/>
      <c r="AB34" s="23">
        <f t="shared" si="17"/>
        <v>0</v>
      </c>
      <c r="AC34" s="23"/>
      <c r="AD34" s="23">
        <f>Z34-O34</f>
        <v>-4.2730856631042116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-124.59068566310452</v>
      </c>
      <c r="AR34" s="66">
        <f t="shared" si="11"/>
        <v>-124.59068566310452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59"/>
      <c r="M35" s="56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59"/>
      <c r="M36" s="56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59"/>
      <c r="M37" s="56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301695</v>
      </c>
      <c r="E38" s="22"/>
      <c r="F38" s="35">
        <f>SUM(F24:F37)</f>
        <v>197278.36050000001</v>
      </c>
      <c r="G38" s="22"/>
      <c r="H38" s="17"/>
      <c r="I38" s="2"/>
      <c r="J38" s="19" t="s">
        <v>34</v>
      </c>
      <c r="K38" s="19"/>
      <c r="L38" s="19"/>
      <c r="M38" s="36">
        <f>SUM(M24:M37)</f>
        <v>228598</v>
      </c>
      <c r="N38" s="27"/>
      <c r="O38" s="36">
        <f>SUM(O24:O37)</f>
        <v>148565.48990000004</v>
      </c>
      <c r="P38" s="2"/>
      <c r="Q38" s="35">
        <f>SUM(Q24:Q37)</f>
        <v>-73097</v>
      </c>
      <c r="R38" s="3"/>
      <c r="S38" s="35">
        <f>SUM(S24:S37)</f>
        <v>-48712.870599999995</v>
      </c>
      <c r="T38" s="2"/>
      <c r="U38" s="19" t="s">
        <v>34</v>
      </c>
      <c r="V38" s="19"/>
      <c r="W38" s="19"/>
      <c r="X38" s="36">
        <f>SUM(X24:X37)</f>
        <v>228091</v>
      </c>
      <c r="Y38" s="27"/>
      <c r="Z38" s="36">
        <f>SUM(Z24:Z37)</f>
        <v>148001.52174768972</v>
      </c>
      <c r="AA38" s="2"/>
      <c r="AB38" s="35">
        <f>SUM(AB24:AB37)</f>
        <v>-507</v>
      </c>
      <c r="AC38" s="3"/>
      <c r="AD38" s="35">
        <f>SUM(AD24:AD37)</f>
        <v>-563.96815231029836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-49276.838752310294</v>
      </c>
      <c r="AR38" s="66">
        <f t="shared" si="11"/>
        <v>-49276.838752310287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-116765.59</v>
      </c>
      <c r="E40" s="21"/>
      <c r="F40" s="21">
        <f>F21-F38</f>
        <v>-76350.027700999999</v>
      </c>
      <c r="G40" s="22"/>
      <c r="H40" s="17"/>
      <c r="I40" s="2"/>
      <c r="J40" s="19" t="s">
        <v>35</v>
      </c>
      <c r="K40" s="19"/>
      <c r="L40" s="19"/>
      <c r="M40" s="23">
        <f>M21-M38</f>
        <v>-148599</v>
      </c>
      <c r="N40" s="23"/>
      <c r="O40" s="23">
        <f>O21-O38</f>
        <v>-96254.143800000049</v>
      </c>
      <c r="P40" s="2"/>
      <c r="Q40" s="21">
        <f>Q21-Q38</f>
        <v>-31833.410000000003</v>
      </c>
      <c r="R40" s="3"/>
      <c r="S40" s="17">
        <f>S21-S38</f>
        <v>-19904.116099000006</v>
      </c>
      <c r="T40" s="2"/>
      <c r="U40" s="19" t="s">
        <v>35</v>
      </c>
      <c r="V40" s="19"/>
      <c r="W40" s="19"/>
      <c r="X40" s="23">
        <f>X21-X38</f>
        <v>-148092</v>
      </c>
      <c r="Y40" s="23"/>
      <c r="Z40" s="23">
        <f>Z21-Z38</f>
        <v>-95709.884069711203</v>
      </c>
      <c r="AA40" s="2"/>
      <c r="AB40" s="21">
        <f>AB21-AB38</f>
        <v>507</v>
      </c>
      <c r="AC40" s="3"/>
      <c r="AD40" s="17">
        <f>AD21-AD38</f>
        <v>544.25973028881094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-19359.856368711196</v>
      </c>
      <c r="AR40" s="66">
        <f t="shared" si="11"/>
        <v>-19359.856368711204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3"/>
      <c r="M41" s="3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215</v>
      </c>
      <c r="B42" s="3"/>
      <c r="C42" s="37">
        <v>0.21</v>
      </c>
      <c r="D42" s="3"/>
      <c r="E42" s="18"/>
      <c r="F42" s="29">
        <f>C42*F40</f>
        <v>-16033.50581721</v>
      </c>
      <c r="G42" s="17"/>
      <c r="H42" s="3"/>
      <c r="I42" s="2"/>
      <c r="J42" s="3" t="s">
        <v>36</v>
      </c>
      <c r="K42" s="3"/>
      <c r="L42" s="37">
        <v>0.21</v>
      </c>
      <c r="M42" s="3"/>
      <c r="N42" s="18"/>
      <c r="O42" s="29">
        <f>L42*O40</f>
        <v>-20213.370198000008</v>
      </c>
      <c r="P42" s="2"/>
      <c r="Q42" s="3"/>
      <c r="R42" s="3"/>
      <c r="S42" s="38">
        <f>L42*S40</f>
        <v>-4179.8643807900007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-20099.075654639353</v>
      </c>
      <c r="AA42" s="2"/>
      <c r="AB42" s="3"/>
      <c r="AC42" s="3"/>
      <c r="AD42" s="38">
        <f>W42*AD40</f>
        <v>114.29454336065029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3"/>
      <c r="M43" s="3"/>
      <c r="N43" s="18"/>
      <c r="O43" s="17"/>
      <c r="P43" s="2"/>
      <c r="Q43" s="3"/>
      <c r="R43" s="3"/>
      <c r="S43" s="17"/>
      <c r="T43" s="2"/>
      <c r="U43" s="3"/>
      <c r="V43" s="3"/>
      <c r="W43" s="3"/>
      <c r="X43" s="160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-60316.521883790003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-76040.773602000045</v>
      </c>
      <c r="P44" s="2"/>
      <c r="Q44" s="3"/>
      <c r="R44" s="3"/>
      <c r="S44" s="40">
        <f>S40-S42</f>
        <v>-15724.251718210005</v>
      </c>
      <c r="T44" s="2"/>
      <c r="U44" s="39" t="s">
        <v>37</v>
      </c>
      <c r="V44" s="3"/>
      <c r="W44" s="3"/>
      <c r="X44" s="3"/>
      <c r="Y44" s="21"/>
      <c r="Z44" s="17">
        <f>Z40-Z42</f>
        <v>-75610.80841507185</v>
      </c>
      <c r="AA44" s="2"/>
      <c r="AB44" s="3"/>
      <c r="AC44" s="3"/>
      <c r="AD44" s="40">
        <f>AD40-AD42</f>
        <v>429.96518692816062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-15294.286531281845</v>
      </c>
      <c r="AR44" s="66">
        <f t="shared" ref="AR44" si="28">Z44+AK44-F44</f>
        <v>-15294.286531281847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25345.671314604322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-693.08756327460526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141</v>
      </c>
      <c r="L47" s="3"/>
      <c r="M47" s="3"/>
      <c r="N47" s="3"/>
      <c r="O47" s="181">
        <f>-O40/K51*1000</f>
        <v>17.073499067603695</v>
      </c>
      <c r="P47" s="3"/>
      <c r="Q47" s="3"/>
      <c r="R47" s="3"/>
      <c r="S47" s="42"/>
      <c r="U47" s="39" t="s">
        <v>256</v>
      </c>
      <c r="V47" s="3"/>
      <c r="W47" s="3"/>
      <c r="X47" s="3"/>
      <c r="Y47" s="3"/>
      <c r="Z47" s="62">
        <f>-Z40/M51*1000</f>
        <v>17.066477448361354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57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243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58"/>
    </row>
    <row r="50" spans="1:39">
      <c r="A50" s="194" t="s">
        <v>216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U50" t="s">
        <v>250</v>
      </c>
      <c r="AD50" s="182">
        <f>-K55/1000</f>
        <v>-506.91899999999998</v>
      </c>
      <c r="AE50" s="185"/>
      <c r="AF50" s="185"/>
      <c r="AG50" s="185"/>
      <c r="AH50" s="185"/>
      <c r="AI50" s="185"/>
      <c r="AJ50" s="185"/>
      <c r="AK50" s="185"/>
      <c r="AL50" s="185"/>
      <c r="AM50" s="185"/>
    </row>
    <row r="51" spans="1:39">
      <c r="A51" s="19"/>
      <c r="B51" s="19"/>
      <c r="C51" s="19"/>
      <c r="D51" s="19"/>
      <c r="E51" s="27"/>
      <c r="F51" s="19"/>
      <c r="G51" s="19"/>
      <c r="H51" s="101" t="s">
        <v>241</v>
      </c>
      <c r="I51" s="19"/>
      <c r="K51" s="32">
        <f>K52+K53</f>
        <v>5637634.2903628098</v>
      </c>
      <c r="L51" s="103" t="s">
        <v>39</v>
      </c>
      <c r="M51" s="169">
        <f>'Monthly Authorized'!B47</f>
        <v>5608063.1963628102</v>
      </c>
      <c r="N51" s="27"/>
      <c r="O51" s="139" t="s">
        <v>230</v>
      </c>
      <c r="P51" s="19"/>
      <c r="Q51" s="19"/>
      <c r="R51" s="19"/>
      <c r="S51" s="23"/>
      <c r="U51" t="s">
        <v>251</v>
      </c>
      <c r="AD51" s="182">
        <f>-AD40-AD50</f>
        <v>-37.34073028881096</v>
      </c>
    </row>
    <row r="52" spans="1:39">
      <c r="A52" s="19"/>
      <c r="B52" s="19"/>
      <c r="C52" s="19"/>
      <c r="D52" s="19"/>
      <c r="E52" s="19"/>
      <c r="F52" s="19"/>
      <c r="G52" s="19"/>
      <c r="H52" s="101" t="s">
        <v>223</v>
      </c>
      <c r="I52" s="19"/>
      <c r="K52" s="32">
        <f>M51</f>
        <v>5608063.1963628102</v>
      </c>
      <c r="L52" s="103" t="s">
        <v>39</v>
      </c>
      <c r="M52" s="32">
        <f>'Monthly Authorized'!B41</f>
        <v>5685193.8900000006</v>
      </c>
      <c r="N52" s="19"/>
      <c r="O52" s="19" t="s">
        <v>217</v>
      </c>
      <c r="P52" s="19"/>
      <c r="Q52" s="19"/>
      <c r="R52" s="19"/>
      <c r="S52" s="19"/>
      <c r="U52" t="s">
        <v>252</v>
      </c>
      <c r="AD52" s="183">
        <f>AD50+AD51</f>
        <v>-544.25973028881094</v>
      </c>
    </row>
    <row r="53" spans="1:39">
      <c r="A53" s="3"/>
      <c r="B53" s="3"/>
      <c r="C53" s="3"/>
      <c r="D53" s="3"/>
      <c r="E53" s="3"/>
      <c r="F53" s="3"/>
      <c r="G53" s="3"/>
      <c r="H53" s="102" t="s">
        <v>144</v>
      </c>
      <c r="I53" s="3"/>
      <c r="K53" s="171">
        <f>'Monthly Authorized'!B50/1000</f>
        <v>29571.094000000001</v>
      </c>
      <c r="L53" s="100" t="s">
        <v>39</v>
      </c>
      <c r="M53" s="45">
        <f>M51-M52</f>
        <v>-77130.693637190387</v>
      </c>
      <c r="N53" s="3"/>
      <c r="O53" s="3" t="s">
        <v>40</v>
      </c>
      <c r="P53" s="3"/>
      <c r="Q53" s="3"/>
      <c r="R53" s="3"/>
      <c r="S53" s="3"/>
      <c r="AD53" s="184"/>
    </row>
    <row r="54" spans="1:39">
      <c r="A54" s="3"/>
      <c r="B54" s="3"/>
      <c r="C54" s="3"/>
      <c r="D54" s="3"/>
      <c r="E54" s="3"/>
      <c r="F54" s="3"/>
      <c r="G54" s="3"/>
      <c r="H54" s="102" t="s">
        <v>253</v>
      </c>
      <c r="I54" s="3"/>
      <c r="K54" s="46">
        <f>K55/K53</f>
        <v>17.142382354876691</v>
      </c>
      <c r="L54" s="104" t="s">
        <v>145</v>
      </c>
      <c r="M54" s="46">
        <f>M55/M53</f>
        <v>17.182471800826693</v>
      </c>
      <c r="N54" s="3"/>
      <c r="O54" s="3" t="s">
        <v>253</v>
      </c>
      <c r="P54" s="47"/>
      <c r="Q54" s="3"/>
      <c r="R54" s="3"/>
      <c r="S54" s="3"/>
      <c r="U54" s="3"/>
      <c r="V54" s="102"/>
      <c r="W54" s="3"/>
      <c r="X54" s="46"/>
      <c r="Y54" s="104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102" t="s">
        <v>143</v>
      </c>
      <c r="I55" s="3"/>
      <c r="K55" s="48">
        <v>506919</v>
      </c>
      <c r="L55" s="3"/>
      <c r="M55" s="48">
        <f>'Monthly Authorized'!B48</f>
        <v>-1325295.9683992267</v>
      </c>
      <c r="N55" s="3"/>
      <c r="O55" s="3" t="s">
        <v>41</v>
      </c>
      <c r="P55" s="3"/>
      <c r="Q55" s="3"/>
      <c r="R55" s="3"/>
      <c r="S55" s="3"/>
      <c r="U55" s="3"/>
      <c r="V55" s="102"/>
      <c r="W55" s="3"/>
      <c r="X55" s="48"/>
      <c r="Y55" s="3"/>
      <c r="Z55" s="48"/>
      <c r="AB55" s="3"/>
    </row>
  </sheetData>
  <mergeCells count="17">
    <mergeCell ref="A6:H6"/>
    <mergeCell ref="J6:O6"/>
    <mergeCell ref="A50:S50"/>
    <mergeCell ref="U6:Z6"/>
    <mergeCell ref="K7:O7"/>
    <mergeCell ref="U7:Z7"/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tabSelected="1" topLeftCell="A81" zoomScaleNormal="100" workbookViewId="0">
      <selection activeCell="AD4" sqref="AD4"/>
    </sheetView>
  </sheetViews>
  <sheetFormatPr defaultRowHeight="15"/>
  <cols>
    <col min="1" max="1" width="37.28515625" customWidth="1"/>
    <col min="2" max="2" width="13.85546875" customWidth="1"/>
    <col min="3" max="3" width="12.7109375" customWidth="1"/>
    <col min="4" max="4" width="11.85546875" customWidth="1"/>
    <col min="5" max="5" width="11.7109375" customWidth="1"/>
    <col min="6" max="6" width="12.5703125" customWidth="1"/>
    <col min="7" max="7" width="12.140625" customWidth="1"/>
    <col min="8" max="8" width="12.28515625" customWidth="1"/>
    <col min="9" max="10" width="11.85546875" customWidth="1"/>
    <col min="11" max="11" width="12.28515625" customWidth="1"/>
    <col min="12" max="12" width="12.42578125" customWidth="1"/>
    <col min="13" max="13" width="13" customWidth="1"/>
    <col min="14" max="14" width="12.7109375" customWidth="1"/>
    <col min="18" max="18" width="12.140625" bestFit="1" customWidth="1"/>
  </cols>
  <sheetData>
    <row r="1" spans="1:14">
      <c r="A1" s="124" t="s">
        <v>154</v>
      </c>
    </row>
    <row r="2" spans="1:14">
      <c r="A2" s="124" t="s">
        <v>155</v>
      </c>
    </row>
    <row r="3" spans="1:14">
      <c r="A3" s="124" t="s">
        <v>156</v>
      </c>
    </row>
    <row r="4" spans="1:14">
      <c r="A4" s="124" t="s">
        <v>220</v>
      </c>
    </row>
    <row r="5" spans="1:14">
      <c r="A5" s="124"/>
    </row>
    <row r="6" spans="1:14" ht="18.75">
      <c r="A6" s="200" t="s">
        <v>232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>
      <c r="A7" s="111" t="s">
        <v>196</v>
      </c>
    </row>
    <row r="8" spans="1:14">
      <c r="A8" s="111"/>
    </row>
    <row r="9" spans="1:14">
      <c r="A9" s="111"/>
      <c r="C9" s="204" t="s">
        <v>226</v>
      </c>
      <c r="D9" s="205"/>
      <c r="E9" s="205"/>
      <c r="F9" s="206"/>
      <c r="G9" s="201" t="s">
        <v>225</v>
      </c>
      <c r="H9" s="202"/>
      <c r="I9" s="202"/>
      <c r="J9" s="202"/>
      <c r="K9" s="202"/>
      <c r="L9" s="202"/>
      <c r="M9" s="202"/>
      <c r="N9" s="203"/>
    </row>
    <row r="10" spans="1:14" ht="26.25">
      <c r="A10" s="109"/>
      <c r="B10" s="146" t="s">
        <v>221</v>
      </c>
      <c r="C10" s="113" t="s">
        <v>163</v>
      </c>
      <c r="D10" s="113" t="s">
        <v>164</v>
      </c>
      <c r="E10" s="113" t="s">
        <v>165</v>
      </c>
      <c r="F10" s="113" t="s">
        <v>166</v>
      </c>
      <c r="G10" s="144" t="s">
        <v>167</v>
      </c>
      <c r="H10" s="144" t="s">
        <v>168</v>
      </c>
      <c r="I10" s="144" t="s">
        <v>169</v>
      </c>
      <c r="J10" s="144" t="s">
        <v>170</v>
      </c>
      <c r="K10" s="144" t="s">
        <v>171</v>
      </c>
      <c r="L10" s="144" t="s">
        <v>172</v>
      </c>
      <c r="M10" s="144" t="s">
        <v>173</v>
      </c>
      <c r="N10" s="144" t="s">
        <v>174</v>
      </c>
    </row>
    <row r="11" spans="1:14">
      <c r="A11" s="109"/>
    </row>
    <row r="12" spans="1:14">
      <c r="A12" s="109" t="s">
        <v>175</v>
      </c>
      <c r="B12" s="174">
        <f>SUM(C12:N12)</f>
        <v>113083760</v>
      </c>
      <c r="C12" s="114">
        <f>C116</f>
        <v>12127251</v>
      </c>
      <c r="D12" s="114">
        <f t="shared" ref="D12:F12" si="0">D116</f>
        <v>11591985</v>
      </c>
      <c r="E12" s="114">
        <f t="shared" si="0"/>
        <v>10660401</v>
      </c>
      <c r="F12" s="114">
        <f t="shared" si="0"/>
        <v>10031882</v>
      </c>
      <c r="G12" s="114">
        <f>G63</f>
        <v>7204007</v>
      </c>
      <c r="H12" s="114">
        <f t="shared" ref="H12:J12" si="1">H63</f>
        <v>6832768</v>
      </c>
      <c r="I12" s="114">
        <f t="shared" si="1"/>
        <v>7367141</v>
      </c>
      <c r="J12" s="114">
        <f t="shared" si="1"/>
        <v>8064916</v>
      </c>
      <c r="K12" s="114">
        <f>K63</f>
        <v>7448796</v>
      </c>
      <c r="L12" s="114">
        <f t="shared" ref="L12:N12" si="2">L63</f>
        <v>7999787</v>
      </c>
      <c r="M12" s="114">
        <f t="shared" si="2"/>
        <v>11642227</v>
      </c>
      <c r="N12" s="114">
        <f t="shared" si="2"/>
        <v>12112599</v>
      </c>
    </row>
    <row r="13" spans="1:14">
      <c r="A13" s="109"/>
      <c r="B13" s="17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>
      <c r="A14" s="109" t="s">
        <v>176</v>
      </c>
      <c r="B14" s="174">
        <f>SUM(C14:N14)</f>
        <v>27893793</v>
      </c>
      <c r="C14" s="114">
        <f t="shared" ref="C14:F14" si="3">C118</f>
        <v>2667343</v>
      </c>
      <c r="D14" s="114">
        <f t="shared" si="3"/>
        <v>2503517</v>
      </c>
      <c r="E14" s="114">
        <f t="shared" si="3"/>
        <v>2494287</v>
      </c>
      <c r="F14" s="114">
        <f t="shared" si="3"/>
        <v>2179004</v>
      </c>
      <c r="G14" s="114">
        <f>G65</f>
        <v>1551263</v>
      </c>
      <c r="H14" s="114">
        <f t="shared" ref="H14:K14" si="4">H65</f>
        <v>1358751</v>
      </c>
      <c r="I14" s="114">
        <f t="shared" si="4"/>
        <v>2219592</v>
      </c>
      <c r="J14" s="114">
        <f t="shared" si="4"/>
        <v>2478125</v>
      </c>
      <c r="K14" s="114">
        <f t="shared" si="4"/>
        <v>2578207</v>
      </c>
      <c r="L14" s="114">
        <f t="shared" ref="L14:N14" si="5">L65</f>
        <v>2592987</v>
      </c>
      <c r="M14" s="114">
        <f t="shared" si="5"/>
        <v>2566833</v>
      </c>
      <c r="N14" s="114">
        <f t="shared" si="5"/>
        <v>2703884</v>
      </c>
    </row>
    <row r="15" spans="1:14">
      <c r="A15" s="109"/>
      <c r="B15" s="17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>
      <c r="A16" s="109" t="s">
        <v>177</v>
      </c>
      <c r="B16" s="174">
        <f>SUM(C16:N16)</f>
        <v>72414452</v>
      </c>
      <c r="C16" s="114">
        <f t="shared" ref="C16:F16" si="6">C120</f>
        <v>8481668</v>
      </c>
      <c r="D16" s="114">
        <f t="shared" si="6"/>
        <v>7698692</v>
      </c>
      <c r="E16" s="114">
        <f t="shared" si="6"/>
        <v>7292619</v>
      </c>
      <c r="F16" s="114">
        <f t="shared" si="6"/>
        <v>5265751</v>
      </c>
      <c r="G16" s="114">
        <f>G67</f>
        <v>1426182</v>
      </c>
      <c r="H16" s="114">
        <f t="shared" ref="H16:K16" si="7">H67</f>
        <v>1698327</v>
      </c>
      <c r="I16" s="114">
        <f t="shared" si="7"/>
        <v>5653252</v>
      </c>
      <c r="J16" s="114">
        <f t="shared" si="7"/>
        <v>7341418</v>
      </c>
      <c r="K16" s="114">
        <f t="shared" si="7"/>
        <v>6493558</v>
      </c>
      <c r="L16" s="114">
        <f t="shared" ref="L16:N16" si="8">L67</f>
        <v>6103470</v>
      </c>
      <c r="M16" s="114">
        <f t="shared" si="8"/>
        <v>6561954</v>
      </c>
      <c r="N16" s="114">
        <f t="shared" si="8"/>
        <v>8397561</v>
      </c>
    </row>
    <row r="17" spans="1:18">
      <c r="A17" s="109"/>
      <c r="B17" s="17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8">
      <c r="A18" s="115" t="s">
        <v>178</v>
      </c>
      <c r="B18" s="178">
        <f>SUM(C18:N18)</f>
        <v>64735860</v>
      </c>
      <c r="C18" s="114">
        <f>C122</f>
        <v>7154528</v>
      </c>
      <c r="D18" s="114">
        <f t="shared" ref="D18:F18" si="9">D122</f>
        <v>6331583</v>
      </c>
      <c r="E18" s="114">
        <f t="shared" si="9"/>
        <v>7373144</v>
      </c>
      <c r="F18" s="114">
        <f t="shared" si="9"/>
        <v>9451450</v>
      </c>
      <c r="G18" s="114">
        <f>G69</f>
        <v>3992970</v>
      </c>
      <c r="H18" s="114">
        <f t="shared" ref="H18:K18" si="10">H69</f>
        <v>3782256</v>
      </c>
      <c r="I18" s="114">
        <f t="shared" si="10"/>
        <v>5325599</v>
      </c>
      <c r="J18" s="114">
        <f t="shared" si="10"/>
        <v>3215251</v>
      </c>
      <c r="K18" s="114">
        <f t="shared" si="10"/>
        <v>4016772</v>
      </c>
      <c r="L18" s="114">
        <f t="shared" ref="L18:N18" si="11">L69</f>
        <v>3304259</v>
      </c>
      <c r="M18" s="114">
        <f t="shared" si="11"/>
        <v>4468025</v>
      </c>
      <c r="N18" s="114">
        <f t="shared" si="11"/>
        <v>6320023</v>
      </c>
    </row>
    <row r="19" spans="1:18">
      <c r="A19" s="109"/>
      <c r="B19" s="17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8">
      <c r="A20" s="117" t="s">
        <v>179</v>
      </c>
      <c r="B20" s="174">
        <f>SUM(C20:N20)</f>
        <v>148656145</v>
      </c>
      <c r="C20" s="114">
        <f t="shared" ref="C20:F20" si="12">SUM(C12:C16)-C18</f>
        <v>16121734</v>
      </c>
      <c r="D20" s="114">
        <f t="shared" si="12"/>
        <v>15462611</v>
      </c>
      <c r="E20" s="114">
        <f t="shared" si="12"/>
        <v>13074163</v>
      </c>
      <c r="F20" s="114">
        <f t="shared" si="12"/>
        <v>8025187</v>
      </c>
      <c r="G20" s="114">
        <f t="shared" ref="G20:N20" si="13">SUM(G12:G16)-G18</f>
        <v>6188482</v>
      </c>
      <c r="H20" s="114">
        <f t="shared" si="13"/>
        <v>6107590</v>
      </c>
      <c r="I20" s="114">
        <f t="shared" si="13"/>
        <v>9914386</v>
      </c>
      <c r="J20" s="114">
        <f t="shared" si="13"/>
        <v>14669208</v>
      </c>
      <c r="K20" s="114">
        <f t="shared" si="13"/>
        <v>12503789</v>
      </c>
      <c r="L20" s="114">
        <f t="shared" si="13"/>
        <v>13391985</v>
      </c>
      <c r="M20" s="114">
        <f t="shared" si="13"/>
        <v>16302989</v>
      </c>
      <c r="N20" s="114">
        <f t="shared" si="13"/>
        <v>16894021</v>
      </c>
    </row>
    <row r="21" spans="1:18">
      <c r="A21" s="109"/>
      <c r="B21" s="17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  <row r="22" spans="1:18">
      <c r="A22" s="117" t="s">
        <v>180</v>
      </c>
      <c r="B22" s="174">
        <f>SUM(C22:N22)</f>
        <v>17344541</v>
      </c>
      <c r="C22" s="114">
        <f t="shared" ref="C22:F22" si="14">C126</f>
        <v>1503379</v>
      </c>
      <c r="D22" s="114">
        <f t="shared" si="14"/>
        <v>1417562</v>
      </c>
      <c r="E22" s="114">
        <f t="shared" si="14"/>
        <v>1557827</v>
      </c>
      <c r="F22" s="114">
        <f t="shared" si="14"/>
        <v>1347286</v>
      </c>
      <c r="G22" s="114">
        <f>G73</f>
        <v>1394142</v>
      </c>
      <c r="H22" s="114">
        <f t="shared" ref="H22:N22" si="15">H73</f>
        <v>1391308</v>
      </c>
      <c r="I22" s="114">
        <f t="shared" si="15"/>
        <v>1452951</v>
      </c>
      <c r="J22" s="114">
        <f t="shared" si="15"/>
        <v>1443202</v>
      </c>
      <c r="K22" s="114">
        <f t="shared" si="15"/>
        <v>1567441</v>
      </c>
      <c r="L22" s="114">
        <f t="shared" si="15"/>
        <v>1406861</v>
      </c>
      <c r="M22" s="114">
        <f t="shared" si="15"/>
        <v>1416448</v>
      </c>
      <c r="N22" s="114">
        <f t="shared" si="15"/>
        <v>1446134</v>
      </c>
    </row>
    <row r="23" spans="1:18">
      <c r="A23" s="117"/>
      <c r="B23" s="179"/>
      <c r="C23" s="114"/>
      <c r="D23" s="114"/>
      <c r="E23" s="114"/>
      <c r="F23" s="114"/>
      <c r="G23" s="109"/>
      <c r="H23" s="109"/>
      <c r="I23" s="109"/>
      <c r="J23" s="109"/>
      <c r="K23" s="109"/>
      <c r="L23" s="114"/>
      <c r="M23" s="114"/>
      <c r="N23" s="114"/>
    </row>
    <row r="24" spans="1:18">
      <c r="A24" s="117" t="s">
        <v>152</v>
      </c>
      <c r="B24" s="177">
        <f>SUM(C24:N24)</f>
        <v>15262744</v>
      </c>
      <c r="C24" s="114">
        <f t="shared" ref="C24:F24" si="16">C128</f>
        <v>1306342</v>
      </c>
      <c r="D24" s="114">
        <f t="shared" si="16"/>
        <v>1061936</v>
      </c>
      <c r="E24" s="114">
        <f t="shared" si="16"/>
        <v>1137644</v>
      </c>
      <c r="F24" s="114">
        <f t="shared" si="16"/>
        <v>1166933</v>
      </c>
      <c r="G24" s="114">
        <f>G75</f>
        <v>1253488</v>
      </c>
      <c r="H24" s="114">
        <f t="shared" ref="H24:N24" si="17">H75</f>
        <v>1398529</v>
      </c>
      <c r="I24" s="114">
        <f t="shared" si="17"/>
        <v>1450378</v>
      </c>
      <c r="J24" s="114">
        <f t="shared" si="17"/>
        <v>1346819</v>
      </c>
      <c r="K24" s="114">
        <f t="shared" si="17"/>
        <v>1372213</v>
      </c>
      <c r="L24" s="114">
        <f t="shared" si="17"/>
        <v>1319316</v>
      </c>
      <c r="M24" s="114">
        <f t="shared" si="17"/>
        <v>1257650</v>
      </c>
      <c r="N24" s="114">
        <f t="shared" si="17"/>
        <v>1191496</v>
      </c>
    </row>
    <row r="25" spans="1:18">
      <c r="A25" s="117"/>
      <c r="B25" s="177"/>
      <c r="C25" s="114"/>
      <c r="D25" s="114"/>
      <c r="E25" s="114"/>
      <c r="F25" s="114"/>
      <c r="G25" s="109"/>
      <c r="H25" s="109"/>
      <c r="I25" s="109"/>
      <c r="J25" s="109"/>
      <c r="K25" s="109"/>
      <c r="L25" s="114"/>
      <c r="M25" s="114"/>
      <c r="N25" s="114"/>
    </row>
    <row r="26" spans="1:18">
      <c r="A26" s="117" t="s">
        <v>181</v>
      </c>
      <c r="B26" s="177">
        <f>SUM(C26:N26)</f>
        <v>504000</v>
      </c>
      <c r="C26" s="114">
        <f t="shared" ref="C26:F26" si="18">C130</f>
        <v>57500</v>
      </c>
      <c r="D26" s="114">
        <f t="shared" si="18"/>
        <v>57500</v>
      </c>
      <c r="E26" s="114">
        <f t="shared" si="18"/>
        <v>57500</v>
      </c>
      <c r="F26" s="114">
        <f t="shared" si="18"/>
        <v>57500</v>
      </c>
      <c r="G26" s="114">
        <f>G77</f>
        <v>34250</v>
      </c>
      <c r="H26" s="114">
        <f t="shared" ref="H26:N26" si="19">H77</f>
        <v>34250</v>
      </c>
      <c r="I26" s="114">
        <f t="shared" si="19"/>
        <v>34250</v>
      </c>
      <c r="J26" s="114">
        <f t="shared" si="19"/>
        <v>34250</v>
      </c>
      <c r="K26" s="114">
        <f t="shared" si="19"/>
        <v>34250</v>
      </c>
      <c r="L26" s="114">
        <f t="shared" si="19"/>
        <v>34250</v>
      </c>
      <c r="M26" s="114">
        <f t="shared" si="19"/>
        <v>34250</v>
      </c>
      <c r="N26" s="114">
        <f t="shared" si="19"/>
        <v>34250</v>
      </c>
    </row>
    <row r="27" spans="1:18">
      <c r="A27" s="117"/>
      <c r="B27" s="17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</row>
    <row r="28" spans="1:18">
      <c r="A28" s="117"/>
      <c r="B28" s="18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1:18">
      <c r="A29" s="117" t="s">
        <v>182</v>
      </c>
      <c r="B29" s="174">
        <f>B20+B22-B24+B26</f>
        <v>151241942</v>
      </c>
      <c r="C29" s="114">
        <f>C20+C22-C24+C26</f>
        <v>16376271</v>
      </c>
      <c r="D29" s="114">
        <f t="shared" ref="D29:F29" si="20">D20+D22-D24+D26</f>
        <v>15875737</v>
      </c>
      <c r="E29" s="114">
        <f t="shared" si="20"/>
        <v>13551846</v>
      </c>
      <c r="F29" s="114">
        <f t="shared" si="20"/>
        <v>8263040</v>
      </c>
      <c r="G29" s="114">
        <f t="shared" ref="G29:N29" si="21">G20+G22-G24+G26</f>
        <v>6363386</v>
      </c>
      <c r="H29" s="114">
        <f t="shared" si="21"/>
        <v>6134619</v>
      </c>
      <c r="I29" s="114">
        <f t="shared" si="21"/>
        <v>9951209</v>
      </c>
      <c r="J29" s="114">
        <f t="shared" si="21"/>
        <v>14799841</v>
      </c>
      <c r="K29" s="114">
        <f t="shared" si="21"/>
        <v>12733267</v>
      </c>
      <c r="L29" s="114">
        <f t="shared" si="21"/>
        <v>13513780</v>
      </c>
      <c r="M29" s="114">
        <f t="shared" si="21"/>
        <v>16496037</v>
      </c>
      <c r="N29" s="114">
        <f t="shared" si="21"/>
        <v>17182909</v>
      </c>
      <c r="P29" t="s">
        <v>236</v>
      </c>
    </row>
    <row r="30" spans="1:18">
      <c r="A30" s="109"/>
      <c r="B30" s="17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8">
      <c r="A31" s="117" t="s">
        <v>183</v>
      </c>
      <c r="B31" s="174">
        <f>SUM(C31:N31)</f>
        <v>98859846.157799989</v>
      </c>
      <c r="C31" s="114">
        <f>C29*$E$152</f>
        <v>10597084.9641</v>
      </c>
      <c r="D31" s="114">
        <f>D29*$E$152</f>
        <v>10273189.412699999</v>
      </c>
      <c r="E31" s="114">
        <f>E29*$E$152</f>
        <v>8769399.5466000009</v>
      </c>
      <c r="F31" s="114">
        <f>F29*$E$152</f>
        <v>5347013.1840000004</v>
      </c>
      <c r="G31" s="114">
        <f t="shared" ref="G31:N31" si="22">G29*$E$101</f>
        <v>4182653.6178000001</v>
      </c>
      <c r="H31" s="114">
        <f t="shared" si="22"/>
        <v>4032285.0687000002</v>
      </c>
      <c r="I31" s="114">
        <f t="shared" si="22"/>
        <v>6540929.6756999996</v>
      </c>
      <c r="J31" s="114">
        <f t="shared" si="22"/>
        <v>9727935.4892999995</v>
      </c>
      <c r="K31" s="114">
        <f t="shared" si="22"/>
        <v>8369576.3991</v>
      </c>
      <c r="L31" s="114">
        <f t="shared" si="22"/>
        <v>8882607.5940000005</v>
      </c>
      <c r="M31" s="114">
        <f t="shared" si="22"/>
        <v>10842845.120099999</v>
      </c>
      <c r="N31" s="114">
        <f t="shared" si="22"/>
        <v>11294326.0857</v>
      </c>
      <c r="P31" t="s">
        <v>239</v>
      </c>
      <c r="R31" s="66">
        <f>B31</f>
        <v>98859846.157799989</v>
      </c>
    </row>
    <row r="32" spans="1:18">
      <c r="A32" s="117"/>
      <c r="B32" s="17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P32" t="s">
        <v>237</v>
      </c>
      <c r="R32" s="66">
        <f>B29</f>
        <v>151241942</v>
      </c>
    </row>
    <row r="33" spans="1:18">
      <c r="A33" s="117" t="s">
        <v>197</v>
      </c>
      <c r="B33" s="177">
        <f>SUM(C33:N33)</f>
        <v>-1824666.6666666665</v>
      </c>
      <c r="C33" s="114">
        <f t="shared" ref="C33:F33" si="23">C137</f>
        <v>-125000</v>
      </c>
      <c r="D33" s="114">
        <f t="shared" si="23"/>
        <v>-125000</v>
      </c>
      <c r="E33" s="114">
        <f t="shared" si="23"/>
        <v>-125000</v>
      </c>
      <c r="F33" s="114">
        <f t="shared" si="23"/>
        <v>-125000</v>
      </c>
      <c r="G33" s="114">
        <f>G83</f>
        <v>-165583.33333333334</v>
      </c>
      <c r="H33" s="114">
        <f t="shared" ref="H33:N33" si="24">H83</f>
        <v>-165583.33333333334</v>
      </c>
      <c r="I33" s="114">
        <f t="shared" si="24"/>
        <v>-165583.33333333334</v>
      </c>
      <c r="J33" s="114">
        <f t="shared" si="24"/>
        <v>-165583.33333333334</v>
      </c>
      <c r="K33" s="114">
        <f t="shared" si="24"/>
        <v>-165583.33333333334</v>
      </c>
      <c r="L33" s="114">
        <f t="shared" si="24"/>
        <v>-165583.33333333334</v>
      </c>
      <c r="M33" s="114">
        <f t="shared" si="24"/>
        <v>-165583.33333333334</v>
      </c>
      <c r="N33" s="114">
        <f t="shared" si="24"/>
        <v>-165583.33333333334</v>
      </c>
      <c r="P33" t="s">
        <v>238</v>
      </c>
      <c r="R33" s="161">
        <f>R31/R32</f>
        <v>0.65365364164525197</v>
      </c>
    </row>
    <row r="34" spans="1:18">
      <c r="A34" s="109"/>
      <c r="B34" s="17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8">
      <c r="A35" s="117" t="s">
        <v>185</v>
      </c>
      <c r="B35" s="174">
        <f>B31+B33</f>
        <v>97035179.491133317</v>
      </c>
      <c r="C35" s="114">
        <f t="shared" ref="C35:F35" si="25">C31+C33</f>
        <v>10472084.9641</v>
      </c>
      <c r="D35" s="114">
        <f t="shared" si="25"/>
        <v>10148189.412699999</v>
      </c>
      <c r="E35" s="114">
        <f t="shared" si="25"/>
        <v>8644399.5466000009</v>
      </c>
      <c r="F35" s="114">
        <f t="shared" si="25"/>
        <v>5222013.1840000004</v>
      </c>
      <c r="G35" s="114">
        <f t="shared" ref="G35:N35" si="26">G31+G33</f>
        <v>4017070.2844666666</v>
      </c>
      <c r="H35" s="114">
        <f t="shared" si="26"/>
        <v>3866701.7353666667</v>
      </c>
      <c r="I35" s="114">
        <f t="shared" si="26"/>
        <v>6375346.3423666665</v>
      </c>
      <c r="J35" s="114">
        <f t="shared" si="26"/>
        <v>9562352.1559666656</v>
      </c>
      <c r="K35" s="114">
        <f t="shared" si="26"/>
        <v>8203993.065766667</v>
      </c>
      <c r="L35" s="114">
        <f t="shared" si="26"/>
        <v>8717024.2606666666</v>
      </c>
      <c r="M35" s="114">
        <f t="shared" si="26"/>
        <v>10677261.786766665</v>
      </c>
      <c r="N35" s="114">
        <f t="shared" si="26"/>
        <v>11128742.752366666</v>
      </c>
    </row>
    <row r="36" spans="1:18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8">
      <c r="A37" s="111" t="s">
        <v>198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8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8">
      <c r="A39" s="109"/>
      <c r="B39" s="140" t="s">
        <v>221</v>
      </c>
      <c r="C39" s="113" t="str">
        <f t="shared" ref="C39:F39" si="27">C10</f>
        <v>January</v>
      </c>
      <c r="D39" s="113" t="str">
        <f t="shared" si="27"/>
        <v>February</v>
      </c>
      <c r="E39" s="113" t="str">
        <f t="shared" si="27"/>
        <v>March</v>
      </c>
      <c r="F39" s="113" t="str">
        <f t="shared" si="27"/>
        <v>April</v>
      </c>
      <c r="G39" s="113" t="str">
        <f t="shared" ref="G39:N39" si="28">G10</f>
        <v>May</v>
      </c>
      <c r="H39" s="113" t="str">
        <f t="shared" si="28"/>
        <v>June</v>
      </c>
      <c r="I39" s="113" t="str">
        <f t="shared" si="28"/>
        <v>July</v>
      </c>
      <c r="J39" s="113" t="str">
        <f t="shared" si="28"/>
        <v>August</v>
      </c>
      <c r="K39" s="113" t="str">
        <f t="shared" si="28"/>
        <v>September</v>
      </c>
      <c r="L39" s="113" t="str">
        <f t="shared" si="28"/>
        <v>October</v>
      </c>
      <c r="M39" s="113" t="str">
        <f t="shared" si="28"/>
        <v>November</v>
      </c>
      <c r="N39" s="113" t="str">
        <f t="shared" si="28"/>
        <v>December</v>
      </c>
    </row>
    <row r="40" spans="1:18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8">
      <c r="A41" s="117" t="s">
        <v>199</v>
      </c>
      <c r="B41" s="176">
        <f>SUM(C41:N41)</f>
        <v>5685193.8900000006</v>
      </c>
      <c r="C41" s="120">
        <f>C145</f>
        <v>555937</v>
      </c>
      <c r="D41" s="120">
        <f t="shared" ref="D41:F41" si="29">D145</f>
        <v>498647</v>
      </c>
      <c r="E41" s="120">
        <f t="shared" si="29"/>
        <v>492113</v>
      </c>
      <c r="F41" s="120">
        <f t="shared" si="29"/>
        <v>431144.89</v>
      </c>
      <c r="G41" s="120">
        <f>G94</f>
        <v>432473</v>
      </c>
      <c r="H41" s="120">
        <f t="shared" ref="H41:N41" si="30">H94</f>
        <v>424693</v>
      </c>
      <c r="I41" s="120">
        <f t="shared" si="30"/>
        <v>490670</v>
      </c>
      <c r="J41" s="120">
        <f t="shared" si="30"/>
        <v>464617</v>
      </c>
      <c r="K41" s="120">
        <f t="shared" si="30"/>
        <v>435934</v>
      </c>
      <c r="L41" s="120">
        <f t="shared" si="30"/>
        <v>436959</v>
      </c>
      <c r="M41" s="120">
        <f t="shared" si="30"/>
        <v>468856</v>
      </c>
      <c r="N41" s="120">
        <f t="shared" si="30"/>
        <v>553150</v>
      </c>
    </row>
    <row r="42" spans="1:18">
      <c r="A42" s="109"/>
      <c r="B42" s="114">
        <f>SUM(C42:N42)</f>
        <v>98101060.725316584</v>
      </c>
      <c r="C42" s="114">
        <f>C41*$B$147</f>
        <v>8706379.1159536559</v>
      </c>
      <c r="D42" s="114">
        <f>D41*$B$147</f>
        <v>7809175.9084805334</v>
      </c>
      <c r="E42" s="114">
        <f>E41*$B$147</f>
        <v>7706848.7002831278</v>
      </c>
      <c r="F42" s="114">
        <f>F41*$B$147</f>
        <v>6752043.6061030952</v>
      </c>
      <c r="G42" s="114">
        <f t="shared" ref="G42:N42" si="31">G41*$B$96</f>
        <v>7830507.5629608277</v>
      </c>
      <c r="H42" s="114">
        <f t="shared" si="31"/>
        <v>7689640.1588920532</v>
      </c>
      <c r="I42" s="114">
        <f t="shared" si="31"/>
        <v>8884242.8219056204</v>
      </c>
      <c r="J42" s="114">
        <f t="shared" si="31"/>
        <v>8412518.0817765985</v>
      </c>
      <c r="K42" s="114">
        <f t="shared" si="31"/>
        <v>7893173.6407862809</v>
      </c>
      <c r="L42" s="114">
        <f t="shared" si="31"/>
        <v>7911732.6496770903</v>
      </c>
      <c r="M42" s="114">
        <f t="shared" si="31"/>
        <v>8489270.9000089299</v>
      </c>
      <c r="N42" s="114">
        <f t="shared" si="31"/>
        <v>10015527.578488788</v>
      </c>
    </row>
    <row r="43" spans="1:18">
      <c r="A43" s="117" t="s">
        <v>211</v>
      </c>
      <c r="B43" s="121">
        <f>B35/B41</f>
        <v>17.068051040759368</v>
      </c>
      <c r="C43" s="121">
        <f>C42/C41</f>
        <v>15.660729751669084</v>
      </c>
      <c r="D43" s="121">
        <f t="shared" ref="D43:G43" si="32">D42/D41</f>
        <v>15.660729751669084</v>
      </c>
      <c r="E43" s="121">
        <f t="shared" si="32"/>
        <v>15.660729751669084</v>
      </c>
      <c r="F43" s="121">
        <f t="shared" si="32"/>
        <v>15.660729751669084</v>
      </c>
      <c r="G43" s="121">
        <f t="shared" si="32"/>
        <v>18.106350137374651</v>
      </c>
      <c r="H43" s="121">
        <f t="shared" ref="H43" si="33">H42/H41</f>
        <v>18.106350137374651</v>
      </c>
      <c r="I43" s="121">
        <f t="shared" ref="I43:N43" si="34">I42/I41</f>
        <v>18.106350137374651</v>
      </c>
      <c r="J43" s="121">
        <f t="shared" si="34"/>
        <v>18.106350137374651</v>
      </c>
      <c r="K43" s="121">
        <f t="shared" si="34"/>
        <v>18.106350137374651</v>
      </c>
      <c r="L43" s="121">
        <f t="shared" si="34"/>
        <v>18.106350137374651</v>
      </c>
      <c r="M43" s="121">
        <f t="shared" si="34"/>
        <v>18.106350137374651</v>
      </c>
      <c r="N43" s="121">
        <f t="shared" si="34"/>
        <v>18.106350137374651</v>
      </c>
    </row>
    <row r="44" spans="1:18">
      <c r="A44" s="117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8">
      <c r="A45" s="172" t="s">
        <v>246</v>
      </c>
      <c r="B45" s="173">
        <f>SUM(C45:N45)</f>
        <v>5557003938.3628101</v>
      </c>
      <c r="C45" s="173">
        <v>574459679.29402995</v>
      </c>
      <c r="D45" s="173">
        <v>485123411.03112</v>
      </c>
      <c r="E45" s="173">
        <v>466253414.73246998</v>
      </c>
      <c r="F45" s="173">
        <v>456156772.75949001</v>
      </c>
      <c r="G45" s="173">
        <v>380975931.69626999</v>
      </c>
      <c r="H45" s="173">
        <v>422918343.31901997</v>
      </c>
      <c r="I45" s="173">
        <v>442081661.68535</v>
      </c>
      <c r="J45" s="173">
        <v>510132475.52000999</v>
      </c>
      <c r="K45" s="173">
        <v>452187272.55900002</v>
      </c>
      <c r="L45" s="173">
        <v>409388557.17500001</v>
      </c>
      <c r="M45" s="173">
        <v>440915145.87699997</v>
      </c>
      <c r="N45" s="173">
        <v>516411272.71404999</v>
      </c>
    </row>
    <row r="46" spans="1:18">
      <c r="A46" s="172" t="s">
        <v>249</v>
      </c>
      <c r="B46" s="173">
        <f>SUM(C46:N46)</f>
        <v>51059258</v>
      </c>
      <c r="C46" s="173">
        <v>-29175555</v>
      </c>
      <c r="D46" s="173">
        <v>-4129807</v>
      </c>
      <c r="E46" s="173">
        <v>22403650</v>
      </c>
      <c r="F46" s="173">
        <v>-22387222</v>
      </c>
      <c r="G46" s="173">
        <v>36225902</v>
      </c>
      <c r="H46" s="173">
        <v>-2789609</v>
      </c>
      <c r="I46" s="173">
        <v>42267379</v>
      </c>
      <c r="J46" s="173">
        <v>-13301156</v>
      </c>
      <c r="K46" s="173">
        <v>-53150843</v>
      </c>
      <c r="L46" s="173">
        <v>30224073</v>
      </c>
      <c r="M46" s="173">
        <v>36835894</v>
      </c>
      <c r="N46" s="173">
        <v>8036552</v>
      </c>
    </row>
    <row r="47" spans="1:18">
      <c r="A47" s="117" t="s">
        <v>247</v>
      </c>
      <c r="B47" s="175">
        <f>SUM(C47:N47)</f>
        <v>5608063.1963628102</v>
      </c>
      <c r="C47" s="173">
        <f>(C45+C46)/1000</f>
        <v>545284.1242940299</v>
      </c>
      <c r="D47" s="173">
        <f t="shared" ref="D47:N47" si="35">(D45+D46)/1000</f>
        <v>480993.60403112002</v>
      </c>
      <c r="E47" s="173">
        <f t="shared" si="35"/>
        <v>488657.06473246997</v>
      </c>
      <c r="F47" s="173">
        <f t="shared" si="35"/>
        <v>433769.55075949</v>
      </c>
      <c r="G47" s="173">
        <f t="shared" si="35"/>
        <v>417201.83369627001</v>
      </c>
      <c r="H47" s="173">
        <f t="shared" si="35"/>
        <v>420128.73431901995</v>
      </c>
      <c r="I47" s="173">
        <f t="shared" si="35"/>
        <v>484349.04068535002</v>
      </c>
      <c r="J47" s="173">
        <f t="shared" si="35"/>
        <v>496831.31952000997</v>
      </c>
      <c r="K47" s="173">
        <f t="shared" si="35"/>
        <v>399036.42955900001</v>
      </c>
      <c r="L47" s="173">
        <f t="shared" si="35"/>
        <v>439612.630175</v>
      </c>
      <c r="M47" s="173">
        <f t="shared" si="35"/>
        <v>477751.03987699997</v>
      </c>
      <c r="N47" s="173">
        <f t="shared" si="35"/>
        <v>524447.82471405005</v>
      </c>
    </row>
    <row r="48" spans="1:18">
      <c r="A48" s="117" t="s">
        <v>244</v>
      </c>
      <c r="B48" s="174">
        <f>SUM(C48:N48)</f>
        <v>-1325295.9683992267</v>
      </c>
      <c r="C48" s="114">
        <f>(C47-C41)*C43</f>
        <v>-166831.80750931878</v>
      </c>
      <c r="D48" s="114">
        <f t="shared" ref="D48:N48" si="36">(D47-D41)*D43</f>
        <v>-276465.0634678338</v>
      </c>
      <c r="E48" s="114">
        <f t="shared" si="36"/>
        <v>-54122.468264050032</v>
      </c>
      <c r="F48" s="114">
        <f t="shared" si="36"/>
        <v>41104.102844183159</v>
      </c>
      <c r="G48" s="114">
        <f t="shared" si="36"/>
        <v>-276505.08410141262</v>
      </c>
      <c r="H48" s="114">
        <f t="shared" si="36"/>
        <v>-82642.192539827607</v>
      </c>
      <c r="I48" s="114">
        <f t="shared" si="36"/>
        <v>-114449.5025551523</v>
      </c>
      <c r="J48" s="114">
        <f t="shared" si="36"/>
        <v>583283.74866656342</v>
      </c>
      <c r="K48" s="114">
        <f t="shared" si="36"/>
        <v>-668080.32962319104</v>
      </c>
      <c r="L48" s="114">
        <f t="shared" si="36"/>
        <v>48047.55708365274</v>
      </c>
      <c r="M48" s="114">
        <f t="shared" si="36"/>
        <v>161056.70649887147</v>
      </c>
      <c r="N48" s="114">
        <f t="shared" si="36"/>
        <v>-519691.63543171127</v>
      </c>
    </row>
    <row r="49" spans="1:14">
      <c r="A49" s="117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>
      <c r="A50" s="117" t="s">
        <v>245</v>
      </c>
      <c r="B50" s="175">
        <f>SUM(C50:N50)</f>
        <v>29571094</v>
      </c>
      <c r="C50" s="173">
        <v>21893795</v>
      </c>
      <c r="D50" s="173">
        <v>-8109342</v>
      </c>
      <c r="E50" s="173">
        <v>-1665045</v>
      </c>
      <c r="F50" s="173">
        <v>-440124</v>
      </c>
      <c r="G50" s="173">
        <v>10908455</v>
      </c>
      <c r="H50" s="173">
        <v>10161823</v>
      </c>
      <c r="I50" s="173">
        <v>-23915126</v>
      </c>
      <c r="J50" s="173">
        <v>-9790240</v>
      </c>
      <c r="K50" s="173">
        <v>8344723</v>
      </c>
      <c r="L50" s="173">
        <v>1613050</v>
      </c>
      <c r="M50" s="173">
        <v>2940746</v>
      </c>
      <c r="N50" s="173">
        <v>17628379</v>
      </c>
    </row>
    <row r="51" spans="1:14">
      <c r="A51" s="117" t="s">
        <v>248</v>
      </c>
      <c r="B51" s="174">
        <f>SUM(C51:N51)</f>
        <v>506861.48686837393</v>
      </c>
      <c r="C51" s="114">
        <f>C50/1000*C43</f>
        <v>342872.80673344381</v>
      </c>
      <c r="D51" s="114">
        <f t="shared" ref="D51:N51" si="37">D50/1000*D43</f>
        <v>-126998.21352585967</v>
      </c>
      <c r="E51" s="114">
        <f t="shared" si="37"/>
        <v>-26075.819769367852</v>
      </c>
      <c r="F51" s="114">
        <f t="shared" si="37"/>
        <v>-6892.6630212236041</v>
      </c>
      <c r="G51" s="114">
        <f t="shared" si="37"/>
        <v>197512.30568779519</v>
      </c>
      <c r="H51" s="114">
        <f t="shared" si="37"/>
        <v>183993.52527202689</v>
      </c>
      <c r="I51" s="114">
        <f t="shared" si="37"/>
        <v>-433015.64493543212</v>
      </c>
      <c r="J51" s="114">
        <f t="shared" si="37"/>
        <v>-177265.51336893081</v>
      </c>
      <c r="K51" s="114">
        <f t="shared" si="37"/>
        <v>151092.47643740341</v>
      </c>
      <c r="L51" s="114">
        <f t="shared" si="37"/>
        <v>29206.44808909218</v>
      </c>
      <c r="M51" s="114">
        <f t="shared" si="37"/>
        <v>53246.17674108396</v>
      </c>
      <c r="N51" s="114">
        <f t="shared" si="37"/>
        <v>319185.60252834245</v>
      </c>
    </row>
    <row r="53" spans="1:14">
      <c r="A53" s="125" t="s">
        <v>200</v>
      </c>
      <c r="B53" s="124" t="s">
        <v>201</v>
      </c>
    </row>
    <row r="54" spans="1:14" ht="15.75">
      <c r="A54" s="108" t="s">
        <v>157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4" ht="15.75">
      <c r="A55" s="108" t="s">
        <v>202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ht="15.75">
      <c r="A56" s="108" t="s">
        <v>159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ht="15.75">
      <c r="A57" s="108" t="s">
        <v>203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ht="15.7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>
      <c r="A59" s="111" t="s">
        <v>162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1:14">
      <c r="A60" s="111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4">
      <c r="A61" s="109"/>
      <c r="B61" s="112" t="s">
        <v>6</v>
      </c>
      <c r="C61" s="113" t="s">
        <v>163</v>
      </c>
      <c r="D61" s="113" t="s">
        <v>164</v>
      </c>
      <c r="E61" s="113" t="s">
        <v>165</v>
      </c>
      <c r="F61" s="113" t="s">
        <v>166</v>
      </c>
      <c r="G61" s="144" t="s">
        <v>167</v>
      </c>
      <c r="H61" s="144" t="s">
        <v>168</v>
      </c>
      <c r="I61" s="144" t="s">
        <v>169</v>
      </c>
      <c r="J61" s="144" t="s">
        <v>170</v>
      </c>
      <c r="K61" s="144" t="s">
        <v>171</v>
      </c>
      <c r="L61" s="144" t="s">
        <v>172</v>
      </c>
      <c r="M61" s="144" t="s">
        <v>173</v>
      </c>
      <c r="N61" s="144" t="s">
        <v>174</v>
      </c>
    </row>
    <row r="62" spans="1:14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4">
      <c r="A63" s="109" t="s">
        <v>175</v>
      </c>
      <c r="B63" s="114">
        <f>SUM(C63:N63)</f>
        <v>111395052</v>
      </c>
      <c r="C63" s="114">
        <v>11810646</v>
      </c>
      <c r="D63" s="114">
        <v>10948943</v>
      </c>
      <c r="E63" s="114">
        <v>10208756</v>
      </c>
      <c r="F63" s="114">
        <v>9754466</v>
      </c>
      <c r="G63" s="114">
        <v>7204007</v>
      </c>
      <c r="H63" s="114">
        <v>6832768</v>
      </c>
      <c r="I63" s="114">
        <v>7367141</v>
      </c>
      <c r="J63" s="114">
        <v>8064916</v>
      </c>
      <c r="K63" s="114">
        <v>7448796</v>
      </c>
      <c r="L63" s="114">
        <v>7999787</v>
      </c>
      <c r="M63" s="114">
        <v>11642227</v>
      </c>
      <c r="N63" s="114">
        <v>12112599</v>
      </c>
    </row>
    <row r="64" spans="1:14">
      <c r="A64" s="109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>
      <c r="A65" s="109" t="s">
        <v>176</v>
      </c>
      <c r="B65" s="114">
        <f>SUM(C65:N65)</f>
        <v>28873933</v>
      </c>
      <c r="C65" s="114">
        <v>2892906</v>
      </c>
      <c r="D65" s="114">
        <v>2671552</v>
      </c>
      <c r="E65" s="114">
        <v>2768328</v>
      </c>
      <c r="F65" s="114">
        <v>2491505</v>
      </c>
      <c r="G65" s="114">
        <v>1551263</v>
      </c>
      <c r="H65" s="114">
        <v>1358751</v>
      </c>
      <c r="I65" s="114">
        <v>2219592</v>
      </c>
      <c r="J65" s="114">
        <v>2478125</v>
      </c>
      <c r="K65" s="114">
        <v>2578207</v>
      </c>
      <c r="L65" s="114">
        <v>2592987</v>
      </c>
      <c r="M65" s="114">
        <v>2566833</v>
      </c>
      <c r="N65" s="114">
        <v>2703884</v>
      </c>
    </row>
    <row r="66" spans="1:14">
      <c r="A66" s="109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>
      <c r="A67" s="109" t="s">
        <v>177</v>
      </c>
      <c r="B67" s="114">
        <f>SUM(C67:N67)</f>
        <v>70067291</v>
      </c>
      <c r="C67" s="114">
        <v>8800467</v>
      </c>
      <c r="D67" s="114">
        <v>7046200</v>
      </c>
      <c r="E67" s="114">
        <v>6405717</v>
      </c>
      <c r="F67" s="114">
        <v>4139185</v>
      </c>
      <c r="G67" s="114">
        <v>1426182</v>
      </c>
      <c r="H67" s="114">
        <v>1698327</v>
      </c>
      <c r="I67" s="114">
        <v>5653252</v>
      </c>
      <c r="J67" s="114">
        <v>7341418</v>
      </c>
      <c r="K67" s="114">
        <v>6493558</v>
      </c>
      <c r="L67" s="114">
        <v>6103470</v>
      </c>
      <c r="M67" s="114">
        <v>6561954</v>
      </c>
      <c r="N67" s="114">
        <v>8397561</v>
      </c>
    </row>
    <row r="68" spans="1:14">
      <c r="A68" s="109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>
      <c r="A69" s="115" t="s">
        <v>178</v>
      </c>
      <c r="B69" s="116">
        <f>SUM(C69:N69)</f>
        <v>54103856</v>
      </c>
      <c r="C69" s="116">
        <v>5410854</v>
      </c>
      <c r="D69" s="116">
        <v>3688134</v>
      </c>
      <c r="E69" s="116">
        <v>4363041</v>
      </c>
      <c r="F69" s="116">
        <v>6216672</v>
      </c>
      <c r="G69" s="116">
        <v>3992970</v>
      </c>
      <c r="H69" s="116">
        <v>3782256</v>
      </c>
      <c r="I69" s="116">
        <v>5325599</v>
      </c>
      <c r="J69" s="116">
        <v>3215251</v>
      </c>
      <c r="K69" s="116">
        <v>4016772</v>
      </c>
      <c r="L69" s="116">
        <v>3304259</v>
      </c>
      <c r="M69" s="116">
        <v>4468025</v>
      </c>
      <c r="N69" s="116">
        <v>6320023</v>
      </c>
    </row>
    <row r="70" spans="1:14">
      <c r="A70" s="109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>
      <c r="A71" s="117" t="s">
        <v>179</v>
      </c>
      <c r="B71" s="114">
        <f>SUM(C71:N71)</f>
        <v>156232420</v>
      </c>
      <c r="C71" s="114">
        <f>SUM(C63:C67)-C69</f>
        <v>18093165</v>
      </c>
      <c r="D71" s="114">
        <f t="shared" ref="D71:N71" si="38">SUM(D63:D67)-D69</f>
        <v>16978561</v>
      </c>
      <c r="E71" s="114">
        <f t="shared" si="38"/>
        <v>15019760</v>
      </c>
      <c r="F71" s="114">
        <f t="shared" si="38"/>
        <v>10168484</v>
      </c>
      <c r="G71" s="114">
        <f t="shared" si="38"/>
        <v>6188482</v>
      </c>
      <c r="H71" s="114">
        <f t="shared" si="38"/>
        <v>6107590</v>
      </c>
      <c r="I71" s="114">
        <f t="shared" si="38"/>
        <v>9914386</v>
      </c>
      <c r="J71" s="114">
        <f t="shared" si="38"/>
        <v>14669208</v>
      </c>
      <c r="K71" s="114">
        <f t="shared" si="38"/>
        <v>12503789</v>
      </c>
      <c r="L71" s="114">
        <f t="shared" si="38"/>
        <v>13391985</v>
      </c>
      <c r="M71" s="114">
        <f t="shared" si="38"/>
        <v>16302989</v>
      </c>
      <c r="N71" s="114">
        <f t="shared" si="38"/>
        <v>16894021</v>
      </c>
    </row>
    <row r="72" spans="1:14">
      <c r="A72" s="109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1:14">
      <c r="A73" s="117" t="s">
        <v>180</v>
      </c>
      <c r="B73" s="114">
        <f>SUM(C73:N73)</f>
        <v>17404327</v>
      </c>
      <c r="C73" s="114">
        <v>1386858</v>
      </c>
      <c r="D73" s="114">
        <v>1618473</v>
      </c>
      <c r="E73" s="114">
        <v>1456728</v>
      </c>
      <c r="F73" s="114">
        <v>1423781</v>
      </c>
      <c r="G73" s="114">
        <v>1394142</v>
      </c>
      <c r="H73" s="114">
        <v>1391308</v>
      </c>
      <c r="I73" s="114">
        <v>1452951</v>
      </c>
      <c r="J73" s="114">
        <v>1443202</v>
      </c>
      <c r="K73" s="114">
        <v>1567441</v>
      </c>
      <c r="L73" s="114">
        <v>1406861</v>
      </c>
      <c r="M73" s="114">
        <v>1416448</v>
      </c>
      <c r="N73" s="114">
        <v>1446134</v>
      </c>
    </row>
    <row r="74" spans="1:14">
      <c r="A74" s="117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4">
      <c r="A75" s="117" t="s">
        <v>152</v>
      </c>
      <c r="B75" s="118">
        <f>SUM(C75:N75)</f>
        <v>15149484</v>
      </c>
      <c r="C75" s="118">
        <v>1062694</v>
      </c>
      <c r="D75" s="118">
        <v>1178481</v>
      </c>
      <c r="E75" s="118">
        <v>1177115</v>
      </c>
      <c r="F75" s="118">
        <v>1141305</v>
      </c>
      <c r="G75" s="118">
        <v>1253488</v>
      </c>
      <c r="H75" s="118">
        <v>1398529</v>
      </c>
      <c r="I75" s="118">
        <v>1450378</v>
      </c>
      <c r="J75" s="118">
        <v>1346819</v>
      </c>
      <c r="K75" s="118">
        <v>1372213</v>
      </c>
      <c r="L75" s="118">
        <v>1319316</v>
      </c>
      <c r="M75" s="118">
        <v>1257650</v>
      </c>
      <c r="N75" s="118">
        <v>1191496</v>
      </c>
    </row>
    <row r="76" spans="1:14">
      <c r="A76" s="117"/>
      <c r="B76" s="11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4">
      <c r="A77" s="117" t="s">
        <v>181</v>
      </c>
      <c r="B77" s="118">
        <f>SUM(C77:N77)</f>
        <v>411000</v>
      </c>
      <c r="C77" s="114">
        <v>34250</v>
      </c>
      <c r="D77" s="114">
        <v>34250</v>
      </c>
      <c r="E77" s="114">
        <v>34250</v>
      </c>
      <c r="F77" s="114">
        <v>34250</v>
      </c>
      <c r="G77" s="114">
        <v>34250</v>
      </c>
      <c r="H77" s="114">
        <v>34250</v>
      </c>
      <c r="I77" s="114">
        <v>34250</v>
      </c>
      <c r="J77" s="114">
        <v>34250</v>
      </c>
      <c r="K77" s="114">
        <v>34250</v>
      </c>
      <c r="L77" s="114">
        <v>34250</v>
      </c>
      <c r="M77" s="114">
        <v>34250</v>
      </c>
      <c r="N77" s="114">
        <v>34250</v>
      </c>
    </row>
    <row r="78" spans="1:14">
      <c r="A78" s="117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>
      <c r="A79" s="117" t="s">
        <v>204</v>
      </c>
      <c r="B79" s="118">
        <f>SUM(C79:N79)</f>
        <v>158898263</v>
      </c>
      <c r="C79" s="114">
        <f t="shared" ref="C79:N79" si="39">C71+C73-C75+C77</f>
        <v>18451579</v>
      </c>
      <c r="D79" s="114">
        <f t="shared" si="39"/>
        <v>17452803</v>
      </c>
      <c r="E79" s="114">
        <f t="shared" si="39"/>
        <v>15333623</v>
      </c>
      <c r="F79" s="114">
        <f t="shared" si="39"/>
        <v>10485210</v>
      </c>
      <c r="G79" s="114">
        <f t="shared" si="39"/>
        <v>6363386</v>
      </c>
      <c r="H79" s="114">
        <f t="shared" si="39"/>
        <v>6134619</v>
      </c>
      <c r="I79" s="114">
        <f t="shared" si="39"/>
        <v>9951209</v>
      </c>
      <c r="J79" s="114">
        <f t="shared" si="39"/>
        <v>14799841</v>
      </c>
      <c r="K79" s="114">
        <f t="shared" si="39"/>
        <v>12733267</v>
      </c>
      <c r="L79" s="114">
        <f t="shared" si="39"/>
        <v>13513780</v>
      </c>
      <c r="M79" s="114">
        <f t="shared" si="39"/>
        <v>16496037</v>
      </c>
      <c r="N79" s="114">
        <f t="shared" si="39"/>
        <v>17182909</v>
      </c>
    </row>
    <row r="80" spans="1:14">
      <c r="A80" s="117"/>
      <c r="B80" s="118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1:14">
      <c r="A81" s="117" t="s">
        <v>183</v>
      </c>
      <c r="B81" s="118">
        <f>SUM(C81:N81)</f>
        <v>104443828.26989999</v>
      </c>
      <c r="C81" s="114">
        <f>C79*$E$101</f>
        <v>12128222.876700001</v>
      </c>
      <c r="D81" s="114">
        <f t="shared" ref="D81:N81" si="40">D79*$E$101</f>
        <v>11471727.411900001</v>
      </c>
      <c r="E81" s="114">
        <f t="shared" si="40"/>
        <v>10078790.3979</v>
      </c>
      <c r="F81" s="114">
        <f t="shared" si="40"/>
        <v>6891928.5329999998</v>
      </c>
      <c r="G81" s="114">
        <f t="shared" si="40"/>
        <v>4182653.6178000001</v>
      </c>
      <c r="H81" s="114">
        <f t="shared" si="40"/>
        <v>4032285.0687000002</v>
      </c>
      <c r="I81" s="114">
        <f t="shared" si="40"/>
        <v>6540929.6756999996</v>
      </c>
      <c r="J81" s="114">
        <f t="shared" si="40"/>
        <v>9727935.4892999995</v>
      </c>
      <c r="K81" s="114">
        <f t="shared" si="40"/>
        <v>8369576.3991</v>
      </c>
      <c r="L81" s="114">
        <f t="shared" si="40"/>
        <v>8882607.5940000005</v>
      </c>
      <c r="M81" s="114">
        <f t="shared" si="40"/>
        <v>10842845.120099999</v>
      </c>
      <c r="N81" s="114">
        <f t="shared" si="40"/>
        <v>11294326.0857</v>
      </c>
    </row>
    <row r="82" spans="1:14">
      <c r="A82" s="117"/>
      <c r="B82" s="118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1:14">
      <c r="A83" s="127" t="s">
        <v>205</v>
      </c>
      <c r="B83" s="128">
        <f>SUM(C83:N83)</f>
        <v>-1986999.9999999998</v>
      </c>
      <c r="C83" s="116">
        <f>-(1987000/12)</f>
        <v>-165583.33333333334</v>
      </c>
      <c r="D83" s="116">
        <f t="shared" ref="D83:N83" si="41">-(1987000/12)</f>
        <v>-165583.33333333334</v>
      </c>
      <c r="E83" s="116">
        <f t="shared" si="41"/>
        <v>-165583.33333333334</v>
      </c>
      <c r="F83" s="116">
        <f t="shared" si="41"/>
        <v>-165583.33333333334</v>
      </c>
      <c r="G83" s="116">
        <f t="shared" si="41"/>
        <v>-165583.33333333334</v>
      </c>
      <c r="H83" s="116">
        <f t="shared" si="41"/>
        <v>-165583.33333333334</v>
      </c>
      <c r="I83" s="116">
        <f t="shared" si="41"/>
        <v>-165583.33333333334</v>
      </c>
      <c r="J83" s="116">
        <f t="shared" si="41"/>
        <v>-165583.33333333334</v>
      </c>
      <c r="K83" s="116">
        <f t="shared" si="41"/>
        <v>-165583.33333333334</v>
      </c>
      <c r="L83" s="116">
        <f t="shared" si="41"/>
        <v>-165583.33333333334</v>
      </c>
      <c r="M83" s="116">
        <f t="shared" si="41"/>
        <v>-165583.33333333334</v>
      </c>
      <c r="N83" s="116">
        <f t="shared" si="41"/>
        <v>-165583.33333333334</v>
      </c>
    </row>
    <row r="84" spans="1:14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1:14">
      <c r="A85" s="117" t="s">
        <v>206</v>
      </c>
      <c r="B85" s="118">
        <f>B81+B83</f>
        <v>102456828.26989999</v>
      </c>
      <c r="C85" s="118">
        <f>C81+C83</f>
        <v>11962639.543366667</v>
      </c>
      <c r="D85" s="118">
        <f t="shared" ref="D85:N85" si="42">D81+D83</f>
        <v>11306144.078566667</v>
      </c>
      <c r="E85" s="118">
        <f t="shared" si="42"/>
        <v>9913207.0645666663</v>
      </c>
      <c r="F85" s="118">
        <f t="shared" si="42"/>
        <v>6726345.1996666668</v>
      </c>
      <c r="G85" s="118">
        <f t="shared" si="42"/>
        <v>4017070.2844666666</v>
      </c>
      <c r="H85" s="118">
        <f t="shared" si="42"/>
        <v>3866701.7353666667</v>
      </c>
      <c r="I85" s="118">
        <f t="shared" si="42"/>
        <v>6375346.3423666665</v>
      </c>
      <c r="J85" s="118">
        <f t="shared" si="42"/>
        <v>9562352.1559666656</v>
      </c>
      <c r="K85" s="118">
        <f t="shared" si="42"/>
        <v>8203993.065766667</v>
      </c>
      <c r="L85" s="118">
        <f t="shared" si="42"/>
        <v>8717024.2606666666</v>
      </c>
      <c r="M85" s="118">
        <f t="shared" si="42"/>
        <v>10677261.786766665</v>
      </c>
      <c r="N85" s="118">
        <f t="shared" si="42"/>
        <v>11128742.752366666</v>
      </c>
    </row>
    <row r="86" spans="1:14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hidden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4" hidden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1:14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1:14">
      <c r="A90" s="111" t="s">
        <v>186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1:14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1:14">
      <c r="A92" s="109"/>
      <c r="B92" s="112" t="s">
        <v>6</v>
      </c>
      <c r="C92" s="113" t="str">
        <f>C61</f>
        <v>January</v>
      </c>
      <c r="D92" s="113" t="str">
        <f t="shared" ref="D92:N92" si="43">D61</f>
        <v>February</v>
      </c>
      <c r="E92" s="113" t="str">
        <f t="shared" si="43"/>
        <v>March</v>
      </c>
      <c r="F92" s="113" t="str">
        <f t="shared" si="43"/>
        <v>April</v>
      </c>
      <c r="G92" s="113" t="str">
        <f t="shared" si="43"/>
        <v>May</v>
      </c>
      <c r="H92" s="113" t="str">
        <f t="shared" si="43"/>
        <v>June</v>
      </c>
      <c r="I92" s="113" t="str">
        <f t="shared" si="43"/>
        <v>July</v>
      </c>
      <c r="J92" s="113" t="str">
        <f t="shared" si="43"/>
        <v>August</v>
      </c>
      <c r="K92" s="113" t="str">
        <f t="shared" si="43"/>
        <v>September</v>
      </c>
      <c r="L92" s="113" t="str">
        <f t="shared" si="43"/>
        <v>October</v>
      </c>
      <c r="M92" s="113" t="str">
        <f t="shared" si="43"/>
        <v>November</v>
      </c>
      <c r="N92" s="113" t="str">
        <f t="shared" si="43"/>
        <v>December</v>
      </c>
    </row>
    <row r="93" spans="1:14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1:14">
      <c r="A94" s="117" t="s">
        <v>187</v>
      </c>
      <c r="B94" s="120">
        <f>SUM(C94:N94)</f>
        <v>5658613</v>
      </c>
      <c r="C94" s="120">
        <v>556117</v>
      </c>
      <c r="D94" s="120">
        <v>486363</v>
      </c>
      <c r="E94" s="120">
        <v>477535</v>
      </c>
      <c r="F94" s="120">
        <v>431246</v>
      </c>
      <c r="G94" s="120">
        <v>432473</v>
      </c>
      <c r="H94" s="120">
        <v>424693</v>
      </c>
      <c r="I94" s="120">
        <v>490670</v>
      </c>
      <c r="J94" s="120">
        <v>464617</v>
      </c>
      <c r="K94" s="120">
        <v>435934</v>
      </c>
      <c r="L94" s="120">
        <v>436959</v>
      </c>
      <c r="M94" s="120">
        <v>468856</v>
      </c>
      <c r="N94" s="120">
        <v>553150</v>
      </c>
    </row>
    <row r="95" spans="1:14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1:14">
      <c r="A96" s="117" t="s">
        <v>207</v>
      </c>
      <c r="B96" s="121">
        <f>B85/B94</f>
        <v>18.106350137374651</v>
      </c>
      <c r="C96" s="122" t="s">
        <v>189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1:14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1:14" hidden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1:14" hidden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1:14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1:14">
      <c r="A101" s="109" t="s">
        <v>208</v>
      </c>
      <c r="B101" s="109"/>
      <c r="C101" s="109"/>
      <c r="D101" s="109"/>
      <c r="E101" s="109">
        <v>0.6573</v>
      </c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1:14">
      <c r="A102" s="109" t="s">
        <v>209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1:14">
      <c r="A103" s="109" t="s">
        <v>210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6" spans="1:14">
      <c r="A106" s="125" t="s">
        <v>194</v>
      </c>
      <c r="B106" s="124" t="s">
        <v>195</v>
      </c>
    </row>
    <row r="107" spans="1:14" ht="15.75">
      <c r="A107" s="108" t="s">
        <v>157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4" ht="16.5" thickBot="1">
      <c r="A108" s="108" t="s">
        <v>158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1:14" ht="15.75">
      <c r="A109" s="108" t="s">
        <v>159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96" t="s">
        <v>160</v>
      </c>
      <c r="M109" s="197"/>
      <c r="N109" s="109"/>
    </row>
    <row r="110" spans="1:14" ht="16.5" thickBot="1">
      <c r="A110" s="108" t="s">
        <v>161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98"/>
      <c r="M110" s="199"/>
      <c r="N110" s="110"/>
    </row>
    <row r="111" spans="1:14" ht="15.75">
      <c r="A111" s="108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1:14">
      <c r="A112" s="111" t="s">
        <v>162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1:14">
      <c r="A113" s="111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1:14">
      <c r="A114" s="109"/>
      <c r="B114" s="112" t="s">
        <v>6</v>
      </c>
      <c r="C114" s="144" t="s">
        <v>163</v>
      </c>
      <c r="D114" s="144" t="s">
        <v>164</v>
      </c>
      <c r="E114" s="144" t="s">
        <v>165</v>
      </c>
      <c r="F114" s="144" t="s">
        <v>166</v>
      </c>
      <c r="G114" s="113" t="s">
        <v>167</v>
      </c>
      <c r="H114" s="113" t="s">
        <v>168</v>
      </c>
      <c r="I114" s="113" t="s">
        <v>169</v>
      </c>
      <c r="J114" s="113" t="s">
        <v>170</v>
      </c>
      <c r="K114" s="113" t="s">
        <v>171</v>
      </c>
      <c r="L114" s="113" t="s">
        <v>172</v>
      </c>
      <c r="M114" s="113" t="s">
        <v>173</v>
      </c>
      <c r="N114" s="113" t="s">
        <v>174</v>
      </c>
    </row>
    <row r="115" spans="1:14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1:14">
      <c r="A116" s="109" t="s">
        <v>175</v>
      </c>
      <c r="B116" s="114">
        <f>SUM(C116:N116)</f>
        <v>119195329</v>
      </c>
      <c r="C116" s="114">
        <v>12127251</v>
      </c>
      <c r="D116" s="114">
        <v>11591985</v>
      </c>
      <c r="E116" s="114">
        <v>10660401</v>
      </c>
      <c r="F116" s="114">
        <v>10031882</v>
      </c>
      <c r="G116" s="114">
        <v>8675133</v>
      </c>
      <c r="H116" s="114">
        <v>8326700</v>
      </c>
      <c r="I116" s="114">
        <v>8166121</v>
      </c>
      <c r="J116" s="114">
        <v>9056301</v>
      </c>
      <c r="K116" s="114">
        <v>7883689</v>
      </c>
      <c r="L116" s="114">
        <v>8186793</v>
      </c>
      <c r="M116" s="114">
        <v>11995843</v>
      </c>
      <c r="N116" s="114">
        <v>12493230</v>
      </c>
    </row>
    <row r="117" spans="1:14">
      <c r="A117" s="109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1:14">
      <c r="A118" s="109" t="s">
        <v>176</v>
      </c>
      <c r="B118" s="114">
        <f>SUM(C118:N118)</f>
        <v>29123409</v>
      </c>
      <c r="C118" s="114">
        <v>2667343</v>
      </c>
      <c r="D118" s="114">
        <v>2503517</v>
      </c>
      <c r="E118" s="114">
        <v>2494287</v>
      </c>
      <c r="F118" s="114">
        <v>2179004</v>
      </c>
      <c r="G118" s="114">
        <v>1851578</v>
      </c>
      <c r="H118" s="114">
        <v>1612580</v>
      </c>
      <c r="I118" s="114">
        <v>2427227</v>
      </c>
      <c r="J118" s="114">
        <v>2652598</v>
      </c>
      <c r="K118" s="114">
        <v>2644728</v>
      </c>
      <c r="L118" s="114">
        <v>2706850</v>
      </c>
      <c r="M118" s="114">
        <v>2628470</v>
      </c>
      <c r="N118" s="114">
        <v>2755227</v>
      </c>
    </row>
    <row r="119" spans="1:14">
      <c r="A119" s="109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1:14">
      <c r="A120" s="109" t="s">
        <v>177</v>
      </c>
      <c r="B120" s="114">
        <f>SUM(C120:N120)</f>
        <v>77293436</v>
      </c>
      <c r="C120" s="114">
        <v>8481668</v>
      </c>
      <c r="D120" s="114">
        <v>7698692</v>
      </c>
      <c r="E120" s="114">
        <v>7292619</v>
      </c>
      <c r="F120" s="114">
        <v>5265751</v>
      </c>
      <c r="G120" s="114">
        <v>2664694</v>
      </c>
      <c r="H120" s="114">
        <v>2712482</v>
      </c>
      <c r="I120" s="114">
        <v>5239795</v>
      </c>
      <c r="J120" s="114">
        <v>6788998</v>
      </c>
      <c r="K120" s="114">
        <v>6983768</v>
      </c>
      <c r="L120" s="114">
        <v>7442560</v>
      </c>
      <c r="M120" s="114">
        <v>7920542</v>
      </c>
      <c r="N120" s="114">
        <v>8801867</v>
      </c>
    </row>
    <row r="121" spans="1:14">
      <c r="A121" s="109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1:14">
      <c r="A122" s="115" t="s">
        <v>178</v>
      </c>
      <c r="B122" s="116">
        <f>SUM(C122:N122)</f>
        <v>88588362</v>
      </c>
      <c r="C122" s="116">
        <v>7154528</v>
      </c>
      <c r="D122" s="116">
        <v>6331583</v>
      </c>
      <c r="E122" s="116">
        <v>7373144</v>
      </c>
      <c r="F122" s="116">
        <v>9451450</v>
      </c>
      <c r="G122" s="116">
        <v>8788449</v>
      </c>
      <c r="H122" s="116">
        <v>8347826</v>
      </c>
      <c r="I122" s="116">
        <v>7766255</v>
      </c>
      <c r="J122" s="116">
        <v>5454044</v>
      </c>
      <c r="K122" s="116">
        <v>6343594</v>
      </c>
      <c r="L122" s="116">
        <v>6461587</v>
      </c>
      <c r="M122" s="116">
        <v>7582420</v>
      </c>
      <c r="N122" s="116">
        <v>7533482</v>
      </c>
    </row>
    <row r="123" spans="1:14">
      <c r="A123" s="109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1:14">
      <c r="A124" s="117" t="s">
        <v>179</v>
      </c>
      <c r="B124" s="114">
        <f>SUM(C124:N124)</f>
        <v>137023812</v>
      </c>
      <c r="C124" s="114">
        <f>SUM(C116:C120)-C122</f>
        <v>16121734</v>
      </c>
      <c r="D124" s="114">
        <f t="shared" ref="D124:N124" si="44">SUM(D116:D120)-D122</f>
        <v>15462611</v>
      </c>
      <c r="E124" s="114">
        <f t="shared" si="44"/>
        <v>13074163</v>
      </c>
      <c r="F124" s="114">
        <f t="shared" si="44"/>
        <v>8025187</v>
      </c>
      <c r="G124" s="114">
        <f t="shared" si="44"/>
        <v>4402956</v>
      </c>
      <c r="H124" s="114">
        <f t="shared" si="44"/>
        <v>4303936</v>
      </c>
      <c r="I124" s="114">
        <f t="shared" si="44"/>
        <v>8066888</v>
      </c>
      <c r="J124" s="114">
        <f t="shared" si="44"/>
        <v>13043853</v>
      </c>
      <c r="K124" s="114">
        <f t="shared" si="44"/>
        <v>11168591</v>
      </c>
      <c r="L124" s="114">
        <f t="shared" si="44"/>
        <v>11874616</v>
      </c>
      <c r="M124" s="114">
        <f t="shared" si="44"/>
        <v>14962435</v>
      </c>
      <c r="N124" s="114">
        <f t="shared" si="44"/>
        <v>16516842</v>
      </c>
    </row>
    <row r="125" spans="1:14">
      <c r="A125" s="109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1:14">
      <c r="A126" s="117" t="s">
        <v>180</v>
      </c>
      <c r="B126" s="114">
        <f>SUM(C126:N126)</f>
        <v>17237232</v>
      </c>
      <c r="C126" s="114">
        <v>1503379</v>
      </c>
      <c r="D126" s="114">
        <v>1417562</v>
      </c>
      <c r="E126" s="114">
        <v>1557827</v>
      </c>
      <c r="F126" s="114">
        <v>1347286</v>
      </c>
      <c r="G126" s="114">
        <v>1410951</v>
      </c>
      <c r="H126" s="114">
        <v>1401574</v>
      </c>
      <c r="I126" s="114">
        <v>1411206</v>
      </c>
      <c r="J126" s="114">
        <v>1443939</v>
      </c>
      <c r="K126" s="114">
        <v>1441121</v>
      </c>
      <c r="L126" s="114">
        <v>1400226</v>
      </c>
      <c r="M126" s="114">
        <v>1464406</v>
      </c>
      <c r="N126" s="114">
        <v>1437755</v>
      </c>
    </row>
    <row r="127" spans="1:14">
      <c r="A127" s="117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1:14">
      <c r="A128" s="117" t="s">
        <v>152</v>
      </c>
      <c r="B128" s="118">
        <f>SUM(C128:N128)</f>
        <v>15802274.35</v>
      </c>
      <c r="C128" s="118">
        <v>1306342</v>
      </c>
      <c r="D128" s="118">
        <v>1061936</v>
      </c>
      <c r="E128" s="118">
        <v>1137644</v>
      </c>
      <c r="F128" s="118">
        <v>1166933</v>
      </c>
      <c r="G128" s="118">
        <v>1506921.35</v>
      </c>
      <c r="H128" s="118">
        <v>1586833</v>
      </c>
      <c r="I128" s="118">
        <v>1599620</v>
      </c>
      <c r="J128" s="118">
        <v>1447883</v>
      </c>
      <c r="K128" s="118">
        <v>1304804</v>
      </c>
      <c r="L128" s="118">
        <v>1285929</v>
      </c>
      <c r="M128" s="118">
        <v>1197858</v>
      </c>
      <c r="N128" s="118">
        <v>1199571</v>
      </c>
    </row>
    <row r="129" spans="1:14">
      <c r="A129" s="117"/>
      <c r="B129" s="11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1:14">
      <c r="A130" s="117" t="s">
        <v>181</v>
      </c>
      <c r="B130" s="118">
        <f>SUM(C130:N130)</f>
        <v>690000</v>
      </c>
      <c r="C130" s="114">
        <v>57500</v>
      </c>
      <c r="D130" s="114">
        <v>57500</v>
      </c>
      <c r="E130" s="114">
        <v>57500</v>
      </c>
      <c r="F130" s="114">
        <v>57500</v>
      </c>
      <c r="G130" s="114">
        <v>57500</v>
      </c>
      <c r="H130" s="114">
        <v>57500</v>
      </c>
      <c r="I130" s="114">
        <v>57500</v>
      </c>
      <c r="J130" s="114">
        <v>57500</v>
      </c>
      <c r="K130" s="114">
        <v>57500</v>
      </c>
      <c r="L130" s="114">
        <v>57500</v>
      </c>
      <c r="M130" s="114">
        <v>57500</v>
      </c>
      <c r="N130" s="114">
        <v>57500</v>
      </c>
    </row>
    <row r="131" spans="1:14" ht="3.6" customHeight="1">
      <c r="A131" s="117"/>
      <c r="B131" s="118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1:14">
      <c r="A132" s="117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1:14">
      <c r="A133" s="117" t="s">
        <v>182</v>
      </c>
      <c r="B133" s="114">
        <f t="shared" ref="B133:N133" si="45">B124+B126-B128+B130</f>
        <v>139148769.65000001</v>
      </c>
      <c r="C133" s="114">
        <f t="shared" si="45"/>
        <v>16376271</v>
      </c>
      <c r="D133" s="114">
        <f t="shared" si="45"/>
        <v>15875737</v>
      </c>
      <c r="E133" s="114">
        <f t="shared" si="45"/>
        <v>13551846</v>
      </c>
      <c r="F133" s="114">
        <f t="shared" si="45"/>
        <v>8263040</v>
      </c>
      <c r="G133" s="114">
        <f t="shared" si="45"/>
        <v>4364485.6500000004</v>
      </c>
      <c r="H133" s="114">
        <f t="shared" si="45"/>
        <v>4176177</v>
      </c>
      <c r="I133" s="114">
        <f t="shared" si="45"/>
        <v>7935974</v>
      </c>
      <c r="J133" s="114">
        <f t="shared" si="45"/>
        <v>13097409</v>
      </c>
      <c r="K133" s="114">
        <f t="shared" si="45"/>
        <v>11362408</v>
      </c>
      <c r="L133" s="114">
        <f t="shared" si="45"/>
        <v>12046413</v>
      </c>
      <c r="M133" s="114">
        <f t="shared" si="45"/>
        <v>15286483</v>
      </c>
      <c r="N133" s="114">
        <f t="shared" si="45"/>
        <v>16812526</v>
      </c>
    </row>
    <row r="134" spans="1:14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1:14">
      <c r="A135" s="117" t="s">
        <v>183</v>
      </c>
      <c r="B135" s="114">
        <f>SUM(C135:N135)</f>
        <v>90043168.840514988</v>
      </c>
      <c r="C135" s="114">
        <f>C133*$E$152</f>
        <v>10597084.9641</v>
      </c>
      <c r="D135" s="114">
        <f t="shared" ref="D135:N135" si="46">D133*$E$152</f>
        <v>10273189.412699999</v>
      </c>
      <c r="E135" s="114">
        <f t="shared" si="46"/>
        <v>8769399.5466000009</v>
      </c>
      <c r="F135" s="114">
        <f t="shared" si="46"/>
        <v>5347013.1840000004</v>
      </c>
      <c r="G135" s="114">
        <f t="shared" si="46"/>
        <v>2824258.6641150001</v>
      </c>
      <c r="H135" s="114">
        <f t="shared" si="46"/>
        <v>2702404.1367000001</v>
      </c>
      <c r="I135" s="114">
        <f t="shared" si="46"/>
        <v>5135368.7753999997</v>
      </c>
      <c r="J135" s="114">
        <f t="shared" si="46"/>
        <v>8475333.3639000002</v>
      </c>
      <c r="K135" s="114">
        <f t="shared" si="46"/>
        <v>7352614.2168000005</v>
      </c>
      <c r="L135" s="114">
        <f t="shared" si="46"/>
        <v>7795233.8523000004</v>
      </c>
      <c r="M135" s="114">
        <f t="shared" si="46"/>
        <v>9891883.1492999997</v>
      </c>
      <c r="N135" s="114">
        <f t="shared" si="46"/>
        <v>10879385.5746</v>
      </c>
    </row>
    <row r="136" spans="1:14">
      <c r="A136" s="117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1:14">
      <c r="A137" s="117" t="s">
        <v>184</v>
      </c>
      <c r="B137" s="114">
        <v>-1500000</v>
      </c>
      <c r="C137" s="114">
        <f>-1500000/12</f>
        <v>-125000</v>
      </c>
      <c r="D137" s="114">
        <f t="shared" ref="D137:N137" si="47">-1500000/12</f>
        <v>-125000</v>
      </c>
      <c r="E137" s="114">
        <f t="shared" si="47"/>
        <v>-125000</v>
      </c>
      <c r="F137" s="114">
        <f t="shared" si="47"/>
        <v>-125000</v>
      </c>
      <c r="G137" s="114">
        <f t="shared" si="47"/>
        <v>-125000</v>
      </c>
      <c r="H137" s="114">
        <f t="shared" si="47"/>
        <v>-125000</v>
      </c>
      <c r="I137" s="114">
        <f t="shared" si="47"/>
        <v>-125000</v>
      </c>
      <c r="J137" s="114">
        <f t="shared" si="47"/>
        <v>-125000</v>
      </c>
      <c r="K137" s="114">
        <f t="shared" si="47"/>
        <v>-125000</v>
      </c>
      <c r="L137" s="114">
        <f t="shared" si="47"/>
        <v>-125000</v>
      </c>
      <c r="M137" s="114">
        <f t="shared" si="47"/>
        <v>-125000</v>
      </c>
      <c r="N137" s="114">
        <f t="shared" si="47"/>
        <v>-125000</v>
      </c>
    </row>
    <row r="138" spans="1:14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1:14">
      <c r="A139" s="117" t="s">
        <v>185</v>
      </c>
      <c r="B139" s="114">
        <f>B135+B137</f>
        <v>88543168.840514988</v>
      </c>
      <c r="C139" s="114">
        <f t="shared" ref="C139:N139" si="48">C135+C137</f>
        <v>10472084.9641</v>
      </c>
      <c r="D139" s="114">
        <f t="shared" si="48"/>
        <v>10148189.412699999</v>
      </c>
      <c r="E139" s="114">
        <f t="shared" si="48"/>
        <v>8644399.5466000009</v>
      </c>
      <c r="F139" s="114">
        <f t="shared" si="48"/>
        <v>5222013.1840000004</v>
      </c>
      <c r="G139" s="114">
        <f t="shared" si="48"/>
        <v>2699258.6641150001</v>
      </c>
      <c r="H139" s="114">
        <f t="shared" si="48"/>
        <v>2577404.1367000001</v>
      </c>
      <c r="I139" s="114">
        <f t="shared" si="48"/>
        <v>5010368.7753999997</v>
      </c>
      <c r="J139" s="114">
        <f t="shared" si="48"/>
        <v>8350333.3639000002</v>
      </c>
      <c r="K139" s="114">
        <f t="shared" si="48"/>
        <v>7227614.2168000005</v>
      </c>
      <c r="L139" s="114">
        <f t="shared" si="48"/>
        <v>7670233.8523000004</v>
      </c>
      <c r="M139" s="114">
        <f t="shared" si="48"/>
        <v>9766883.1492999997</v>
      </c>
      <c r="N139" s="114">
        <f t="shared" si="48"/>
        <v>10754385.5746</v>
      </c>
    </row>
    <row r="140" spans="1:14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1:14">
      <c r="A141" s="111" t="s">
        <v>186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1:14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1:14">
      <c r="A143" s="109"/>
      <c r="B143" s="112" t="s">
        <v>6</v>
      </c>
      <c r="C143" s="113" t="str">
        <f>C114</f>
        <v>January</v>
      </c>
      <c r="D143" s="113" t="str">
        <f t="shared" ref="D143:N143" si="49">D114</f>
        <v>February</v>
      </c>
      <c r="E143" s="113" t="str">
        <f t="shared" si="49"/>
        <v>March</v>
      </c>
      <c r="F143" s="113" t="str">
        <f t="shared" si="49"/>
        <v>April</v>
      </c>
      <c r="G143" s="113" t="str">
        <f t="shared" si="49"/>
        <v>May</v>
      </c>
      <c r="H143" s="113" t="str">
        <f t="shared" si="49"/>
        <v>June</v>
      </c>
      <c r="I143" s="113" t="str">
        <f t="shared" si="49"/>
        <v>July</v>
      </c>
      <c r="J143" s="113" t="str">
        <f t="shared" si="49"/>
        <v>August</v>
      </c>
      <c r="K143" s="113" t="str">
        <f t="shared" si="49"/>
        <v>September</v>
      </c>
      <c r="L143" s="113" t="str">
        <f t="shared" si="49"/>
        <v>October</v>
      </c>
      <c r="M143" s="113" t="str">
        <f t="shared" si="49"/>
        <v>November</v>
      </c>
      <c r="N143" s="113" t="str">
        <f t="shared" si="49"/>
        <v>December</v>
      </c>
    </row>
    <row r="144" spans="1:14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1:14">
      <c r="A145" s="117" t="s">
        <v>187</v>
      </c>
      <c r="B145" s="120">
        <f>SUM(C145:N145)</f>
        <v>5653834.1600000001</v>
      </c>
      <c r="C145" s="120">
        <v>555937</v>
      </c>
      <c r="D145" s="120">
        <v>498647</v>
      </c>
      <c r="E145" s="120">
        <v>492113</v>
      </c>
      <c r="F145" s="120">
        <v>431144.89</v>
      </c>
      <c r="G145" s="120">
        <v>438507</v>
      </c>
      <c r="H145" s="120">
        <v>423630</v>
      </c>
      <c r="I145" s="120">
        <v>451024.27</v>
      </c>
      <c r="J145" s="120">
        <v>469267</v>
      </c>
      <c r="K145" s="120">
        <v>421946</v>
      </c>
      <c r="L145" s="120">
        <v>451214</v>
      </c>
      <c r="M145" s="120">
        <v>471440</v>
      </c>
      <c r="N145" s="120">
        <v>548964</v>
      </c>
    </row>
    <row r="146" spans="1:14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1:14">
      <c r="A147" s="117" t="s">
        <v>188</v>
      </c>
      <c r="B147" s="121">
        <f>B139/B145</f>
        <v>15.660729751669084</v>
      </c>
      <c r="C147" s="122" t="s">
        <v>189</v>
      </c>
      <c r="D147" s="109" t="s">
        <v>190</v>
      </c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1:14">
      <c r="A148" s="109"/>
      <c r="B148" s="123"/>
      <c r="C148" s="122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1:14" hidden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1:14" hidden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1:14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1:14">
      <c r="A152" s="109" t="s">
        <v>191</v>
      </c>
      <c r="B152" s="109"/>
      <c r="C152" s="109"/>
      <c r="D152" s="109"/>
      <c r="E152" s="109">
        <v>0.64710000000000001</v>
      </c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1:14">
      <c r="A153" s="109" t="s">
        <v>192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1:14">
      <c r="A154" s="109" t="s">
        <v>193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1:14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</sheetData>
  <mergeCells count="4">
    <mergeCell ref="L109:M110"/>
    <mergeCell ref="A6:N6"/>
    <mergeCell ref="G9:N9"/>
    <mergeCell ref="C9:F9"/>
  </mergeCells>
  <pageMargins left="0.2" right="0.2" top="0.5" bottom="0.5" header="0.3" footer="0.3"/>
  <pageSetup scale="65" fitToHeight="3" orientation="landscape" r:id="rId1"/>
  <headerFooter scaleWithDoc="0">
    <oddFooter>&amp;C&amp;F / &amp;A&amp;RPage &amp;P</oddFooter>
  </headerFooter>
  <rowBreaks count="2" manualBreakCount="2">
    <brk id="52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124"/>
  <sheetViews>
    <sheetView tabSelected="1" zoomScaleNormal="100" workbookViewId="0">
      <pane xSplit="2" ySplit="7" topLeftCell="K8" activePane="bottomRight" state="frozen"/>
      <selection activeCell="AD4" sqref="AD4"/>
      <selection pane="topRight" activeCell="AD4" sqref="AD4"/>
      <selection pane="bottomLeft" activeCell="AD4" sqref="AD4"/>
      <selection pane="bottomRight" activeCell="AD4" sqref="AD4"/>
    </sheetView>
  </sheetViews>
  <sheetFormatPr defaultColWidth="11.42578125" defaultRowHeight="12.75" outlineLevelRow="1"/>
  <cols>
    <col min="1" max="1" width="6.140625" style="68" customWidth="1"/>
    <col min="2" max="2" width="47.28515625" style="67" customWidth="1"/>
    <col min="3" max="3" width="9" style="67" customWidth="1"/>
    <col min="4" max="4" width="15.28515625" style="67" customWidth="1"/>
    <col min="5" max="5" width="11.42578125" style="67"/>
    <col min="6" max="6" width="21.28515625" style="67" customWidth="1"/>
    <col min="7" max="7" width="14.42578125" style="67" bestFit="1" customWidth="1"/>
    <col min="8" max="16" width="14.28515625" style="67" bestFit="1" customWidth="1"/>
    <col min="17" max="18" width="11.5703125" style="67" bestFit="1" customWidth="1"/>
    <col min="19" max="19" width="12.42578125" style="67" bestFit="1" customWidth="1"/>
    <col min="20" max="16384" width="11.42578125" style="67"/>
  </cols>
  <sheetData>
    <row r="1" spans="1:19">
      <c r="A1" s="90"/>
      <c r="B1" s="90"/>
      <c r="C1" s="92" t="s">
        <v>138</v>
      </c>
    </row>
    <row r="2" spans="1:19">
      <c r="A2" s="90"/>
      <c r="B2" s="90"/>
      <c r="C2" s="92" t="s">
        <v>137</v>
      </c>
    </row>
    <row r="3" spans="1:19">
      <c r="A3" s="91"/>
      <c r="B3" s="90"/>
      <c r="C3" s="92" t="s">
        <v>240</v>
      </c>
    </row>
    <row r="4" spans="1:19">
      <c r="A4" s="91"/>
      <c r="B4" s="90"/>
      <c r="C4" s="89"/>
    </row>
    <row r="5" spans="1:19" ht="12.75" customHeight="1">
      <c r="A5" s="71"/>
      <c r="C5" s="89"/>
      <c r="D5" s="83"/>
    </row>
    <row r="6" spans="1:19">
      <c r="A6" s="71" t="s">
        <v>136</v>
      </c>
      <c r="D6" s="129" t="s">
        <v>231</v>
      </c>
      <c r="E6" s="71" t="s">
        <v>212</v>
      </c>
    </row>
    <row r="7" spans="1:19">
      <c r="A7" s="88" t="s">
        <v>135</v>
      </c>
      <c r="D7" s="87" t="s">
        <v>134</v>
      </c>
      <c r="E7" s="71" t="s">
        <v>6</v>
      </c>
      <c r="G7" s="67" t="s">
        <v>6</v>
      </c>
      <c r="H7" s="130">
        <v>43101</v>
      </c>
      <c r="I7" s="130">
        <v>43132</v>
      </c>
      <c r="J7" s="130">
        <v>43160</v>
      </c>
      <c r="K7" s="130">
        <v>43191</v>
      </c>
      <c r="L7" s="130">
        <v>43221</v>
      </c>
      <c r="M7" s="130">
        <v>43252</v>
      </c>
      <c r="N7" s="130">
        <v>43282</v>
      </c>
      <c r="O7" s="130">
        <v>43313</v>
      </c>
      <c r="P7" s="130">
        <v>43344</v>
      </c>
      <c r="Q7" s="141">
        <v>43374</v>
      </c>
      <c r="R7" s="141">
        <v>43405</v>
      </c>
      <c r="S7" s="141">
        <v>43435</v>
      </c>
    </row>
    <row r="8" spans="1:19">
      <c r="A8" s="71"/>
      <c r="B8" s="79" t="s">
        <v>133</v>
      </c>
      <c r="D8" s="86"/>
    </row>
    <row r="9" spans="1:19">
      <c r="A9" s="71">
        <f t="shared" ref="A9:A27" si="0">A8+1</f>
        <v>1</v>
      </c>
      <c r="B9" s="67" t="s">
        <v>132</v>
      </c>
      <c r="D9" s="135">
        <f>ROUND(G9/1000,0)</f>
        <v>0</v>
      </c>
      <c r="G9" s="131">
        <f t="shared" ref="G9:G15" si="1">SUM(H9:S9)</f>
        <v>0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>
      <c r="A10" s="71">
        <f t="shared" si="0"/>
        <v>2</v>
      </c>
      <c r="B10" s="67" t="s">
        <v>131</v>
      </c>
      <c r="D10" s="135">
        <f t="shared" ref="D10:D26" si="2">ROUND(G10/1000,0)</f>
        <v>35364</v>
      </c>
      <c r="G10" s="131">
        <f t="shared" si="1"/>
        <v>35364168</v>
      </c>
      <c r="H10" s="131">
        <v>5222009</v>
      </c>
      <c r="I10" s="131">
        <v>4094932</v>
      </c>
      <c r="J10" s="131">
        <v>2500917</v>
      </c>
      <c r="K10" s="131">
        <v>1879275</v>
      </c>
      <c r="L10" s="131">
        <v>1466768</v>
      </c>
      <c r="M10" s="131">
        <v>1497022</v>
      </c>
      <c r="N10" s="131">
        <v>45964</v>
      </c>
      <c r="O10" s="131">
        <v>9116052</v>
      </c>
      <c r="P10" s="131">
        <v>3059931</v>
      </c>
      <c r="Q10" s="131">
        <v>446709</v>
      </c>
      <c r="R10" s="131">
        <v>450427</v>
      </c>
      <c r="S10" s="131">
        <v>5584162</v>
      </c>
    </row>
    <row r="11" spans="1:19">
      <c r="A11" s="71">
        <f t="shared" si="0"/>
        <v>3</v>
      </c>
      <c r="B11" s="67" t="s">
        <v>130</v>
      </c>
      <c r="D11" s="135">
        <f t="shared" si="2"/>
        <v>0</v>
      </c>
      <c r="G11" s="131">
        <f t="shared" si="1"/>
        <v>0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>
      <c r="A12" s="71">
        <f t="shared" si="0"/>
        <v>4</v>
      </c>
      <c r="B12" s="67" t="s">
        <v>129</v>
      </c>
      <c r="D12" s="135">
        <f t="shared" si="2"/>
        <v>14053</v>
      </c>
      <c r="G12" s="131">
        <f t="shared" si="1"/>
        <v>14053042</v>
      </c>
      <c r="H12" s="131">
        <v>726733</v>
      </c>
      <c r="I12" s="131">
        <v>1216938</v>
      </c>
      <c r="J12" s="131">
        <v>1216938</v>
      </c>
      <c r="K12" s="131">
        <v>1216938</v>
      </c>
      <c r="L12" s="131">
        <v>1216938</v>
      </c>
      <c r="M12" s="131">
        <v>1216938</v>
      </c>
      <c r="N12" s="131">
        <v>1216938</v>
      </c>
      <c r="O12" s="131">
        <v>1216938</v>
      </c>
      <c r="P12" s="131">
        <v>1216938</v>
      </c>
      <c r="Q12" s="131">
        <v>1216938</v>
      </c>
      <c r="R12" s="131">
        <v>1216938</v>
      </c>
      <c r="S12" s="131">
        <v>1156929</v>
      </c>
    </row>
    <row r="13" spans="1:19">
      <c r="A13" s="71">
        <f t="shared" si="0"/>
        <v>5</v>
      </c>
      <c r="B13" s="67" t="s">
        <v>128</v>
      </c>
      <c r="D13" s="135">
        <f t="shared" si="2"/>
        <v>1798</v>
      </c>
      <c r="G13" s="131">
        <f t="shared" si="1"/>
        <v>1797555</v>
      </c>
      <c r="H13" s="131">
        <v>153740</v>
      </c>
      <c r="I13" s="131">
        <v>153740</v>
      </c>
      <c r="J13" s="131">
        <v>153740</v>
      </c>
      <c r="K13" s="131">
        <v>153740</v>
      </c>
      <c r="L13" s="131">
        <v>153740</v>
      </c>
      <c r="M13" s="131">
        <v>153740</v>
      </c>
      <c r="N13" s="131">
        <v>153740</v>
      </c>
      <c r="O13" s="131">
        <v>153740</v>
      </c>
      <c r="P13" s="131">
        <v>165218</v>
      </c>
      <c r="Q13" s="131">
        <v>165218</v>
      </c>
      <c r="R13" s="131">
        <v>165218</v>
      </c>
      <c r="S13" s="131">
        <v>71981</v>
      </c>
    </row>
    <row r="14" spans="1:19">
      <c r="A14" s="71">
        <f t="shared" si="0"/>
        <v>6</v>
      </c>
      <c r="B14" s="67" t="s">
        <v>127</v>
      </c>
      <c r="D14" s="135">
        <f t="shared" si="2"/>
        <v>7594</v>
      </c>
      <c r="G14" s="131">
        <f t="shared" si="1"/>
        <v>7594108</v>
      </c>
      <c r="H14" s="131">
        <v>618454</v>
      </c>
      <c r="I14" s="131">
        <v>618454</v>
      </c>
      <c r="J14" s="131">
        <v>618454</v>
      </c>
      <c r="K14" s="131">
        <v>791114</v>
      </c>
      <c r="L14" s="131">
        <v>618454</v>
      </c>
      <c r="M14" s="131">
        <v>618454</v>
      </c>
      <c r="N14" s="131">
        <v>618454</v>
      </c>
      <c r="O14" s="131">
        <v>618454</v>
      </c>
      <c r="P14" s="131">
        <v>618454</v>
      </c>
      <c r="Q14" s="131">
        <v>618454</v>
      </c>
      <c r="R14" s="131">
        <v>618454</v>
      </c>
      <c r="S14" s="131">
        <v>618454</v>
      </c>
    </row>
    <row r="15" spans="1:19">
      <c r="A15" s="71">
        <f t="shared" si="0"/>
        <v>7</v>
      </c>
      <c r="B15" s="67" t="s">
        <v>126</v>
      </c>
      <c r="D15" s="135">
        <f t="shared" si="2"/>
        <v>1092</v>
      </c>
      <c r="G15" s="131">
        <f t="shared" si="1"/>
        <v>1092047</v>
      </c>
      <c r="H15" s="131">
        <v>67917</v>
      </c>
      <c r="I15" s="131">
        <v>81241</v>
      </c>
      <c r="J15" s="131">
        <v>93498</v>
      </c>
      <c r="K15" s="131">
        <v>152574</v>
      </c>
      <c r="L15" s="131">
        <v>162897</v>
      </c>
      <c r="M15" s="131">
        <v>158630</v>
      </c>
      <c r="N15" s="131">
        <v>58962</v>
      </c>
      <c r="O15" s="131">
        <v>55518</v>
      </c>
      <c r="P15" s="131">
        <v>50510</v>
      </c>
      <c r="Q15" s="131">
        <v>66662</v>
      </c>
      <c r="R15" s="131">
        <v>73564</v>
      </c>
      <c r="S15" s="131">
        <v>70074</v>
      </c>
    </row>
    <row r="16" spans="1:19">
      <c r="A16" s="71">
        <f t="shared" si="0"/>
        <v>8</v>
      </c>
      <c r="B16" s="67" t="s">
        <v>125</v>
      </c>
      <c r="D16" s="135">
        <f t="shared" si="2"/>
        <v>27616</v>
      </c>
      <c r="G16" s="131">
        <f>SUM(H16:S16)</f>
        <v>27615866</v>
      </c>
      <c r="H16" s="132">
        <v>2326853</v>
      </c>
      <c r="I16" s="132">
        <v>2182871</v>
      </c>
      <c r="J16" s="132">
        <v>2357771</v>
      </c>
      <c r="K16" s="132">
        <v>2235770</v>
      </c>
      <c r="L16" s="132">
        <v>2098059</v>
      </c>
      <c r="M16" s="132">
        <v>2056390</v>
      </c>
      <c r="N16" s="132">
        <v>2377596</v>
      </c>
      <c r="O16" s="132">
        <v>2416248</v>
      </c>
      <c r="P16" s="132">
        <v>2425360</v>
      </c>
      <c r="Q16" s="131">
        <v>2310595</v>
      </c>
      <c r="R16" s="131">
        <v>2384531</v>
      </c>
      <c r="S16" s="131">
        <v>2443822</v>
      </c>
    </row>
    <row r="17" spans="1:19">
      <c r="A17" s="71">
        <f t="shared" si="0"/>
        <v>9</v>
      </c>
      <c r="B17" s="67" t="s">
        <v>213</v>
      </c>
      <c r="D17" s="135">
        <f t="shared" si="2"/>
        <v>13</v>
      </c>
      <c r="G17" s="131">
        <f t="shared" ref="G17:G26" si="3">SUM(H17:S17)</f>
        <v>12515</v>
      </c>
      <c r="H17" s="131">
        <v>0</v>
      </c>
      <c r="I17" s="131">
        <v>0</v>
      </c>
      <c r="J17" s="131">
        <v>2771</v>
      </c>
      <c r="K17" s="131">
        <v>1252</v>
      </c>
      <c r="L17" s="131">
        <v>1246</v>
      </c>
      <c r="M17" s="131">
        <v>1021</v>
      </c>
      <c r="N17" s="131">
        <v>1028</v>
      </c>
      <c r="O17" s="131">
        <v>1025</v>
      </c>
      <c r="P17" s="131">
        <v>1109</v>
      </c>
      <c r="Q17" s="131">
        <v>951</v>
      </c>
      <c r="R17" s="131">
        <v>995</v>
      </c>
      <c r="S17" s="131">
        <v>1117</v>
      </c>
    </row>
    <row r="18" spans="1:19">
      <c r="A18" s="71">
        <f t="shared" si="0"/>
        <v>10</v>
      </c>
      <c r="B18" s="67" t="s">
        <v>89</v>
      </c>
      <c r="D18" s="135">
        <f t="shared" si="2"/>
        <v>15252</v>
      </c>
      <c r="G18" s="131">
        <f t="shared" si="3"/>
        <v>15252408.509999998</v>
      </c>
      <c r="H18" s="131">
        <f>3744667-300823.05</f>
        <v>3443843.95</v>
      </c>
      <c r="I18" s="131">
        <f>3383687-271824.2</f>
        <v>3111862.8</v>
      </c>
      <c r="J18" s="131">
        <f>1848737-148515.9</f>
        <v>1700221.1</v>
      </c>
      <c r="K18" s="131">
        <f>1790510-143838.34</f>
        <v>1646671.66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/>
      <c r="R18" s="142">
        <f>2662712-31525.2</f>
        <v>2631186.7999999998</v>
      </c>
      <c r="S18" s="142">
        <f>2751195-32572.8</f>
        <v>2718622.2</v>
      </c>
    </row>
    <row r="19" spans="1:19">
      <c r="A19" s="71">
        <f t="shared" si="0"/>
        <v>11</v>
      </c>
      <c r="B19" s="67" t="s">
        <v>124</v>
      </c>
      <c r="D19" s="135">
        <f t="shared" si="2"/>
        <v>9</v>
      </c>
      <c r="G19" s="131">
        <f t="shared" si="3"/>
        <v>9178</v>
      </c>
      <c r="H19" s="131">
        <v>1068</v>
      </c>
      <c r="I19" s="131">
        <v>885</v>
      </c>
      <c r="J19" s="131">
        <v>1088</v>
      </c>
      <c r="K19" s="131">
        <v>717</v>
      </c>
      <c r="L19" s="131">
        <v>691</v>
      </c>
      <c r="M19" s="131">
        <v>444</v>
      </c>
      <c r="N19" s="131">
        <v>537</v>
      </c>
      <c r="O19" s="131">
        <v>656</v>
      </c>
      <c r="P19" s="131">
        <v>648</v>
      </c>
      <c r="Q19" s="131">
        <v>679</v>
      </c>
      <c r="R19" s="131">
        <v>784</v>
      </c>
      <c r="S19" s="131">
        <v>981</v>
      </c>
    </row>
    <row r="20" spans="1:19">
      <c r="A20" s="71">
        <f t="shared" si="0"/>
        <v>12</v>
      </c>
      <c r="B20" s="67" t="s">
        <v>123</v>
      </c>
      <c r="D20" s="135">
        <f t="shared" si="2"/>
        <v>1377</v>
      </c>
      <c r="G20" s="131">
        <f t="shared" si="3"/>
        <v>1377173</v>
      </c>
      <c r="H20" s="131">
        <v>196327</v>
      </c>
      <c r="I20" s="131">
        <v>176449</v>
      </c>
      <c r="J20" s="131">
        <v>137700</v>
      </c>
      <c r="K20" s="131">
        <v>145245</v>
      </c>
      <c r="L20" s="131">
        <v>118256</v>
      </c>
      <c r="M20" s="131">
        <v>119818</v>
      </c>
      <c r="N20" s="131">
        <v>109807</v>
      </c>
      <c r="O20" s="131">
        <v>71032</v>
      </c>
      <c r="P20" s="131">
        <v>47084</v>
      </c>
      <c r="Q20" s="131">
        <v>48927</v>
      </c>
      <c r="R20" s="131">
        <v>102929</v>
      </c>
      <c r="S20" s="131">
        <v>103599</v>
      </c>
    </row>
    <row r="21" spans="1:19">
      <c r="A21" s="71">
        <f t="shared" si="0"/>
        <v>13</v>
      </c>
      <c r="B21" s="67" t="s">
        <v>122</v>
      </c>
      <c r="D21" s="135">
        <f t="shared" si="2"/>
        <v>1684</v>
      </c>
      <c r="G21" s="131">
        <f t="shared" si="3"/>
        <v>1683831</v>
      </c>
      <c r="H21" s="131">
        <v>167411</v>
      </c>
      <c r="I21" s="131">
        <v>151142</v>
      </c>
      <c r="J21" s="131">
        <v>134752</v>
      </c>
      <c r="K21" s="131">
        <v>9639</v>
      </c>
      <c r="L21" s="131">
        <v>139720</v>
      </c>
      <c r="M21" s="131">
        <v>156195</v>
      </c>
      <c r="N21" s="131">
        <v>206662</v>
      </c>
      <c r="O21" s="131">
        <v>124688</v>
      </c>
      <c r="P21" s="131">
        <v>38427</v>
      </c>
      <c r="Q21" s="131">
        <v>196021</v>
      </c>
      <c r="R21" s="131">
        <v>186144</v>
      </c>
      <c r="S21" s="131">
        <v>173030</v>
      </c>
    </row>
    <row r="22" spans="1:19">
      <c r="A22" s="71">
        <f t="shared" si="0"/>
        <v>14</v>
      </c>
      <c r="B22" s="67" t="s">
        <v>121</v>
      </c>
      <c r="D22" s="135">
        <f t="shared" si="2"/>
        <v>2895</v>
      </c>
      <c r="G22" s="131">
        <f t="shared" si="3"/>
        <v>2895230</v>
      </c>
      <c r="H22" s="131">
        <v>509116</v>
      </c>
      <c r="I22" s="131">
        <v>428290</v>
      </c>
      <c r="J22" s="131">
        <v>551749</v>
      </c>
      <c r="K22" s="131">
        <v>336086</v>
      </c>
      <c r="L22" s="131">
        <v>237801</v>
      </c>
      <c r="M22" s="131">
        <v>242505</v>
      </c>
      <c r="N22" s="131">
        <v>18009</v>
      </c>
      <c r="O22" s="131">
        <v>61</v>
      </c>
      <c r="P22" s="131">
        <v>7399</v>
      </c>
      <c r="Q22" s="131">
        <v>98205</v>
      </c>
      <c r="R22" s="131">
        <v>181859</v>
      </c>
      <c r="S22" s="131">
        <v>284150</v>
      </c>
    </row>
    <row r="23" spans="1:19">
      <c r="A23" s="71">
        <f t="shared" si="0"/>
        <v>15</v>
      </c>
      <c r="B23" s="67" t="s">
        <v>120</v>
      </c>
      <c r="D23" s="135">
        <f t="shared" si="2"/>
        <v>5597</v>
      </c>
      <c r="G23" s="131">
        <f t="shared" si="3"/>
        <v>5596513</v>
      </c>
      <c r="H23" s="131">
        <v>503270</v>
      </c>
      <c r="I23" s="131">
        <v>466388</v>
      </c>
      <c r="J23" s="131">
        <v>406268</v>
      </c>
      <c r="K23" s="131">
        <v>349209</v>
      </c>
      <c r="L23" s="131">
        <v>332411</v>
      </c>
      <c r="M23" s="131">
        <v>457880</v>
      </c>
      <c r="N23" s="131">
        <v>561311</v>
      </c>
      <c r="O23" s="131">
        <v>434208</v>
      </c>
      <c r="P23" s="131">
        <v>588005</v>
      </c>
      <c r="Q23" s="131">
        <v>590209</v>
      </c>
      <c r="R23" s="131">
        <v>384101</v>
      </c>
      <c r="S23" s="131">
        <v>523253</v>
      </c>
    </row>
    <row r="24" spans="1:19">
      <c r="A24" s="71">
        <f t="shared" si="0"/>
        <v>16</v>
      </c>
      <c r="B24" s="67" t="s">
        <v>119</v>
      </c>
      <c r="D24" s="135">
        <f t="shared" si="2"/>
        <v>-260</v>
      </c>
      <c r="G24" s="131">
        <f t="shared" si="3"/>
        <v>-260487</v>
      </c>
      <c r="H24" s="131">
        <v>17127</v>
      </c>
      <c r="I24" s="131">
        <v>-25491</v>
      </c>
      <c r="J24" s="131">
        <v>6656</v>
      </c>
      <c r="K24" s="131">
        <v>-6171</v>
      </c>
      <c r="L24" s="131">
        <v>-4214</v>
      </c>
      <c r="M24" s="131">
        <v>8352</v>
      </c>
      <c r="N24" s="131">
        <v>7510</v>
      </c>
      <c r="O24" s="131">
        <v>25950</v>
      </c>
      <c r="P24" s="131">
        <v>-40713</v>
      </c>
      <c r="Q24" s="131">
        <v>-232912</v>
      </c>
      <c r="R24" s="131">
        <v>59155</v>
      </c>
      <c r="S24" s="131">
        <v>-75736</v>
      </c>
    </row>
    <row r="25" spans="1:19">
      <c r="A25" s="71">
        <f t="shared" si="0"/>
        <v>17</v>
      </c>
      <c r="B25" s="67" t="s">
        <v>118</v>
      </c>
      <c r="D25" s="135">
        <f t="shared" si="2"/>
        <v>2362</v>
      </c>
      <c r="G25" s="131">
        <f t="shared" si="3"/>
        <v>2362181</v>
      </c>
      <c r="H25" s="131">
        <v>213305</v>
      </c>
      <c r="I25" s="131">
        <v>248240</v>
      </c>
      <c r="J25" s="131">
        <v>197702</v>
      </c>
      <c r="K25" s="131">
        <v>182889</v>
      </c>
      <c r="L25" s="131">
        <v>168311</v>
      </c>
      <c r="M25" s="131">
        <v>169612</v>
      </c>
      <c r="N25" s="131">
        <v>210888</v>
      </c>
      <c r="O25" s="131">
        <v>216324</v>
      </c>
      <c r="P25" s="131">
        <v>162315</v>
      </c>
      <c r="Q25" s="131">
        <v>177643</v>
      </c>
      <c r="R25" s="131">
        <v>193694</v>
      </c>
      <c r="S25" s="131">
        <v>221258</v>
      </c>
    </row>
    <row r="26" spans="1:19">
      <c r="A26" s="71">
        <f t="shared" si="0"/>
        <v>18</v>
      </c>
      <c r="B26" s="69" t="s">
        <v>117</v>
      </c>
      <c r="C26" s="69"/>
      <c r="D26" s="135">
        <f t="shared" si="2"/>
        <v>19796</v>
      </c>
      <c r="G26" s="131">
        <f t="shared" si="3"/>
        <v>19795858</v>
      </c>
      <c r="H26" s="131">
        <v>2365264</v>
      </c>
      <c r="I26" s="131">
        <v>2240478</v>
      </c>
      <c r="J26" s="131">
        <v>2072807</v>
      </c>
      <c r="K26" s="131">
        <v>2009810</v>
      </c>
      <c r="L26" s="131">
        <v>1146211</v>
      </c>
      <c r="M26" s="131">
        <v>1530959</v>
      </c>
      <c r="N26" s="131">
        <v>1018827</v>
      </c>
      <c r="O26" s="131">
        <v>1297090</v>
      </c>
      <c r="P26" s="131">
        <v>1187102</v>
      </c>
      <c r="Q26" s="131">
        <v>1148264</v>
      </c>
      <c r="R26" s="131">
        <v>1820818</v>
      </c>
      <c r="S26" s="131">
        <v>1958228</v>
      </c>
    </row>
    <row r="27" spans="1:19">
      <c r="A27" s="71">
        <f t="shared" si="0"/>
        <v>19</v>
      </c>
      <c r="B27" s="67" t="s">
        <v>116</v>
      </c>
      <c r="D27" s="78">
        <f>SUM(D9:D26)</f>
        <v>136242</v>
      </c>
      <c r="E27" s="76">
        <v>136263</v>
      </c>
      <c r="G27" s="133">
        <f>SUM(G9:G26)</f>
        <v>136241186.50999999</v>
      </c>
      <c r="H27" s="133">
        <f t="shared" ref="H27:S27" si="4">SUM(H9:H26)</f>
        <v>16532437.949999999</v>
      </c>
      <c r="I27" s="133">
        <f t="shared" si="4"/>
        <v>15146419.800000001</v>
      </c>
      <c r="J27" s="133">
        <f t="shared" si="4"/>
        <v>12153032.1</v>
      </c>
      <c r="K27" s="133">
        <f t="shared" si="4"/>
        <v>11104758.66</v>
      </c>
      <c r="L27" s="133">
        <f t="shared" si="4"/>
        <v>7857289</v>
      </c>
      <c r="M27" s="133">
        <f t="shared" si="4"/>
        <v>8387960</v>
      </c>
      <c r="N27" s="133">
        <f t="shared" si="4"/>
        <v>6606233</v>
      </c>
      <c r="O27" s="133">
        <f t="shared" si="4"/>
        <v>15747984</v>
      </c>
      <c r="P27" s="133">
        <f t="shared" si="4"/>
        <v>9527787</v>
      </c>
      <c r="Q27" s="133">
        <f t="shared" si="4"/>
        <v>6852563</v>
      </c>
      <c r="R27" s="133">
        <f t="shared" si="4"/>
        <v>10470797.800000001</v>
      </c>
      <c r="S27" s="133">
        <f t="shared" si="4"/>
        <v>15853924.199999999</v>
      </c>
    </row>
    <row r="28" spans="1:19">
      <c r="A28" s="71"/>
      <c r="E28" s="147">
        <f>E27-D27</f>
        <v>21</v>
      </c>
      <c r="F28" s="67" t="s">
        <v>233</v>
      </c>
    </row>
    <row r="29" spans="1:19">
      <c r="A29" s="71"/>
      <c r="B29" s="79" t="s">
        <v>115</v>
      </c>
      <c r="D29" s="72"/>
    </row>
    <row r="30" spans="1:19">
      <c r="A30" s="71">
        <f>A27+1</f>
        <v>20</v>
      </c>
      <c r="B30" s="67" t="s">
        <v>114</v>
      </c>
      <c r="D30" s="135">
        <f t="shared" ref="D30:D33" si="5">ROUND(G30/1000,0)</f>
        <v>636</v>
      </c>
      <c r="G30" s="131">
        <f t="shared" ref="G30" si="6">SUM(H30:S30)</f>
        <v>636070</v>
      </c>
      <c r="H30" s="131">
        <v>64248</v>
      </c>
      <c r="I30" s="131">
        <v>38145</v>
      </c>
      <c r="J30" s="131">
        <v>56451</v>
      </c>
      <c r="K30" s="131">
        <v>55776</v>
      </c>
      <c r="L30" s="131">
        <v>56900</v>
      </c>
      <c r="M30" s="131">
        <v>54711</v>
      </c>
      <c r="N30" s="131">
        <v>42517</v>
      </c>
      <c r="O30" s="131">
        <v>54638</v>
      </c>
      <c r="P30" s="131">
        <v>67390</v>
      </c>
      <c r="Q30" s="131">
        <v>40351</v>
      </c>
      <c r="R30" s="131">
        <v>41327</v>
      </c>
      <c r="S30" s="131">
        <v>63616</v>
      </c>
    </row>
    <row r="31" spans="1:19">
      <c r="A31" s="71">
        <f>A30+1</f>
        <v>21</v>
      </c>
      <c r="B31" s="67" t="s">
        <v>113</v>
      </c>
      <c r="D31" s="135">
        <f t="shared" si="5"/>
        <v>0</v>
      </c>
      <c r="G31" s="131">
        <f t="shared" ref="G31:G39" si="7">SUM(H31:S31)</f>
        <v>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>
      <c r="A32" s="71">
        <f>A31+1</f>
        <v>22</v>
      </c>
      <c r="B32" s="67" t="s">
        <v>112</v>
      </c>
      <c r="D32" s="135">
        <f t="shared" si="5"/>
        <v>45</v>
      </c>
      <c r="G32" s="131">
        <f t="shared" si="7"/>
        <v>45148</v>
      </c>
      <c r="H32" s="152">
        <v>2397</v>
      </c>
      <c r="I32" s="152">
        <v>1147</v>
      </c>
      <c r="J32" s="152">
        <v>4038</v>
      </c>
      <c r="K32" s="152">
        <v>4523</v>
      </c>
      <c r="L32" s="152">
        <v>5651</v>
      </c>
      <c r="M32" s="152">
        <v>1751</v>
      </c>
      <c r="N32" s="152">
        <v>1956</v>
      </c>
      <c r="O32" s="152">
        <v>6999</v>
      </c>
      <c r="P32" s="152">
        <v>2889</v>
      </c>
      <c r="Q32" s="152">
        <v>1360</v>
      </c>
      <c r="R32" s="152">
        <v>4087</v>
      </c>
      <c r="S32" s="152">
        <v>8350</v>
      </c>
    </row>
    <row r="33" spans="1:19">
      <c r="A33" s="71">
        <f>A32+1</f>
        <v>23</v>
      </c>
      <c r="B33" s="67" t="s">
        <v>111</v>
      </c>
      <c r="D33" s="135">
        <f t="shared" si="5"/>
        <v>1</v>
      </c>
      <c r="G33" s="131">
        <f t="shared" si="7"/>
        <v>708</v>
      </c>
      <c r="H33" s="131">
        <v>10</v>
      </c>
      <c r="I33" s="131">
        <v>15</v>
      </c>
      <c r="J33" s="131">
        <v>34</v>
      </c>
      <c r="K33" s="131">
        <v>30</v>
      </c>
      <c r="L33" s="131">
        <v>30</v>
      </c>
      <c r="M33" s="131">
        <v>36</v>
      </c>
      <c r="N33" s="131">
        <v>196</v>
      </c>
      <c r="O33" s="131">
        <v>160</v>
      </c>
      <c r="P33" s="131">
        <v>61</v>
      </c>
      <c r="Q33" s="131">
        <v>69</v>
      </c>
      <c r="R33" s="131">
        <v>41</v>
      </c>
      <c r="S33" s="131">
        <v>26</v>
      </c>
    </row>
    <row r="34" spans="1:19" hidden="1" outlineLevel="1">
      <c r="A34" s="71"/>
      <c r="D34" s="137"/>
      <c r="G34" s="134">
        <f t="shared" si="7"/>
        <v>15988970</v>
      </c>
      <c r="H34" s="134">
        <v>1083619</v>
      </c>
      <c r="I34" s="134">
        <v>1645941</v>
      </c>
      <c r="J34" s="134">
        <v>1377218</v>
      </c>
      <c r="K34" s="134">
        <v>1492640</v>
      </c>
      <c r="L34" s="134">
        <v>2912803</v>
      </c>
      <c r="M34" s="134">
        <v>2761505</v>
      </c>
      <c r="N34" s="134">
        <v>1833937</v>
      </c>
      <c r="O34" s="134">
        <v>973692</v>
      </c>
      <c r="P34" s="134">
        <v>1907615</v>
      </c>
      <c r="Q34" s="134"/>
      <c r="R34" s="134"/>
      <c r="S34" s="134"/>
    </row>
    <row r="35" spans="1:19" hidden="1" outlineLevel="1">
      <c r="A35" s="71"/>
      <c r="D35" s="137"/>
      <c r="G35" s="134">
        <f t="shared" si="7"/>
        <v>-2547112</v>
      </c>
      <c r="H35" s="134">
        <v>-2490169</v>
      </c>
      <c r="I35" s="134">
        <v>-336824</v>
      </c>
      <c r="J35" s="134">
        <v>363762</v>
      </c>
      <c r="K35" s="134">
        <v>852918</v>
      </c>
      <c r="L35" s="134">
        <v>675072</v>
      </c>
      <c r="M35" s="134">
        <v>1435046</v>
      </c>
      <c r="N35" s="134">
        <v>-2218714</v>
      </c>
      <c r="O35" s="134">
        <v>-914639</v>
      </c>
      <c r="P35" s="134">
        <v>86436</v>
      </c>
      <c r="Q35" s="134"/>
      <c r="R35" s="134"/>
      <c r="S35" s="134"/>
    </row>
    <row r="36" spans="1:19" hidden="1" outlineLevel="1">
      <c r="A36" s="71"/>
      <c r="D36" s="137"/>
      <c r="G36" s="134">
        <f t="shared" si="7"/>
        <v>4129430</v>
      </c>
      <c r="H36" s="134">
        <v>414178</v>
      </c>
      <c r="I36" s="134">
        <v>204400</v>
      </c>
      <c r="J36" s="134">
        <v>49615</v>
      </c>
      <c r="K36" s="134">
        <v>233130</v>
      </c>
      <c r="L36" s="134">
        <v>0</v>
      </c>
      <c r="M36" s="134">
        <v>487824</v>
      </c>
      <c r="N36" s="134">
        <v>357663</v>
      </c>
      <c r="O36" s="134">
        <v>1564964</v>
      </c>
      <c r="P36" s="134">
        <v>817656</v>
      </c>
      <c r="Q36" s="134"/>
      <c r="R36" s="134"/>
      <c r="S36" s="134"/>
    </row>
    <row r="37" spans="1:19" hidden="1" outlineLevel="1">
      <c r="A37" s="71"/>
      <c r="D37" s="137"/>
      <c r="G37" s="134">
        <f t="shared" si="7"/>
        <v>-4129430</v>
      </c>
      <c r="H37" s="134">
        <v>-414178</v>
      </c>
      <c r="I37" s="134">
        <v>-204400</v>
      </c>
      <c r="J37" s="134">
        <v>-49615</v>
      </c>
      <c r="K37" s="134">
        <v>-233130</v>
      </c>
      <c r="L37" s="134">
        <v>0</v>
      </c>
      <c r="M37" s="134">
        <v>-487824</v>
      </c>
      <c r="N37" s="134">
        <v>-357663</v>
      </c>
      <c r="O37" s="134">
        <v>-1564964</v>
      </c>
      <c r="P37" s="134">
        <v>-817656</v>
      </c>
      <c r="Q37" s="134"/>
      <c r="R37" s="134"/>
      <c r="S37" s="134"/>
    </row>
    <row r="38" spans="1:19" hidden="1" outlineLevel="1">
      <c r="A38" s="71"/>
      <c r="D38" s="137"/>
      <c r="G38" s="134">
        <f t="shared" si="7"/>
        <v>30039096</v>
      </c>
      <c r="H38" s="134">
        <v>5812837</v>
      </c>
      <c r="I38" s="134">
        <v>2658645</v>
      </c>
      <c r="J38" s="134">
        <v>1842941</v>
      </c>
      <c r="K38" s="134">
        <v>2305884</v>
      </c>
      <c r="L38" s="134">
        <v>2957007</v>
      </c>
      <c r="M38" s="134">
        <v>2015344</v>
      </c>
      <c r="N38" s="134">
        <v>4667489</v>
      </c>
      <c r="O38" s="134">
        <v>5198705</v>
      </c>
      <c r="P38" s="134">
        <v>2580244</v>
      </c>
      <c r="Q38" s="134"/>
      <c r="R38" s="134"/>
      <c r="S38" s="134"/>
    </row>
    <row r="39" spans="1:19" collapsed="1">
      <c r="A39" s="71">
        <f>A33+1</f>
        <v>24</v>
      </c>
      <c r="B39" s="69" t="s">
        <v>110</v>
      </c>
      <c r="C39" s="69"/>
      <c r="D39" s="135">
        <f t="shared" ref="D39" si="8">ROUND(G39/1000,0)</f>
        <v>57913</v>
      </c>
      <c r="G39" s="131">
        <f t="shared" si="7"/>
        <v>57912894</v>
      </c>
      <c r="H39" s="131">
        <f>SUM(H34:H38)</f>
        <v>4406287</v>
      </c>
      <c r="I39" s="131">
        <f t="shared" ref="I39:P39" si="9">SUM(I34:I38)</f>
        <v>3967762</v>
      </c>
      <c r="J39" s="131">
        <f t="shared" si="9"/>
        <v>3583921</v>
      </c>
      <c r="K39" s="131">
        <f t="shared" si="9"/>
        <v>4651442</v>
      </c>
      <c r="L39" s="131">
        <f t="shared" si="9"/>
        <v>6544882</v>
      </c>
      <c r="M39" s="131">
        <f t="shared" si="9"/>
        <v>6211895</v>
      </c>
      <c r="N39" s="131">
        <f t="shared" si="9"/>
        <v>4282712</v>
      </c>
      <c r="O39" s="131">
        <f t="shared" si="9"/>
        <v>5257758</v>
      </c>
      <c r="P39" s="131">
        <f t="shared" si="9"/>
        <v>4574295</v>
      </c>
      <c r="Q39" s="131">
        <v>7692153</v>
      </c>
      <c r="R39" s="131">
        <v>2869495</v>
      </c>
      <c r="S39" s="131">
        <v>3870292</v>
      </c>
    </row>
    <row r="40" spans="1:19">
      <c r="A40" s="71">
        <f>A39+1</f>
        <v>25</v>
      </c>
      <c r="B40" s="67" t="s">
        <v>109</v>
      </c>
      <c r="D40" s="78">
        <f>SUM(D30:D39)</f>
        <v>58595</v>
      </c>
      <c r="E40" s="148">
        <v>77549</v>
      </c>
      <c r="F40" s="149">
        <f>E40-D40</f>
        <v>18954</v>
      </c>
      <c r="G40" s="133">
        <f>SUM(G30:G33,G39)</f>
        <v>58594820</v>
      </c>
      <c r="H40" s="133">
        <f t="shared" ref="H40:S40" si="10">SUM(H30:H33,H39)</f>
        <v>4472942</v>
      </c>
      <c r="I40" s="133">
        <f t="shared" si="10"/>
        <v>4007069</v>
      </c>
      <c r="J40" s="133">
        <f t="shared" si="10"/>
        <v>3644444</v>
      </c>
      <c r="K40" s="133">
        <f t="shared" si="10"/>
        <v>4711771</v>
      </c>
      <c r="L40" s="133">
        <f t="shared" si="10"/>
        <v>6607463</v>
      </c>
      <c r="M40" s="133">
        <f t="shared" si="10"/>
        <v>6268393</v>
      </c>
      <c r="N40" s="133">
        <f t="shared" si="10"/>
        <v>4327381</v>
      </c>
      <c r="O40" s="133">
        <f t="shared" si="10"/>
        <v>5319555</v>
      </c>
      <c r="P40" s="133">
        <f t="shared" si="10"/>
        <v>4644635</v>
      </c>
      <c r="Q40" s="133">
        <f t="shared" si="10"/>
        <v>7733933</v>
      </c>
      <c r="R40" s="133">
        <f t="shared" si="10"/>
        <v>2914950</v>
      </c>
      <c r="S40" s="133">
        <f t="shared" si="10"/>
        <v>3942284</v>
      </c>
    </row>
    <row r="41" spans="1:19">
      <c r="A41" s="71"/>
      <c r="D41" s="72"/>
      <c r="E41" s="148">
        <v>3422</v>
      </c>
      <c r="F41" s="150" t="s">
        <v>147</v>
      </c>
    </row>
    <row r="42" spans="1:19">
      <c r="A42" s="71"/>
      <c r="B42" s="79" t="s">
        <v>108</v>
      </c>
      <c r="D42" s="72"/>
      <c r="E42" s="148">
        <v>11447</v>
      </c>
      <c r="F42" s="150" t="s">
        <v>148</v>
      </c>
    </row>
    <row r="43" spans="1:19">
      <c r="A43" s="71">
        <f>A40+1</f>
        <v>26</v>
      </c>
      <c r="B43" s="67" t="s">
        <v>107</v>
      </c>
      <c r="C43" s="85"/>
      <c r="D43" s="135">
        <f t="shared" ref="D43:D46" si="11">ROUND(G43/1000,0)</f>
        <v>6751</v>
      </c>
      <c r="E43" s="148">
        <v>4065</v>
      </c>
      <c r="F43" s="150" t="s">
        <v>149</v>
      </c>
      <c r="G43" s="131">
        <f t="shared" ref="G43:G46" si="12">SUM(H43:S43)</f>
        <v>6751391</v>
      </c>
      <c r="H43" s="131">
        <v>626601</v>
      </c>
      <c r="I43" s="131">
        <v>554862</v>
      </c>
      <c r="J43" s="131">
        <v>679297</v>
      </c>
      <c r="K43" s="131">
        <v>585374</v>
      </c>
      <c r="L43" s="131">
        <v>9446</v>
      </c>
      <c r="M43" s="131">
        <v>196175</v>
      </c>
      <c r="N43" s="131">
        <v>666074</v>
      </c>
      <c r="O43" s="131">
        <v>714243</v>
      </c>
      <c r="P43" s="131">
        <v>706827</v>
      </c>
      <c r="Q43" s="131">
        <v>656511</v>
      </c>
      <c r="R43" s="131">
        <v>683248</v>
      </c>
      <c r="S43" s="131">
        <v>672733</v>
      </c>
    </row>
    <row r="44" spans="1:19">
      <c r="A44" s="71">
        <f>A43+1</f>
        <v>27</v>
      </c>
      <c r="B44" s="67" t="s">
        <v>106</v>
      </c>
      <c r="C44" s="85"/>
      <c r="D44" s="135">
        <f t="shared" si="11"/>
        <v>8</v>
      </c>
      <c r="E44" s="151">
        <f>SUM(E41:E43)</f>
        <v>18934</v>
      </c>
      <c r="F44" s="150"/>
      <c r="G44" s="131">
        <f t="shared" si="12"/>
        <v>8056</v>
      </c>
      <c r="H44" s="131">
        <v>93</v>
      </c>
      <c r="I44" s="131">
        <v>929</v>
      </c>
      <c r="J44" s="131">
        <v>-859</v>
      </c>
      <c r="K44" s="131">
        <v>-249</v>
      </c>
      <c r="L44" s="131">
        <v>-93</v>
      </c>
      <c r="M44" s="131">
        <v>5088</v>
      </c>
      <c r="N44" s="131">
        <v>1199</v>
      </c>
      <c r="O44" s="131">
        <v>50</v>
      </c>
      <c r="P44" s="131">
        <v>-52</v>
      </c>
      <c r="Q44" s="131">
        <v>487</v>
      </c>
      <c r="R44" s="131">
        <v>1888</v>
      </c>
      <c r="S44" s="131">
        <v>-425</v>
      </c>
    </row>
    <row r="45" spans="1:19">
      <c r="A45" s="71">
        <f>A44+1</f>
        <v>28</v>
      </c>
      <c r="B45" s="81" t="s">
        <v>105</v>
      </c>
      <c r="C45" s="83"/>
      <c r="D45" s="135">
        <f t="shared" si="11"/>
        <v>19080</v>
      </c>
      <c r="G45" s="131">
        <f t="shared" si="12"/>
        <v>19080206</v>
      </c>
      <c r="H45" s="131">
        <v>2183195</v>
      </c>
      <c r="I45" s="131">
        <v>895901</v>
      </c>
      <c r="J45" s="131">
        <v>2130831</v>
      </c>
      <c r="K45" s="131">
        <v>1522366</v>
      </c>
      <c r="L45" s="131">
        <v>574651</v>
      </c>
      <c r="M45" s="131">
        <v>1456675</v>
      </c>
      <c r="N45" s="131">
        <v>847317</v>
      </c>
      <c r="O45" s="131">
        <v>1275042</v>
      </c>
      <c r="P45" s="131">
        <v>1879646</v>
      </c>
      <c r="Q45" s="131">
        <v>2362829</v>
      </c>
      <c r="R45" s="131">
        <v>2219931</v>
      </c>
      <c r="S45" s="131">
        <v>1731822</v>
      </c>
    </row>
    <row r="46" spans="1:19">
      <c r="A46" s="71">
        <f>A45+1</f>
        <v>29</v>
      </c>
      <c r="B46" s="69" t="s">
        <v>104</v>
      </c>
      <c r="C46" s="84"/>
      <c r="D46" s="135">
        <f t="shared" si="11"/>
        <v>251</v>
      </c>
      <c r="G46" s="131">
        <f t="shared" si="12"/>
        <v>251206</v>
      </c>
      <c r="H46" s="131">
        <v>0</v>
      </c>
      <c r="I46" s="131">
        <v>0</v>
      </c>
      <c r="J46" s="131">
        <v>0</v>
      </c>
      <c r="K46" s="131">
        <v>8942</v>
      </c>
      <c r="L46" s="131">
        <v>9180</v>
      </c>
      <c r="M46" s="131">
        <v>48750</v>
      </c>
      <c r="N46" s="131">
        <v>6518</v>
      </c>
      <c r="O46" s="131">
        <v>104521</v>
      </c>
      <c r="P46" s="131">
        <v>70983</v>
      </c>
      <c r="Q46" s="131">
        <v>0</v>
      </c>
      <c r="R46" s="131">
        <v>2312</v>
      </c>
      <c r="S46" s="131">
        <v>0</v>
      </c>
    </row>
    <row r="47" spans="1:19">
      <c r="A47" s="83">
        <f>A46+1</f>
        <v>30</v>
      </c>
      <c r="B47" s="67" t="s">
        <v>103</v>
      </c>
      <c r="D47" s="78">
        <f>SUM(D43:D46)</f>
        <v>26090</v>
      </c>
      <c r="E47" s="105">
        <v>28060</v>
      </c>
      <c r="G47" s="133">
        <f>SUM(G43:G46)</f>
        <v>26090859</v>
      </c>
      <c r="H47" s="133">
        <f t="shared" ref="H47:S47" si="13">SUM(H43:H46)</f>
        <v>2809889</v>
      </c>
      <c r="I47" s="133">
        <f t="shared" si="13"/>
        <v>1451692</v>
      </c>
      <c r="J47" s="133">
        <f t="shared" si="13"/>
        <v>2809269</v>
      </c>
      <c r="K47" s="133">
        <f t="shared" si="13"/>
        <v>2116433</v>
      </c>
      <c r="L47" s="133">
        <f t="shared" si="13"/>
        <v>593184</v>
      </c>
      <c r="M47" s="133">
        <f t="shared" si="13"/>
        <v>1706688</v>
      </c>
      <c r="N47" s="133">
        <f t="shared" si="13"/>
        <v>1521108</v>
      </c>
      <c r="O47" s="133">
        <f t="shared" si="13"/>
        <v>2093856</v>
      </c>
      <c r="P47" s="133">
        <f t="shared" si="13"/>
        <v>2657404</v>
      </c>
      <c r="Q47" s="133">
        <f t="shared" si="13"/>
        <v>3019827</v>
      </c>
      <c r="R47" s="133">
        <f t="shared" si="13"/>
        <v>2907379</v>
      </c>
      <c r="S47" s="133">
        <f t="shared" si="13"/>
        <v>2404130</v>
      </c>
    </row>
    <row r="48" spans="1:19">
      <c r="A48" s="71"/>
      <c r="D48" s="72"/>
      <c r="E48" s="106">
        <f>E47-D47</f>
        <v>1970</v>
      </c>
      <c r="F48" s="208" t="s">
        <v>146</v>
      </c>
    </row>
    <row r="49" spans="1:19">
      <c r="A49" s="71"/>
      <c r="B49" s="79" t="s">
        <v>102</v>
      </c>
      <c r="D49" s="72"/>
      <c r="F49" s="208"/>
    </row>
    <row r="50" spans="1:19">
      <c r="A50" s="71">
        <f>A47+1</f>
        <v>31</v>
      </c>
      <c r="B50" s="80" t="s">
        <v>101</v>
      </c>
      <c r="D50" s="135">
        <f t="shared" ref="D50:D60" si="14">ROUND(G50/1000,0)</f>
        <v>28234</v>
      </c>
      <c r="G50" s="131">
        <f t="shared" ref="G50:G53" si="15">SUM(H50:S50)</f>
        <v>28233985</v>
      </c>
      <c r="H50" s="131">
        <v>3721117</v>
      </c>
      <c r="I50" s="131">
        <v>2449832</v>
      </c>
      <c r="J50" s="131">
        <v>3201306</v>
      </c>
      <c r="K50" s="131">
        <v>2230502</v>
      </c>
      <c r="L50" s="131">
        <v>619692</v>
      </c>
      <c r="M50" s="131">
        <v>1250902</v>
      </c>
      <c r="N50" s="131">
        <v>3342340</v>
      </c>
      <c r="O50" s="131">
        <v>3561575</v>
      </c>
      <c r="P50" s="131">
        <v>2427012</v>
      </c>
      <c r="Q50" s="131">
        <v>610298</v>
      </c>
      <c r="R50" s="131">
        <v>3646789</v>
      </c>
      <c r="S50" s="131">
        <v>1172620</v>
      </c>
    </row>
    <row r="51" spans="1:19">
      <c r="A51" s="71">
        <f t="shared" ref="A51:A61" si="16">A50+1</f>
        <v>32</v>
      </c>
      <c r="B51" s="80" t="s">
        <v>100</v>
      </c>
      <c r="D51" s="135">
        <f t="shared" si="14"/>
        <v>0</v>
      </c>
      <c r="G51" s="131">
        <f t="shared" si="15"/>
        <v>0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19">
      <c r="A52" s="71">
        <f t="shared" si="16"/>
        <v>33</v>
      </c>
      <c r="B52" s="80" t="s">
        <v>99</v>
      </c>
      <c r="D52" s="135">
        <f t="shared" si="14"/>
        <v>29652</v>
      </c>
      <c r="G52" s="131">
        <f t="shared" si="15"/>
        <v>29652121</v>
      </c>
      <c r="H52" s="131">
        <v>3228167</v>
      </c>
      <c r="I52" s="131">
        <v>2007130</v>
      </c>
      <c r="J52" s="131">
        <v>3075485</v>
      </c>
      <c r="K52" s="131">
        <v>1912297</v>
      </c>
      <c r="L52" s="131">
        <v>1066080</v>
      </c>
      <c r="M52" s="131">
        <v>925950</v>
      </c>
      <c r="N52" s="131">
        <v>3017772</v>
      </c>
      <c r="O52" s="131">
        <v>2993539</v>
      </c>
      <c r="P52" s="131">
        <v>2764033</v>
      </c>
      <c r="Q52" s="131">
        <v>2606766</v>
      </c>
      <c r="R52" s="131">
        <v>3017151</v>
      </c>
      <c r="S52" s="131">
        <v>3037751</v>
      </c>
    </row>
    <row r="53" spans="1:19">
      <c r="A53" s="71">
        <f t="shared" si="16"/>
        <v>34</v>
      </c>
      <c r="B53" s="80" t="s">
        <v>98</v>
      </c>
      <c r="D53" s="135">
        <f t="shared" si="14"/>
        <v>0</v>
      </c>
      <c r="G53" s="131">
        <f t="shared" si="15"/>
        <v>0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19">
      <c r="A54" s="71">
        <f t="shared" si="16"/>
        <v>35</v>
      </c>
      <c r="B54" s="67" t="s">
        <v>97</v>
      </c>
      <c r="D54" s="135">
        <f t="shared" si="14"/>
        <v>0</v>
      </c>
      <c r="G54" s="131">
        <f t="shared" ref="G54:G60" si="17">SUM(H54:S54)</f>
        <v>0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:19">
      <c r="A55" s="71">
        <f t="shared" si="16"/>
        <v>36</v>
      </c>
      <c r="B55" s="67" t="s">
        <v>214</v>
      </c>
      <c r="D55" s="135">
        <f t="shared" si="14"/>
        <v>0</v>
      </c>
      <c r="G55" s="131">
        <f t="shared" si="17"/>
        <v>0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19">
      <c r="A56" s="71">
        <f t="shared" si="16"/>
        <v>37</v>
      </c>
      <c r="B56" s="67" t="s">
        <v>96</v>
      </c>
      <c r="D56" s="135">
        <f t="shared" si="14"/>
        <v>0</v>
      </c>
      <c r="G56" s="131">
        <f t="shared" si="17"/>
        <v>0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1:19">
      <c r="A57" s="71">
        <f t="shared" si="16"/>
        <v>38</v>
      </c>
      <c r="B57" s="81" t="s">
        <v>95</v>
      </c>
      <c r="C57" s="81"/>
      <c r="D57" s="135">
        <f t="shared" si="14"/>
        <v>3954</v>
      </c>
      <c r="G57" s="131">
        <f t="shared" si="17"/>
        <v>3953846</v>
      </c>
      <c r="H57" s="131">
        <v>3176</v>
      </c>
      <c r="I57" s="131">
        <v>59358</v>
      </c>
      <c r="J57" s="131">
        <v>18349</v>
      </c>
      <c r="K57" s="131">
        <v>65122</v>
      </c>
      <c r="L57" s="131">
        <v>138016</v>
      </c>
      <c r="M57" s="131">
        <v>20335</v>
      </c>
      <c r="N57" s="131">
        <v>806059</v>
      </c>
      <c r="O57" s="131">
        <v>904957</v>
      </c>
      <c r="P57" s="131">
        <v>467318</v>
      </c>
      <c r="Q57" s="131">
        <v>1006715</v>
      </c>
      <c r="R57" s="131">
        <v>425327</v>
      </c>
      <c r="S57" s="131">
        <v>39114</v>
      </c>
    </row>
    <row r="58" spans="1:19">
      <c r="A58" s="71">
        <f t="shared" si="16"/>
        <v>39</v>
      </c>
      <c r="B58" s="67" t="s">
        <v>94</v>
      </c>
      <c r="D58" s="135">
        <f t="shared" si="14"/>
        <v>44</v>
      </c>
      <c r="G58" s="131">
        <f t="shared" si="17"/>
        <v>43505</v>
      </c>
      <c r="H58" s="131">
        <v>2244</v>
      </c>
      <c r="I58" s="131">
        <v>11535</v>
      </c>
      <c r="J58" s="131">
        <v>1931</v>
      </c>
      <c r="K58" s="131">
        <v>1504</v>
      </c>
      <c r="L58" s="131">
        <v>1164</v>
      </c>
      <c r="M58" s="131">
        <v>8398</v>
      </c>
      <c r="N58" s="131">
        <v>1300</v>
      </c>
      <c r="O58" s="131">
        <v>1328</v>
      </c>
      <c r="P58" s="131">
        <v>1181</v>
      </c>
      <c r="Q58" s="131">
        <v>2148</v>
      </c>
      <c r="R58" s="131">
        <v>11274</v>
      </c>
      <c r="S58" s="131">
        <v>-502</v>
      </c>
    </row>
    <row r="59" spans="1:19">
      <c r="A59" s="71">
        <f t="shared" si="16"/>
        <v>40</v>
      </c>
      <c r="B59" s="67" t="s">
        <v>93</v>
      </c>
      <c r="D59" s="135">
        <f t="shared" si="14"/>
        <v>1118</v>
      </c>
      <c r="G59" s="131">
        <f t="shared" si="17"/>
        <v>1117748</v>
      </c>
      <c r="H59" s="131">
        <v>9587</v>
      </c>
      <c r="I59" s="131">
        <v>32574</v>
      </c>
      <c r="J59" s="131">
        <v>14367</v>
      </c>
      <c r="K59" s="131">
        <v>16430</v>
      </c>
      <c r="L59" s="131">
        <v>49935</v>
      </c>
      <c r="M59" s="131">
        <v>27262</v>
      </c>
      <c r="N59" s="131">
        <v>161056</v>
      </c>
      <c r="O59" s="131">
        <v>186465</v>
      </c>
      <c r="P59" s="131">
        <v>142461</v>
      </c>
      <c r="Q59" s="131">
        <v>266208</v>
      </c>
      <c r="R59" s="131">
        <v>140345</v>
      </c>
      <c r="S59" s="131">
        <v>71058</v>
      </c>
    </row>
    <row r="60" spans="1:19">
      <c r="A60" s="71">
        <f t="shared" si="16"/>
        <v>41</v>
      </c>
      <c r="B60" s="82" t="s">
        <v>92</v>
      </c>
      <c r="C60" s="69"/>
      <c r="D60" s="135">
        <f t="shared" si="14"/>
        <v>237</v>
      </c>
      <c r="G60" s="131">
        <f t="shared" si="17"/>
        <v>236548</v>
      </c>
      <c r="H60" s="131">
        <v>5</v>
      </c>
      <c r="I60" s="131">
        <v>4249</v>
      </c>
      <c r="J60" s="131">
        <v>1968</v>
      </c>
      <c r="K60" s="131">
        <v>5147</v>
      </c>
      <c r="L60" s="131">
        <v>1935</v>
      </c>
      <c r="M60" s="131">
        <v>2105</v>
      </c>
      <c r="N60" s="131">
        <v>48328</v>
      </c>
      <c r="O60" s="131">
        <v>61499</v>
      </c>
      <c r="P60" s="131">
        <v>34991</v>
      </c>
      <c r="Q60" s="131">
        <v>14934</v>
      </c>
      <c r="R60" s="131">
        <v>45682</v>
      </c>
      <c r="S60" s="131">
        <v>15705</v>
      </c>
    </row>
    <row r="61" spans="1:19">
      <c r="A61" s="71">
        <f t="shared" si="16"/>
        <v>42</v>
      </c>
      <c r="B61" s="67" t="s">
        <v>91</v>
      </c>
      <c r="D61" s="78">
        <f>SUM(D50:D60)</f>
        <v>63239</v>
      </c>
      <c r="E61" s="72">
        <v>63238</v>
      </c>
      <c r="G61" s="133">
        <f>SUM(G50:G60)</f>
        <v>63237753</v>
      </c>
      <c r="H61" s="133">
        <f t="shared" ref="H61:S61" si="18">SUM(H50:H60)</f>
        <v>6964296</v>
      </c>
      <c r="I61" s="133">
        <f t="shared" si="18"/>
        <v>4564678</v>
      </c>
      <c r="J61" s="133">
        <f t="shared" si="18"/>
        <v>6313406</v>
      </c>
      <c r="K61" s="133">
        <f t="shared" si="18"/>
        <v>4231002</v>
      </c>
      <c r="L61" s="133">
        <f t="shared" si="18"/>
        <v>1876822</v>
      </c>
      <c r="M61" s="133">
        <f t="shared" si="18"/>
        <v>2234952</v>
      </c>
      <c r="N61" s="133">
        <f t="shared" si="18"/>
        <v>7376855</v>
      </c>
      <c r="O61" s="133">
        <f t="shared" si="18"/>
        <v>7709363</v>
      </c>
      <c r="P61" s="133">
        <f t="shared" si="18"/>
        <v>5836996</v>
      </c>
      <c r="Q61" s="133">
        <f t="shared" si="18"/>
        <v>4507069</v>
      </c>
      <c r="R61" s="133">
        <f t="shared" si="18"/>
        <v>7286568</v>
      </c>
      <c r="S61" s="133">
        <f t="shared" si="18"/>
        <v>4335746</v>
      </c>
    </row>
    <row r="62" spans="1:19">
      <c r="A62" s="71"/>
    </row>
    <row r="63" spans="1:19">
      <c r="A63" s="71"/>
      <c r="D63" s="72"/>
    </row>
    <row r="64" spans="1:19">
      <c r="A64" s="71"/>
      <c r="D64" s="72"/>
    </row>
    <row r="65" spans="1:19">
      <c r="A65" s="71"/>
      <c r="D65" s="72"/>
    </row>
    <row r="66" spans="1:19">
      <c r="A66" s="71"/>
      <c r="B66" s="79" t="s">
        <v>90</v>
      </c>
      <c r="D66" s="72"/>
    </row>
    <row r="67" spans="1:19">
      <c r="A67" s="71"/>
      <c r="B67" s="67" t="s">
        <v>139</v>
      </c>
      <c r="C67" s="81"/>
      <c r="D67" s="135">
        <f t="shared" ref="D67:D76" si="19">ROUND(G67/1000,0)</f>
        <v>17529</v>
      </c>
      <c r="G67" s="131">
        <f t="shared" ref="G67:G74" si="20">SUM(H67:S67)</f>
        <v>17529487</v>
      </c>
      <c r="H67" s="131">
        <v>1537140</v>
      </c>
      <c r="I67" s="131">
        <v>1480382</v>
      </c>
      <c r="J67" s="131">
        <v>1516859</v>
      </c>
      <c r="K67" s="131">
        <v>1455249</v>
      </c>
      <c r="L67" s="131">
        <v>1428486</v>
      </c>
      <c r="M67" s="131">
        <v>1408481</v>
      </c>
      <c r="N67" s="131">
        <v>1431372</v>
      </c>
      <c r="O67" s="131">
        <v>1471267</v>
      </c>
      <c r="P67" s="131">
        <v>1507466</v>
      </c>
      <c r="Q67" s="131">
        <v>1419923</v>
      </c>
      <c r="R67" s="131">
        <v>1453500</v>
      </c>
      <c r="S67" s="131">
        <v>1419362</v>
      </c>
    </row>
    <row r="68" spans="1:19">
      <c r="A68" s="71">
        <f>A61+1</f>
        <v>43</v>
      </c>
      <c r="B68" s="67" t="s">
        <v>89</v>
      </c>
      <c r="C68" s="81"/>
      <c r="D68" s="135">
        <f t="shared" si="19"/>
        <v>0</v>
      </c>
      <c r="G68" s="131">
        <f t="shared" si="20"/>
        <v>0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>
      <c r="A69" s="71">
        <f>A68+1</f>
        <v>44</v>
      </c>
      <c r="B69" s="67" t="s">
        <v>88</v>
      </c>
      <c r="D69" s="135">
        <f t="shared" si="19"/>
        <v>0</v>
      </c>
      <c r="G69" s="131">
        <f t="shared" si="20"/>
        <v>0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1:19">
      <c r="A70" s="71">
        <f t="shared" ref="A70:A77" si="21">A69+1</f>
        <v>45</v>
      </c>
      <c r="B70" s="67" t="s">
        <v>87</v>
      </c>
      <c r="D70" s="135">
        <f t="shared" si="19"/>
        <v>0</v>
      </c>
      <c r="G70" s="131">
        <f t="shared" si="20"/>
        <v>0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  <row r="71" spans="1:19">
      <c r="A71" s="71">
        <f t="shared" si="21"/>
        <v>46</v>
      </c>
      <c r="B71" s="67" t="s">
        <v>86</v>
      </c>
      <c r="D71" s="135">
        <f t="shared" si="19"/>
        <v>0</v>
      </c>
      <c r="G71" s="131">
        <f t="shared" si="20"/>
        <v>0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1:19">
      <c r="A72" s="71">
        <f t="shared" si="21"/>
        <v>47</v>
      </c>
      <c r="B72" s="67" t="s">
        <v>85</v>
      </c>
      <c r="D72" s="135">
        <f t="shared" si="19"/>
        <v>0</v>
      </c>
      <c r="G72" s="131">
        <f t="shared" si="20"/>
        <v>0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</row>
    <row r="73" spans="1:19">
      <c r="A73" s="71">
        <f t="shared" si="21"/>
        <v>48</v>
      </c>
      <c r="B73" s="67" t="s">
        <v>84</v>
      </c>
      <c r="D73" s="135">
        <f t="shared" si="19"/>
        <v>0</v>
      </c>
      <c r="G73" s="131">
        <f t="shared" si="20"/>
        <v>0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</row>
    <row r="74" spans="1:19">
      <c r="A74" s="71">
        <f t="shared" si="21"/>
        <v>49</v>
      </c>
      <c r="B74" s="67" t="s">
        <v>83</v>
      </c>
      <c r="D74" s="135">
        <f t="shared" si="19"/>
        <v>0</v>
      </c>
      <c r="G74" s="131">
        <f t="shared" si="20"/>
        <v>0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</row>
    <row r="75" spans="1:19">
      <c r="A75" s="71">
        <f t="shared" si="21"/>
        <v>50</v>
      </c>
      <c r="B75" s="67" t="s">
        <v>82</v>
      </c>
      <c r="C75" s="81"/>
      <c r="D75" s="135">
        <f t="shared" si="19"/>
        <v>0</v>
      </c>
      <c r="G75" s="131">
        <f t="shared" ref="G75:G76" si="22">SUM(H75:S75)</f>
        <v>0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</row>
    <row r="76" spans="1:19">
      <c r="A76" s="71">
        <f t="shared" si="21"/>
        <v>51</v>
      </c>
      <c r="B76" s="69" t="s">
        <v>81</v>
      </c>
      <c r="C76" s="69"/>
      <c r="D76" s="135">
        <f t="shared" si="19"/>
        <v>0</v>
      </c>
      <c r="G76" s="131">
        <f t="shared" si="22"/>
        <v>0</v>
      </c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1:19">
      <c r="A77" s="71">
        <f t="shared" si="21"/>
        <v>52</v>
      </c>
      <c r="B77" s="67" t="s">
        <v>80</v>
      </c>
      <c r="D77" s="78">
        <f>SUM(D67:D76)</f>
        <v>17529</v>
      </c>
      <c r="E77" s="72">
        <v>174529</v>
      </c>
      <c r="G77" s="133">
        <f>SUM(G67:G76)</f>
        <v>17529487</v>
      </c>
      <c r="H77" s="133">
        <f t="shared" ref="H77:S77" si="23">SUM(H67:H76)</f>
        <v>1537140</v>
      </c>
      <c r="I77" s="133">
        <f t="shared" si="23"/>
        <v>1480382</v>
      </c>
      <c r="J77" s="133">
        <f t="shared" si="23"/>
        <v>1516859</v>
      </c>
      <c r="K77" s="133">
        <f t="shared" si="23"/>
        <v>1455249</v>
      </c>
      <c r="L77" s="133">
        <f t="shared" si="23"/>
        <v>1428486</v>
      </c>
      <c r="M77" s="133">
        <f t="shared" si="23"/>
        <v>1408481</v>
      </c>
      <c r="N77" s="133">
        <f t="shared" si="23"/>
        <v>1431372</v>
      </c>
      <c r="O77" s="133">
        <f t="shared" si="23"/>
        <v>1471267</v>
      </c>
      <c r="P77" s="133">
        <f t="shared" si="23"/>
        <v>1507466</v>
      </c>
      <c r="Q77" s="133">
        <f t="shared" si="23"/>
        <v>1419923</v>
      </c>
      <c r="R77" s="133">
        <f t="shared" si="23"/>
        <v>1453500</v>
      </c>
      <c r="S77" s="133">
        <f t="shared" si="23"/>
        <v>1419362</v>
      </c>
    </row>
    <row r="78" spans="1:19" ht="12.95" customHeight="1">
      <c r="A78" s="71"/>
    </row>
    <row r="79" spans="1:19" ht="12" customHeight="1">
      <c r="A79" s="71"/>
      <c r="B79" s="79" t="s">
        <v>79</v>
      </c>
      <c r="D79" s="72"/>
    </row>
    <row r="80" spans="1:19" ht="12" customHeight="1">
      <c r="A80" s="71">
        <f>A77+1</f>
        <v>53</v>
      </c>
      <c r="B80" s="67" t="s">
        <v>78</v>
      </c>
      <c r="D80" s="76"/>
      <c r="G80" s="131">
        <f t="shared" ref="G80" si="24">SUM(H80:S80)</f>
        <v>0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</row>
    <row r="81" spans="1:19" ht="12" customHeight="1">
      <c r="A81" s="71"/>
      <c r="D81" s="72"/>
    </row>
    <row r="82" spans="1:19" ht="12" customHeight="1">
      <c r="A82" s="71">
        <f>A80+1</f>
        <v>54</v>
      </c>
      <c r="B82" s="162" t="s">
        <v>77</v>
      </c>
      <c r="C82" s="163"/>
      <c r="D82" s="164">
        <f>D27+D40+D47+D61+D77+D80</f>
        <v>301695</v>
      </c>
    </row>
    <row r="83" spans="1:19" ht="12" customHeight="1">
      <c r="A83" s="71"/>
      <c r="B83" s="70"/>
      <c r="D83" s="72"/>
    </row>
    <row r="84" spans="1:19" ht="12" customHeight="1">
      <c r="A84" s="71"/>
      <c r="B84" s="79" t="s">
        <v>76</v>
      </c>
      <c r="D84" s="72"/>
    </row>
    <row r="85" spans="1:19" ht="12.95" customHeight="1">
      <c r="A85" s="71">
        <f>A82+1</f>
        <v>55</v>
      </c>
      <c r="B85" s="67" t="s">
        <v>75</v>
      </c>
      <c r="D85" s="135">
        <f>-ROUND(G85/1000,0)</f>
        <v>78486</v>
      </c>
      <c r="G85" s="131">
        <f t="shared" ref="G85:G94" si="25">SUM(H85:S85)</f>
        <v>-78485816</v>
      </c>
      <c r="H85" s="131">
        <v>-11050528</v>
      </c>
      <c r="I85" s="131">
        <v>-7466737</v>
      </c>
      <c r="J85" s="131">
        <v>-9182024</v>
      </c>
      <c r="K85" s="131">
        <v>-11923918</v>
      </c>
      <c r="L85" s="131">
        <v>-5578440</v>
      </c>
      <c r="M85" s="131">
        <v>-6436712</v>
      </c>
      <c r="N85" s="131">
        <v>-1152037</v>
      </c>
      <c r="O85" s="131">
        <v>-8024373</v>
      </c>
      <c r="P85" s="131">
        <v>-4057183</v>
      </c>
      <c r="Q85" s="131">
        <v>193004</v>
      </c>
      <c r="R85" s="131">
        <v>-7918703</v>
      </c>
      <c r="S85" s="131">
        <v>-5888165</v>
      </c>
    </row>
    <row r="86" spans="1:19" ht="12.95" customHeight="1">
      <c r="A86" s="71">
        <f t="shared" ref="A86:A95" si="26">A85+1</f>
        <v>56</v>
      </c>
      <c r="B86" s="67" t="s">
        <v>74</v>
      </c>
      <c r="D86" s="135">
        <f t="shared" ref="D86:D94" si="27">-ROUND(G86/1000,0)</f>
        <v>0</v>
      </c>
      <c r="G86" s="131">
        <f t="shared" si="25"/>
        <v>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2.95" customHeight="1">
      <c r="A87" s="71">
        <f t="shared" si="26"/>
        <v>57</v>
      </c>
      <c r="B87" s="67" t="s">
        <v>73</v>
      </c>
      <c r="D87" s="135">
        <f t="shared" si="27"/>
        <v>0</v>
      </c>
      <c r="G87" s="131">
        <f t="shared" si="25"/>
        <v>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</row>
    <row r="88" spans="1:19">
      <c r="A88" s="71">
        <f t="shared" si="26"/>
        <v>58</v>
      </c>
      <c r="B88" s="80" t="s">
        <v>72</v>
      </c>
      <c r="D88" s="135">
        <f t="shared" si="27"/>
        <v>0</v>
      </c>
      <c r="G88" s="131">
        <f t="shared" si="25"/>
        <v>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</row>
    <row r="89" spans="1:19">
      <c r="A89" s="71">
        <f t="shared" si="26"/>
        <v>59</v>
      </c>
      <c r="B89" s="67" t="s">
        <v>71</v>
      </c>
      <c r="D89" s="135">
        <f t="shared" si="27"/>
        <v>-1502</v>
      </c>
      <c r="G89" s="131">
        <f t="shared" si="25"/>
        <v>1502104</v>
      </c>
      <c r="H89" s="131">
        <v>96850</v>
      </c>
      <c r="I89" s="131">
        <v>54051</v>
      </c>
      <c r="J89" s="131">
        <v>67735</v>
      </c>
      <c r="K89" s="131">
        <v>46838</v>
      </c>
      <c r="L89" s="131">
        <v>23444</v>
      </c>
      <c r="M89" s="131">
        <v>38086</v>
      </c>
      <c r="N89" s="131">
        <v>256173</v>
      </c>
      <c r="O89" s="131">
        <v>268722</v>
      </c>
      <c r="P89" s="131">
        <v>122395</v>
      </c>
      <c r="Q89" s="131">
        <v>152031</v>
      </c>
      <c r="R89" s="131">
        <v>185445</v>
      </c>
      <c r="S89" s="131">
        <v>190334</v>
      </c>
    </row>
    <row r="90" spans="1:19">
      <c r="A90" s="71">
        <f t="shared" si="26"/>
        <v>60</v>
      </c>
      <c r="B90" s="67" t="s">
        <v>70</v>
      </c>
      <c r="D90" s="135">
        <f t="shared" si="27"/>
        <v>-159</v>
      </c>
      <c r="G90" s="131">
        <f t="shared" si="25"/>
        <v>159382</v>
      </c>
      <c r="H90" s="131">
        <v>12978</v>
      </c>
      <c r="I90" s="131">
        <v>11594</v>
      </c>
      <c r="J90" s="131">
        <v>12269</v>
      </c>
      <c r="K90" s="131">
        <v>23957</v>
      </c>
      <c r="L90" s="131">
        <v>12240</v>
      </c>
      <c r="M90" s="131">
        <v>11887</v>
      </c>
      <c r="N90" s="131">
        <v>12458</v>
      </c>
      <c r="O90" s="131">
        <v>12397</v>
      </c>
      <c r="P90" s="131">
        <v>11830</v>
      </c>
      <c r="Q90" s="131">
        <v>12482</v>
      </c>
      <c r="R90" s="131">
        <v>12405</v>
      </c>
      <c r="S90" s="131">
        <v>12885</v>
      </c>
    </row>
    <row r="91" spans="1:19">
      <c r="A91" s="71">
        <f t="shared" si="26"/>
        <v>61</v>
      </c>
      <c r="B91" s="67" t="s">
        <v>69</v>
      </c>
      <c r="D91" s="135">
        <f t="shared" si="27"/>
        <v>-681</v>
      </c>
      <c r="G91" s="131">
        <f t="shared" si="25"/>
        <v>681080</v>
      </c>
      <c r="H91" s="131">
        <v>61859</v>
      </c>
      <c r="I91" s="131">
        <v>59141</v>
      </c>
      <c r="J91" s="131">
        <v>65628</v>
      </c>
      <c r="K91" s="131">
        <v>58213</v>
      </c>
      <c r="L91" s="131">
        <v>48440</v>
      </c>
      <c r="M91" s="131">
        <v>49177</v>
      </c>
      <c r="N91" s="131">
        <v>56197</v>
      </c>
      <c r="O91" s="131">
        <v>50370</v>
      </c>
      <c r="P91" s="131">
        <v>50107</v>
      </c>
      <c r="Q91" s="131">
        <v>59684</v>
      </c>
      <c r="R91" s="131">
        <v>59857</v>
      </c>
      <c r="S91" s="131">
        <v>62407</v>
      </c>
    </row>
    <row r="92" spans="1:19">
      <c r="A92" s="71">
        <f t="shared" si="26"/>
        <v>62</v>
      </c>
      <c r="B92" s="67" t="s">
        <v>68</v>
      </c>
      <c r="D92" s="135">
        <f t="shared" si="27"/>
        <v>0</v>
      </c>
      <c r="G92" s="131">
        <f t="shared" si="25"/>
        <v>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</row>
    <row r="93" spans="1:19">
      <c r="A93" s="71">
        <f t="shared" si="26"/>
        <v>63</v>
      </c>
      <c r="B93" s="67" t="s">
        <v>67</v>
      </c>
      <c r="D93" s="135">
        <f t="shared" si="27"/>
        <v>0</v>
      </c>
      <c r="G93" s="131">
        <f t="shared" si="25"/>
        <v>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</row>
    <row r="94" spans="1:19">
      <c r="A94" s="71">
        <f t="shared" si="26"/>
        <v>64</v>
      </c>
      <c r="B94" s="69" t="s">
        <v>66</v>
      </c>
      <c r="C94" s="69"/>
      <c r="D94" s="135">
        <f t="shared" si="27"/>
        <v>15611</v>
      </c>
      <c r="G94" s="131">
        <f t="shared" si="25"/>
        <v>-15610685</v>
      </c>
      <c r="H94" s="131">
        <v>-3148683</v>
      </c>
      <c r="I94" s="131">
        <v>-2334720</v>
      </c>
      <c r="J94" s="131">
        <v>-2161705</v>
      </c>
      <c r="K94" s="131">
        <v>554578</v>
      </c>
      <c r="L94" s="131">
        <v>-1211637</v>
      </c>
      <c r="M94" s="131">
        <v>-1350958</v>
      </c>
      <c r="N94" s="131">
        <v>-1175743</v>
      </c>
      <c r="O94" s="131">
        <v>-1019134</v>
      </c>
      <c r="P94" s="131">
        <v>-874375</v>
      </c>
      <c r="Q94" s="131">
        <v>-830108</v>
      </c>
      <c r="R94" s="131">
        <v>-1135045</v>
      </c>
      <c r="S94" s="131">
        <v>-923155</v>
      </c>
    </row>
    <row r="95" spans="1:19">
      <c r="A95" s="71">
        <f t="shared" si="26"/>
        <v>65</v>
      </c>
      <c r="B95" s="67" t="s">
        <v>65</v>
      </c>
      <c r="D95" s="136">
        <f>SUM(D85:D94)</f>
        <v>91755</v>
      </c>
      <c r="E95" s="72">
        <v>91775</v>
      </c>
      <c r="G95" s="133">
        <f>SUM(G85:G94)</f>
        <v>-91753935</v>
      </c>
      <c r="H95" s="133">
        <f t="shared" ref="H95:S95" si="28">SUM(H85:H94)</f>
        <v>-14027524</v>
      </c>
      <c r="I95" s="133">
        <f t="shared" si="28"/>
        <v>-9676671</v>
      </c>
      <c r="J95" s="133">
        <f t="shared" si="28"/>
        <v>-11198097</v>
      </c>
      <c r="K95" s="133">
        <f t="shared" si="28"/>
        <v>-11240332</v>
      </c>
      <c r="L95" s="133">
        <f t="shared" si="28"/>
        <v>-6705953</v>
      </c>
      <c r="M95" s="133">
        <f t="shared" si="28"/>
        <v>-7688520</v>
      </c>
      <c r="N95" s="133">
        <f t="shared" si="28"/>
        <v>-2002952</v>
      </c>
      <c r="O95" s="133">
        <f t="shared" si="28"/>
        <v>-8712018</v>
      </c>
      <c r="P95" s="133">
        <f t="shared" si="28"/>
        <v>-4747226</v>
      </c>
      <c r="Q95" s="133">
        <f t="shared" si="28"/>
        <v>-412907</v>
      </c>
      <c r="R95" s="133">
        <f t="shared" si="28"/>
        <v>-8796041</v>
      </c>
      <c r="S95" s="133">
        <f t="shared" si="28"/>
        <v>-6545694</v>
      </c>
    </row>
    <row r="96" spans="1:19">
      <c r="A96" s="71"/>
      <c r="E96" s="147">
        <f>E95-D95</f>
        <v>20</v>
      </c>
      <c r="F96" s="67" t="s">
        <v>234</v>
      </c>
    </row>
    <row r="97" spans="1:19">
      <c r="A97" s="71"/>
      <c r="B97" s="79" t="s">
        <v>64</v>
      </c>
      <c r="D97" s="72"/>
    </row>
    <row r="98" spans="1:19">
      <c r="A98" s="71">
        <f>A95+1</f>
        <v>66</v>
      </c>
      <c r="B98" s="67" t="s">
        <v>63</v>
      </c>
      <c r="D98" s="76">
        <f>-G98/1000</f>
        <v>4855.9219999999996</v>
      </c>
      <c r="G98" s="131">
        <f t="shared" ref="G98:G99" si="29">SUM(H98:S98)</f>
        <v>-4855922</v>
      </c>
      <c r="H98" s="131">
        <v>-1551698</v>
      </c>
      <c r="I98" s="131">
        <v>-257622</v>
      </c>
      <c r="J98" s="131">
        <v>-345931</v>
      </c>
      <c r="K98" s="131">
        <v>-308392</v>
      </c>
      <c r="L98" s="131">
        <v>-292745</v>
      </c>
      <c r="M98" s="131">
        <v>-292450</v>
      </c>
      <c r="N98" s="131">
        <v>-306206</v>
      </c>
      <c r="O98" s="131">
        <v>-312832</v>
      </c>
      <c r="P98" s="131">
        <v>-270044</v>
      </c>
      <c r="Q98" s="131">
        <v>-325119</v>
      </c>
      <c r="R98" s="131">
        <v>-295735</v>
      </c>
      <c r="S98" s="131">
        <v>-297148</v>
      </c>
    </row>
    <row r="99" spans="1:19">
      <c r="A99" s="71">
        <f>A98+1</f>
        <v>67</v>
      </c>
      <c r="B99" s="67" t="s">
        <v>62</v>
      </c>
      <c r="D99" s="76">
        <v>0</v>
      </c>
      <c r="G99" s="131">
        <f t="shared" si="29"/>
        <v>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</row>
    <row r="100" spans="1:19" hidden="1" outlineLevel="1">
      <c r="A100" s="71"/>
      <c r="D100" s="137"/>
      <c r="G100" s="134">
        <f t="shared" ref="G100:G104" si="30">SUM(H100:S100)</f>
        <v>-5327943</v>
      </c>
      <c r="H100" s="134">
        <v>-168836</v>
      </c>
      <c r="I100" s="134">
        <v>-1280368</v>
      </c>
      <c r="J100" s="134">
        <v>-712744</v>
      </c>
      <c r="K100" s="134">
        <v>-1424435</v>
      </c>
      <c r="L100" s="134">
        <v>-1952688</v>
      </c>
      <c r="M100" s="134">
        <v>-1566138</v>
      </c>
      <c r="N100" s="134">
        <v>-1059625</v>
      </c>
      <c r="O100" s="134">
        <v>-315640</v>
      </c>
      <c r="P100" s="134">
        <v>-834788</v>
      </c>
      <c r="Q100" s="134">
        <v>-1154925</v>
      </c>
      <c r="R100" s="134">
        <v>973890</v>
      </c>
      <c r="S100" s="134">
        <v>4168354</v>
      </c>
    </row>
    <row r="101" spans="1:19" hidden="1" outlineLevel="1">
      <c r="A101" s="71"/>
      <c r="D101" s="137"/>
      <c r="G101" s="134">
        <f t="shared" si="30"/>
        <v>-33445351</v>
      </c>
      <c r="H101" s="134">
        <v>-364889</v>
      </c>
      <c r="I101" s="134">
        <v>-2477540</v>
      </c>
      <c r="J101" s="134">
        <v>-2469784</v>
      </c>
      <c r="K101" s="134">
        <v>-3601157</v>
      </c>
      <c r="L101" s="134">
        <v>-5475344</v>
      </c>
      <c r="M101" s="134">
        <v>-5390232</v>
      </c>
      <c r="N101" s="134">
        <v>-1141788</v>
      </c>
      <c r="O101" s="134">
        <v>-1251787</v>
      </c>
      <c r="P101" s="134">
        <v>-1233448</v>
      </c>
      <c r="Q101" s="134">
        <v>-6461511</v>
      </c>
      <c r="R101" s="134">
        <v>-979330</v>
      </c>
      <c r="S101" s="134">
        <v>-2598541</v>
      </c>
    </row>
    <row r="102" spans="1:19" hidden="1" outlineLevel="1">
      <c r="A102" s="71"/>
      <c r="D102" s="137"/>
      <c r="G102" s="134">
        <f t="shared" si="30"/>
        <v>-755453</v>
      </c>
      <c r="H102" s="134">
        <v>0</v>
      </c>
      <c r="I102" s="134">
        <v>0</v>
      </c>
      <c r="J102" s="134">
        <v>-182104</v>
      </c>
      <c r="K102" s="134">
        <v>-49440</v>
      </c>
      <c r="L102" s="134">
        <v>-58523</v>
      </c>
      <c r="M102" s="134">
        <v>-68065</v>
      </c>
      <c r="N102" s="134">
        <v>-67171</v>
      </c>
      <c r="O102" s="134">
        <v>-62167</v>
      </c>
      <c r="P102" s="134">
        <v>-78295</v>
      </c>
      <c r="Q102" s="134">
        <v>-74042</v>
      </c>
      <c r="R102" s="134">
        <v>-71613</v>
      </c>
      <c r="S102" s="134">
        <v>-44033</v>
      </c>
    </row>
    <row r="103" spans="1:19" hidden="1" outlineLevel="1">
      <c r="A103" s="71"/>
      <c r="D103" s="137"/>
      <c r="G103" s="134">
        <f t="shared" si="30"/>
        <v>-30550888</v>
      </c>
      <c r="H103" s="134">
        <v>-4514484</v>
      </c>
      <c r="I103" s="134">
        <v>-1324718</v>
      </c>
      <c r="J103" s="134">
        <v>-1017222</v>
      </c>
      <c r="K103" s="134">
        <v>-816042</v>
      </c>
      <c r="L103" s="134">
        <v>-523918</v>
      </c>
      <c r="M103" s="134">
        <v>-664057</v>
      </c>
      <c r="N103" s="134">
        <v>-3408554</v>
      </c>
      <c r="O103" s="134">
        <v>-4540587</v>
      </c>
      <c r="P103" s="134">
        <v>-3692298</v>
      </c>
      <c r="Q103" s="134">
        <v>-1562158</v>
      </c>
      <c r="R103" s="134">
        <v>-2959363</v>
      </c>
      <c r="S103" s="134">
        <v>-5527487</v>
      </c>
    </row>
    <row r="104" spans="1:19" hidden="1" outlineLevel="1">
      <c r="A104" s="71"/>
      <c r="D104" s="137"/>
      <c r="G104" s="134">
        <f t="shared" si="30"/>
        <v>5765182</v>
      </c>
      <c r="H104" s="134">
        <v>187589</v>
      </c>
      <c r="I104" s="134">
        <v>238295</v>
      </c>
      <c r="J104" s="134">
        <v>27125</v>
      </c>
      <c r="K104" s="134">
        <v>371923</v>
      </c>
      <c r="L104" s="134">
        <v>107454</v>
      </c>
      <c r="M104" s="134">
        <v>225014</v>
      </c>
      <c r="N104" s="134">
        <v>356500</v>
      </c>
      <c r="O104" s="134">
        <v>1156300</v>
      </c>
      <c r="P104" s="134">
        <v>709500</v>
      </c>
      <c r="Q104" s="134">
        <v>1432550</v>
      </c>
      <c r="R104" s="134">
        <v>16750</v>
      </c>
      <c r="S104" s="134">
        <v>936182</v>
      </c>
    </row>
    <row r="105" spans="1:19" hidden="1" outlineLevel="1">
      <c r="A105" s="71"/>
      <c r="D105" s="137"/>
      <c r="G105" s="134">
        <f t="shared" ref="G105" si="31">SUM(H105:S105)</f>
        <v>-5765182</v>
      </c>
      <c r="H105" s="134">
        <v>-187589</v>
      </c>
      <c r="I105" s="134">
        <v>-238295</v>
      </c>
      <c r="J105" s="134">
        <v>-27125</v>
      </c>
      <c r="K105" s="134">
        <v>-371923</v>
      </c>
      <c r="L105" s="134">
        <v>-107454</v>
      </c>
      <c r="M105" s="134">
        <v>-225014</v>
      </c>
      <c r="N105" s="134">
        <v>-356500</v>
      </c>
      <c r="O105" s="134">
        <v>-1156300</v>
      </c>
      <c r="P105" s="134">
        <v>-709500</v>
      </c>
      <c r="Q105" s="134">
        <v>-1432550</v>
      </c>
      <c r="R105" s="134">
        <v>-16750</v>
      </c>
      <c r="S105" s="134">
        <v>-936182</v>
      </c>
    </row>
    <row r="106" spans="1:19" collapsed="1">
      <c r="A106" s="71">
        <f>A99+1</f>
        <v>68</v>
      </c>
      <c r="B106" s="69" t="s">
        <v>61</v>
      </c>
      <c r="C106" s="69"/>
      <c r="D106" s="135">
        <f>-ROUND(G106/1000,0)</f>
        <v>70080</v>
      </c>
      <c r="G106" s="131">
        <f>SUM(H106:S106)</f>
        <v>-70079635</v>
      </c>
      <c r="H106" s="131">
        <f>SUM(H100:H105)</f>
        <v>-5048209</v>
      </c>
      <c r="I106" s="131">
        <f t="shared" ref="I106:S106" si="32">SUM(I100:I105)</f>
        <v>-5082626</v>
      </c>
      <c r="J106" s="131">
        <f t="shared" si="32"/>
        <v>-4381854</v>
      </c>
      <c r="K106" s="131">
        <f t="shared" si="32"/>
        <v>-5891074</v>
      </c>
      <c r="L106" s="131">
        <f t="shared" si="32"/>
        <v>-8010473</v>
      </c>
      <c r="M106" s="131">
        <f t="shared" si="32"/>
        <v>-7688492</v>
      </c>
      <c r="N106" s="131">
        <f t="shared" si="32"/>
        <v>-5677138</v>
      </c>
      <c r="O106" s="131">
        <f t="shared" si="32"/>
        <v>-6170181</v>
      </c>
      <c r="P106" s="131">
        <f t="shared" si="32"/>
        <v>-5838829</v>
      </c>
      <c r="Q106" s="131">
        <f t="shared" si="32"/>
        <v>-9252636</v>
      </c>
      <c r="R106" s="131">
        <f t="shared" si="32"/>
        <v>-3036416</v>
      </c>
      <c r="S106" s="131">
        <f t="shared" si="32"/>
        <v>-4001707</v>
      </c>
    </row>
    <row r="107" spans="1:19">
      <c r="A107" s="71">
        <f>A106+1</f>
        <v>69</v>
      </c>
      <c r="B107" s="67" t="s">
        <v>60</v>
      </c>
      <c r="D107" s="78">
        <f>SUM(D98:D106)</f>
        <v>74935.922000000006</v>
      </c>
      <c r="E107" s="148">
        <f>99076228/1000</f>
        <v>99076.228000000003</v>
      </c>
      <c r="F107" s="106">
        <f>E107-D107</f>
        <v>24140.305999999997</v>
      </c>
      <c r="G107" s="133">
        <f>SUM(G98:G99,G106)</f>
        <v>-74935557</v>
      </c>
      <c r="H107" s="133">
        <f t="shared" ref="H107:S107" si="33">SUM(H98:H99,H106)</f>
        <v>-6599907</v>
      </c>
      <c r="I107" s="133">
        <f t="shared" si="33"/>
        <v>-5340248</v>
      </c>
      <c r="J107" s="133">
        <f t="shared" si="33"/>
        <v>-4727785</v>
      </c>
      <c r="K107" s="133">
        <f t="shared" si="33"/>
        <v>-6199466</v>
      </c>
      <c r="L107" s="133">
        <f t="shared" si="33"/>
        <v>-8303218</v>
      </c>
      <c r="M107" s="133">
        <f t="shared" si="33"/>
        <v>-7980942</v>
      </c>
      <c r="N107" s="133">
        <f t="shared" si="33"/>
        <v>-5983344</v>
      </c>
      <c r="O107" s="133">
        <f t="shared" si="33"/>
        <v>-6483013</v>
      </c>
      <c r="P107" s="133">
        <f t="shared" si="33"/>
        <v>-6108873</v>
      </c>
      <c r="Q107" s="133">
        <f t="shared" si="33"/>
        <v>-9577755</v>
      </c>
      <c r="R107" s="133">
        <f t="shared" si="33"/>
        <v>-3332151</v>
      </c>
      <c r="S107" s="133">
        <f t="shared" si="33"/>
        <v>-4298855</v>
      </c>
    </row>
    <row r="108" spans="1:19" s="150" customFormat="1" ht="13.15" customHeight="1">
      <c r="A108" s="155" t="s">
        <v>59</v>
      </c>
      <c r="D108" s="76"/>
      <c r="E108" s="148">
        <f>(60244+313914+12673000+924000+2362856+1747966+156508)/1000</f>
        <v>18238.488000000001</v>
      </c>
      <c r="F108" s="150" t="s">
        <v>152</v>
      </c>
      <c r="G108" s="152">
        <f t="shared" ref="G108:G110" si="34">SUM(H108:S108)</f>
        <v>-18187702</v>
      </c>
      <c r="H108" s="152">
        <v>-1346464</v>
      </c>
      <c r="I108" s="152">
        <v>-1432165</v>
      </c>
      <c r="J108" s="152">
        <v>-1085780</v>
      </c>
      <c r="K108" s="152">
        <v>-1084499</v>
      </c>
      <c r="L108" s="152">
        <v>-1558363</v>
      </c>
      <c r="M108" s="152">
        <v>-1680324</v>
      </c>
      <c r="N108" s="152">
        <v>-1890542</v>
      </c>
      <c r="O108" s="152">
        <v>-1741991</v>
      </c>
      <c r="P108" s="152">
        <v>-1215513</v>
      </c>
      <c r="Q108" s="156">
        <v>-1310638</v>
      </c>
      <c r="R108" s="156">
        <v>-1805571</v>
      </c>
      <c r="S108" s="156">
        <v>-2035852</v>
      </c>
    </row>
    <row r="109" spans="1:19">
      <c r="A109" s="71"/>
      <c r="B109" s="77" t="s">
        <v>58</v>
      </c>
      <c r="D109" s="72"/>
      <c r="E109" s="148">
        <f>(-1396884+10143377-9293981+8313170-2896096)/1000</f>
        <v>4869.5860000000002</v>
      </c>
      <c r="F109" s="67" t="s">
        <v>151</v>
      </c>
    </row>
    <row r="110" spans="1:19">
      <c r="A110" s="71">
        <f>A107+1</f>
        <v>70</v>
      </c>
      <c r="B110" s="67" t="s">
        <v>57</v>
      </c>
      <c r="D110" s="76">
        <v>0</v>
      </c>
      <c r="E110" s="148">
        <f>1032598/1000</f>
        <v>1032.598</v>
      </c>
      <c r="F110" s="67" t="s">
        <v>150</v>
      </c>
      <c r="G110" s="131">
        <f t="shared" si="34"/>
        <v>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</row>
    <row r="111" spans="1:19" ht="12.6" customHeight="1">
      <c r="A111" s="71"/>
      <c r="D111" s="76"/>
      <c r="E111" s="107">
        <f>SUM(E108:E110)</f>
        <v>24140.671999999999</v>
      </c>
    </row>
    <row r="112" spans="1:19" ht="6" customHeight="1">
      <c r="A112" s="71"/>
      <c r="D112" s="72"/>
    </row>
    <row r="113" spans="1:4">
      <c r="A113" s="71">
        <f>A110+1</f>
        <v>71</v>
      </c>
      <c r="B113" s="75" t="s">
        <v>56</v>
      </c>
      <c r="C113" s="74"/>
      <c r="D113" s="73">
        <f>D95+D107+D110</f>
        <v>166690.92200000002</v>
      </c>
    </row>
    <row r="114" spans="1:4" ht="7.5" customHeight="1">
      <c r="A114" s="71"/>
      <c r="D114" s="72"/>
    </row>
    <row r="115" spans="1:4">
      <c r="A115" s="71">
        <f>A113+1</f>
        <v>72</v>
      </c>
      <c r="B115" s="75" t="s">
        <v>55</v>
      </c>
      <c r="C115" s="74"/>
      <c r="D115" s="73">
        <f>D82-D113</f>
        <v>135004.07799999998</v>
      </c>
    </row>
    <row r="116" spans="1:4" ht="6" customHeight="1">
      <c r="A116" s="71"/>
      <c r="D116" s="72"/>
    </row>
    <row r="117" spans="1:4" ht="12.75" customHeight="1">
      <c r="A117" s="71"/>
      <c r="B117" s="70"/>
      <c r="D117" s="72"/>
    </row>
    <row r="118" spans="1:4">
      <c r="A118" s="207" t="s">
        <v>153</v>
      </c>
      <c r="B118" s="207"/>
      <c r="C118" s="207"/>
      <c r="D118" s="207"/>
    </row>
    <row r="119" spans="1:4" ht="12.75" customHeight="1" thickBot="1">
      <c r="A119" s="165"/>
      <c r="B119" s="166" t="s">
        <v>235</v>
      </c>
      <c r="C119" s="167"/>
      <c r="D119" s="168">
        <f>D113+E108</f>
        <v>184929.41000000003</v>
      </c>
    </row>
    <row r="120" spans="1:4" ht="13.5" thickTop="1">
      <c r="B120" s="153"/>
      <c r="C120" s="153"/>
      <c r="D120" s="153"/>
    </row>
    <row r="121" spans="1:4">
      <c r="B121" s="153"/>
      <c r="C121" s="153"/>
      <c r="D121" s="153"/>
    </row>
    <row r="122" spans="1:4">
      <c r="B122" s="153"/>
      <c r="C122" s="153"/>
      <c r="D122" s="153"/>
    </row>
    <row r="123" spans="1:4">
      <c r="B123" s="153"/>
      <c r="C123" s="154"/>
      <c r="D123" s="153"/>
    </row>
    <row r="124" spans="1:4">
      <c r="B124" s="153"/>
      <c r="C124" s="153"/>
      <c r="D124" s="153"/>
    </row>
  </sheetData>
  <mergeCells count="2">
    <mergeCell ref="A118:D118"/>
    <mergeCell ref="F48:F49"/>
  </mergeCells>
  <pageMargins left="0.75" right="0.75" top="1" bottom="1" header="0.5" footer="0.5"/>
  <pageSetup scale="80" orientation="portrait" r:id="rId1"/>
  <headerFooter scaleWithDoc="0">
    <oddFooter>&amp;C&amp;F / &amp;A&amp;RPage &amp;P</oddFooter>
  </headerFooter>
  <rowBreaks count="1" manualBreakCount="1">
    <brk id="64" max="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824E2A38C28745B23B2EF2E144EE06" ma:contentTypeVersion="48" ma:contentTypeDescription="" ma:contentTypeScope="" ma:versionID="ce1faf00838758e337ca928f69691c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2019-08-22T07:00:00+00:00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72D3CA-53A0-49F8-BE93-7597639B9C8D}"/>
</file>

<file path=customXml/itemProps2.xml><?xml version="1.0" encoding="utf-8"?>
<ds:datastoreItem xmlns:ds="http://schemas.openxmlformats.org/officeDocument/2006/customXml" ds:itemID="{172E1666-691C-4ECD-964B-5972937D839C}"/>
</file>

<file path=customXml/itemProps3.xml><?xml version="1.0" encoding="utf-8"?>
<ds:datastoreItem xmlns:ds="http://schemas.openxmlformats.org/officeDocument/2006/customXml" ds:itemID="{DB8D1B14-92D1-4FEE-9324-24AE8C355974}"/>
</file>

<file path=customXml/itemProps4.xml><?xml version="1.0" encoding="utf-8"?>
<ds:datastoreItem xmlns:ds="http://schemas.openxmlformats.org/officeDocument/2006/customXml" ds:itemID="{042A2B6B-8BE4-400A-A41C-C12D0F065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PF Power Supply Adjustments</vt:lpstr>
      <vt:lpstr>Monthly Authorized</vt:lpstr>
      <vt:lpstr>12.2018 Actual</vt:lpstr>
      <vt:lpstr>'12.2018 Actual'!Print_Area</vt:lpstr>
      <vt:lpstr>'Monthly Authorized'!Print_Area</vt:lpstr>
      <vt:lpstr>'PF Power Supply Adjustments'!Print_Area</vt:lpstr>
      <vt:lpstr>'12.2018 Actual'!Print_Titles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2019-03-12T18:15:05Z</cp:lastPrinted>
  <dcterms:created xsi:type="dcterms:W3CDTF">2017-02-02T18:22:39Z</dcterms:created>
  <dcterms:modified xsi:type="dcterms:W3CDTF">2019-03-12T18:15:07Z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0x0101006E56B4D1795A2E4DB2F0B01679ED314A0044824E2A38C28745B23B2EF2E144EE06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