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activeX/activeX1.xml" ContentType="application/vnd.ms-office.activeX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activeX/activeX1.bin" ContentType="application/vnd.ms-office.activeX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en\Documents\Zippy\Wutc\Rate Cases\2019\"/>
    </mc:Choice>
  </mc:AlternateContent>
  <bookViews>
    <workbookView xWindow="0" yWindow="0" windowWidth="28800" windowHeight="13725"/>
  </bookViews>
  <sheets>
    <sheet name="LG Nonpublic 2018 V5.0c" sheetId="1" r:id="rId1"/>
    <sheet name="Instructions" sheetId="3" r:id="rId2"/>
  </sheets>
  <externalReferences>
    <externalReference r:id="rId3"/>
    <externalReference r:id="rId4"/>
  </externalReferences>
  <definedNames>
    <definedName name="Debt_Rate" localSheetId="0">'LG Nonpublic 2018 V5.0c'!$K$27</definedName>
    <definedName name="debtP" localSheetId="0">'LG Nonpublic 2018 V5.0c'!$I$27</definedName>
    <definedName name="Equity_percent" localSheetId="0">'LG Nonpublic 2018 V5.0c'!$S$58</definedName>
    <definedName name="equityP" localSheetId="0">'LG Nonpublic 2018 V5.0c'!$I$26</definedName>
    <definedName name="expenses" localSheetId="0">'LG Nonpublic 2018 V5.0c'!$I$8</definedName>
    <definedName name="INPUT" localSheetId="1">#REF!</definedName>
    <definedName name="INPUT" localSheetId="0">'LG Nonpublic 2018 V5.0c'!#REF!</definedName>
    <definedName name="INPUT">#REF!</definedName>
    <definedName name="INPUTc">#REF!</definedName>
    <definedName name="Investment" localSheetId="0">'LG Nonpublic 2018 V5.0c'!$J$28</definedName>
    <definedName name="Pfd_weighted" localSheetId="0">'LG Nonpublic 2018 V5.0c'!$U$57</definedName>
    <definedName name="_xlnm.Print_Area" localSheetId="0">'LG Nonpublic 2018 V5.0c'!$F$2:$N$49</definedName>
    <definedName name="Print_Area_MI" localSheetId="1">#REF!</definedName>
    <definedName name="Print_Area_MI">#REF!</definedName>
    <definedName name="Print_Area_MIc">#REF!</definedName>
    <definedName name="regDebt_weighted" localSheetId="0">'LG Nonpublic 2018 V5.0c'!$U$56</definedName>
    <definedName name="Revenue" localSheetId="0">'LG Nonpublic 2018 V5.0c'!$I$7</definedName>
    <definedName name="slope" localSheetId="1">'[1]LG Nonpublic 2018 V5.0'!$X$58</definedName>
    <definedName name="slope">'LG Nonpublic 2018 V5.0c'!$Y$58</definedName>
    <definedName name="taxrate" localSheetId="0">'LG Nonpublic 2018 V5.0c'!$J$38</definedName>
    <definedName name="y_inter1" localSheetId="1">'[1]LG Nonpublic 2018 V5.0'!$W$55</definedName>
    <definedName name="y_inter1">'LG Nonpublic 2018 V5.0c'!$X$55</definedName>
    <definedName name="y_inter2" localSheetId="1">'[1]LG Nonpublic 2018 V5.0'!$W$56</definedName>
    <definedName name="y_inter2">'LG Nonpublic 2018 V5.0c'!$X$56</definedName>
    <definedName name="y_inter3" localSheetId="1">'[1]LG Nonpublic 2018 V5.0'!$Y$55</definedName>
    <definedName name="y_inter3">'LG Nonpublic 2018 V5.0c'!$Z$55</definedName>
    <definedName name="y_inter4" localSheetId="1">'[1]LG Nonpublic 2018 V5.0'!$Y$56</definedName>
    <definedName name="y_inter4">'LG Nonpublic 2018 V5.0c'!$Z$56</definedName>
  </definedNames>
  <calcPr calcId="152511" iterate="1" iterateCount="200"/>
  <fileRecoveryPr repairLoad="1"/>
</workbook>
</file>

<file path=xl/calcChain.xml><?xml version="1.0" encoding="utf-8"?>
<calcChain xmlns="http://schemas.openxmlformats.org/spreadsheetml/2006/main">
  <c r="C7" i="1" l="1"/>
  <c r="C6" i="1"/>
  <c r="C5" i="1"/>
  <c r="J44" i="1" l="1"/>
  <c r="J45" i="1"/>
  <c r="J46" i="1"/>
  <c r="J43" i="1"/>
  <c r="K27" i="1"/>
  <c r="I27" i="1"/>
  <c r="J38" i="1" l="1"/>
  <c r="AA39" i="1" l="1"/>
  <c r="AA34" i="1"/>
  <c r="AA29" i="1"/>
  <c r="AA24" i="1"/>
  <c r="AA19" i="1"/>
  <c r="AA14" i="1"/>
  <c r="AA38" i="1"/>
  <c r="AA33" i="1"/>
  <c r="AA28" i="1"/>
  <c r="AA23" i="1"/>
  <c r="AA18" i="1"/>
  <c r="AA13" i="1"/>
  <c r="AA37" i="1"/>
  <c r="AA32" i="1"/>
  <c r="AA27" i="1"/>
  <c r="AA22" i="1"/>
  <c r="AA17" i="1"/>
  <c r="AA12" i="1"/>
  <c r="AA36" i="1"/>
  <c r="AA31" i="1"/>
  <c r="AA26" i="1"/>
  <c r="AA21" i="1"/>
  <c r="AA16" i="1"/>
  <c r="AA11" i="1"/>
  <c r="AA9" i="1"/>
  <c r="AA8" i="1"/>
  <c r="AA7" i="1"/>
  <c r="AA6" i="1"/>
  <c r="U57" i="1"/>
  <c r="U56" i="1"/>
  <c r="V39" i="1" l="1"/>
  <c r="V34" i="1"/>
  <c r="V29" i="1"/>
  <c r="V24" i="1"/>
  <c r="V19" i="1"/>
  <c r="V14" i="1"/>
  <c r="V13" i="1"/>
  <c r="V37" i="1"/>
  <c r="V27" i="1"/>
  <c r="V17" i="1"/>
  <c r="V12" i="1"/>
  <c r="V31" i="1"/>
  <c r="V21" i="1"/>
  <c r="V11" i="1"/>
  <c r="V38" i="1"/>
  <c r="V33" i="1"/>
  <c r="V28" i="1"/>
  <c r="V23" i="1"/>
  <c r="V18" i="1"/>
  <c r="V32" i="1"/>
  <c r="V22" i="1"/>
  <c r="V36" i="1"/>
  <c r="V26" i="1"/>
  <c r="V16" i="1"/>
  <c r="V9" i="1"/>
  <c r="V7" i="1"/>
  <c r="V6" i="1"/>
  <c r="V8" i="1"/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I26" i="1"/>
  <c r="L27" i="1"/>
  <c r="K38" i="1"/>
  <c r="J47" i="1"/>
  <c r="S59" i="1"/>
  <c r="Y68" i="1"/>
  <c r="I28" i="1" l="1"/>
  <c r="Z68" i="1"/>
  <c r="I7" i="1" l="1"/>
  <c r="J19" i="1" l="1"/>
  <c r="J28" i="1" l="1"/>
  <c r="S6" i="1" l="1"/>
  <c r="T6" i="1" s="1"/>
  <c r="U6" i="1" s="1"/>
  <c r="W6" i="1" s="1"/>
  <c r="X6" i="1" s="1"/>
  <c r="Y6" i="1" s="1"/>
  <c r="Z6" i="1" s="1"/>
  <c r="AB6" i="1" s="1"/>
  <c r="AC6" i="1" s="1"/>
  <c r="AD6" i="1" s="1"/>
  <c r="J26" i="1"/>
  <c r="S8" i="1"/>
  <c r="T8" i="1" s="1"/>
  <c r="U8" i="1" s="1"/>
  <c r="W8" i="1" s="1"/>
  <c r="X8" i="1" s="1"/>
  <c r="Y8" i="1" s="1"/>
  <c r="Z8" i="1" s="1"/>
  <c r="AB8" i="1" s="1"/>
  <c r="AC8" i="1" s="1"/>
  <c r="AD8" i="1" s="1"/>
  <c r="S9" i="1"/>
  <c r="T9" i="1" s="1"/>
  <c r="U9" i="1" s="1"/>
  <c r="W9" i="1" s="1"/>
  <c r="X9" i="1" s="1"/>
  <c r="Y9" i="1" s="1"/>
  <c r="Z9" i="1" s="1"/>
  <c r="AB9" i="1" s="1"/>
  <c r="AC9" i="1" s="1"/>
  <c r="AD9" i="1" s="1"/>
  <c r="J27" i="1"/>
  <c r="M27" i="1" s="1"/>
  <c r="K11" i="1" s="1"/>
  <c r="S7" i="1"/>
  <c r="T7" i="1" s="1"/>
  <c r="U7" i="1" s="1"/>
  <c r="W7" i="1" s="1"/>
  <c r="X7" i="1" s="1"/>
  <c r="Y7" i="1" s="1"/>
  <c r="Z7" i="1" s="1"/>
  <c r="AB7" i="1" s="1"/>
  <c r="AC7" i="1" s="1"/>
  <c r="AD7" i="1" s="1"/>
  <c r="I11" i="1" l="1"/>
  <c r="M11" i="1"/>
  <c r="I8" i="1" l="1"/>
  <c r="AE9" i="1" l="1"/>
  <c r="AF9" i="1" s="1"/>
  <c r="AE8" i="1"/>
  <c r="AF8" i="1" s="1"/>
  <c r="K8" i="1"/>
  <c r="AE7" i="1"/>
  <c r="AF7" i="1" s="1"/>
  <c r="I16" i="1"/>
  <c r="I9" i="1"/>
  <c r="AE6" i="1"/>
  <c r="AF6" i="1" s="1"/>
  <c r="AG6" i="1"/>
  <c r="AH6" i="1"/>
  <c r="AI6" i="1"/>
  <c r="J7" i="1"/>
  <c r="K7" i="1"/>
  <c r="L7" i="1"/>
  <c r="M7" i="1"/>
  <c r="AG7" i="1"/>
  <c r="AH7" i="1"/>
  <c r="AI7" i="1"/>
  <c r="L8" i="1"/>
  <c r="M8" i="1"/>
  <c r="AG8" i="1"/>
  <c r="AH8" i="1"/>
  <c r="AI8" i="1"/>
  <c r="K9" i="1"/>
  <c r="M9" i="1"/>
  <c r="AG9" i="1"/>
  <c r="AH9" i="1"/>
  <c r="AI9" i="1"/>
  <c r="S11" i="1"/>
  <c r="T11" i="1"/>
  <c r="U11" i="1"/>
  <c r="W11" i="1"/>
  <c r="X11" i="1"/>
  <c r="Y11" i="1"/>
  <c r="Z11" i="1"/>
  <c r="AB11" i="1"/>
  <c r="AC11" i="1"/>
  <c r="AD11" i="1"/>
  <c r="AE11" i="1"/>
  <c r="AF11" i="1"/>
  <c r="AG11" i="1"/>
  <c r="AH11" i="1"/>
  <c r="AI11" i="1"/>
  <c r="I12" i="1"/>
  <c r="J12" i="1"/>
  <c r="K12" i="1"/>
  <c r="M12" i="1"/>
  <c r="S12" i="1"/>
  <c r="T12" i="1"/>
  <c r="U12" i="1"/>
  <c r="W12" i="1"/>
  <c r="X12" i="1"/>
  <c r="Y12" i="1"/>
  <c r="Z12" i="1"/>
  <c r="AB12" i="1"/>
  <c r="AC12" i="1"/>
  <c r="AD12" i="1"/>
  <c r="AE12" i="1"/>
  <c r="AF12" i="1"/>
  <c r="AG12" i="1"/>
  <c r="AH12" i="1"/>
  <c r="AI12" i="1"/>
  <c r="S13" i="1"/>
  <c r="T13" i="1"/>
  <c r="U13" i="1"/>
  <c r="W13" i="1"/>
  <c r="X13" i="1"/>
  <c r="Y13" i="1"/>
  <c r="Z13" i="1"/>
  <c r="AB13" i="1"/>
  <c r="AC13" i="1"/>
  <c r="AD13" i="1"/>
  <c r="AE13" i="1"/>
  <c r="AF13" i="1"/>
  <c r="AG13" i="1"/>
  <c r="AH13" i="1"/>
  <c r="AI13" i="1"/>
  <c r="I14" i="1"/>
  <c r="K14" i="1"/>
  <c r="M14" i="1"/>
  <c r="S14" i="1"/>
  <c r="T14" i="1"/>
  <c r="U14" i="1"/>
  <c r="W14" i="1"/>
  <c r="X14" i="1"/>
  <c r="Y14" i="1"/>
  <c r="Z14" i="1"/>
  <c r="AB14" i="1"/>
  <c r="AC14" i="1"/>
  <c r="AD14" i="1"/>
  <c r="AE14" i="1"/>
  <c r="AF14" i="1"/>
  <c r="AG14" i="1"/>
  <c r="AH14" i="1"/>
  <c r="AI14" i="1"/>
  <c r="K16" i="1"/>
  <c r="M16" i="1"/>
  <c r="S16" i="1"/>
  <c r="T16" i="1"/>
  <c r="U16" i="1"/>
  <c r="W16" i="1"/>
  <c r="X16" i="1"/>
  <c r="Y16" i="1"/>
  <c r="Z16" i="1"/>
  <c r="AB16" i="1"/>
  <c r="AC16" i="1"/>
  <c r="AD16" i="1"/>
  <c r="AE16" i="1"/>
  <c r="AF16" i="1"/>
  <c r="AG16" i="1"/>
  <c r="AH16" i="1"/>
  <c r="AI16" i="1"/>
  <c r="S17" i="1"/>
  <c r="T17" i="1"/>
  <c r="U17" i="1"/>
  <c r="W17" i="1"/>
  <c r="X17" i="1"/>
  <c r="Y17" i="1"/>
  <c r="Z17" i="1"/>
  <c r="AB17" i="1"/>
  <c r="AC17" i="1"/>
  <c r="AD17" i="1"/>
  <c r="AE17" i="1"/>
  <c r="AF17" i="1"/>
  <c r="AG17" i="1"/>
  <c r="AH17" i="1"/>
  <c r="AI17" i="1"/>
  <c r="S18" i="1"/>
  <c r="T18" i="1"/>
  <c r="U18" i="1"/>
  <c r="W18" i="1"/>
  <c r="X18" i="1"/>
  <c r="Y18" i="1"/>
  <c r="Z18" i="1"/>
  <c r="AB18" i="1"/>
  <c r="AC18" i="1"/>
  <c r="AD18" i="1"/>
  <c r="AE18" i="1"/>
  <c r="AF18" i="1"/>
  <c r="AG18" i="1"/>
  <c r="AH18" i="1"/>
  <c r="AI18" i="1"/>
  <c r="M19" i="1"/>
  <c r="S19" i="1"/>
  <c r="T19" i="1"/>
  <c r="U19" i="1"/>
  <c r="W19" i="1"/>
  <c r="X19" i="1"/>
  <c r="Y19" i="1"/>
  <c r="Z19" i="1"/>
  <c r="AB19" i="1"/>
  <c r="AC19" i="1"/>
  <c r="AD19" i="1"/>
  <c r="AE19" i="1"/>
  <c r="AF19" i="1"/>
  <c r="AG19" i="1"/>
  <c r="AH19" i="1"/>
  <c r="AI19" i="1"/>
  <c r="J20" i="1"/>
  <c r="M20" i="1"/>
  <c r="J21" i="1"/>
  <c r="M21" i="1"/>
  <c r="S21" i="1"/>
  <c r="T21" i="1"/>
  <c r="U21" i="1"/>
  <c r="W21" i="1"/>
  <c r="X21" i="1"/>
  <c r="Y21" i="1"/>
  <c r="Z21" i="1"/>
  <c r="AB21" i="1"/>
  <c r="AC21" i="1"/>
  <c r="AD21" i="1"/>
  <c r="AE21" i="1"/>
  <c r="AF21" i="1"/>
  <c r="AG21" i="1"/>
  <c r="AH21" i="1"/>
  <c r="AI21" i="1"/>
  <c r="S22" i="1"/>
  <c r="T22" i="1"/>
  <c r="U22" i="1"/>
  <c r="W22" i="1"/>
  <c r="X22" i="1"/>
  <c r="Y22" i="1"/>
  <c r="Z22" i="1"/>
  <c r="AB22" i="1"/>
  <c r="AC22" i="1"/>
  <c r="AD22" i="1"/>
  <c r="AE22" i="1"/>
  <c r="AF22" i="1"/>
  <c r="AG22" i="1"/>
  <c r="AH22" i="1"/>
  <c r="AI22" i="1"/>
  <c r="S23" i="1"/>
  <c r="T23" i="1"/>
  <c r="U23" i="1"/>
  <c r="W23" i="1"/>
  <c r="X23" i="1"/>
  <c r="Y23" i="1"/>
  <c r="Z23" i="1"/>
  <c r="AB23" i="1"/>
  <c r="AC23" i="1"/>
  <c r="AD23" i="1"/>
  <c r="AE23" i="1"/>
  <c r="AF23" i="1"/>
  <c r="AG23" i="1"/>
  <c r="AH23" i="1"/>
  <c r="AI23" i="1"/>
  <c r="S24" i="1"/>
  <c r="T24" i="1"/>
  <c r="U24" i="1"/>
  <c r="W24" i="1"/>
  <c r="X24" i="1"/>
  <c r="Y24" i="1"/>
  <c r="Z24" i="1"/>
  <c r="AB24" i="1"/>
  <c r="AC24" i="1"/>
  <c r="AD24" i="1"/>
  <c r="AE24" i="1"/>
  <c r="AF24" i="1"/>
  <c r="AG24" i="1"/>
  <c r="AH24" i="1"/>
  <c r="AI24" i="1"/>
  <c r="K26" i="1"/>
  <c r="L26" i="1"/>
  <c r="M26" i="1"/>
  <c r="S26" i="1"/>
  <c r="T26" i="1"/>
  <c r="U26" i="1"/>
  <c r="W26" i="1"/>
  <c r="X26" i="1"/>
  <c r="Y26" i="1"/>
  <c r="Z26" i="1"/>
  <c r="AB26" i="1"/>
  <c r="AC26" i="1"/>
  <c r="AD26" i="1"/>
  <c r="AE26" i="1"/>
  <c r="AF26" i="1"/>
  <c r="AG26" i="1"/>
  <c r="AH26" i="1"/>
  <c r="AI26" i="1"/>
  <c r="S27" i="1"/>
  <c r="T27" i="1"/>
  <c r="U27" i="1"/>
  <c r="W27" i="1"/>
  <c r="X27" i="1"/>
  <c r="Y27" i="1"/>
  <c r="Z27" i="1"/>
  <c r="AB27" i="1"/>
  <c r="AC27" i="1"/>
  <c r="AD27" i="1"/>
  <c r="AE27" i="1"/>
  <c r="AF27" i="1"/>
  <c r="AG27" i="1"/>
  <c r="AH27" i="1"/>
  <c r="AI27" i="1"/>
  <c r="L28" i="1"/>
  <c r="M28" i="1"/>
  <c r="S28" i="1"/>
  <c r="T28" i="1"/>
  <c r="U28" i="1"/>
  <c r="W28" i="1"/>
  <c r="X28" i="1"/>
  <c r="Y28" i="1"/>
  <c r="Z28" i="1"/>
  <c r="AB28" i="1"/>
  <c r="AC28" i="1"/>
  <c r="AD28" i="1"/>
  <c r="AE28" i="1"/>
  <c r="AF28" i="1"/>
  <c r="AG28" i="1"/>
  <c r="AH28" i="1"/>
  <c r="AI28" i="1"/>
  <c r="S29" i="1"/>
  <c r="T29" i="1"/>
  <c r="U29" i="1"/>
  <c r="W29" i="1"/>
  <c r="X29" i="1"/>
  <c r="Y29" i="1"/>
  <c r="Z29" i="1"/>
  <c r="AB29" i="1"/>
  <c r="AC29" i="1"/>
  <c r="AD29" i="1"/>
  <c r="AE29" i="1"/>
  <c r="AF29" i="1"/>
  <c r="AG29" i="1"/>
  <c r="AH29" i="1"/>
  <c r="AI29" i="1"/>
  <c r="S31" i="1"/>
  <c r="T31" i="1"/>
  <c r="U31" i="1"/>
  <c r="W31" i="1"/>
  <c r="X31" i="1"/>
  <c r="Y31" i="1"/>
  <c r="Z31" i="1"/>
  <c r="AB31" i="1"/>
  <c r="AC31" i="1"/>
  <c r="AD31" i="1"/>
  <c r="AE31" i="1"/>
  <c r="AF31" i="1"/>
  <c r="AG31" i="1"/>
  <c r="AH31" i="1"/>
  <c r="AI31" i="1"/>
  <c r="S32" i="1"/>
  <c r="T32" i="1"/>
  <c r="U32" i="1"/>
  <c r="W32" i="1"/>
  <c r="X32" i="1"/>
  <c r="Y32" i="1"/>
  <c r="Z32" i="1"/>
  <c r="AB32" i="1"/>
  <c r="AC32" i="1"/>
  <c r="AD32" i="1"/>
  <c r="AE32" i="1"/>
  <c r="AF32" i="1"/>
  <c r="AG32" i="1"/>
  <c r="AH32" i="1"/>
  <c r="AI32" i="1"/>
  <c r="J33" i="1"/>
  <c r="K33" i="1"/>
  <c r="S33" i="1"/>
  <c r="T33" i="1"/>
  <c r="U33" i="1"/>
  <c r="W33" i="1"/>
  <c r="X33" i="1"/>
  <c r="Y33" i="1"/>
  <c r="Z33" i="1"/>
  <c r="AB33" i="1"/>
  <c r="AC33" i="1"/>
  <c r="AD33" i="1"/>
  <c r="AE33" i="1"/>
  <c r="AF33" i="1"/>
  <c r="AG33" i="1"/>
  <c r="AH33" i="1"/>
  <c r="AI33" i="1"/>
  <c r="J34" i="1"/>
  <c r="K34" i="1"/>
  <c r="S34" i="1"/>
  <c r="T34" i="1"/>
  <c r="U34" i="1"/>
  <c r="W34" i="1"/>
  <c r="X34" i="1"/>
  <c r="Y34" i="1"/>
  <c r="Z34" i="1"/>
  <c r="AB34" i="1"/>
  <c r="AC34" i="1"/>
  <c r="AD34" i="1"/>
  <c r="AE34" i="1"/>
  <c r="AF34" i="1"/>
  <c r="AG34" i="1"/>
  <c r="AH34" i="1"/>
  <c r="AI34" i="1"/>
  <c r="J35" i="1"/>
  <c r="K35" i="1"/>
  <c r="J36" i="1"/>
  <c r="K36" i="1"/>
  <c r="S36" i="1"/>
  <c r="T36" i="1"/>
  <c r="U36" i="1"/>
  <c r="W36" i="1"/>
  <c r="X36" i="1"/>
  <c r="Y36" i="1"/>
  <c r="Z36" i="1"/>
  <c r="AB36" i="1"/>
  <c r="AC36" i="1"/>
  <c r="AD36" i="1"/>
  <c r="AE36" i="1"/>
  <c r="AF36" i="1"/>
  <c r="AG36" i="1"/>
  <c r="AH36" i="1"/>
  <c r="AI36" i="1"/>
  <c r="J37" i="1"/>
  <c r="K37" i="1"/>
  <c r="S37" i="1"/>
  <c r="T37" i="1"/>
  <c r="U37" i="1"/>
  <c r="W37" i="1"/>
  <c r="X37" i="1"/>
  <c r="Y37" i="1"/>
  <c r="Z37" i="1"/>
  <c r="AB37" i="1"/>
  <c r="AC37" i="1"/>
  <c r="AD37" i="1"/>
  <c r="AE37" i="1"/>
  <c r="AF37" i="1"/>
  <c r="AG37" i="1"/>
  <c r="AH37" i="1"/>
  <c r="AI37" i="1"/>
  <c r="S38" i="1"/>
  <c r="T38" i="1"/>
  <c r="U38" i="1"/>
  <c r="W38" i="1"/>
  <c r="X38" i="1"/>
  <c r="Y38" i="1"/>
  <c r="Z38" i="1"/>
  <c r="AB38" i="1"/>
  <c r="AC38" i="1"/>
  <c r="AD38" i="1"/>
  <c r="AE38" i="1"/>
  <c r="AF38" i="1"/>
  <c r="AG38" i="1"/>
  <c r="AH38" i="1"/>
  <c r="AI38" i="1"/>
  <c r="S39" i="1"/>
  <c r="T39" i="1"/>
  <c r="U39" i="1"/>
  <c r="W39" i="1"/>
  <c r="X39" i="1"/>
  <c r="Y39" i="1"/>
  <c r="Z39" i="1"/>
  <c r="AB39" i="1"/>
  <c r="AC39" i="1"/>
  <c r="AD39" i="1"/>
  <c r="AE39" i="1"/>
  <c r="AF39" i="1"/>
  <c r="AG39" i="1"/>
  <c r="AH39" i="1"/>
  <c r="AI39" i="1"/>
  <c r="K43" i="1"/>
  <c r="V43" i="1"/>
  <c r="K44" i="1"/>
  <c r="V44" i="1"/>
  <c r="K45" i="1"/>
  <c r="V45" i="1"/>
  <c r="K46" i="1"/>
  <c r="K47" i="1"/>
  <c r="R48" i="1"/>
  <c r="J49" i="1"/>
  <c r="R49" i="1"/>
  <c r="R51" i="1"/>
  <c r="Y63" i="1"/>
  <c r="Z63" i="1"/>
  <c r="Y64" i="1"/>
  <c r="Z64" i="1"/>
  <c r="Y65" i="1"/>
  <c r="Z65" i="1"/>
  <c r="Y66" i="1"/>
  <c r="Z66" i="1"/>
  <c r="Y67" i="1"/>
  <c r="Z67" i="1"/>
</calcChain>
</file>

<file path=xl/sharedStrings.xml><?xml version="1.0" encoding="utf-8"?>
<sst xmlns="http://schemas.openxmlformats.org/spreadsheetml/2006/main" count="183" uniqueCount="138">
  <si>
    <t>2018 Version Update Changes</t>
  </si>
  <si>
    <t>CALCULATION TABLES</t>
  </si>
  <si>
    <t>(a)</t>
  </si>
  <si>
    <t>(b)</t>
  </si>
  <si>
    <t>(c)</t>
  </si>
  <si>
    <t>(d)</t>
  </si>
  <si>
    <t>(e)</t>
  </si>
  <si>
    <t>(f)</t>
  </si>
  <si>
    <t>Regession</t>
  </si>
  <si>
    <t>Hauler</t>
  </si>
  <si>
    <t>Line</t>
  </si>
  <si>
    <t>Historical</t>
  </si>
  <si>
    <t>Revenue</t>
  </si>
  <si>
    <t>Proforma</t>
  </si>
  <si>
    <t>Before Tax</t>
  </si>
  <si>
    <t>Less</t>
  </si>
  <si>
    <t>Adjusted</t>
  </si>
  <si>
    <t>After Tax</t>
  </si>
  <si>
    <t>Weighted Cost</t>
  </si>
  <si>
    <t>No.</t>
  </si>
  <si>
    <t>Taxes</t>
  </si>
  <si>
    <t>Requirment</t>
  </si>
  <si>
    <t>Profit Ratio</t>
  </si>
  <si>
    <t>BTROI</t>
  </si>
  <si>
    <t>WCDebt</t>
  </si>
  <si>
    <t>BTROE</t>
  </si>
  <si>
    <t>ROE</t>
  </si>
  <si>
    <t>Equity</t>
  </si>
  <si>
    <t>Equity BFT</t>
  </si>
  <si>
    <t>Debt</t>
  </si>
  <si>
    <t>BTROR</t>
  </si>
  <si>
    <t>Operating Ratio</t>
  </si>
  <si>
    <t>Operating Revenue</t>
  </si>
  <si>
    <t>Operating Expenses</t>
  </si>
  <si>
    <t>Operating Income</t>
  </si>
  <si>
    <t>Interest Expense</t>
  </si>
  <si>
    <t>2nd Iteration</t>
  </si>
  <si>
    <t>Income Tax Expense</t>
  </si>
  <si>
    <t>Net Income</t>
  </si>
  <si>
    <t xml:space="preserve">Operating Ratio </t>
  </si>
  <si>
    <t>3rd Iteration</t>
  </si>
  <si>
    <t>Rev Sensitive Taxes</t>
  </si>
  <si>
    <t>Rate Increase</t>
  </si>
  <si>
    <t>4th Iteration</t>
  </si>
  <si>
    <t>Financing Cost</t>
  </si>
  <si>
    <t>Type</t>
  </si>
  <si>
    <t>Percent</t>
  </si>
  <si>
    <t>Amount</t>
  </si>
  <si>
    <t>Rate</t>
  </si>
  <si>
    <t>Weighted</t>
  </si>
  <si>
    <t>5th Iteration</t>
  </si>
  <si>
    <t>Operating Statistics</t>
  </si>
  <si>
    <t>Pre-tax</t>
  </si>
  <si>
    <t>6th Iteration</t>
  </si>
  <si>
    <t>Return on Investment</t>
  </si>
  <si>
    <t>Return on Equity</t>
  </si>
  <si>
    <t>Profit Margin</t>
  </si>
  <si>
    <t>Final turnover</t>
  </si>
  <si>
    <t>Tax Rate</t>
  </si>
  <si>
    <t>Curve</t>
  </si>
  <si>
    <t>Lookup Table</t>
  </si>
  <si>
    <t>Revenue Sensitive Taxes Charges</t>
  </si>
  <si>
    <t xml:space="preserve"> B &amp; O Tax</t>
  </si>
  <si>
    <t xml:space="preserve"> WUTC Fee</t>
  </si>
  <si>
    <t>Curve turnover</t>
  </si>
  <si>
    <t>@EXP(5.72260-(.68367*@LN(T)))</t>
  </si>
  <si>
    <t xml:space="preserve"> City Tax</t>
  </si>
  <si>
    <t>Curve No. used</t>
  </si>
  <si>
    <t>@EXP(5.70827-(.68367*@LN(T)))</t>
  </si>
  <si>
    <t xml:space="preserve"> Bad Debts</t>
  </si>
  <si>
    <t>@EXP(5.69850-(.68367*@LN(T)))</t>
  </si>
  <si>
    <t>Revenue Sensitive</t>
  </si>
  <si>
    <t>@EXP(5.69220-(.68367*@LN(T)))</t>
  </si>
  <si>
    <t>Conversion Factor</t>
  </si>
  <si>
    <t>Base Utility from LG Sample Study</t>
  </si>
  <si>
    <t>Regression Results</t>
  </si>
  <si>
    <t>Cost</t>
  </si>
  <si>
    <t>Y intercept (1)</t>
  </si>
  <si>
    <t>Y intercept (3)</t>
  </si>
  <si>
    <t>Y intercept (2)</t>
  </si>
  <si>
    <t>Y intercept (4)</t>
  </si>
  <si>
    <t>Pfd.</t>
  </si>
  <si>
    <t>Slope</t>
  </si>
  <si>
    <t>Revenue Requirement</t>
  </si>
  <si>
    <t>7th Iteration</t>
  </si>
  <si>
    <t>RevS Taxes</t>
  </si>
  <si>
    <t>Revenue Req</t>
  </si>
  <si>
    <t xml:space="preserve">Total </t>
  </si>
  <si>
    <t xml:space="preserve"> Increase Before</t>
  </si>
  <si>
    <t xml:space="preserve">Revenue </t>
  </si>
  <si>
    <t>Increase After</t>
  </si>
  <si>
    <t xml:space="preserve">RevS </t>
  </si>
  <si>
    <t>Revenue Senstive Taxes (RevS)</t>
  </si>
  <si>
    <t>Before RevS</t>
  </si>
  <si>
    <t>Before</t>
  </si>
  <si>
    <t>Income Tax</t>
  </si>
  <si>
    <t>After</t>
  </si>
  <si>
    <t>B&amp;O Tax Rate</t>
  </si>
  <si>
    <t>Federal Income Tax Rate</t>
  </si>
  <si>
    <t>WUTC Fee</t>
  </si>
  <si>
    <t>City Tax</t>
  </si>
  <si>
    <t>Bad Debts</t>
  </si>
  <si>
    <t>No</t>
  </si>
  <si>
    <t>Total</t>
  </si>
  <si>
    <t>Investment</t>
  </si>
  <si>
    <t>Captial Structure Financing Investment</t>
  </si>
  <si>
    <t>Non-Public Companies</t>
  </si>
  <si>
    <t>Percent Chg</t>
  </si>
  <si>
    <t>● Minimizes impact of changes in test-year revenue from</t>
  </si>
  <si>
    <t>● Allows Income Tax Rate Changes,</t>
  </si>
  <si>
    <t xml:space="preserve">   resulting revenue requirment,</t>
  </si>
  <si>
    <t>● Corrects interest rate transposition in LG.</t>
  </si>
  <si>
    <t>nonpubco</t>
  </si>
  <si>
    <t>Capital Structure - Debt Cost</t>
  </si>
  <si>
    <t>Capital Structure - Debt %</t>
  </si>
  <si>
    <t>INPUTS - Test Year</t>
  </si>
  <si>
    <t>Cost of Capital</t>
  </si>
  <si>
    <t>Change</t>
  </si>
  <si>
    <t>Add: Revenue</t>
  </si>
  <si>
    <t xml:space="preserve"> Sensitive Taxes</t>
  </si>
  <si>
    <t>(d) + (e)</t>
  </si>
  <si>
    <t>(b) + (c)</t>
  </si>
  <si>
    <t>Circular Reference Error</t>
  </si>
  <si>
    <t xml:space="preserve">Check the "Enable iterative calculation" box. </t>
  </si>
  <si>
    <t>Historical Revenue</t>
  </si>
  <si>
    <r>
      <t xml:space="preserve">LURITO - GALLAGHER FORMULA  MODEL 2018  </t>
    </r>
    <r>
      <rPr>
        <sz val="8"/>
        <color indexed="9"/>
        <rFont val="Calibri"/>
        <family val="2"/>
      </rPr>
      <t>V5.0a</t>
    </r>
  </si>
  <si>
    <t>Check when input is complete</t>
  </si>
  <si>
    <t>For Intial input: Uncheck Checkbox Until Completed</t>
  </si>
  <si>
    <t>This model has been designed to replace the original LG model because of the original model's inability to use lower income tax rates.</t>
  </si>
  <si>
    <t>It uses the same computational data and method reflected in the original model and therefore should produce the same Revenue Requirements that the original model.</t>
  </si>
  <si>
    <t>Error Cascade</t>
  </si>
  <si>
    <t>To prevent a model "error cascade" caused by large changes in numbers,</t>
  </si>
  <si>
    <t>the new model uses an "INPUTS" box for initially entering the company data.</t>
  </si>
  <si>
    <t>File&gt;Options&gt;Formulas</t>
  </si>
  <si>
    <r>
      <t xml:space="preserve">   For the </t>
    </r>
    <r>
      <rPr>
        <b/>
        <u/>
        <sz val="14"/>
        <rFont val="Times New Roman"/>
        <family val="1"/>
      </rPr>
      <t>initial</t>
    </r>
    <r>
      <rPr>
        <b/>
        <sz val="14"/>
        <rFont val="Times New Roman"/>
        <family val="1"/>
      </rPr>
      <t xml:space="preserve"> input of numbers uncheck the "Input competed" box.</t>
    </r>
  </si>
  <si>
    <t xml:space="preserve">   When data has been entered into the Inputs box, recheck.</t>
  </si>
  <si>
    <t>Revenue Increase before taxes</t>
  </si>
  <si>
    <t>Lurito Gallagher Model Replacement V5.0c -  Use the inputs box to enter company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</si>
</sst>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1" formatCode="_(* #,##0_);_(* \(#,##0\);_(* &quot;-&quot;_);_(@_)"/>
    <numFmt numFmtId="164" formatCode="#,##0.000_);\(#,##0.000\)"/>
    <numFmt numFmtId="165" formatCode="#,##0.0000_);\(#,##0.0000\)"/>
    <numFmt numFmtId="166" formatCode="#,##0.00000_);\(#,##0.00000\)"/>
    <numFmt numFmtId="167" formatCode="0.00000"/>
    <numFmt numFmtId="168" formatCode="0.000%"/>
    <numFmt numFmtId="169" formatCode="_(* #,##0_);_(* \(#,##0\);_(* &quot;-&quot;??_);_(@_)"/>
    <numFmt numFmtId="170" formatCode="General_)"/>
  </numFmts>
  <fonts count="38">
    <font>
      <sz val="12"/>
      <name val="SWISS"/>
    </font>
    <font>
      <sz val="10"/>
      <name val="Times New Roman"/>
      <family val="1"/>
    </font>
    <font>
      <sz val="10"/>
      <color indexed="39"/>
      <name val="Times New Roman"/>
      <family val="1"/>
    </font>
    <font>
      <sz val="12"/>
      <color indexed="39"/>
      <name val="SWISS"/>
    </font>
    <font>
      <sz val="12"/>
      <color indexed="10"/>
      <name val="SWISS"/>
    </font>
    <font>
      <sz val="12"/>
      <color indexed="8"/>
      <name val="SWISS"/>
    </font>
    <font>
      <sz val="10"/>
      <color indexed="18"/>
      <name val="Times New Roman"/>
      <family val="1"/>
    </font>
    <font>
      <sz val="12"/>
      <color indexed="18"/>
      <name val="SWISS"/>
    </font>
    <font>
      <sz val="12"/>
      <color indexed="32"/>
      <name val="SWISS"/>
    </font>
    <font>
      <b/>
      <sz val="14"/>
      <name val="SWISS"/>
    </font>
    <font>
      <sz val="12"/>
      <color indexed="12"/>
      <name val="SWISS"/>
    </font>
    <font>
      <i/>
      <sz val="12"/>
      <name val="SWISS"/>
    </font>
    <font>
      <sz val="12"/>
      <color indexed="56"/>
      <name val="SWISS"/>
    </font>
    <font>
      <b/>
      <sz val="12"/>
      <name val="SWISS"/>
    </font>
    <font>
      <sz val="11"/>
      <color indexed="8"/>
      <name val="Calibri"/>
      <family val="2"/>
    </font>
    <font>
      <sz val="12"/>
      <name val="Times New Roman"/>
      <family val="1"/>
    </font>
    <font>
      <sz val="12"/>
      <color indexed="18"/>
      <name val="Times New Roman"/>
      <family val="1"/>
    </font>
    <font>
      <sz val="12"/>
      <color indexed="8"/>
      <name val="Times New Roman"/>
      <family val="1"/>
    </font>
    <font>
      <sz val="12"/>
      <color indexed="39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39"/>
      <name val="Times New Roman"/>
      <family val="1"/>
    </font>
    <font>
      <u/>
      <sz val="12"/>
      <color indexed="12"/>
      <name val="Times New Roman"/>
      <family val="1"/>
    </font>
    <font>
      <u/>
      <sz val="12"/>
      <color indexed="8"/>
      <name val="Times New Roman"/>
      <family val="1"/>
    </font>
    <font>
      <sz val="14"/>
      <color indexed="9"/>
      <name val="Calibri"/>
      <family val="2"/>
    </font>
    <font>
      <b/>
      <u/>
      <sz val="12"/>
      <color indexed="39"/>
      <name val="Times New Roman"/>
      <family val="1"/>
    </font>
    <font>
      <sz val="9"/>
      <color indexed="39"/>
      <name val="Times New Roman"/>
      <family val="1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sz val="12"/>
      <name val="SWISS"/>
    </font>
    <font>
      <sz val="8"/>
      <color indexed="9"/>
      <name val="Calibri"/>
      <family val="2"/>
    </font>
    <font>
      <b/>
      <sz val="10"/>
      <name val="SWISS"/>
    </font>
    <font>
      <sz val="9"/>
      <color rgb="FF0070C0"/>
      <name val="SWISS"/>
    </font>
    <font>
      <sz val="12"/>
      <name val="Helv"/>
    </font>
    <font>
      <b/>
      <sz val="16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8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2" borderId="0"/>
    <xf numFmtId="0" fontId="26" fillId="6" borderId="0" applyNumberFormat="0" applyBorder="0" applyAlignment="0" applyProtection="0"/>
    <xf numFmtId="41" fontId="1" fillId="3" borderId="0">
      <alignment horizontal="left"/>
    </xf>
    <xf numFmtId="10" fontId="1" fillId="3" borderId="0"/>
    <xf numFmtId="9" fontId="14" fillId="0" borderId="0" applyFont="0" applyFill="0" applyBorder="0" applyAlignment="0" applyProtection="0"/>
    <xf numFmtId="0" fontId="28" fillId="2" borderId="0"/>
    <xf numFmtId="170" fontId="32" fillId="0" borderId="0"/>
    <xf numFmtId="41" fontId="1" fillId="3" borderId="0">
      <alignment horizontal="left"/>
    </xf>
  </cellStyleXfs>
  <cellXfs count="215">
    <xf numFmtId="0" fontId="0" fillId="2" borderId="0" xfId="0" applyNumberFormat="1"/>
    <xf numFmtId="0" fontId="0" fillId="2" borderId="0" xfId="0" applyNumberFormat="1" applyAlignment="1">
      <alignment horizontal="center"/>
    </xf>
    <xf numFmtId="0" fontId="1" fillId="2" borderId="0" xfId="0" applyNumberFormat="1" applyFont="1"/>
    <xf numFmtId="0" fontId="0" fillId="2" borderId="2" xfId="0" applyNumberFormat="1" applyBorder="1" applyAlignment="1">
      <alignment horizontal="center"/>
    </xf>
    <xf numFmtId="10" fontId="4" fillId="2" borderId="0" xfId="0" applyNumberFormat="1" applyFont="1" applyBorder="1"/>
    <xf numFmtId="0" fontId="0" fillId="2" borderId="5" xfId="0" applyNumberFormat="1" applyBorder="1" applyAlignment="1">
      <alignment horizontal="center"/>
    </xf>
    <xf numFmtId="165" fontId="0" fillId="2" borderId="0" xfId="0" applyNumberFormat="1" applyBorder="1"/>
    <xf numFmtId="0" fontId="0" fillId="2" borderId="8" xfId="0" applyNumberFormat="1" applyBorder="1" applyAlignment="1">
      <alignment horizontal="center"/>
    </xf>
    <xf numFmtId="165" fontId="0" fillId="2" borderId="9" xfId="0" applyNumberFormat="1" applyBorder="1"/>
    <xf numFmtId="37" fontId="0" fillId="2" borderId="0" xfId="0" applyNumberFormat="1"/>
    <xf numFmtId="165" fontId="0" fillId="2" borderId="0" xfId="0" applyNumberFormat="1"/>
    <xf numFmtId="41" fontId="0" fillId="2" borderId="0" xfId="0" applyNumberFormat="1"/>
    <xf numFmtId="10" fontId="1" fillId="3" borderId="0" xfId="3"/>
    <xf numFmtId="39" fontId="0" fillId="2" borderId="0" xfId="0" applyNumberFormat="1"/>
    <xf numFmtId="164" fontId="0" fillId="2" borderId="0" xfId="0" applyNumberFormat="1"/>
    <xf numFmtId="0" fontId="0" fillId="2" borderId="3" xfId="0" applyNumberFormat="1" applyBorder="1"/>
    <xf numFmtId="0" fontId="0" fillId="2" borderId="4" xfId="0" applyNumberFormat="1" applyBorder="1"/>
    <xf numFmtId="0" fontId="0" fillId="2" borderId="0" xfId="0" applyNumberFormat="1" applyBorder="1"/>
    <xf numFmtId="0" fontId="0" fillId="2" borderId="6" xfId="0" applyNumberFormat="1" applyBorder="1"/>
    <xf numFmtId="0" fontId="0" fillId="2" borderId="0" xfId="0" quotePrefix="1" applyNumberFormat="1" applyBorder="1" applyAlignment="1">
      <alignment horizontal="right"/>
    </xf>
    <xf numFmtId="10" fontId="0" fillId="2" borderId="6" xfId="0" applyNumberFormat="1" applyBorder="1"/>
    <xf numFmtId="0" fontId="0" fillId="2" borderId="9" xfId="0" applyNumberFormat="1" applyBorder="1"/>
    <xf numFmtId="0" fontId="0" fillId="2" borderId="10" xfId="0" applyNumberFormat="1" applyBorder="1"/>
    <xf numFmtId="166" fontId="0" fillId="2" borderId="0" xfId="0" applyNumberFormat="1"/>
    <xf numFmtId="0" fontId="0" fillId="2" borderId="2" xfId="0" applyNumberFormat="1" applyBorder="1"/>
    <xf numFmtId="0" fontId="0" fillId="2" borderId="5" xfId="0" applyNumberFormat="1" applyBorder="1"/>
    <xf numFmtId="0" fontId="7" fillId="2" borderId="10" xfId="0" applyNumberFormat="1" applyFont="1" applyBorder="1"/>
    <xf numFmtId="0" fontId="0" fillId="2" borderId="8" xfId="0" applyNumberFormat="1" applyBorder="1"/>
    <xf numFmtId="0" fontId="0" fillId="2" borderId="2" xfId="0" applyNumberFormat="1" applyBorder="1" applyAlignment="1">
      <alignment horizontal="centerContinuous"/>
    </xf>
    <xf numFmtId="0" fontId="0" fillId="2" borderId="4" xfId="0" applyNumberFormat="1" applyBorder="1" applyAlignment="1">
      <alignment horizontal="centerContinuous"/>
    </xf>
    <xf numFmtId="0" fontId="0" fillId="2" borderId="5" xfId="0" applyNumberFormat="1" applyBorder="1" applyAlignment="1">
      <alignment horizontal="centerContinuous"/>
    </xf>
    <xf numFmtId="0" fontId="0" fillId="2" borderId="6" xfId="0" applyNumberFormat="1" applyBorder="1" applyAlignment="1">
      <alignment horizontal="centerContinuous"/>
    </xf>
    <xf numFmtId="0" fontId="0" fillId="2" borderId="6" xfId="0" applyNumberFormat="1" applyBorder="1" applyAlignment="1">
      <alignment horizontal="center"/>
    </xf>
    <xf numFmtId="0" fontId="0" fillId="2" borderId="10" xfId="0" applyNumberFormat="1" applyBorder="1" applyAlignment="1">
      <alignment horizontal="center"/>
    </xf>
    <xf numFmtId="165" fontId="5" fillId="2" borderId="0" xfId="0" applyNumberFormat="1" applyFont="1" applyBorder="1"/>
    <xf numFmtId="0" fontId="5" fillId="2" borderId="5" xfId="0" applyNumberFormat="1" applyFont="1" applyBorder="1" applyAlignment="1">
      <alignment horizontal="center"/>
    </xf>
    <xf numFmtId="0" fontId="9" fillId="2" borderId="11" xfId="0" applyNumberFormat="1" applyFont="1" applyBorder="1" applyAlignment="1">
      <alignment horizontal="centerContinuous"/>
    </xf>
    <xf numFmtId="0" fontId="9" fillId="2" borderId="12" xfId="0" applyNumberFormat="1" applyFont="1" applyBorder="1" applyAlignment="1">
      <alignment horizontal="centerContinuous"/>
    </xf>
    <xf numFmtId="0" fontId="0" fillId="2" borderId="12" xfId="0" applyNumberFormat="1" applyBorder="1" applyAlignment="1">
      <alignment horizontal="centerContinuous"/>
    </xf>
    <xf numFmtId="0" fontId="10" fillId="0" borderId="0" xfId="0" applyNumberFormat="1" applyFont="1" applyFill="1"/>
    <xf numFmtId="0" fontId="10" fillId="0" borderId="0" xfId="0" applyNumberFormat="1" applyFont="1" applyFill="1" applyAlignment="1">
      <alignment horizontal="center"/>
    </xf>
    <xf numFmtId="0" fontId="10" fillId="4" borderId="0" xfId="0" applyNumberFormat="1" applyFont="1" applyFill="1"/>
    <xf numFmtId="0" fontId="10" fillId="4" borderId="13" xfId="0" applyNumberFormat="1" applyFont="1" applyFill="1" applyBorder="1"/>
    <xf numFmtId="0" fontId="0" fillId="4" borderId="0" xfId="0" applyNumberFormat="1" applyFill="1"/>
    <xf numFmtId="0" fontId="7" fillId="4" borderId="0" xfId="0" applyNumberFormat="1" applyFont="1" applyFill="1"/>
    <xf numFmtId="0" fontId="3" fillId="4" borderId="0" xfId="0" applyNumberFormat="1" applyFont="1" applyFill="1"/>
    <xf numFmtId="10" fontId="0" fillId="4" borderId="0" xfId="0" applyNumberFormat="1" applyFill="1"/>
    <xf numFmtId="0" fontId="8" fillId="4" borderId="0" xfId="0" applyNumberFormat="1" applyFont="1" applyFill="1"/>
    <xf numFmtId="2" fontId="8" fillId="4" borderId="0" xfId="0" applyNumberFormat="1" applyFont="1" applyFill="1"/>
    <xf numFmtId="41" fontId="0" fillId="4" borderId="0" xfId="0" applyNumberFormat="1" applyFill="1"/>
    <xf numFmtId="0" fontId="0" fillId="4" borderId="0" xfId="0" applyNumberFormat="1" applyFill="1" applyAlignment="1">
      <alignment horizontal="right"/>
    </xf>
    <xf numFmtId="0" fontId="7" fillId="4" borderId="0" xfId="0" applyNumberFormat="1" applyFont="1" applyFill="1" applyAlignment="1">
      <alignment horizontal="fill"/>
    </xf>
    <xf numFmtId="0" fontId="0" fillId="3" borderId="0" xfId="0" applyNumberFormat="1" applyFill="1"/>
    <xf numFmtId="167" fontId="0" fillId="2" borderId="0" xfId="0" applyNumberFormat="1"/>
    <xf numFmtId="0" fontId="0" fillId="2" borderId="2" xfId="0" applyNumberFormat="1" applyBorder="1" applyAlignment="1">
      <alignment horizontal="left"/>
    </xf>
    <xf numFmtId="0" fontId="0" fillId="2" borderId="5" xfId="0" applyNumberFormat="1" applyBorder="1" applyAlignment="1">
      <alignment horizontal="left"/>
    </xf>
    <xf numFmtId="167" fontId="0" fillId="2" borderId="6" xfId="0" applyNumberFormat="1" applyBorder="1" applyAlignment="1">
      <alignment horizontal="center"/>
    </xf>
    <xf numFmtId="0" fontId="0" fillId="2" borderId="9" xfId="0" applyNumberFormat="1" applyBorder="1" applyAlignment="1">
      <alignment horizontal="right"/>
    </xf>
    <xf numFmtId="167" fontId="0" fillId="2" borderId="10" xfId="0" applyNumberFormat="1" applyBorder="1" applyAlignment="1">
      <alignment horizontal="center"/>
    </xf>
    <xf numFmtId="0" fontId="0" fillId="2" borderId="0" xfId="0" applyNumberFormat="1" applyAlignment="1">
      <alignment horizontal="centerContinuous"/>
    </xf>
    <xf numFmtId="0" fontId="11" fillId="2" borderId="0" xfId="0" applyNumberFormat="1" applyFont="1" applyBorder="1" applyAlignment="1">
      <alignment horizontal="centerContinuous"/>
    </xf>
    <xf numFmtId="0" fontId="0" fillId="2" borderId="0" xfId="0" applyNumberFormat="1" applyBorder="1" applyAlignment="1">
      <alignment horizontal="left"/>
    </xf>
    <xf numFmtId="0" fontId="0" fillId="2" borderId="3" xfId="0" applyNumberFormat="1" applyBorder="1" applyAlignment="1">
      <alignment horizontal="left"/>
    </xf>
    <xf numFmtId="167" fontId="12" fillId="2" borderId="3" xfId="0" applyNumberFormat="1" applyFont="1" applyBorder="1" applyAlignment="1">
      <alignment horizontal="center"/>
    </xf>
    <xf numFmtId="167" fontId="12" fillId="2" borderId="0" xfId="0" applyNumberFormat="1" applyFont="1" applyBorder="1" applyAlignment="1">
      <alignment horizontal="center"/>
    </xf>
    <xf numFmtId="167" fontId="12" fillId="2" borderId="4" xfId="0" applyNumberFormat="1" applyFont="1" applyBorder="1" applyAlignment="1">
      <alignment horizontal="center"/>
    </xf>
    <xf numFmtId="10" fontId="0" fillId="2" borderId="0" xfId="0" applyNumberFormat="1" applyAlignment="1">
      <alignment horizontal="center"/>
    </xf>
    <xf numFmtId="167" fontId="12" fillId="2" borderId="6" xfId="0" applyNumberFormat="1" applyFont="1" applyBorder="1" applyAlignment="1">
      <alignment horizontal="center"/>
    </xf>
    <xf numFmtId="0" fontId="13" fillId="2" borderId="0" xfId="0" applyNumberFormat="1" applyFont="1" applyBorder="1" applyAlignment="1">
      <alignment horizontal="centerContinuous"/>
    </xf>
    <xf numFmtId="167" fontId="12" fillId="2" borderId="9" xfId="0" applyNumberFormat="1" applyFont="1" applyBorder="1" applyAlignment="1">
      <alignment horizontal="left"/>
    </xf>
    <xf numFmtId="0" fontId="10" fillId="0" borderId="5" xfId="0" applyNumberFormat="1" applyFont="1" applyFill="1" applyBorder="1"/>
    <xf numFmtId="0" fontId="0" fillId="2" borderId="14" xfId="0" applyNumberFormat="1" applyBorder="1"/>
    <xf numFmtId="0" fontId="15" fillId="2" borderId="0" xfId="0" applyNumberFormat="1" applyFont="1"/>
    <xf numFmtId="41" fontId="15" fillId="2" borderId="0" xfId="0" applyNumberFormat="1" applyFont="1"/>
    <xf numFmtId="0" fontId="16" fillId="2" borderId="0" xfId="0" applyNumberFormat="1" applyFont="1"/>
    <xf numFmtId="0" fontId="17" fillId="2" borderId="0" xfId="0" applyNumberFormat="1" applyFont="1"/>
    <xf numFmtId="0" fontId="18" fillId="2" borderId="0" xfId="0" applyNumberFormat="1" applyFont="1"/>
    <xf numFmtId="0" fontId="19" fillId="5" borderId="0" xfId="0" applyNumberFormat="1" applyFont="1" applyFill="1" applyAlignment="1">
      <alignment horizontal="center"/>
    </xf>
    <xf numFmtId="0" fontId="20" fillId="5" borderId="0" xfId="0" applyNumberFormat="1" applyFont="1" applyFill="1" applyAlignment="1">
      <alignment horizontal="center"/>
    </xf>
    <xf numFmtId="0" fontId="18" fillId="2" borderId="0" xfId="0" applyNumberFormat="1" applyFont="1" applyAlignment="1">
      <alignment horizontal="right"/>
    </xf>
    <xf numFmtId="41" fontId="18" fillId="2" borderId="0" xfId="0" applyNumberFormat="1" applyFont="1"/>
    <xf numFmtId="41" fontId="18" fillId="2" borderId="7" xfId="0" applyNumberFormat="1" applyFont="1" applyBorder="1"/>
    <xf numFmtId="5" fontId="18" fillId="2" borderId="7" xfId="0" applyNumberFormat="1" applyFont="1" applyBorder="1"/>
    <xf numFmtId="10" fontId="18" fillId="2" borderId="0" xfId="0" applyNumberFormat="1" applyFont="1" applyAlignment="1">
      <alignment horizontal="right"/>
    </xf>
    <xf numFmtId="0" fontId="21" fillId="2" borderId="0" xfId="0" applyNumberFormat="1" applyFont="1" applyAlignment="1">
      <alignment horizontal="right"/>
    </xf>
    <xf numFmtId="41" fontId="21" fillId="2" borderId="0" xfId="0" applyNumberFormat="1" applyFont="1" applyAlignment="1">
      <alignment horizontal="center"/>
    </xf>
    <xf numFmtId="0" fontId="21" fillId="2" borderId="0" xfId="0" applyNumberFormat="1" applyFont="1" applyAlignment="1">
      <alignment horizontal="center"/>
    </xf>
    <xf numFmtId="41" fontId="18" fillId="2" borderId="0" xfId="0" applyNumberFormat="1" applyFont="1" applyBorder="1" applyProtection="1">
      <protection locked="0"/>
    </xf>
    <xf numFmtId="10" fontId="18" fillId="2" borderId="0" xfId="0" applyNumberFormat="1" applyFont="1" applyAlignment="1">
      <alignment horizontal="center"/>
    </xf>
    <xf numFmtId="10" fontId="18" fillId="2" borderId="0" xfId="0" applyNumberFormat="1" applyFont="1"/>
    <xf numFmtId="41" fontId="18" fillId="2" borderId="9" xfId="0" applyNumberFormat="1" applyFont="1" applyBorder="1" applyProtection="1">
      <protection locked="0"/>
    </xf>
    <xf numFmtId="9" fontId="18" fillId="2" borderId="0" xfId="0" applyNumberFormat="1" applyFont="1" applyAlignment="1">
      <alignment horizontal="center"/>
    </xf>
    <xf numFmtId="0" fontId="18" fillId="2" borderId="0" xfId="0" quotePrefix="1" applyNumberFormat="1" applyFont="1" applyAlignment="1">
      <alignment horizontal="left"/>
    </xf>
    <xf numFmtId="39" fontId="18" fillId="2" borderId="0" xfId="0" applyNumberFormat="1" applyFont="1"/>
    <xf numFmtId="0" fontId="22" fillId="2" borderId="0" xfId="0" applyNumberFormat="1" applyFont="1"/>
    <xf numFmtId="0" fontId="19" fillId="5" borderId="9" xfId="0" applyNumberFormat="1" applyFont="1" applyFill="1" applyBorder="1"/>
    <xf numFmtId="0" fontId="20" fillId="5" borderId="9" xfId="0" applyNumberFormat="1" applyFont="1" applyFill="1" applyBorder="1"/>
    <xf numFmtId="0" fontId="20" fillId="5" borderId="9" xfId="0" applyNumberFormat="1" applyFont="1" applyFill="1" applyBorder="1" applyAlignment="1">
      <alignment horizontal="center"/>
    </xf>
    <xf numFmtId="0" fontId="23" fillId="6" borderId="16" xfId="1" applyNumberFormat="1" applyFont="1" applyBorder="1" applyAlignment="1">
      <alignment horizontal="centerContinuous"/>
    </xf>
    <xf numFmtId="0" fontId="23" fillId="6" borderId="16" xfId="1" applyNumberFormat="1" applyFont="1" applyBorder="1" applyAlignment="1">
      <alignment horizontal="left"/>
    </xf>
    <xf numFmtId="0" fontId="15" fillId="2" borderId="0" xfId="0" applyNumberFormat="1" applyFont="1" applyBorder="1"/>
    <xf numFmtId="0" fontId="19" fillId="3" borderId="0" xfId="0" applyNumberFormat="1" applyFont="1" applyFill="1" applyBorder="1" applyAlignment="1">
      <alignment horizontal="centerContinuous"/>
    </xf>
    <xf numFmtId="0" fontId="24" fillId="2" borderId="0" xfId="0" applyNumberFormat="1" applyFont="1"/>
    <xf numFmtId="0" fontId="20" fillId="2" borderId="0" xfId="0" applyNumberFormat="1" applyFont="1"/>
    <xf numFmtId="0" fontId="24" fillId="2" borderId="0" xfId="0" applyNumberFormat="1" applyFont="1" applyAlignment="1">
      <alignment horizontal="right"/>
    </xf>
    <xf numFmtId="41" fontId="18" fillId="2" borderId="0" xfId="0" applyNumberFormat="1" applyFont="1" applyBorder="1"/>
    <xf numFmtId="41" fontId="18" fillId="2" borderId="1" xfId="0" applyNumberFormat="1" applyFont="1" applyBorder="1"/>
    <xf numFmtId="0" fontId="20" fillId="2" borderId="0" xfId="0" applyNumberFormat="1" applyFont="1" applyAlignment="1">
      <alignment horizontal="center"/>
    </xf>
    <xf numFmtId="0" fontId="20" fillId="2" borderId="9" xfId="0" applyNumberFormat="1" applyFont="1" applyBorder="1" applyAlignment="1">
      <alignment horizontal="right"/>
    </xf>
    <xf numFmtId="0" fontId="2" fillId="2" borderId="0" xfId="0" applyNumberFormat="1" applyFont="1" applyBorder="1"/>
    <xf numFmtId="0" fontId="1" fillId="2" borderId="0" xfId="0" applyNumberFormat="1" applyFont="1" applyBorder="1"/>
    <xf numFmtId="10" fontId="27" fillId="3" borderId="0" xfId="3" applyFont="1" applyBorder="1"/>
    <xf numFmtId="168" fontId="27" fillId="3" borderId="6" xfId="3" applyNumberFormat="1" applyFont="1" applyBorder="1"/>
    <xf numFmtId="10" fontId="27" fillId="3" borderId="9" xfId="3" applyFont="1" applyBorder="1"/>
    <xf numFmtId="10" fontId="27" fillId="3" borderId="10" xfId="3" applyFont="1" applyBorder="1"/>
    <xf numFmtId="0" fontId="13" fillId="4" borderId="0" xfId="0" applyNumberFormat="1" applyFont="1" applyFill="1"/>
    <xf numFmtId="0" fontId="0" fillId="7" borderId="0" xfId="0" applyNumberFormat="1" applyFill="1" applyBorder="1"/>
    <xf numFmtId="2" fontId="0" fillId="2" borderId="19" xfId="0" applyNumberFormat="1" applyBorder="1" applyAlignment="1">
      <alignment horizontal="center"/>
    </xf>
    <xf numFmtId="165" fontId="0" fillId="2" borderId="20" xfId="0" applyNumberFormat="1" applyBorder="1"/>
    <xf numFmtId="10" fontId="4" fillId="2" borderId="20" xfId="0" applyNumberFormat="1" applyFont="1" applyBorder="1"/>
    <xf numFmtId="41" fontId="0" fillId="2" borderId="21" xfId="0" applyNumberFormat="1" applyBorder="1"/>
    <xf numFmtId="41" fontId="0" fillId="2" borderId="19" xfId="0" applyNumberFormat="1" applyBorder="1"/>
    <xf numFmtId="41" fontId="0" fillId="2" borderId="20" xfId="0" applyNumberFormat="1" applyBorder="1"/>
    <xf numFmtId="2" fontId="0" fillId="2" borderId="5" xfId="0" applyNumberFormat="1" applyBorder="1" applyAlignment="1">
      <alignment horizontal="center"/>
    </xf>
    <xf numFmtId="41" fontId="0" fillId="2" borderId="6" xfId="0" applyNumberFormat="1" applyBorder="1"/>
    <xf numFmtId="41" fontId="0" fillId="2" borderId="5" xfId="0" applyNumberFormat="1" applyBorder="1"/>
    <xf numFmtId="41" fontId="0" fillId="2" borderId="0" xfId="0" applyNumberFormat="1" applyBorder="1"/>
    <xf numFmtId="168" fontId="18" fillId="2" borderId="0" xfId="0" applyNumberFormat="1" applyFont="1"/>
    <xf numFmtId="169" fontId="18" fillId="2" borderId="0" xfId="0" applyNumberFormat="1" applyFont="1" applyBorder="1" applyProtection="1">
      <protection locked="0"/>
    </xf>
    <xf numFmtId="10" fontId="15" fillId="0" borderId="22" xfId="3" applyFont="1" applyFill="1" applyBorder="1"/>
    <xf numFmtId="168" fontId="15" fillId="0" borderId="22" xfId="3" applyNumberFormat="1" applyFont="1" applyFill="1" applyBorder="1"/>
    <xf numFmtId="0" fontId="23" fillId="6" borderId="23" xfId="1" applyNumberFormat="1" applyFont="1" applyBorder="1" applyAlignment="1">
      <alignment horizontal="left"/>
    </xf>
    <xf numFmtId="0" fontId="18" fillId="2" borderId="14" xfId="0" applyNumberFormat="1" applyFont="1" applyBorder="1" applyAlignment="1">
      <alignment horizontal="right"/>
    </xf>
    <xf numFmtId="0" fontId="18" fillId="2" borderId="18" xfId="0" applyNumberFormat="1" applyFont="1" applyBorder="1" applyAlignment="1">
      <alignment horizontal="right"/>
    </xf>
    <xf numFmtId="41" fontId="18" fillId="2" borderId="24" xfId="0" applyNumberFormat="1" applyFont="1" applyBorder="1"/>
    <xf numFmtId="168" fontId="18" fillId="2" borderId="24" xfId="0" applyNumberFormat="1" applyFont="1" applyBorder="1"/>
    <xf numFmtId="0" fontId="15" fillId="2" borderId="25" xfId="0" applyNumberFormat="1" applyFont="1" applyBorder="1"/>
    <xf numFmtId="0" fontId="18" fillId="2" borderId="5" xfId="0" applyNumberFormat="1" applyFont="1" applyBorder="1"/>
    <xf numFmtId="0" fontId="18" fillId="2" borderId="8" xfId="0" applyNumberFormat="1" applyFont="1" applyBorder="1"/>
    <xf numFmtId="0" fontId="18" fillId="2" borderId="26" xfId="0" applyNumberFormat="1" applyFont="1" applyBorder="1" applyAlignment="1">
      <alignment horizontal="center"/>
    </xf>
    <xf numFmtId="0" fontId="18" fillId="2" borderId="14" xfId="0" applyNumberFormat="1" applyFont="1" applyBorder="1" applyAlignment="1">
      <alignment horizontal="center"/>
    </xf>
    <xf numFmtId="10" fontId="18" fillId="2" borderId="24" xfId="0" applyNumberFormat="1" applyFont="1" applyBorder="1" applyAlignment="1">
      <alignment horizontal="center"/>
    </xf>
    <xf numFmtId="0" fontId="15" fillId="2" borderId="0" xfId="0" applyNumberFormat="1" applyFont="1" applyAlignment="1">
      <alignment horizontal="right"/>
    </xf>
    <xf numFmtId="0" fontId="19" fillId="5" borderId="0" xfId="0" applyNumberFormat="1" applyFont="1" applyFill="1" applyBorder="1" applyAlignment="1">
      <alignment horizontal="right"/>
    </xf>
    <xf numFmtId="0" fontId="0" fillId="2" borderId="9" xfId="0" applyNumberFormat="1" applyFont="1" applyBorder="1"/>
    <xf numFmtId="39" fontId="0" fillId="2" borderId="2" xfId="0" applyNumberFormat="1" applyFont="1" applyBorder="1" applyAlignment="1">
      <alignment horizontal="center"/>
    </xf>
    <xf numFmtId="0" fontId="0" fillId="2" borderId="3" xfId="0" quotePrefix="1" applyNumberFormat="1" applyFont="1" applyBorder="1" applyAlignment="1">
      <alignment horizontal="left"/>
    </xf>
    <xf numFmtId="0" fontId="0" fillId="2" borderId="5" xfId="0" applyNumberFormat="1" applyFont="1" applyBorder="1" applyAlignment="1">
      <alignment horizontal="center"/>
    </xf>
    <xf numFmtId="0" fontId="0" fillId="2" borderId="0" xfId="0" quotePrefix="1" applyNumberFormat="1" applyFont="1" applyBorder="1" applyAlignment="1">
      <alignment horizontal="left"/>
    </xf>
    <xf numFmtId="0" fontId="0" fillId="2" borderId="0" xfId="0" applyNumberFormat="1" applyFont="1" applyBorder="1"/>
    <xf numFmtId="10" fontId="0" fillId="2" borderId="8" xfId="0" applyNumberFormat="1" applyFont="1" applyBorder="1" applyAlignment="1">
      <alignment horizontal="center"/>
    </xf>
    <xf numFmtId="0" fontId="0" fillId="2" borderId="21" xfId="0" applyNumberFormat="1" applyBorder="1"/>
    <xf numFmtId="0" fontId="0" fillId="2" borderId="19" xfId="0" applyNumberFormat="1" applyBorder="1"/>
    <xf numFmtId="0" fontId="2" fillId="2" borderId="20" xfId="0" applyNumberFormat="1" applyFont="1" applyBorder="1"/>
    <xf numFmtId="0" fontId="2" fillId="2" borderId="5" xfId="0" applyNumberFormat="1" applyFont="1" applyBorder="1"/>
    <xf numFmtId="0" fontId="2" fillId="2" borderId="6" xfId="0" applyNumberFormat="1" applyFont="1" applyBorder="1"/>
    <xf numFmtId="10" fontId="27" fillId="3" borderId="6" xfId="3" applyFont="1" applyBorder="1"/>
    <xf numFmtId="0" fontId="6" fillId="2" borderId="0" xfId="0" applyNumberFormat="1" applyFont="1" applyBorder="1"/>
    <xf numFmtId="39" fontId="0" fillId="2" borderId="9" xfId="0" applyNumberFormat="1" applyBorder="1"/>
    <xf numFmtId="164" fontId="0" fillId="2" borderId="9" xfId="0" applyNumberFormat="1" applyBorder="1"/>
    <xf numFmtId="165" fontId="0" fillId="2" borderId="10" xfId="0" applyNumberFormat="1" applyBorder="1"/>
    <xf numFmtId="0" fontId="0" fillId="2" borderId="20" xfId="0" applyNumberFormat="1" applyBorder="1"/>
    <xf numFmtId="10" fontId="0" fillId="2" borderId="0" xfId="0" applyNumberFormat="1" applyBorder="1"/>
    <xf numFmtId="10" fontId="0" fillId="2" borderId="9" xfId="0" applyNumberFormat="1" applyBorder="1"/>
    <xf numFmtId="0" fontId="30" fillId="2" borderId="3" xfId="0" applyNumberFormat="1" applyFont="1" applyBorder="1" applyAlignment="1">
      <alignment horizontal="center"/>
    </xf>
    <xf numFmtId="0" fontId="30" fillId="2" borderId="4" xfId="0" applyNumberFormat="1" applyFont="1" applyBorder="1" applyAlignment="1">
      <alignment horizontal="center"/>
    </xf>
    <xf numFmtId="10" fontId="0" fillId="2" borderId="6" xfId="0" applyNumberFormat="1" applyBorder="1" applyAlignment="1">
      <alignment horizontal="right"/>
    </xf>
    <xf numFmtId="0" fontId="29" fillId="6" borderId="17" xfId="1" applyNumberFormat="1" applyFont="1" applyBorder="1" applyAlignment="1">
      <alignment horizontal="centerContinuous"/>
    </xf>
    <xf numFmtId="0" fontId="23" fillId="6" borderId="11" xfId="1" applyNumberFormat="1" applyFont="1" applyBorder="1" applyAlignment="1">
      <alignment horizontal="left"/>
    </xf>
    <xf numFmtId="168" fontId="18" fillId="2" borderId="0" xfId="0" applyNumberFormat="1" applyFont="1" applyBorder="1"/>
    <xf numFmtId="0" fontId="0" fillId="2" borderId="0" xfId="0" applyNumberFormat="1" applyBorder="1" applyAlignment="1">
      <alignment horizontal="center"/>
    </xf>
    <xf numFmtId="0" fontId="28" fillId="2" borderId="0" xfId="5" applyNumberFormat="1"/>
    <xf numFmtId="0" fontId="18" fillId="2" borderId="0" xfId="5" applyNumberFormat="1" applyFont="1" applyBorder="1" applyAlignment="1">
      <alignment horizontal="right"/>
    </xf>
    <xf numFmtId="41" fontId="18" fillId="2" borderId="0" xfId="5" applyNumberFormat="1" applyFont="1" applyBorder="1"/>
    <xf numFmtId="0" fontId="25" fillId="2" borderId="0" xfId="5" applyNumberFormat="1" applyFont="1" applyBorder="1" applyAlignment="1">
      <alignment horizontal="left"/>
    </xf>
    <xf numFmtId="0" fontId="28" fillId="2" borderId="0" xfId="5" applyNumberFormat="1" applyBorder="1"/>
    <xf numFmtId="0" fontId="15" fillId="2" borderId="5" xfId="0" applyNumberFormat="1" applyFont="1" applyBorder="1"/>
    <xf numFmtId="0" fontId="31" fillId="2" borderId="0" xfId="0" applyNumberFormat="1" applyFont="1" applyAlignment="1">
      <alignment horizontal="center"/>
    </xf>
    <xf numFmtId="170" fontId="32" fillId="8" borderId="0" xfId="6" applyFill="1"/>
    <xf numFmtId="170" fontId="32" fillId="0" borderId="0" xfId="6"/>
    <xf numFmtId="170" fontId="33" fillId="8" borderId="0" xfId="6" applyFont="1" applyFill="1"/>
    <xf numFmtId="170" fontId="34" fillId="8" borderId="0" xfId="6" applyFont="1" applyFill="1"/>
    <xf numFmtId="0" fontId="18" fillId="2" borderId="0" xfId="5" applyNumberFormat="1" applyFont="1" applyAlignment="1">
      <alignment horizontal="right"/>
    </xf>
    <xf numFmtId="10" fontId="18" fillId="2" borderId="0" xfId="5" applyNumberFormat="1" applyFont="1" applyAlignment="1">
      <alignment horizontal="right"/>
    </xf>
    <xf numFmtId="41" fontId="15" fillId="3" borderId="0" xfId="7" applyFont="1" applyAlignment="1">
      <alignment horizontal="right"/>
    </xf>
    <xf numFmtId="0" fontId="28" fillId="2" borderId="0" xfId="5" applyNumberFormat="1" applyAlignment="1">
      <alignment horizontal="right"/>
    </xf>
    <xf numFmtId="0" fontId="15" fillId="2" borderId="0" xfId="5" applyNumberFormat="1" applyFont="1"/>
    <xf numFmtId="0" fontId="19" fillId="5" borderId="19" xfId="5" applyNumberFormat="1" applyFont="1" applyFill="1" applyBorder="1" applyAlignment="1">
      <alignment horizontal="left"/>
    </xf>
    <xf numFmtId="0" fontId="28" fillId="2" borderId="20" xfId="5" applyNumberFormat="1" applyBorder="1"/>
    <xf numFmtId="0" fontId="28" fillId="2" borderId="21" xfId="5" applyNumberFormat="1" applyBorder="1"/>
    <xf numFmtId="0" fontId="15" fillId="2" borderId="5" xfId="5" applyNumberFormat="1" applyFont="1" applyBorder="1"/>
    <xf numFmtId="41" fontId="18" fillId="2" borderId="6" xfId="5" applyNumberFormat="1" applyFont="1" applyBorder="1"/>
    <xf numFmtId="0" fontId="20" fillId="2" borderId="0" xfId="5" applyNumberFormat="1" applyFont="1" applyBorder="1" applyAlignment="1">
      <alignment horizontal="right"/>
    </xf>
    <xf numFmtId="41" fontId="20" fillId="2" borderId="27" xfId="5" applyNumberFormat="1" applyFont="1" applyBorder="1"/>
    <xf numFmtId="41" fontId="20" fillId="2" borderId="28" xfId="5" applyNumberFormat="1" applyFont="1" applyBorder="1"/>
    <xf numFmtId="0" fontId="28" fillId="2" borderId="8" xfId="5" applyNumberFormat="1" applyBorder="1"/>
    <xf numFmtId="0" fontId="28" fillId="2" borderId="9" xfId="5" applyNumberFormat="1" applyBorder="1"/>
    <xf numFmtId="0" fontId="28" fillId="2" borderId="10" xfId="5" applyNumberFormat="1" applyBorder="1"/>
    <xf numFmtId="0" fontId="20" fillId="2" borderId="9" xfId="0" applyNumberFormat="1" applyFont="1" applyBorder="1" applyAlignment="1">
      <alignment horizontal="center"/>
    </xf>
    <xf numFmtId="0" fontId="18" fillId="2" borderId="0" xfId="0" applyNumberFormat="1" applyFont="1" applyBorder="1"/>
    <xf numFmtId="10" fontId="18" fillId="2" borderId="0" xfId="0" applyNumberFormat="1" applyFont="1" applyBorder="1"/>
    <xf numFmtId="0" fontId="20" fillId="2" borderId="14" xfId="0" applyNumberFormat="1" applyFont="1" applyBorder="1" applyAlignment="1">
      <alignment horizontal="right"/>
    </xf>
    <xf numFmtId="0" fontId="18" fillId="2" borderId="29" xfId="5" applyNumberFormat="1" applyFont="1" applyBorder="1" applyAlignment="1">
      <alignment horizontal="right"/>
    </xf>
    <xf numFmtId="170" fontId="36" fillId="0" borderId="0" xfId="6" applyFont="1"/>
    <xf numFmtId="170" fontId="37" fillId="0" borderId="0" xfId="6" applyFont="1"/>
    <xf numFmtId="5" fontId="15" fillId="0" borderId="10" xfId="2" applyNumberFormat="1" applyFont="1" applyFill="1" applyBorder="1" applyAlignment="1">
      <alignment horizontal="right"/>
    </xf>
    <xf numFmtId="5" fontId="15" fillId="0" borderId="22" xfId="2" applyNumberFormat="1" applyFont="1" applyFill="1" applyBorder="1" applyAlignment="1">
      <alignment horizontal="right"/>
    </xf>
    <xf numFmtId="0" fontId="0" fillId="2" borderId="15" xfId="0" applyNumberFormat="1" applyBorder="1" applyAlignment="1">
      <alignment horizont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13" fillId="4" borderId="0" xfId="0" applyNumberFormat="1" applyFont="1" applyFill="1" applyAlignment="1">
      <alignment horizontal="center"/>
    </xf>
    <xf numFmtId="0" fontId="15" fillId="4" borderId="20" xfId="0" applyNumberFormat="1" applyFont="1" applyFill="1" applyBorder="1" applyAlignment="1">
      <alignment horizontal="center"/>
    </xf>
    <xf numFmtId="0" fontId="15" fillId="4" borderId="0" xfId="0" applyNumberFormat="1" applyFont="1" applyFill="1" applyBorder="1" applyAlignment="1">
      <alignment horizontal="center"/>
    </xf>
    <xf numFmtId="0" fontId="15" fillId="4" borderId="30" xfId="0" applyNumberFormat="1" applyFont="1" applyFill="1" applyBorder="1" applyAlignment="1">
      <alignment horizontal="center"/>
    </xf>
    <xf numFmtId="0" fontId="15" fillId="4" borderId="0" xfId="0" applyNumberFormat="1" applyFont="1" applyFill="1" applyAlignment="1">
      <alignment horizontal="center"/>
    </xf>
  </cellXfs>
  <cellStyles count="8">
    <cellStyle name="Accent5" xfId="1" builtinId="45"/>
    <cellStyle name="Comma" xfId="2" builtinId="3"/>
    <cellStyle name="Comma 2" xfId="7"/>
    <cellStyle name="Normal" xfId="0" builtinId="0"/>
    <cellStyle name="Normal 2" xfId="5"/>
    <cellStyle name="Normal 3" xfId="6"/>
    <cellStyle name="Percent" xfId="3" builtinId="5"/>
    <cellStyle name="Percent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</xdr:row>
          <xdr:rowOff>171450</xdr:rowOff>
        </xdr:from>
        <xdr:to>
          <xdr:col>2</xdr:col>
          <xdr:colOff>352425</xdr:colOff>
          <xdr:row>16</xdr:row>
          <xdr:rowOff>19050</xdr:rowOff>
        </xdr:to>
        <xdr:sp macro="" textlink="">
          <xdr:nvSpPr>
            <xdr:cNvPr id="2051" name="CheckBox1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369094</xdr:colOff>
      <xdr:row>11</xdr:row>
      <xdr:rowOff>140493</xdr:rowOff>
    </xdr:from>
    <xdr:to>
      <xdr:col>23</xdr:col>
      <xdr:colOff>463284</xdr:colOff>
      <xdr:row>40</xdr:row>
      <xdr:rowOff>149281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3094" y="2997993"/>
          <a:ext cx="8476190" cy="588571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535780</xdr:colOff>
      <xdr:row>13</xdr:row>
      <xdr:rowOff>164330</xdr:rowOff>
    </xdr:from>
    <xdr:to>
      <xdr:col>9</xdr:col>
      <xdr:colOff>119061</xdr:colOff>
      <xdr:row>40</xdr:row>
      <xdr:rowOff>39918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7780" y="3509986"/>
          <a:ext cx="5679281" cy="53405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ermode/Documents/+2018/LG%20replacement/SolidWaste-NonPublic%20LG%202018%20V5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helan%20Coun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out-Chelan"/>
      <sheetName val="Priceout-Douglas"/>
      <sheetName val="Priceout-Okanogan"/>
      <sheetName val="Lurito"/>
      <sheetName val="Lurito-Chelan"/>
      <sheetName val="Lurito-Douglas"/>
      <sheetName val="Lurito-Okanogan"/>
      <sheetName val="Results of Operations"/>
      <sheetName val="Restating AJEs"/>
      <sheetName val="Proforma AJEs"/>
      <sheetName val="Cost Allocations"/>
      <sheetName val="Overhead Allocation"/>
      <sheetName val="Depr Allocation"/>
      <sheetName val="Hours &amp; Miles"/>
      <sheetName val="Container Count"/>
      <sheetName val="Drop Box Allocation"/>
      <sheetName val="Disposal Fee Breakdown"/>
      <sheetName val="Service Count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E11">
            <v>1489862.199569724</v>
          </cell>
        </row>
        <row r="12">
          <cell r="E12">
            <v>1533833.1358127375</v>
          </cell>
        </row>
        <row r="13">
          <cell r="E13">
            <v>692625.09272730106</v>
          </cell>
        </row>
      </sheetData>
      <sheetData sheetId="5" refreshError="1"/>
      <sheetData sheetId="6" refreshError="1"/>
      <sheetData sheetId="7">
        <row r="1">
          <cell r="E1">
            <v>9.64E-2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0">
          <cell r="C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T113"/>
  <sheetViews>
    <sheetView showGridLines="0" tabSelected="1" showOutlineSymbols="0" zoomScale="120" zoomScaleNormal="120" workbookViewId="0">
      <selection activeCell="C8" sqref="C8"/>
    </sheetView>
  </sheetViews>
  <sheetFormatPr defaultColWidth="13" defaultRowHeight="15"/>
  <cols>
    <col min="1" max="1" width="3.77734375" customWidth="1"/>
    <col min="2" max="2" width="26.109375" style="52" bestFit="1" customWidth="1"/>
    <col min="3" max="3" width="16.5546875" style="52" customWidth="1"/>
    <col min="4" max="4" width="16.5546875" style="52" hidden="1" customWidth="1"/>
    <col min="5" max="5" width="5.6640625" style="52" customWidth="1"/>
    <col min="6" max="6" width="4.44140625" customWidth="1"/>
    <col min="7" max="7" width="6.6640625" customWidth="1"/>
    <col min="8" max="8" width="11.6640625" customWidth="1"/>
    <col min="9" max="9" width="13.77734375" customWidth="1"/>
    <col min="10" max="10" width="10.33203125" customWidth="1"/>
    <col min="11" max="11" width="11.77734375" bestFit="1" customWidth="1"/>
    <col min="12" max="13" width="14.33203125" customWidth="1"/>
    <col min="14" max="14" width="4.77734375" customWidth="1"/>
    <col min="15" max="15" width="4.88671875" style="52" customWidth="1"/>
    <col min="16" max="16" width="31.44140625" style="52" customWidth="1"/>
    <col min="17" max="17" width="13" style="25"/>
    <col min="18" max="18" width="10.77734375" style="1" customWidth="1"/>
    <col min="20" max="20" width="10.44140625" customWidth="1"/>
    <col min="21" max="21" width="12.21875" customWidth="1"/>
    <col min="23" max="24" width="13.77734375" customWidth="1"/>
    <col min="25" max="25" width="12.44140625" customWidth="1"/>
    <col min="27" max="27" width="12.33203125" customWidth="1"/>
    <col min="30" max="30" width="12.77734375" customWidth="1"/>
    <col min="31" max="31" width="13.44140625" customWidth="1"/>
    <col min="32" max="32" width="16.109375" customWidth="1"/>
    <col min="33" max="33" width="14.109375" customWidth="1"/>
    <col min="34" max="34" width="12.77734375" customWidth="1"/>
    <col min="36" max="36" width="10.77734375" customWidth="1"/>
    <col min="37" max="37" width="12.77734375" customWidth="1"/>
    <col min="38" max="49" width="11.77734375" customWidth="1"/>
  </cols>
  <sheetData>
    <row r="1" spans="1:35" s="39" customFormat="1" ht="15.75" thickBot="1">
      <c r="A1" s="43"/>
      <c r="B1" s="41"/>
      <c r="C1" s="41"/>
      <c r="D1" s="41"/>
      <c r="E1" s="41"/>
      <c r="F1" s="41"/>
      <c r="G1" s="41"/>
      <c r="H1" s="41"/>
      <c r="I1" s="42"/>
      <c r="J1" s="42"/>
      <c r="K1" s="42"/>
      <c r="L1" s="42"/>
      <c r="M1" s="42"/>
      <c r="N1" s="42"/>
      <c r="O1" s="41"/>
      <c r="P1" s="41"/>
      <c r="Q1" s="70"/>
      <c r="R1" s="40"/>
    </row>
    <row r="2" spans="1:35" ht="19.5" thickBot="1">
      <c r="A2" s="43"/>
      <c r="B2" s="210" t="s">
        <v>106</v>
      </c>
      <c r="C2" s="210"/>
      <c r="D2" s="43"/>
      <c r="E2" s="43"/>
      <c r="F2" s="167" t="s">
        <v>112</v>
      </c>
      <c r="G2" s="98"/>
      <c r="H2" s="98"/>
      <c r="I2" s="99" t="s">
        <v>125</v>
      </c>
      <c r="J2" s="98"/>
      <c r="K2" s="98"/>
      <c r="L2" s="98"/>
      <c r="M2" s="167" t="s">
        <v>112</v>
      </c>
      <c r="O2" s="43"/>
      <c r="P2" s="43"/>
      <c r="R2" s="36" t="s">
        <v>1</v>
      </c>
      <c r="S2" s="37"/>
      <c r="T2" s="38"/>
      <c r="AF2" s="207" t="s">
        <v>92</v>
      </c>
      <c r="AG2" s="208"/>
      <c r="AH2" s="208"/>
      <c r="AI2" s="209"/>
    </row>
    <row r="3" spans="1:35" ht="15.75">
      <c r="A3" s="43"/>
      <c r="B3" s="43"/>
      <c r="C3" s="43"/>
      <c r="D3" s="43"/>
      <c r="E3" s="43"/>
      <c r="F3" s="136"/>
      <c r="G3" s="72"/>
      <c r="K3" s="177" t="s">
        <v>121</v>
      </c>
      <c r="M3" s="177" t="s">
        <v>120</v>
      </c>
      <c r="O3" s="43"/>
      <c r="P3" s="43"/>
      <c r="R3"/>
      <c r="T3" t="s">
        <v>8</v>
      </c>
      <c r="V3" s="1" t="s">
        <v>8</v>
      </c>
      <c r="W3" s="1" t="s">
        <v>8</v>
      </c>
      <c r="X3" s="1" t="s">
        <v>8</v>
      </c>
      <c r="Y3" s="1" t="s">
        <v>9</v>
      </c>
      <c r="Z3" s="1" t="s">
        <v>9</v>
      </c>
      <c r="AA3" s="1" t="s">
        <v>9</v>
      </c>
      <c r="AB3" s="1" t="s">
        <v>9</v>
      </c>
      <c r="AC3" s="1" t="s">
        <v>9</v>
      </c>
      <c r="AD3" s="1" t="s">
        <v>9</v>
      </c>
      <c r="AE3" s="1" t="s">
        <v>86</v>
      </c>
      <c r="AF3" s="1" t="s">
        <v>12</v>
      </c>
      <c r="AG3" s="1" t="s">
        <v>89</v>
      </c>
      <c r="AH3" s="1"/>
    </row>
    <row r="4" spans="1:35" ht="19.5" thickBot="1">
      <c r="A4" s="43"/>
      <c r="B4" s="131" t="s">
        <v>115</v>
      </c>
      <c r="C4" s="168"/>
      <c r="D4" s="116"/>
      <c r="E4" s="43"/>
      <c r="F4" s="176"/>
      <c r="G4" s="72"/>
      <c r="H4" s="77" t="s">
        <v>2</v>
      </c>
      <c r="I4" s="77" t="s">
        <v>3</v>
      </c>
      <c r="J4" s="77" t="s">
        <v>4</v>
      </c>
      <c r="K4" s="77" t="s">
        <v>5</v>
      </c>
      <c r="L4" s="77" t="s">
        <v>6</v>
      </c>
      <c r="M4" s="77" t="s">
        <v>7</v>
      </c>
      <c r="O4" s="45"/>
      <c r="P4" s="43"/>
      <c r="R4"/>
      <c r="T4" s="1" t="s">
        <v>14</v>
      </c>
      <c r="V4" s="1" t="s">
        <v>15</v>
      </c>
      <c r="W4" s="1" t="s">
        <v>16</v>
      </c>
      <c r="X4" s="1" t="s">
        <v>17</v>
      </c>
      <c r="Y4" s="1" t="s">
        <v>18</v>
      </c>
      <c r="Z4" s="1" t="s">
        <v>18</v>
      </c>
      <c r="AA4" s="1" t="s">
        <v>18</v>
      </c>
      <c r="AB4" s="1" t="s">
        <v>16</v>
      </c>
      <c r="AC4" s="1" t="s">
        <v>14</v>
      </c>
      <c r="AD4" s="1" t="s">
        <v>14</v>
      </c>
      <c r="AE4" s="1" t="s">
        <v>93</v>
      </c>
      <c r="AF4" s="1" t="s">
        <v>88</v>
      </c>
      <c r="AG4" s="1" t="s">
        <v>90</v>
      </c>
      <c r="AH4" s="1" t="s">
        <v>91</v>
      </c>
      <c r="AI4" s="1" t="s">
        <v>87</v>
      </c>
    </row>
    <row r="5" spans="1:35" ht="15.75">
      <c r="A5" s="43"/>
      <c r="B5" s="132" t="s">
        <v>32</v>
      </c>
      <c r="C5" s="205">
        <f>'[2]Lurito-Chelan'!$E$11</f>
        <v>1489862.199569724</v>
      </c>
      <c r="D5" s="116"/>
      <c r="E5" s="43"/>
      <c r="F5" s="137" t="s">
        <v>10</v>
      </c>
      <c r="G5" s="76"/>
      <c r="H5" s="76"/>
      <c r="I5" s="77" t="s">
        <v>11</v>
      </c>
      <c r="J5" s="77" t="s">
        <v>12</v>
      </c>
      <c r="K5" s="78" t="s">
        <v>13</v>
      </c>
      <c r="L5" s="78" t="s">
        <v>118</v>
      </c>
      <c r="M5" s="78" t="s">
        <v>12</v>
      </c>
      <c r="O5" s="49"/>
      <c r="P5" s="43"/>
      <c r="R5" s="2"/>
      <c r="T5" s="1" t="s">
        <v>22</v>
      </c>
      <c r="U5" s="1" t="s">
        <v>23</v>
      </c>
      <c r="V5" s="1" t="s">
        <v>24</v>
      </c>
      <c r="W5" s="1" t="s">
        <v>25</v>
      </c>
      <c r="X5" s="1" t="s">
        <v>26</v>
      </c>
      <c r="Y5" s="1" t="s">
        <v>27</v>
      </c>
      <c r="Z5" s="1" t="s">
        <v>28</v>
      </c>
      <c r="AA5" s="1" t="s">
        <v>29</v>
      </c>
      <c r="AB5" s="1" t="s">
        <v>30</v>
      </c>
      <c r="AC5" s="1" t="s">
        <v>22</v>
      </c>
      <c r="AD5" s="1" t="s">
        <v>31</v>
      </c>
      <c r="AE5" s="1" t="s">
        <v>20</v>
      </c>
      <c r="AF5" s="1" t="s">
        <v>85</v>
      </c>
      <c r="AG5" s="1" t="s">
        <v>85</v>
      </c>
      <c r="AH5" s="1" t="s">
        <v>20</v>
      </c>
      <c r="AI5" s="1" t="s">
        <v>86</v>
      </c>
    </row>
    <row r="6" spans="1:35" ht="15.75">
      <c r="A6" s="43"/>
      <c r="B6" s="132" t="s">
        <v>33</v>
      </c>
      <c r="C6" s="206">
        <f>'[2]Lurito-Chelan'!$E$12</f>
        <v>1533833.1358127375</v>
      </c>
      <c r="D6" s="116"/>
      <c r="E6" s="43"/>
      <c r="F6" s="138" t="s">
        <v>19</v>
      </c>
      <c r="G6" s="76"/>
      <c r="H6" s="76"/>
      <c r="I6" s="95"/>
      <c r="J6" s="97" t="s">
        <v>117</v>
      </c>
      <c r="K6" s="96"/>
      <c r="L6" s="97" t="s">
        <v>119</v>
      </c>
      <c r="M6" s="97" t="s">
        <v>21</v>
      </c>
      <c r="O6" s="49"/>
      <c r="P6" s="43"/>
      <c r="R6" s="3">
        <v>1</v>
      </c>
      <c r="S6" s="117">
        <f>Revenue/Investment*100</f>
        <v>215.10369970905882</v>
      </c>
      <c r="T6" s="118">
        <f>EXP(y_inter1-(slope*LN(+S6)))</f>
        <v>7.7719898706616819</v>
      </c>
      <c r="U6" s="119">
        <f>(+S6*T6/100)/100</f>
        <v>0.16717837752806575</v>
      </c>
      <c r="V6" s="119">
        <f>regDebt_weighted</f>
        <v>3.5860000000000003E-2</v>
      </c>
      <c r="W6" s="119">
        <f>+U6-V6</f>
        <v>0.13131837752806574</v>
      </c>
      <c r="X6" s="119">
        <f>+((W6*(1-0.34))-Pfd_weighted)/Equity_percent</f>
        <v>0.23395386386198658</v>
      </c>
      <c r="Y6" s="119">
        <f>X6*equityP</f>
        <v>0.14037231831719194</v>
      </c>
      <c r="Z6" s="119">
        <f>+Y6/(1-taxrate)</f>
        <v>0.20053188331027422</v>
      </c>
      <c r="AA6" s="119">
        <f>debtP*Debt_Rate</f>
        <v>2.1000000000000001E-2</v>
      </c>
      <c r="AB6" s="119">
        <f>AA6+Z6</f>
        <v>0.22153188331027421</v>
      </c>
      <c r="AC6" s="119">
        <f>AB6/(S6/100)</f>
        <v>0.10298841145452631</v>
      </c>
      <c r="AD6" s="119">
        <f>1-AC6</f>
        <v>0.89701158854547369</v>
      </c>
      <c r="AE6" s="120">
        <f>expenses/(AD6)</f>
        <v>1709936.811741625</v>
      </c>
      <c r="AF6" s="121">
        <f>+AE6-Revenue</f>
        <v>220074.61217190092</v>
      </c>
      <c r="AG6" s="122">
        <f ca="1">+AF6/$J$49</f>
        <v>247910.71440957845</v>
      </c>
      <c r="AH6" s="122">
        <f ca="1">+AG6*$J$47</f>
        <v>4983.005359632527</v>
      </c>
      <c r="AI6" s="120">
        <f ca="1">ROUND(+AH6+AE6,5)</f>
        <v>1714919.8171000001</v>
      </c>
    </row>
    <row r="7" spans="1:35" ht="15.75">
      <c r="A7" s="43"/>
      <c r="B7" s="132" t="s">
        <v>104</v>
      </c>
      <c r="C7" s="206">
        <f>'[2]Lurito-Chelan'!$E$13</f>
        <v>692625.09272730106</v>
      </c>
      <c r="D7" s="116"/>
      <c r="E7" s="43"/>
      <c r="F7" s="139">
        <v>1</v>
      </c>
      <c r="G7" s="76"/>
      <c r="H7" s="79" t="s">
        <v>32</v>
      </c>
      <c r="I7" s="80">
        <f>IF(A65=TRUE,C5,0)</f>
        <v>1489862.199569724</v>
      </c>
      <c r="J7" s="80">
        <f ca="1">(+$I8/($R51))-I7</f>
        <v>200181.69325698633</v>
      </c>
      <c r="K7" s="80">
        <f ca="1">+I7+J7</f>
        <v>1690043.8928267104</v>
      </c>
      <c r="L7" s="80">
        <f ca="1">((+J7/J49*K35)-J7)</f>
        <v>4532.5830206199607</v>
      </c>
      <c r="M7" s="80">
        <f ca="1">IFERROR(+K7+L7,0.00001)</f>
        <v>1694576.4758473304</v>
      </c>
      <c r="O7" s="49"/>
      <c r="P7" s="43"/>
      <c r="R7" s="35">
        <v>2</v>
      </c>
      <c r="S7" s="123">
        <f>Revenue/Investment*100</f>
        <v>215.10369970905882</v>
      </c>
      <c r="T7" s="6">
        <f>EXP(y_inter1-(slope*LN(+S7)))</f>
        <v>7.7719898706616819</v>
      </c>
      <c r="U7" s="4">
        <f>(+S7*T7/100)/100</f>
        <v>0.16717837752806575</v>
      </c>
      <c r="V7" s="4">
        <f>regDebt_weighted</f>
        <v>3.5860000000000003E-2</v>
      </c>
      <c r="W7" s="4">
        <f>+U7-V7</f>
        <v>0.13131837752806574</v>
      </c>
      <c r="X7" s="4">
        <f>+((W7*(1-0.34))-Pfd_weighted)/Equity_percent</f>
        <v>0.23395386386198658</v>
      </c>
      <c r="Y7" s="4">
        <f>X7*equityP</f>
        <v>0.14037231831719194</v>
      </c>
      <c r="Z7" s="4">
        <f>+Y7/(1-taxrate)</f>
        <v>0.20053188331027422</v>
      </c>
      <c r="AA7" s="4">
        <f>debtP*Debt_Rate</f>
        <v>2.1000000000000001E-2</v>
      </c>
      <c r="AB7" s="4">
        <f>AA7+Z7</f>
        <v>0.22153188331027421</v>
      </c>
      <c r="AC7" s="4">
        <f>AB7/(S7/100)</f>
        <v>0.10298841145452631</v>
      </c>
      <c r="AD7" s="4">
        <f>1-AC7</f>
        <v>0.89701158854547369</v>
      </c>
      <c r="AE7" s="124">
        <f>expenses/(AD7)</f>
        <v>1709936.811741625</v>
      </c>
      <c r="AF7" s="125">
        <f>+AE7-Revenue</f>
        <v>220074.61217190092</v>
      </c>
      <c r="AG7" s="126">
        <f ca="1">+AF7/$J$49</f>
        <v>247910.71440957845</v>
      </c>
      <c r="AH7" s="126">
        <f ca="1">+AG7*$J$47</f>
        <v>4983.005359632527</v>
      </c>
      <c r="AI7" s="124">
        <f ca="1">ROUND(+AH7+AE7,5)</f>
        <v>1714919.8171000001</v>
      </c>
    </row>
    <row r="8" spans="1:35" ht="15.75">
      <c r="A8" s="43"/>
      <c r="B8" s="132" t="s">
        <v>114</v>
      </c>
      <c r="C8" s="129">
        <v>0.4</v>
      </c>
      <c r="D8" s="116"/>
      <c r="E8" s="43"/>
      <c r="F8" s="140">
        <f>+F7+1</f>
        <v>2</v>
      </c>
      <c r="G8" s="76"/>
      <c r="H8" s="79" t="s">
        <v>33</v>
      </c>
      <c r="I8" s="80">
        <f>IF(A65=TRUE,C6,0)</f>
        <v>1533833.1358127375</v>
      </c>
      <c r="J8" s="72"/>
      <c r="K8" s="80">
        <f>+I8</f>
        <v>1533833.1358127375</v>
      </c>
      <c r="L8" s="80">
        <f ca="1">+L7</f>
        <v>4532.5830206199607</v>
      </c>
      <c r="M8" s="80">
        <f ca="1">IFERROR(+K8+L8,0.00001)</f>
        <v>1538365.7188333576</v>
      </c>
      <c r="O8" s="49"/>
      <c r="P8" s="43"/>
      <c r="R8" s="5">
        <v>3</v>
      </c>
      <c r="S8" s="123">
        <f>Revenue/Investment*100</f>
        <v>215.10369970905882</v>
      </c>
      <c r="T8" s="6">
        <f>EXP(y_inter1-(slope*LN(+S8)))</f>
        <v>7.7719898706616819</v>
      </c>
      <c r="U8" s="4">
        <f>(+S8*T8/100)/100</f>
        <v>0.16717837752806575</v>
      </c>
      <c r="V8" s="4">
        <f>regDebt_weighted</f>
        <v>3.5860000000000003E-2</v>
      </c>
      <c r="W8" s="4">
        <f>+U8-V8</f>
        <v>0.13131837752806574</v>
      </c>
      <c r="X8" s="4">
        <f>+((W8*(1-0.34))-Pfd_weighted)/Equity_percent</f>
        <v>0.23395386386198658</v>
      </c>
      <c r="Y8" s="4">
        <f>X8*equityP</f>
        <v>0.14037231831719194</v>
      </c>
      <c r="Z8" s="4">
        <f>+Y8/(1-taxrate)</f>
        <v>0.20053188331027422</v>
      </c>
      <c r="AA8" s="4">
        <f>debtP*Debt_Rate</f>
        <v>2.1000000000000001E-2</v>
      </c>
      <c r="AB8" s="4">
        <f>AA8+Z8</f>
        <v>0.22153188331027421</v>
      </c>
      <c r="AC8" s="4">
        <f>AB8/(S8/100)</f>
        <v>0.10298841145452631</v>
      </c>
      <c r="AD8" s="4">
        <f>1-AC8</f>
        <v>0.89701158854547369</v>
      </c>
      <c r="AE8" s="124">
        <f>expenses/(AD8)</f>
        <v>1709936.811741625</v>
      </c>
      <c r="AF8" s="125">
        <f>+AE8-Revenue</f>
        <v>220074.61217190092</v>
      </c>
      <c r="AG8" s="126">
        <f ca="1">+AF8/$J$49</f>
        <v>247910.71440957845</v>
      </c>
      <c r="AH8" s="126">
        <f ca="1">+AG8*$J$47</f>
        <v>4983.005359632527</v>
      </c>
      <c r="AI8" s="124">
        <f ca="1">ROUND(+AH8+AE8,5)</f>
        <v>1714919.8171000001</v>
      </c>
    </row>
    <row r="9" spans="1:35" ht="15.75">
      <c r="A9" s="43"/>
      <c r="B9" s="132" t="s">
        <v>113</v>
      </c>
      <c r="C9" s="129">
        <v>5.2499999999999998E-2</v>
      </c>
      <c r="D9" s="116"/>
      <c r="E9" s="43"/>
      <c r="F9" s="140">
        <f t="shared" ref="F9:F49" si="0">+F8+1</f>
        <v>3</v>
      </c>
      <c r="G9" s="76"/>
      <c r="H9" s="79" t="s">
        <v>34</v>
      </c>
      <c r="I9" s="81">
        <f>+I7-I8</f>
        <v>-43970.936243013479</v>
      </c>
      <c r="J9" s="72"/>
      <c r="K9" s="81">
        <f ca="1">+K7-K8</f>
        <v>156210.75701397285</v>
      </c>
      <c r="L9" s="76"/>
      <c r="M9" s="82">
        <f ca="1">+M7-M8</f>
        <v>156210.75701397285</v>
      </c>
      <c r="O9" s="49"/>
      <c r="P9" s="43"/>
      <c r="R9" s="7">
        <v>4</v>
      </c>
      <c r="S9" s="123">
        <f>Revenue/Investment*100</f>
        <v>215.10369970905882</v>
      </c>
      <c r="T9" s="6">
        <f>EXP(y_inter1-(slope*LN(+S9)))</f>
        <v>7.7719898706616819</v>
      </c>
      <c r="U9" s="4">
        <f>(+S9*T9/100)/100</f>
        <v>0.16717837752806575</v>
      </c>
      <c r="V9" s="4">
        <f>regDebt_weighted</f>
        <v>3.5860000000000003E-2</v>
      </c>
      <c r="W9" s="4">
        <f>+U9-V9</f>
        <v>0.13131837752806574</v>
      </c>
      <c r="X9" s="4">
        <f>+((W9*(1-0.34))-Pfd_weighted)/Equity_percent</f>
        <v>0.23395386386198658</v>
      </c>
      <c r="Y9" s="4">
        <f>X9*equityP</f>
        <v>0.14037231831719194</v>
      </c>
      <c r="Z9" s="4">
        <f>+Y9/(1-taxrate)</f>
        <v>0.20053188331027422</v>
      </c>
      <c r="AA9" s="4">
        <f>debtP*Debt_Rate</f>
        <v>2.1000000000000001E-2</v>
      </c>
      <c r="AB9" s="4">
        <f>AA9+Z9</f>
        <v>0.22153188331027421</v>
      </c>
      <c r="AC9" s="4">
        <f>AB9/(S9/100)</f>
        <v>0.10298841145452631</v>
      </c>
      <c r="AD9" s="4">
        <f>1-AC9</f>
        <v>0.89701158854547369</v>
      </c>
      <c r="AE9" s="124">
        <f>expenses/(AD9)</f>
        <v>1709936.811741625</v>
      </c>
      <c r="AF9" s="125">
        <f>+AE9-Revenue</f>
        <v>220074.61217190092</v>
      </c>
      <c r="AG9" s="126">
        <f ca="1">+AF9/$J$49</f>
        <v>247910.71440957845</v>
      </c>
      <c r="AH9" s="126">
        <f ca="1">+AG9*$J$47</f>
        <v>4983.005359632527</v>
      </c>
      <c r="AI9" s="124">
        <f ca="1">ROUND(+AH9+AE9,5)</f>
        <v>1714919.8171000001</v>
      </c>
    </row>
    <row r="10" spans="1:35" ht="15.75">
      <c r="A10" s="43"/>
      <c r="B10" s="201" t="s">
        <v>98</v>
      </c>
      <c r="C10" s="129">
        <v>0.3</v>
      </c>
      <c r="D10" s="116"/>
      <c r="E10" s="43"/>
      <c r="F10" s="140">
        <f t="shared" si="0"/>
        <v>4</v>
      </c>
      <c r="G10" s="76"/>
      <c r="H10" s="76"/>
      <c r="I10" s="72"/>
      <c r="J10" s="72"/>
      <c r="K10" s="80"/>
      <c r="L10" s="76"/>
      <c r="M10" s="76"/>
      <c r="N10" s="76"/>
      <c r="O10" s="49"/>
      <c r="P10" s="43"/>
      <c r="R10" s="1" t="s">
        <v>36</v>
      </c>
    </row>
    <row r="11" spans="1:35" ht="15.75">
      <c r="A11" s="43"/>
      <c r="B11" s="132" t="s">
        <v>97</v>
      </c>
      <c r="C11" s="130">
        <v>1.4999999999999999E-2</v>
      </c>
      <c r="D11" s="116"/>
      <c r="E11" s="43"/>
      <c r="F11" s="140">
        <f t="shared" si="0"/>
        <v>5</v>
      </c>
      <c r="G11" s="76"/>
      <c r="H11" s="79" t="s">
        <v>35</v>
      </c>
      <c r="I11" s="80">
        <f>+K11</f>
        <v>14545.126947273322</v>
      </c>
      <c r="J11" s="72"/>
      <c r="K11" s="80">
        <f>+M27</f>
        <v>14545.126947273322</v>
      </c>
      <c r="L11" s="76"/>
      <c r="M11" s="80">
        <f>+K11</f>
        <v>14545.126947273322</v>
      </c>
      <c r="O11" s="49"/>
      <c r="P11" s="43"/>
      <c r="R11" s="3">
        <v>1</v>
      </c>
      <c r="S11" s="117">
        <f ca="1">IF((AI6/Investment*100)&gt;0,(AI6/Investment*100),0)</f>
        <v>247.59712506910211</v>
      </c>
      <c r="T11" s="118">
        <f ca="1">EXP(y_inter1-(slope*LN(S11)))</f>
        <v>7.0592985507637884</v>
      </c>
      <c r="U11" s="119">
        <f ca="1">(+S11*T11/100)/100</f>
        <v>0.1747862026173593</v>
      </c>
      <c r="V11" s="119">
        <f>regDebt_weighted</f>
        <v>3.5860000000000003E-2</v>
      </c>
      <c r="W11" s="119">
        <f ca="1">+U11-V11</f>
        <v>0.1389262026173593</v>
      </c>
      <c r="X11" s="119">
        <f ca="1">+((W11*(1-0.34))-Pfd_weighted)/Equity_percent</f>
        <v>0.2485502724635382</v>
      </c>
      <c r="Y11" s="119">
        <f ca="1">+X11*equityP</f>
        <v>0.14913016347812291</v>
      </c>
      <c r="Z11" s="119">
        <f ca="1">+Y11/(1-taxrate)</f>
        <v>0.21304309068303273</v>
      </c>
      <c r="AA11" s="119">
        <f>debtP*Debt_Rate</f>
        <v>2.1000000000000001E-2</v>
      </c>
      <c r="AB11" s="119">
        <f ca="1">+AA11+Z11</f>
        <v>0.23404309068303272</v>
      </c>
      <c r="AC11" s="119">
        <f ca="1">+AB11/(S11/100)</f>
        <v>9.4525770692092406E-2</v>
      </c>
      <c r="AD11" s="119">
        <f ca="1">1-AC11</f>
        <v>0.90547422930790755</v>
      </c>
      <c r="AE11" s="120">
        <f ca="1">expenses/(AD11)</f>
        <v>1693955.5938385031</v>
      </c>
      <c r="AF11" s="121">
        <f ca="1">+AE11-Revenue</f>
        <v>204093.39426877908</v>
      </c>
      <c r="AG11" s="122">
        <f ca="1">+AF11/$J$49</f>
        <v>229908.11470760364</v>
      </c>
      <c r="AH11" s="122">
        <f ca="1">+AG11*$J$47</f>
        <v>4621.1531056228332</v>
      </c>
      <c r="AI11" s="120">
        <f ca="1">ROUND(+AH11+AE11,5)</f>
        <v>1698576.74694</v>
      </c>
    </row>
    <row r="12" spans="1:35" ht="15.75">
      <c r="A12" s="43"/>
      <c r="B12" s="132" t="s">
        <v>99</v>
      </c>
      <c r="C12" s="130">
        <v>5.1000000000000004E-3</v>
      </c>
      <c r="D12" s="116"/>
      <c r="E12" s="43"/>
      <c r="F12" s="140">
        <f t="shared" si="0"/>
        <v>6</v>
      </c>
      <c r="G12" s="76"/>
      <c r="H12" s="79" t="s">
        <v>37</v>
      </c>
      <c r="I12" s="80">
        <f ca="1">IF(I14&lt;0,0,+J38*I14)</f>
        <v>0</v>
      </c>
      <c r="J12" s="80">
        <f ca="1">+K12-I12</f>
        <v>42499.689020009857</v>
      </c>
      <c r="K12" s="80">
        <f ca="1">+(K9-K11)*taxrate</f>
        <v>42499.689020009857</v>
      </c>
      <c r="L12" s="76"/>
      <c r="M12" s="80">
        <f ca="1">+K12</f>
        <v>42499.689020009857</v>
      </c>
      <c r="O12" s="49"/>
      <c r="P12" s="43"/>
      <c r="R12" s="35">
        <v>2</v>
      </c>
      <c r="S12" s="123">
        <f ca="1">IF((AI7/Investment*100)&gt;0,(AI7/Investment*100),0)</f>
        <v>247.59712506910211</v>
      </c>
      <c r="T12" s="34">
        <f ca="1">EXP(y_inter2-(slope*LN(+S12)))</f>
        <v>6.9588601623213657</v>
      </c>
      <c r="U12" s="4">
        <f ca="1">(+S12*T12/100)/100</f>
        <v>0.17229937699486755</v>
      </c>
      <c r="V12" s="4">
        <f>regDebt_weighted</f>
        <v>3.5860000000000003E-2</v>
      </c>
      <c r="W12" s="4">
        <f ca="1">+U12-V12</f>
        <v>0.13643937699486755</v>
      </c>
      <c r="X12" s="4">
        <f ca="1">+((W12*(1-0.34))-Pfd_weighted)/Equity_percent</f>
        <v>0.2437790372575947</v>
      </c>
      <c r="Y12" s="4">
        <f ca="1">+X12*equityP</f>
        <v>0.14626742235455681</v>
      </c>
      <c r="Z12" s="4">
        <f ca="1">+Y12/(1-taxrate)</f>
        <v>0.20895346050650973</v>
      </c>
      <c r="AA12" s="4">
        <f>debtP*Debt_Rate</f>
        <v>2.1000000000000001E-2</v>
      </c>
      <c r="AB12" s="4">
        <f ca="1">+AA12+Z12</f>
        <v>0.22995346050650972</v>
      </c>
      <c r="AC12" s="4">
        <f ca="1">+AB12/(S12/100)</f>
        <v>9.2874043041627316E-2</v>
      </c>
      <c r="AD12" s="4">
        <f ca="1">1-AC12</f>
        <v>0.90712595695837273</v>
      </c>
      <c r="AE12" s="124">
        <f ca="1">expenses/(AD12)</f>
        <v>1690871.1784146684</v>
      </c>
      <c r="AF12" s="125">
        <f ca="1">+AE12-Revenue</f>
        <v>201008.97884494439</v>
      </c>
      <c r="AG12" s="126">
        <f ca="1">+AF12/$J$49</f>
        <v>226433.56749058297</v>
      </c>
      <c r="AH12" s="126">
        <f ca="1">+AG12*$J$47</f>
        <v>4551.3147065607172</v>
      </c>
      <c r="AI12" s="124">
        <f ca="1">ROUND(+AH12+AE12,5)</f>
        <v>1695422.49312</v>
      </c>
    </row>
    <row r="13" spans="1:35" ht="15.75">
      <c r="A13" s="43"/>
      <c r="B13" s="132" t="s">
        <v>100</v>
      </c>
      <c r="C13" s="130">
        <v>0</v>
      </c>
      <c r="D13" s="116"/>
      <c r="E13" s="43"/>
      <c r="F13" s="140">
        <f t="shared" si="0"/>
        <v>7</v>
      </c>
      <c r="G13" s="76"/>
      <c r="H13" s="76"/>
      <c r="I13" s="72"/>
      <c r="J13" s="72"/>
      <c r="K13" s="80"/>
      <c r="L13" s="76"/>
      <c r="M13" s="76"/>
      <c r="O13" s="49"/>
      <c r="P13" s="43"/>
      <c r="R13" s="5">
        <v>3</v>
      </c>
      <c r="S13" s="123">
        <f ca="1">IF((AI8/Investment*100)&gt;0,(AI8/Investment*100),0)</f>
        <v>247.59712506910211</v>
      </c>
      <c r="T13" s="6">
        <f ca="1">EXP(y_inter3-(slope*LN(S13)))</f>
        <v>6.8912031412541177</v>
      </c>
      <c r="U13" s="4">
        <f ca="1">(+S13*T13/100)/100</f>
        <v>0.17062420860416849</v>
      </c>
      <c r="V13" s="4">
        <f>regDebt_weighted</f>
        <v>3.5860000000000003E-2</v>
      </c>
      <c r="W13" s="4">
        <f ca="1">+U13-V13</f>
        <v>0.13476420860416849</v>
      </c>
      <c r="X13" s="4">
        <f ca="1">+((W13*(1-0.34))-Pfd_weighted)/Equity_percent</f>
        <v>0.24056505139171863</v>
      </c>
      <c r="Y13" s="4">
        <f ca="1">+X13*equityP</f>
        <v>0.14433903083503116</v>
      </c>
      <c r="Z13" s="4">
        <f ca="1">+Y13/(1-taxrate)</f>
        <v>0.20619861547861595</v>
      </c>
      <c r="AA13" s="4">
        <f>debtP*Debt_Rate</f>
        <v>2.1000000000000001E-2</v>
      </c>
      <c r="AB13" s="4">
        <f ca="1">+AA13+Z13</f>
        <v>0.22719861547861595</v>
      </c>
      <c r="AC13" s="4">
        <f ca="1">+AB13/(S13/100)</f>
        <v>9.1761410967597809E-2</v>
      </c>
      <c r="AD13" s="4">
        <f ca="1">1-AC13</f>
        <v>0.90823858903240218</v>
      </c>
      <c r="AE13" s="124">
        <f ca="1">expenses/(AD13)</f>
        <v>1688799.7871207129</v>
      </c>
      <c r="AF13" s="125">
        <f ca="1">+AE13-Revenue</f>
        <v>198937.58755098889</v>
      </c>
      <c r="AG13" s="126">
        <f ca="1">+AF13/$J$49</f>
        <v>224100.17659901944</v>
      </c>
      <c r="AH13" s="126">
        <f ca="1">+AG13*$J$47</f>
        <v>4504.4135496402905</v>
      </c>
      <c r="AI13" s="124">
        <f ca="1">ROUND(+AH13+AE13,5)</f>
        <v>1693304.2006699999</v>
      </c>
    </row>
    <row r="14" spans="1:35" ht="16.5" thickBot="1">
      <c r="A14" s="43"/>
      <c r="B14" s="133" t="s">
        <v>101</v>
      </c>
      <c r="C14" s="130">
        <v>0</v>
      </c>
      <c r="D14" s="116"/>
      <c r="E14" s="43"/>
      <c r="F14" s="140">
        <f t="shared" si="0"/>
        <v>8</v>
      </c>
      <c r="G14" s="76"/>
      <c r="H14" s="76" t="s">
        <v>38</v>
      </c>
      <c r="I14" s="106">
        <f ca="1">+I9-SUM(I11:I13)</f>
        <v>-58516.063190286804</v>
      </c>
      <c r="J14" s="72"/>
      <c r="K14" s="106">
        <f ca="1">+K9-SUM(K11:K13)</f>
        <v>99165.941046689666</v>
      </c>
      <c r="L14" s="76"/>
      <c r="M14" s="106">
        <f ca="1">+M9-SUM(M11:M13)</f>
        <v>99165.941046689666</v>
      </c>
      <c r="O14" s="49"/>
      <c r="P14" s="43"/>
      <c r="R14" s="7">
        <v>4</v>
      </c>
      <c r="S14" s="123">
        <f ca="1">IF((AI9/Investment*100)&gt;0,(AI9/Investment*100),0)</f>
        <v>247.59712506910211</v>
      </c>
      <c r="T14" s="8">
        <f ca="1">EXP(y_inter4-(slope*LN(S14)))</f>
        <v>6.8479250306548574</v>
      </c>
      <c r="U14" s="4">
        <f ca="1">(+S14*T14/100)/100</f>
        <v>0.16955265502788858</v>
      </c>
      <c r="V14" s="4">
        <f>regDebt_weighted</f>
        <v>3.5860000000000003E-2</v>
      </c>
      <c r="W14" s="4">
        <f ca="1">+U14-V14</f>
        <v>0.13369265502788857</v>
      </c>
      <c r="X14" s="4">
        <f ca="1">+((W14*(1-0.34))-Pfd_weighted)/Equity_percent</f>
        <v>0.23850916371629785</v>
      </c>
      <c r="Y14" s="4">
        <f ca="1">+X14*equityP</f>
        <v>0.14310549822977869</v>
      </c>
      <c r="Z14" s="4">
        <f ca="1">+Y14/(1-taxrate)</f>
        <v>0.204436426042541</v>
      </c>
      <c r="AA14" s="4">
        <f>debtP*Debt_Rate</f>
        <v>2.1000000000000001E-2</v>
      </c>
      <c r="AB14" s="4">
        <f ca="1">+AA14+Z14</f>
        <v>0.22543642604254099</v>
      </c>
      <c r="AC14" s="4">
        <f ca="1">+AB14/(S14/100)</f>
        <v>9.1049694530832587E-2</v>
      </c>
      <c r="AD14" s="4">
        <f ca="1">1-AC14</f>
        <v>0.90895030546916744</v>
      </c>
      <c r="AE14" s="124">
        <f ca="1">expenses/(AD14)</f>
        <v>1687477.4413778628</v>
      </c>
      <c r="AF14" s="125">
        <f ca="1">+AE14-Revenue</f>
        <v>197615.24180813879</v>
      </c>
      <c r="AG14" s="126">
        <f ca="1">+AF14/$J$49</f>
        <v>222610.57416568484</v>
      </c>
      <c r="AH14" s="126">
        <f ca="1">+AG14*$J$47</f>
        <v>4474.4725407302649</v>
      </c>
      <c r="AI14" s="124">
        <f ca="1">ROUND(+AH14+AE14,5)</f>
        <v>1691951.91392</v>
      </c>
    </row>
    <row r="15" spans="1:35" ht="16.5" thickTop="1">
      <c r="A15" s="43"/>
      <c r="B15" s="214"/>
      <c r="C15" s="214"/>
      <c r="D15" s="43"/>
      <c r="E15" s="43"/>
      <c r="F15" s="140">
        <f t="shared" si="0"/>
        <v>9</v>
      </c>
      <c r="G15" s="72"/>
      <c r="H15" s="72"/>
      <c r="I15" s="72"/>
      <c r="J15" s="72"/>
      <c r="K15" s="73"/>
      <c r="L15" s="72"/>
      <c r="M15" s="72"/>
      <c r="O15" s="49"/>
      <c r="P15" s="43"/>
      <c r="R15" s="1" t="s">
        <v>40</v>
      </c>
    </row>
    <row r="16" spans="1:35" ht="15.75">
      <c r="A16" s="43"/>
      <c r="B16" s="202" t="s">
        <v>126</v>
      </c>
      <c r="C16" s="212"/>
      <c r="D16" s="212"/>
      <c r="E16" s="43"/>
      <c r="F16" s="140">
        <f t="shared" si="0"/>
        <v>10</v>
      </c>
      <c r="G16" s="72"/>
      <c r="H16" s="182" t="s">
        <v>39</v>
      </c>
      <c r="I16" s="183">
        <f>+I8/I7</f>
        <v>1.0295134249702504</v>
      </c>
      <c r="J16" s="184"/>
      <c r="K16" s="183">
        <f ca="1">+K8/K7</f>
        <v>0.90756999999999999</v>
      </c>
      <c r="L16" s="185"/>
      <c r="M16" s="183">
        <f ca="1">+M8/M7</f>
        <v>0.90781722793840647</v>
      </c>
      <c r="O16" s="49"/>
      <c r="P16" s="43"/>
      <c r="R16" s="3">
        <v>1</v>
      </c>
      <c r="S16" s="117">
        <f ca="1">AI11/Investment*100</f>
        <v>245.23754117131881</v>
      </c>
      <c r="T16" s="118">
        <f ca="1">EXP(y_inter1-(slope*LN(+S16)))</f>
        <v>7.1056643667741639</v>
      </c>
      <c r="U16" s="119">
        <f ca="1">(+S16*T16/100)/100</f>
        <v>0.17425756576963519</v>
      </c>
      <c r="V16" s="119">
        <f>regDebt_weighted</f>
        <v>3.5860000000000003E-2</v>
      </c>
      <c r="W16" s="119">
        <f ca="1">+U16-V16</f>
        <v>0.13839756576963519</v>
      </c>
      <c r="X16" s="119">
        <f ca="1">+((W16*(1-0.34))-Pfd_weighted)/Equity_percent</f>
        <v>0.24753602734871866</v>
      </c>
      <c r="Y16" s="119">
        <f ca="1">+X16*equityP</f>
        <v>0.1485216164092312</v>
      </c>
      <c r="Z16" s="119">
        <f ca="1">+Y16/(1-taxrate)</f>
        <v>0.21217373772747317</v>
      </c>
      <c r="AA16" s="119">
        <f>debtP*Debt_Rate</f>
        <v>2.1000000000000001E-2</v>
      </c>
      <c r="AB16" s="119">
        <f ca="1">+AA16+Z16</f>
        <v>0.23317373772747316</v>
      </c>
      <c r="AC16" s="119">
        <f ca="1">+AB16/(S16/100)</f>
        <v>9.5080768064210008E-2</v>
      </c>
      <c r="AD16" s="119">
        <f ca="1">1-AC16</f>
        <v>0.90491923193578994</v>
      </c>
      <c r="AE16" s="120">
        <f ca="1">expenses/(AD16)</f>
        <v>1694994.5162858171</v>
      </c>
      <c r="AF16" s="121">
        <f ca="1">+AE16-Revenue</f>
        <v>205132.3167160931</v>
      </c>
      <c r="AG16" s="122">
        <f ca="1">+AF16/$J$49</f>
        <v>231078.44509504782</v>
      </c>
      <c r="AH16" s="122">
        <f ca="1">+AG16*$J$47</f>
        <v>4644.6767464104614</v>
      </c>
      <c r="AI16" s="120">
        <f ca="1">ROUND(+AH16+AE16,5)</f>
        <v>1699639.19303</v>
      </c>
    </row>
    <row r="17" spans="1:35" ht="15.75">
      <c r="A17" s="43"/>
      <c r="B17" s="211"/>
      <c r="C17" s="212"/>
      <c r="D17" s="43" t="s">
        <v>102</v>
      </c>
      <c r="E17" s="43"/>
      <c r="F17" s="140">
        <f t="shared" si="0"/>
        <v>11</v>
      </c>
      <c r="G17" s="72"/>
      <c r="H17" s="186"/>
      <c r="I17" s="186"/>
      <c r="J17" s="171"/>
      <c r="K17" s="186"/>
      <c r="L17" s="182"/>
      <c r="M17" s="182"/>
      <c r="N17" s="83"/>
      <c r="O17" s="43"/>
      <c r="P17" s="43"/>
      <c r="R17" s="35">
        <v>2</v>
      </c>
      <c r="S17" s="123">
        <f ca="1">AI12/Investment*100</f>
        <v>244.78213551923943</v>
      </c>
      <c r="T17" s="34">
        <f ca="1">EXP(y_inter2-(slope*LN(+S17)))</f>
        <v>7.0134730338250808</v>
      </c>
      <c r="U17" s="4">
        <f ca="1">(+S17*T17/100)/100</f>
        <v>0.17167729066263021</v>
      </c>
      <c r="V17" s="4">
        <f>regDebt_weighted</f>
        <v>3.5860000000000003E-2</v>
      </c>
      <c r="W17" s="4">
        <f ca="1">+U17-V17</f>
        <v>0.13581729066263021</v>
      </c>
      <c r="X17" s="4">
        <f ca="1">+((W17*(1-0.34))-Pfd_weighted)/Equity_percent</f>
        <v>0.24258549952713934</v>
      </c>
      <c r="Y17" s="4">
        <f ca="1">+X17*equityP</f>
        <v>0.14555129971628361</v>
      </c>
      <c r="Z17" s="4">
        <f ca="1">+Y17/(1-taxrate)</f>
        <v>0.20793042816611945</v>
      </c>
      <c r="AA17" s="4">
        <f>debtP*Debt_Rate</f>
        <v>2.1000000000000001E-2</v>
      </c>
      <c r="AB17" s="4">
        <f ca="1">+AA17+Z17</f>
        <v>0.22893042816611944</v>
      </c>
      <c r="AC17" s="4">
        <f ca="1">+AB17/(S17/100)</f>
        <v>9.3524156769245081E-2</v>
      </c>
      <c r="AD17" s="4">
        <f ca="1">1-AC17</f>
        <v>0.90647584323075492</v>
      </c>
      <c r="AE17" s="124">
        <f ca="1">expenses/(AD17)</f>
        <v>1692083.8511769152</v>
      </c>
      <c r="AF17" s="125">
        <f ca="1">+AE17-Revenue</f>
        <v>202221.65160719119</v>
      </c>
      <c r="AG17" s="126">
        <f ca="1">+AF17/$J$49</f>
        <v>227799.62497384605</v>
      </c>
      <c r="AH17" s="126">
        <f ca="1">+AG17*$J$47</f>
        <v>4578.7724619743058</v>
      </c>
      <c r="AI17" s="124">
        <f ca="1">ROUND(+AH17+AE17,5)</f>
        <v>1696662.6236399999</v>
      </c>
    </row>
    <row r="18" spans="1:35" ht="15.75">
      <c r="A18" s="43"/>
      <c r="B18" s="213" t="s">
        <v>127</v>
      </c>
      <c r="C18" s="213"/>
      <c r="D18" s="43"/>
      <c r="E18" s="43"/>
      <c r="F18" s="140">
        <f t="shared" si="0"/>
        <v>12</v>
      </c>
      <c r="G18" s="72"/>
      <c r="H18" s="187" t="s">
        <v>83</v>
      </c>
      <c r="I18" s="188"/>
      <c r="J18" s="188"/>
      <c r="K18" s="188"/>
      <c r="L18" s="188"/>
      <c r="M18" s="189"/>
      <c r="N18" s="171"/>
      <c r="O18" s="43"/>
      <c r="P18" s="43"/>
      <c r="R18" s="5">
        <v>3</v>
      </c>
      <c r="S18" s="123">
        <f ca="1">AI13/Investment*100</f>
        <v>244.47630015863206</v>
      </c>
      <c r="T18" s="6">
        <f ca="1">EXP(y_inter3-(slope*LN(S18)))</f>
        <v>6.9512238831997877</v>
      </c>
      <c r="U18" s="4">
        <f ca="1">(+S18*T18/100)/100</f>
        <v>0.16994094965390033</v>
      </c>
      <c r="V18" s="4">
        <f>regDebt_weighted</f>
        <v>3.5860000000000003E-2</v>
      </c>
      <c r="W18" s="4">
        <f ca="1">+U18-V18</f>
        <v>0.13408094965390033</v>
      </c>
      <c r="X18" s="4">
        <f ca="1">+((W18*(1-0.34))-Pfd_weighted)/Equity_percent</f>
        <v>0.23925414759178551</v>
      </c>
      <c r="Y18" s="4">
        <f ca="1">+X18*equityP</f>
        <v>0.1435524885550713</v>
      </c>
      <c r="Z18" s="4">
        <f ca="1">+Y18/(1-taxrate)</f>
        <v>0.20507498365010188</v>
      </c>
      <c r="AA18" s="4">
        <f>debtP*Debt_Rate</f>
        <v>2.1000000000000001E-2</v>
      </c>
      <c r="AB18" s="4">
        <f ca="1">+AA18+Z18</f>
        <v>0.22607498365010187</v>
      </c>
      <c r="AC18" s="4">
        <f ca="1">+AB18/(S18/100)</f>
        <v>9.247316958879441E-2</v>
      </c>
      <c r="AD18" s="4">
        <f ca="1">1-AC18</f>
        <v>0.90752683041120563</v>
      </c>
      <c r="AE18" s="124">
        <f ca="1">expenses/(AD18)</f>
        <v>1690124.2854910954</v>
      </c>
      <c r="AF18" s="125">
        <f ca="1">+AE18-Revenue</f>
        <v>200262.08592137136</v>
      </c>
      <c r="AG18" s="126">
        <f ca="1">+AF18/$J$49</f>
        <v>225592.20393463669</v>
      </c>
      <c r="AH18" s="126">
        <f ca="1">+AG18*$J$47</f>
        <v>4534.4032990861979</v>
      </c>
      <c r="AI18" s="124">
        <f ca="1">ROUND(+AH18+AE18,5)</f>
        <v>1694658.68879</v>
      </c>
    </row>
    <row r="19" spans="1:35" ht="15.75">
      <c r="A19" s="43"/>
      <c r="B19" s="43"/>
      <c r="C19" s="43"/>
      <c r="D19" s="43"/>
      <c r="E19" s="43"/>
      <c r="F19" s="140">
        <f t="shared" si="0"/>
        <v>13</v>
      </c>
      <c r="G19" s="72"/>
      <c r="H19" s="190"/>
      <c r="I19" s="172" t="s">
        <v>124</v>
      </c>
      <c r="J19" s="173">
        <f>+Revenue</f>
        <v>1489862.199569724</v>
      </c>
      <c r="K19" s="174"/>
      <c r="L19" s="172" t="s">
        <v>136</v>
      </c>
      <c r="M19" s="191">
        <f ca="1">+J7</f>
        <v>200181.69325698633</v>
      </c>
      <c r="O19" s="43"/>
      <c r="P19" s="43"/>
      <c r="R19" s="7">
        <v>4</v>
      </c>
      <c r="S19" s="123">
        <f ca="1">AI14/Investment*100</f>
        <v>244.28105936181436</v>
      </c>
      <c r="T19" s="8">
        <f ca="1">EXP(y_inter4-(slope*LN(S19)))</f>
        <v>6.9113427935261145</v>
      </c>
      <c r="U19" s="4">
        <f ca="1">(+S19*T19/100)/100</f>
        <v>0.16883101392152006</v>
      </c>
      <c r="V19" s="4">
        <f>regDebt_weighted</f>
        <v>3.5860000000000003E-2</v>
      </c>
      <c r="W19" s="4">
        <f ca="1">+U19-V19</f>
        <v>0.13297101392152005</v>
      </c>
      <c r="X19" s="4">
        <f ca="1">+((W19*(1-0.34))-Pfd_weighted)/Equity_percent</f>
        <v>0.23712461973314891</v>
      </c>
      <c r="Y19" s="4">
        <f ca="1">+X19*equityP</f>
        <v>0.14227477183988935</v>
      </c>
      <c r="Z19" s="4">
        <f ca="1">+Y19/(1-taxrate)</f>
        <v>0.2032496740569848</v>
      </c>
      <c r="AA19" s="4">
        <f>debtP*Debt_Rate</f>
        <v>2.1000000000000001E-2</v>
      </c>
      <c r="AB19" s="4">
        <f ca="1">+AA19+Z19</f>
        <v>0.22424967405698479</v>
      </c>
      <c r="AC19" s="4">
        <f ca="1">+AB19/(S19/100)</f>
        <v>9.1799861455832188E-2</v>
      </c>
      <c r="AD19" s="4">
        <f ca="1">1-AC19</f>
        <v>0.90820013854416781</v>
      </c>
      <c r="AE19" s="124">
        <f ca="1">expenses/(AD19)</f>
        <v>1688871.2858725728</v>
      </c>
      <c r="AF19" s="125">
        <f ca="1">+AE19-Revenue</f>
        <v>199009.08630284877</v>
      </c>
      <c r="AG19" s="126">
        <f ca="1">+AF19/$J$49</f>
        <v>224180.71885911044</v>
      </c>
      <c r="AH19" s="126">
        <f ca="1">+AG19*$J$47</f>
        <v>4506.0324490681196</v>
      </c>
      <c r="AI19" s="124">
        <f ca="1">ROUND(+AH19+AE19,5)</f>
        <v>1693377.3183200001</v>
      </c>
    </row>
    <row r="20" spans="1:35" ht="15.75">
      <c r="A20" s="43"/>
      <c r="B20" s="115"/>
      <c r="C20" s="43"/>
      <c r="D20" s="43"/>
      <c r="E20" s="43"/>
      <c r="F20" s="140">
        <f t="shared" si="0"/>
        <v>14</v>
      </c>
      <c r="G20" s="72"/>
      <c r="H20" s="190"/>
      <c r="I20" s="172" t="s">
        <v>42</v>
      </c>
      <c r="J20" s="173">
        <f ca="1">+J21-J19</f>
        <v>204714.27627760638</v>
      </c>
      <c r="K20" s="174"/>
      <c r="L20" s="172" t="s">
        <v>41</v>
      </c>
      <c r="M20" s="191">
        <f ca="1">+L8</f>
        <v>4532.5830206199607</v>
      </c>
      <c r="O20" s="43"/>
      <c r="P20" s="43"/>
      <c r="R20" s="1" t="s">
        <v>43</v>
      </c>
    </row>
    <row r="21" spans="1:35" ht="16.5" thickBot="1">
      <c r="A21" s="43"/>
      <c r="B21" s="115" t="s">
        <v>0</v>
      </c>
      <c r="C21" s="43"/>
      <c r="D21" s="43"/>
      <c r="E21" s="43"/>
      <c r="F21" s="140">
        <f t="shared" si="0"/>
        <v>15</v>
      </c>
      <c r="G21" s="72"/>
      <c r="H21" s="190"/>
      <c r="I21" s="192" t="s">
        <v>83</v>
      </c>
      <c r="J21" s="193">
        <f ca="1">+M7</f>
        <v>1694576.4758473304</v>
      </c>
      <c r="K21" s="175"/>
      <c r="L21" s="192" t="s">
        <v>42</v>
      </c>
      <c r="M21" s="194">
        <f ca="1">+M19+M20</f>
        <v>204714.27627760629</v>
      </c>
      <c r="O21" s="43"/>
      <c r="P21" s="43"/>
      <c r="R21" s="3">
        <v>1</v>
      </c>
      <c r="S21" s="117">
        <f ca="1">AI16/Investment*100</f>
        <v>245.39093528036219</v>
      </c>
      <c r="T21" s="118">
        <f ca="1">EXP(y_inter1-(slope*LN(+S21)))</f>
        <v>7.1026273700297535</v>
      </c>
      <c r="U21" s="119">
        <f ca="1">(+S21*T21/100)/100</f>
        <v>0.17429203732795004</v>
      </c>
      <c r="V21" s="119">
        <f>regDebt_weighted</f>
        <v>3.5860000000000003E-2</v>
      </c>
      <c r="W21" s="119">
        <f ca="1">+U21-V21</f>
        <v>0.13843203732795004</v>
      </c>
      <c r="X21" s="119">
        <f ca="1">+((W21*(1-0.34))-Pfd_weighted)/Equity_percent</f>
        <v>0.24760216464083437</v>
      </c>
      <c r="Y21" s="119">
        <f ca="1">+X21*equityP</f>
        <v>0.14856129878450061</v>
      </c>
      <c r="Z21" s="119">
        <f ca="1">+Y21/(1-taxrate)</f>
        <v>0.21223042683500087</v>
      </c>
      <c r="AA21" s="119">
        <f>debtP*Debt_Rate</f>
        <v>2.1000000000000001E-2</v>
      </c>
      <c r="AB21" s="119">
        <f ca="1">+AA21+Z21</f>
        <v>0.23323042683500086</v>
      </c>
      <c r="AC21" s="119">
        <f ca="1">+AB21/(S21/100)</f>
        <v>9.5044434534035341E-2</v>
      </c>
      <c r="AD21" s="119">
        <f ca="1">1-AC21</f>
        <v>0.90495556546596467</v>
      </c>
      <c r="AE21" s="120">
        <f ca="1">expenses/(AD21)</f>
        <v>1694926.463072208</v>
      </c>
      <c r="AF21" s="121">
        <f ca="1">+AE21-Revenue</f>
        <v>205064.26350248395</v>
      </c>
      <c r="AG21" s="122">
        <f ca="1">+AF21/$J$49</f>
        <v>231001.78418156391</v>
      </c>
      <c r="AH21" s="122">
        <f ca="1">+AG21*$J$47</f>
        <v>4643.1358620494348</v>
      </c>
      <c r="AI21" s="120">
        <f ca="1">ROUND(+AH21+AE21,5)</f>
        <v>1699569.5989300001</v>
      </c>
    </row>
    <row r="22" spans="1:35" ht="16.5" thickTop="1">
      <c r="A22" s="43"/>
      <c r="B22" s="43" t="s">
        <v>109</v>
      </c>
      <c r="C22" s="43"/>
      <c r="D22" s="43"/>
      <c r="E22" s="43"/>
      <c r="F22" s="140">
        <f t="shared" si="0"/>
        <v>16</v>
      </c>
      <c r="G22" s="72"/>
      <c r="H22" s="195"/>
      <c r="I22" s="196"/>
      <c r="J22" s="196"/>
      <c r="K22" s="196"/>
      <c r="L22" s="196"/>
      <c r="M22" s="197"/>
      <c r="O22" s="43"/>
      <c r="P22" s="43"/>
      <c r="R22" s="35">
        <v>2</v>
      </c>
      <c r="S22" s="123">
        <f ca="1">AI17/Investment*100</f>
        <v>244.96118339564785</v>
      </c>
      <c r="T22" s="34">
        <f ca="1">EXP(y_inter2-(slope*LN(+S22)))</f>
        <v>7.0099679228060978</v>
      </c>
      <c r="U22" s="4">
        <f ca="1">(+S22*T22/100)/100</f>
        <v>0.17171700379361129</v>
      </c>
      <c r="V22" s="4">
        <f>regDebt_weighted</f>
        <v>3.5860000000000003E-2</v>
      </c>
      <c r="W22" s="4">
        <f ca="1">+U22-V22</f>
        <v>0.13585700379361129</v>
      </c>
      <c r="X22" s="4">
        <f ca="1">+((W22*(1-0.34))-Pfd_weighted)/Equity_percent</f>
        <v>0.24266169332495188</v>
      </c>
      <c r="Y22" s="4">
        <f ca="1">+X22*equityP</f>
        <v>0.14559701599497113</v>
      </c>
      <c r="Z22" s="4">
        <f ca="1">+Y22/(1-taxrate)</f>
        <v>0.20799573713567304</v>
      </c>
      <c r="AA22" s="4">
        <f>debtP*Debt_Rate</f>
        <v>2.1000000000000001E-2</v>
      </c>
      <c r="AB22" s="4">
        <f ca="1">+AA22+Z22</f>
        <v>0.22899573713567303</v>
      </c>
      <c r="AC22" s="4">
        <f ca="1">+AB22/(S22/100)</f>
        <v>9.3482458715024946E-2</v>
      </c>
      <c r="AD22" s="4">
        <f ca="1">1-AC22</f>
        <v>0.90651754128497508</v>
      </c>
      <c r="AE22" s="124">
        <f ca="1">expenses/(AD22)</f>
        <v>1692006.0185912696</v>
      </c>
      <c r="AF22" s="125">
        <f ca="1">+AE22-Revenue</f>
        <v>202143.81902154558</v>
      </c>
      <c r="AG22" s="126">
        <f ca="1">+AF22/$J$49</f>
        <v>227711.94774601262</v>
      </c>
      <c r="AH22" s="126">
        <f ca="1">+AG22*$J$47</f>
        <v>4577.0101496948537</v>
      </c>
      <c r="AI22" s="124">
        <f ca="1">ROUND(+AH22+AE22,5)</f>
        <v>1696583.02874</v>
      </c>
    </row>
    <row r="23" spans="1:35" ht="15.75">
      <c r="A23" s="43"/>
      <c r="B23" s="43" t="s">
        <v>108</v>
      </c>
      <c r="C23" s="43"/>
      <c r="D23" s="43"/>
      <c r="E23" s="43"/>
      <c r="F23" s="140">
        <f t="shared" si="0"/>
        <v>17</v>
      </c>
      <c r="H23" s="72"/>
      <c r="I23" s="72"/>
      <c r="J23" s="72"/>
      <c r="K23" s="72"/>
      <c r="L23" s="72"/>
      <c r="M23" s="72"/>
      <c r="N23" s="72"/>
      <c r="O23" s="43"/>
      <c r="P23" s="43"/>
      <c r="R23" s="5">
        <v>3</v>
      </c>
      <c r="S23" s="123">
        <f ca="1">AI18/Investment*100</f>
        <v>244.67185878540175</v>
      </c>
      <c r="T23" s="6">
        <f ca="1">EXP(y_inter3-(slope*LN(S23)))</f>
        <v>6.9474250023280364</v>
      </c>
      <c r="U23" s="4">
        <f ca="1">(+S23*T23/100)/100</f>
        <v>0.16998393890917746</v>
      </c>
      <c r="V23" s="4">
        <f>regDebt_weighted</f>
        <v>3.5860000000000003E-2</v>
      </c>
      <c r="W23" s="4">
        <f ca="1">+U23-V23</f>
        <v>0.13412393890917745</v>
      </c>
      <c r="X23" s="4">
        <f ca="1">+((W23*(1-0.34))-Pfd_weighted)/Equity_percent</f>
        <v>0.23933662697691022</v>
      </c>
      <c r="Y23" s="4">
        <f ca="1">+X23*equityP</f>
        <v>0.14360197618614612</v>
      </c>
      <c r="Z23" s="4">
        <f ca="1">+Y23/(1-taxrate)</f>
        <v>0.20514568026592303</v>
      </c>
      <c r="AA23" s="4">
        <f>debtP*Debt_Rate</f>
        <v>2.1000000000000001E-2</v>
      </c>
      <c r="AB23" s="4">
        <f ca="1">+AA23+Z23</f>
        <v>0.22614568026592302</v>
      </c>
      <c r="AC23" s="4">
        <f ca="1">+AB23/(S23/100)</f>
        <v>9.2428153114360492E-2</v>
      </c>
      <c r="AD23" s="4">
        <f ca="1">1-AC23</f>
        <v>0.90757184688563952</v>
      </c>
      <c r="AE23" s="124">
        <f ca="1">expenses/(AD23)</f>
        <v>1690040.4536303463</v>
      </c>
      <c r="AF23" s="125">
        <f ca="1">+AE23-Revenue</f>
        <v>200178.2540606223</v>
      </c>
      <c r="AG23" s="126">
        <f ca="1">+AF23/$J$49</f>
        <v>225497.76861434474</v>
      </c>
      <c r="AH23" s="126">
        <f ca="1">+AG23*$J$47</f>
        <v>4532.5051491483291</v>
      </c>
      <c r="AI23" s="124">
        <f ca="1">ROUND(+AH23+AE23,5)</f>
        <v>1694572.95878</v>
      </c>
    </row>
    <row r="24" spans="1:35" ht="15.75">
      <c r="A24" s="43"/>
      <c r="B24" s="43" t="s">
        <v>110</v>
      </c>
      <c r="C24" s="43"/>
      <c r="D24" s="43"/>
      <c r="E24" s="43"/>
      <c r="F24" s="140">
        <f t="shared" si="0"/>
        <v>18</v>
      </c>
      <c r="H24" s="100"/>
      <c r="J24" s="143" t="s">
        <v>105</v>
      </c>
      <c r="K24" s="101" t="s">
        <v>44</v>
      </c>
      <c r="L24" s="101"/>
      <c r="M24" s="101"/>
      <c r="N24" s="101"/>
      <c r="O24" s="43"/>
      <c r="P24" s="43"/>
      <c r="R24" s="7">
        <v>4</v>
      </c>
      <c r="S24" s="123">
        <f ca="1">AI19/Investment*100</f>
        <v>244.48685675711047</v>
      </c>
      <c r="T24" s="8">
        <f ca="1">EXP(y_inter4-(slope*LN(S24)))</f>
        <v>6.9073649183469037</v>
      </c>
      <c r="U24" s="4">
        <f ca="1">(+S24*T24/100)/100</f>
        <v>0.16887599373609696</v>
      </c>
      <c r="V24" s="4">
        <f>regDebt_weighted</f>
        <v>3.5860000000000003E-2</v>
      </c>
      <c r="W24" s="4">
        <f ca="1">+U24-V24</f>
        <v>0.13301599373609696</v>
      </c>
      <c r="X24" s="4">
        <f ca="1">+((W24*(1-0.34))-Pfd_weighted)/Equity_percent</f>
        <v>0.23721091821460463</v>
      </c>
      <c r="Y24" s="4">
        <f ca="1">+X24*equityP</f>
        <v>0.14232655092876279</v>
      </c>
      <c r="Z24" s="4">
        <f ca="1">+Y24/(1-taxrate)</f>
        <v>0.20332364418394686</v>
      </c>
      <c r="AA24" s="4">
        <f>debtP*Debt_Rate</f>
        <v>2.1000000000000001E-2</v>
      </c>
      <c r="AB24" s="4">
        <f ca="1">+AA24+Z24</f>
        <v>0.22432364418394685</v>
      </c>
      <c r="AC24" s="4">
        <f ca="1">+AB24/(S24/100)</f>
        <v>9.1752843960362609E-2</v>
      </c>
      <c r="AD24" s="4">
        <f ca="1">1-AC24</f>
        <v>0.90824715603963735</v>
      </c>
      <c r="AE24" s="124">
        <f ca="1">expenses/(AD24)</f>
        <v>1688783.8575800601</v>
      </c>
      <c r="AF24" s="125">
        <f ca="1">+AE24-Revenue</f>
        <v>198921.6580103361</v>
      </c>
      <c r="AG24" s="126">
        <f ca="1">+AF24/$J$49</f>
        <v>224082.23221295659</v>
      </c>
      <c r="AH24" s="126">
        <f ca="1">+AG24*$J$47</f>
        <v>4504.0528674804273</v>
      </c>
      <c r="AI24" s="124">
        <f ca="1">ROUND(+AH24+AE24,5)</f>
        <v>1693287.9104500001</v>
      </c>
    </row>
    <row r="25" spans="1:35" ht="15.75">
      <c r="A25" s="43"/>
      <c r="B25" s="43" t="s">
        <v>111</v>
      </c>
      <c r="C25" s="43"/>
      <c r="D25" s="43"/>
      <c r="E25" s="43"/>
      <c r="F25" s="140">
        <f t="shared" si="0"/>
        <v>19</v>
      </c>
      <c r="H25" s="84" t="s">
        <v>45</v>
      </c>
      <c r="I25" s="85" t="s">
        <v>46</v>
      </c>
      <c r="J25" s="86" t="s">
        <v>47</v>
      </c>
      <c r="K25" s="84" t="s">
        <v>116</v>
      </c>
      <c r="L25" s="86" t="s">
        <v>49</v>
      </c>
      <c r="M25" s="86" t="s">
        <v>47</v>
      </c>
      <c r="O25" s="43"/>
      <c r="P25" s="43"/>
      <c r="R25" s="1" t="s">
        <v>50</v>
      </c>
      <c r="W25" s="9"/>
      <c r="X25" s="13"/>
      <c r="Y25" s="10"/>
      <c r="Z25" s="10"/>
      <c r="AA25" s="13"/>
      <c r="AC25" s="13"/>
      <c r="AD25" s="13"/>
      <c r="AE25" s="10"/>
      <c r="AF25" s="9"/>
    </row>
    <row r="26" spans="1:35" ht="15.75">
      <c r="A26" s="43"/>
      <c r="B26" s="43"/>
      <c r="C26" s="43"/>
      <c r="D26" s="43"/>
      <c r="E26" s="43"/>
      <c r="F26" s="140">
        <f t="shared" si="0"/>
        <v>20</v>
      </c>
      <c r="H26" s="79" t="s">
        <v>27</v>
      </c>
      <c r="I26" s="88">
        <f>1-I27</f>
        <v>0.6</v>
      </c>
      <c r="J26" s="87">
        <f>+I26*J28</f>
        <v>415575.05563638062</v>
      </c>
      <c r="K26" s="83">
        <f ca="1">+K34</f>
        <v>0.23862342000973649</v>
      </c>
      <c r="L26" s="88">
        <f ca="1">+K26*I26</f>
        <v>0.14317405200584188</v>
      </c>
      <c r="M26" s="80">
        <f ca="1">+J26*K26</f>
        <v>99165.941046689666</v>
      </c>
      <c r="O26" s="43"/>
      <c r="P26" s="43"/>
      <c r="R26" s="3">
        <v>1</v>
      </c>
      <c r="S26" s="117">
        <f ca="1">AI21/Investment*100</f>
        <v>245.38088740587273</v>
      </c>
      <c r="T26" s="118">
        <f ca="1">EXP(y_inter1-(slope*LN(+S26)))</f>
        <v>7.102826206575501</v>
      </c>
      <c r="U26" s="119">
        <f ca="1">(+S26*T26/100)/100</f>
        <v>0.1742897797659185</v>
      </c>
      <c r="V26" s="119">
        <f>regDebt_weighted</f>
        <v>3.5860000000000003E-2</v>
      </c>
      <c r="W26" s="119">
        <f ca="1">+U26-V26</f>
        <v>0.1384297797659185</v>
      </c>
      <c r="X26" s="119">
        <f ca="1">+((W26*(1-0.34))-Pfd_weighted)/Equity_percent</f>
        <v>0.24759783327182033</v>
      </c>
      <c r="Y26" s="119">
        <f ca="1">+X26*equityP</f>
        <v>0.14855869996309221</v>
      </c>
      <c r="Z26" s="119">
        <f ca="1">+Y26/(1-taxrate)</f>
        <v>0.21222671423298889</v>
      </c>
      <c r="AA26" s="119">
        <f>debtP*Debt_Rate</f>
        <v>2.1000000000000001E-2</v>
      </c>
      <c r="AB26" s="119">
        <f ca="1">+AA26+Z26</f>
        <v>0.23322671423298888</v>
      </c>
      <c r="AC26" s="119">
        <f ca="1">+AB26/(S26/100)</f>
        <v>9.5046813424885773E-2</v>
      </c>
      <c r="AD26" s="119">
        <f ca="1">1-AC26</f>
        <v>0.90495318657511425</v>
      </c>
      <c r="AE26" s="120">
        <f ca="1">expenses/(AD26)</f>
        <v>1694930.918601085</v>
      </c>
      <c r="AF26" s="121">
        <f ca="1">+AE26-Revenue</f>
        <v>205068.71903136093</v>
      </c>
      <c r="AG26" s="122">
        <f ca="1">+AF26/$J$49</f>
        <v>231006.80326730062</v>
      </c>
      <c r="AH26" s="122">
        <f ca="1">+AG26*$J$47</f>
        <v>4643.2367456727425</v>
      </c>
      <c r="AI26" s="120">
        <f ca="1">ROUND(+AH26+AE26,5)</f>
        <v>1699574.1553499999</v>
      </c>
    </row>
    <row r="27" spans="1:35" ht="15.75">
      <c r="A27" s="43"/>
      <c r="B27" s="43"/>
      <c r="C27" s="43"/>
      <c r="D27" s="43"/>
      <c r="E27" s="43"/>
      <c r="F27" s="140">
        <f t="shared" si="0"/>
        <v>21</v>
      </c>
      <c r="H27" s="79" t="s">
        <v>29</v>
      </c>
      <c r="I27" s="88">
        <f>IF(A65=TRUE,C8,0)</f>
        <v>0.4</v>
      </c>
      <c r="J27" s="90">
        <f>+I27*J28</f>
        <v>277050.03709092044</v>
      </c>
      <c r="K27" s="83">
        <f>IF(A65=TRUE,C9,0)</f>
        <v>5.2499999999999998E-2</v>
      </c>
      <c r="L27" s="88">
        <f>+K27*I27</f>
        <v>2.1000000000000001E-2</v>
      </c>
      <c r="M27" s="105">
        <f>+K27*J27</f>
        <v>14545.126947273322</v>
      </c>
      <c r="O27" s="43"/>
      <c r="P27" s="43"/>
      <c r="R27" s="35">
        <v>2</v>
      </c>
      <c r="S27" s="123">
        <f ca="1">AI22/Investment*100</f>
        <v>244.94969162313836</v>
      </c>
      <c r="T27" s="34">
        <f ca="1">EXP(y_inter2-(slope*LN(+S27)))</f>
        <v>7.0101927606719494</v>
      </c>
      <c r="U27" s="4">
        <f ca="1">(+S27*T27/100)/100</f>
        <v>0.1717144554945351</v>
      </c>
      <c r="V27" s="4">
        <f>regDebt_weighted</f>
        <v>3.5860000000000003E-2</v>
      </c>
      <c r="W27" s="4">
        <f ca="1">+U27-V27</f>
        <v>0.13585445549453509</v>
      </c>
      <c r="X27" s="4">
        <f ca="1">+((W27*(1-0.34))-Pfd_weighted)/Equity_percent</f>
        <v>0.24265680414649171</v>
      </c>
      <c r="Y27" s="4">
        <f ca="1">+X27*equityP</f>
        <v>0.14559408248789502</v>
      </c>
      <c r="Z27" s="4">
        <f ca="1">+Y27/(1-taxrate)</f>
        <v>0.20799154641127859</v>
      </c>
      <c r="AA27" s="4">
        <f>debtP*Debt_Rate</f>
        <v>2.1000000000000001E-2</v>
      </c>
      <c r="AB27" s="4">
        <f ca="1">+AA27+Z27</f>
        <v>0.22899154641127858</v>
      </c>
      <c r="AC27" s="4">
        <f ca="1">+AB27/(S27/100)</f>
        <v>9.3485133577382987E-2</v>
      </c>
      <c r="AD27" s="4">
        <f ca="1">1-AC27</f>
        <v>0.90651486642261703</v>
      </c>
      <c r="AE27" s="124">
        <f ca="1">expenses/(AD27)</f>
        <v>1692011.0112101182</v>
      </c>
      <c r="AF27" s="125">
        <f ca="1">+AE27-Revenue</f>
        <v>202148.81164039415</v>
      </c>
      <c r="AG27" s="126">
        <f ca="1">+AF27/$J$49</f>
        <v>227717.57185546035</v>
      </c>
      <c r="AH27" s="126">
        <f ca="1">+AG27*$J$47</f>
        <v>4577.1231942947534</v>
      </c>
      <c r="AI27" s="124">
        <f ca="1">ROUND(+AH27+AE27,5)</f>
        <v>1696588.1344000001</v>
      </c>
    </row>
    <row r="28" spans="1:35" ht="16.5" thickBot="1">
      <c r="A28" s="43"/>
      <c r="B28" s="43"/>
      <c r="C28" s="43"/>
      <c r="D28" s="43"/>
      <c r="E28" s="43"/>
      <c r="F28" s="140">
        <f t="shared" si="0"/>
        <v>22</v>
      </c>
      <c r="H28" s="79" t="s">
        <v>103</v>
      </c>
      <c r="I28" s="91">
        <f>SUM(I26:I27)</f>
        <v>1</v>
      </c>
      <c r="J28" s="134">
        <f>IF(A65=TRUE,C7,0)</f>
        <v>692625.09272730106</v>
      </c>
      <c r="K28" s="142"/>
      <c r="L28" s="141">
        <f ca="1">SUM(L26:L27)</f>
        <v>0.16417405200584187</v>
      </c>
      <c r="M28" s="134">
        <f ca="1">SUM(M26:M27)</f>
        <v>113711.06799396299</v>
      </c>
      <c r="O28" s="43"/>
      <c r="P28" s="43"/>
      <c r="R28" s="5">
        <v>3</v>
      </c>
      <c r="S28" s="123">
        <f ca="1">AI23/Investment*100</f>
        <v>244.65948123643622</v>
      </c>
      <c r="T28" s="6">
        <f ca="1">EXP(y_inter3-(slope*LN(S28)))</f>
        <v>6.9476652944418538</v>
      </c>
      <c r="U28" s="4">
        <f ca="1">(+S28*T28/100)/100</f>
        <v>0.16998121867425359</v>
      </c>
      <c r="V28" s="4">
        <f>regDebt_weighted</f>
        <v>3.5860000000000003E-2</v>
      </c>
      <c r="W28" s="4">
        <f ca="1">+U28-V28</f>
        <v>0.13412121867425358</v>
      </c>
      <c r="X28" s="4">
        <f ca="1">+((W28*(1-0.34))-Pfd_weighted)/Equity_percent</f>
        <v>0.23933140792153301</v>
      </c>
      <c r="Y28" s="4">
        <f ca="1">+X28*equityP</f>
        <v>0.14359884475291981</v>
      </c>
      <c r="Z28" s="4">
        <f ca="1">+Y28/(1-taxrate)</f>
        <v>0.20514120678988546</v>
      </c>
      <c r="AA28" s="4">
        <f>debtP*Debt_Rate</f>
        <v>2.1000000000000001E-2</v>
      </c>
      <c r="AB28" s="4">
        <f ca="1">+AA28+Z28</f>
        <v>0.22614120678988545</v>
      </c>
      <c r="AC28" s="4">
        <f ca="1">+AB28/(S28/100)</f>
        <v>9.2431000690034612E-2</v>
      </c>
      <c r="AD28" s="4">
        <f ca="1">1-AC28</f>
        <v>0.90756899930996537</v>
      </c>
      <c r="AE28" s="124">
        <f ca="1">expenses/(AD28)</f>
        <v>1690045.7562774043</v>
      </c>
      <c r="AF28" s="125">
        <f ca="1">+AE28-Revenue</f>
        <v>200183.55670768023</v>
      </c>
      <c r="AG28" s="126">
        <f ca="1">+AF28/$J$49</f>
        <v>225503.74196587046</v>
      </c>
      <c r="AH28" s="126">
        <f ca="1">+AG28*$J$47</f>
        <v>4532.6252135139966</v>
      </c>
      <c r="AI28" s="124">
        <f ca="1">ROUND(+AH28+AE28,5)</f>
        <v>1694578.3814900001</v>
      </c>
    </row>
    <row r="29" spans="1:35" ht="16.5" thickTop="1">
      <c r="A29" s="43"/>
      <c r="B29" s="43"/>
      <c r="C29" s="43"/>
      <c r="D29" s="43"/>
      <c r="E29" s="43"/>
      <c r="F29" s="140">
        <f t="shared" si="0"/>
        <v>23</v>
      </c>
      <c r="G29" s="72"/>
      <c r="H29" s="72"/>
      <c r="I29" s="72"/>
      <c r="J29" s="72"/>
      <c r="K29" s="72"/>
      <c r="L29" s="72"/>
      <c r="M29" s="72"/>
      <c r="N29" s="72"/>
      <c r="O29" s="43"/>
      <c r="P29" s="43"/>
      <c r="R29" s="7">
        <v>4</v>
      </c>
      <c r="S29" s="123">
        <f ca="1">AI24/Investment*100</f>
        <v>244.47394820514799</v>
      </c>
      <c r="T29" s="8">
        <f ca="1">EXP(y_inter4-(slope*LN(S29)))</f>
        <v>6.9076142631022197</v>
      </c>
      <c r="U29" s="4">
        <f ca="1">(+S29*T29/100)/100</f>
        <v>0.16887317315787936</v>
      </c>
      <c r="V29" s="4">
        <f>regDebt_weighted</f>
        <v>3.5860000000000003E-2</v>
      </c>
      <c r="W29" s="4">
        <f ca="1">+U29-V29</f>
        <v>0.13301317315787936</v>
      </c>
      <c r="X29" s="4">
        <f ca="1">+((W29*(1-0.34))-Pfd_weighted)/Equity_percent</f>
        <v>0.23720550664011739</v>
      </c>
      <c r="Y29" s="4">
        <f ca="1">+X29*equityP</f>
        <v>0.14232330398407042</v>
      </c>
      <c r="Z29" s="4">
        <f ca="1">+Y29/(1-taxrate)</f>
        <v>0.20331900569152919</v>
      </c>
      <c r="AA29" s="4">
        <f>debtP*Debt_Rate</f>
        <v>2.1000000000000001E-2</v>
      </c>
      <c r="AB29" s="4">
        <f ca="1">+AA29+Z29</f>
        <v>0.22431900569152918</v>
      </c>
      <c r="AC29" s="4">
        <f ca="1">+AB29/(S29/100)</f>
        <v>9.175579129735903E-2</v>
      </c>
      <c r="AD29" s="4">
        <f ca="1">1-AC29</f>
        <v>0.908244208702641</v>
      </c>
      <c r="AE29" s="124">
        <f ca="1">expenses/(AD29)</f>
        <v>1688789.3378408693</v>
      </c>
      <c r="AF29" s="125">
        <f ca="1">+AE29-Revenue</f>
        <v>198927.13827114529</v>
      </c>
      <c r="AG29" s="126">
        <f ca="1">+AF29/$J$49</f>
        <v>224088.4056436806</v>
      </c>
      <c r="AH29" s="126">
        <f ca="1">+AG29*$J$47</f>
        <v>4504.17695343798</v>
      </c>
      <c r="AI29" s="124">
        <f ca="1">ROUND(+AH29+AE29,5)</f>
        <v>1693293.5147899999</v>
      </c>
    </row>
    <row r="30" spans="1:35" ht="15.75">
      <c r="A30" s="43"/>
      <c r="B30" s="43"/>
      <c r="C30" s="43"/>
      <c r="D30" s="43"/>
      <c r="E30" s="43"/>
      <c r="F30" s="140">
        <f t="shared" si="0"/>
        <v>24</v>
      </c>
      <c r="G30" s="72"/>
      <c r="H30" s="72"/>
      <c r="I30" s="72"/>
      <c r="J30" s="107" t="s">
        <v>94</v>
      </c>
      <c r="K30" s="107" t="s">
        <v>96</v>
      </c>
      <c r="L30" s="72"/>
      <c r="M30" s="72"/>
      <c r="N30" s="72"/>
      <c r="O30" s="43"/>
      <c r="P30" s="43"/>
      <c r="R30" s="1" t="s">
        <v>53</v>
      </c>
      <c r="W30" s="9"/>
      <c r="X30" s="13"/>
      <c r="Y30" s="10"/>
      <c r="Z30" s="10"/>
      <c r="AA30" s="13"/>
      <c r="AC30" s="13"/>
      <c r="AD30" s="13"/>
      <c r="AE30" s="10"/>
      <c r="AF30" s="9"/>
      <c r="AH30" s="10"/>
    </row>
    <row r="31" spans="1:35" ht="15.75">
      <c r="A31" s="43"/>
      <c r="B31" s="43"/>
      <c r="C31" s="43"/>
      <c r="D31" s="43"/>
      <c r="E31" s="43"/>
      <c r="F31" s="140">
        <f t="shared" si="0"/>
        <v>25</v>
      </c>
      <c r="G31" s="72"/>
      <c r="H31" s="102" t="s">
        <v>51</v>
      </c>
      <c r="I31" s="103"/>
      <c r="J31" s="104" t="s">
        <v>95</v>
      </c>
      <c r="K31" s="104" t="s">
        <v>95</v>
      </c>
      <c r="L31" s="72"/>
      <c r="M31" s="72"/>
      <c r="N31" s="72"/>
      <c r="O31" s="43"/>
      <c r="P31" s="43"/>
      <c r="R31" s="3">
        <v>1</v>
      </c>
      <c r="S31" s="117">
        <f ca="1">AI26/Investment*100</f>
        <v>245.38154525382646</v>
      </c>
      <c r="T31" s="118">
        <f ca="1">EXP(y_inter1-(slope*LN(+S31)))</f>
        <v>7.1028131880581347</v>
      </c>
      <c r="U31" s="119">
        <f ca="1">(+S31*T31/100)/100</f>
        <v>0.17428992757349626</v>
      </c>
      <c r="V31" s="119">
        <f>regDebt_weighted</f>
        <v>3.5860000000000003E-2</v>
      </c>
      <c r="W31" s="119">
        <f ca="1">+U31-V31</f>
        <v>0.13842992757349626</v>
      </c>
      <c r="X31" s="119">
        <f ca="1">+((W31*(1-0.34))-Pfd_weighted)/Equity_percent</f>
        <v>0.24759811685612654</v>
      </c>
      <c r="Y31" s="119">
        <f ca="1">+X31*equityP</f>
        <v>0.14855887011367591</v>
      </c>
      <c r="Z31" s="119">
        <f ca="1">+Y31/(1-taxrate)</f>
        <v>0.21222695730525132</v>
      </c>
      <c r="AA31" s="119">
        <f>debtP*Debt_Rate</f>
        <v>2.1000000000000001E-2</v>
      </c>
      <c r="AB31" s="119">
        <f ca="1">+AA31+Z31</f>
        <v>0.23322695730525131</v>
      </c>
      <c r="AC31" s="119">
        <f ca="1">+AB31/(S31/100)</f>
        <v>9.5046657671015042E-2</v>
      </c>
      <c r="AD31" s="119">
        <f ca="1">1-AC31</f>
        <v>0.90495334232898494</v>
      </c>
      <c r="AE31" s="120">
        <f ca="1">expenses/(AD31)</f>
        <v>1694930.6268821214</v>
      </c>
      <c r="AF31" s="121">
        <f ca="1">+AE31-Revenue</f>
        <v>205068.4273123974</v>
      </c>
      <c r="AG31" s="122">
        <f ca="1">+AF31/$J$49</f>
        <v>231006.4746503105</v>
      </c>
      <c r="AH31" s="122">
        <f ca="1">+AG31*$J$47</f>
        <v>4643.2301404712407</v>
      </c>
      <c r="AI31" s="120">
        <f ca="1">ROUND(+AH31+AE31,5)</f>
        <v>1699573.85702</v>
      </c>
    </row>
    <row r="32" spans="1:35" ht="15.75">
      <c r="A32" s="43"/>
      <c r="B32" s="43"/>
      <c r="C32" s="43"/>
      <c r="D32" s="43"/>
      <c r="E32" s="43"/>
      <c r="F32" s="140">
        <f t="shared" si="0"/>
        <v>26</v>
      </c>
      <c r="G32" s="72"/>
      <c r="H32" s="76"/>
      <c r="I32" s="76"/>
      <c r="J32" s="76"/>
      <c r="K32" s="76"/>
      <c r="L32" s="72"/>
      <c r="M32" s="72"/>
      <c r="N32" s="72"/>
      <c r="O32" s="43"/>
      <c r="P32" s="43"/>
      <c r="R32" s="35">
        <v>2</v>
      </c>
      <c r="S32" s="123">
        <f ca="1">AI27/Investment*100</f>
        <v>244.95042876940315</v>
      </c>
      <c r="T32" s="34">
        <f ca="1">EXP(y_inter2-(slope*LN(+S32)))</f>
        <v>7.0101783377864715</v>
      </c>
      <c r="U32" s="4">
        <f ca="1">(+S32*T32/100)/100</f>
        <v>0.1717146189590778</v>
      </c>
      <c r="V32" s="4">
        <f>regDebt_weighted</f>
        <v>3.5860000000000003E-2</v>
      </c>
      <c r="W32" s="4">
        <f ca="1">+U32-V32</f>
        <v>0.1358546189590778</v>
      </c>
      <c r="X32" s="4">
        <f ca="1">+((W32*(1-0.34))-Pfd_weighted)/Equity_percent</f>
        <v>0.24265711777032367</v>
      </c>
      <c r="Y32" s="4">
        <f ca="1">+X32*equityP</f>
        <v>0.14559427066219419</v>
      </c>
      <c r="Z32" s="4">
        <f ca="1">+Y32/(1-taxrate)</f>
        <v>0.20799181523170598</v>
      </c>
      <c r="AA32" s="4">
        <f>debtP*Debt_Rate</f>
        <v>2.1000000000000001E-2</v>
      </c>
      <c r="AB32" s="4">
        <f ca="1">+AA32+Z32</f>
        <v>0.22899181523170598</v>
      </c>
      <c r="AC32" s="4">
        <f ca="1">+AB32/(S32/100)</f>
        <v>9.3484961990933826E-2</v>
      </c>
      <c r="AD32" s="4">
        <f ca="1">1-AC32</f>
        <v>0.90651503800906619</v>
      </c>
      <c r="AE32" s="124">
        <f ca="1">expenses/(AD32)</f>
        <v>1692010.6909438798</v>
      </c>
      <c r="AF32" s="125">
        <f ca="1">+AE32-Revenue</f>
        <v>202148.49137415574</v>
      </c>
      <c r="AG32" s="126">
        <f ca="1">+AF32/$J$49</f>
        <v>227717.21108039783</v>
      </c>
      <c r="AH32" s="126">
        <f ca="1">+AG32*$J$47</f>
        <v>4577.1159427159964</v>
      </c>
      <c r="AI32" s="124">
        <f ca="1">ROUND(+AH32+AE32,5)</f>
        <v>1696587.8068899999</v>
      </c>
    </row>
    <row r="33" spans="1:46" ht="15.75">
      <c r="A33" s="43"/>
      <c r="B33" s="43"/>
      <c r="C33" s="43"/>
      <c r="D33" s="43"/>
      <c r="E33" s="43"/>
      <c r="F33" s="140">
        <f t="shared" si="0"/>
        <v>27</v>
      </c>
      <c r="G33" s="72"/>
      <c r="H33" s="76" t="s">
        <v>54</v>
      </c>
      <c r="I33" s="76"/>
      <c r="J33" s="89">
        <f ca="1">+K9/J28</f>
        <v>0.22553436000834556</v>
      </c>
      <c r="K33" s="89">
        <f ca="1">+(M14+M11)/J28</f>
        <v>0.1641740520058419</v>
      </c>
      <c r="L33" s="72"/>
      <c r="M33" s="72"/>
      <c r="N33" s="72"/>
      <c r="O33" s="43"/>
      <c r="P33" s="43"/>
      <c r="R33" s="5">
        <v>3</v>
      </c>
      <c r="S33" s="123">
        <f ca="1">AI28/Investment*100</f>
        <v>244.66026415782571</v>
      </c>
      <c r="T33" s="6">
        <f ca="1">EXP(y_inter3-(slope*LN(S33)))</f>
        <v>6.9476500945552191</v>
      </c>
      <c r="U33" s="4">
        <f ca="1">(+S33*T33/100)/100</f>
        <v>0.16998139074100227</v>
      </c>
      <c r="V33" s="4">
        <f>regDebt_weighted</f>
        <v>3.5860000000000003E-2</v>
      </c>
      <c r="W33" s="4">
        <f ca="1">+U33-V33</f>
        <v>0.13412139074100227</v>
      </c>
      <c r="X33" s="4">
        <f ca="1">+((W33*(1-0.34))-Pfd_weighted)/Equity_percent</f>
        <v>0.23933173804959737</v>
      </c>
      <c r="Y33" s="4">
        <f ca="1">+X33*equityP</f>
        <v>0.14359904282975841</v>
      </c>
      <c r="Z33" s="4">
        <f ca="1">+Y33/(1-taxrate)</f>
        <v>0.20514148975679775</v>
      </c>
      <c r="AA33" s="4">
        <f>debtP*Debt_Rate</f>
        <v>2.1000000000000001E-2</v>
      </c>
      <c r="AB33" s="4">
        <f ca="1">+AA33+Z33</f>
        <v>0.22614148975679774</v>
      </c>
      <c r="AC33" s="4">
        <f ca="1">+AB33/(S33/100)</f>
        <v>9.2430820564682353E-2</v>
      </c>
      <c r="AD33" s="4">
        <f ca="1">1-AC33</f>
        <v>0.90756917943531767</v>
      </c>
      <c r="AE33" s="124">
        <f ca="1">expenses/(AD33)</f>
        <v>1690045.420853842</v>
      </c>
      <c r="AF33" s="125">
        <f ca="1">+AE33-Revenue</f>
        <v>200183.22128411802</v>
      </c>
      <c r="AG33" s="126">
        <f ca="1">+AF33/$J$49</f>
        <v>225503.36411631247</v>
      </c>
      <c r="AH33" s="126">
        <f ca="1">+AG33*$J$47</f>
        <v>4532.6176187378805</v>
      </c>
      <c r="AI33" s="124">
        <f ca="1">ROUND(+AH33+AE33,5)</f>
        <v>1694578.03847</v>
      </c>
    </row>
    <row r="34" spans="1:46" ht="15.75">
      <c r="A34" s="43"/>
      <c r="B34" s="43"/>
      <c r="C34" s="43"/>
      <c r="D34" s="43"/>
      <c r="E34" s="43"/>
      <c r="F34" s="140">
        <f t="shared" si="0"/>
        <v>28</v>
      </c>
      <c r="G34" s="72"/>
      <c r="H34" s="76" t="s">
        <v>55</v>
      </c>
      <c r="I34" s="76"/>
      <c r="J34" s="89">
        <f ca="1">+(M9-M11)/J26</f>
        <v>0.34089060001390931</v>
      </c>
      <c r="K34" s="89">
        <f ca="1">+M14/J26</f>
        <v>0.23862342000973649</v>
      </c>
      <c r="L34" s="72"/>
      <c r="M34" s="72"/>
      <c r="N34" s="72"/>
      <c r="O34" s="46"/>
      <c r="P34" s="43"/>
      <c r="R34" s="7">
        <v>4</v>
      </c>
      <c r="S34" s="123">
        <f ca="1">AI29/Investment*100</f>
        <v>244.4747573499593</v>
      </c>
      <c r="T34" s="8">
        <f ca="1">EXP(y_inter4-(slope*LN(S34)))</f>
        <v>6.9075986328114292</v>
      </c>
      <c r="U34" s="4">
        <f ca="1">(+S34*T34/100)/100</f>
        <v>0.1688733499627485</v>
      </c>
      <c r="V34" s="4">
        <f>regDebt_weighted</f>
        <v>3.5860000000000003E-2</v>
      </c>
      <c r="W34" s="4">
        <f ca="1">+U34-V34</f>
        <v>0.13301334996274849</v>
      </c>
      <c r="X34" s="4">
        <f ca="1">+((W34*(1-0.34))-Pfd_weighted)/Equity_percent</f>
        <v>0.23720584585876162</v>
      </c>
      <c r="Y34" s="4">
        <f ca="1">+X34*equityP</f>
        <v>0.14232350751525696</v>
      </c>
      <c r="Z34" s="4">
        <f ca="1">+Y34/(1-taxrate)</f>
        <v>0.20331929645036712</v>
      </c>
      <c r="AA34" s="4">
        <f>debtP*Debt_Rate</f>
        <v>2.1000000000000001E-2</v>
      </c>
      <c r="AB34" s="4">
        <f ca="1">+AA34+Z34</f>
        <v>0.22431929645036711</v>
      </c>
      <c r="AC34" s="4">
        <f ca="1">+AB34/(S34/100)</f>
        <v>9.1755606542748225E-2</v>
      </c>
      <c r="AD34" s="4">
        <f ca="1">1-AC34</f>
        <v>0.90824439345725172</v>
      </c>
      <c r="AE34" s="124">
        <f ca="1">expenses/(AD34)</f>
        <v>1688788.9943082046</v>
      </c>
      <c r="AF34" s="125">
        <f ca="1">+AE34-Revenue</f>
        <v>198926.79473848059</v>
      </c>
      <c r="AG34" s="126">
        <f ca="1">+AF34/$J$49</f>
        <v>224088.01865934156</v>
      </c>
      <c r="AH34" s="126">
        <f ca="1">+AG34*$J$47</f>
        <v>4504.1691750527652</v>
      </c>
      <c r="AI34" s="124">
        <f ca="1">ROUND(+AH34+AE34,5)</f>
        <v>1693293.1634800001</v>
      </c>
    </row>
    <row r="35" spans="1:46" ht="15.75">
      <c r="A35" s="43"/>
      <c r="B35" s="43"/>
      <c r="C35" s="43"/>
      <c r="D35" s="43"/>
      <c r="E35" s="43"/>
      <c r="F35" s="140">
        <f t="shared" si="0"/>
        <v>29</v>
      </c>
      <c r="G35" s="72"/>
      <c r="H35" s="92" t="s">
        <v>31</v>
      </c>
      <c r="I35" s="76"/>
      <c r="J35" s="89">
        <f ca="1">+K8/K7</f>
        <v>0.90756999999999999</v>
      </c>
      <c r="K35" s="89">
        <f ca="1">+M8/M7</f>
        <v>0.90781722793840647</v>
      </c>
      <c r="L35" s="72"/>
      <c r="M35" s="72"/>
      <c r="N35" s="72"/>
      <c r="O35" s="43"/>
      <c r="P35" s="43"/>
      <c r="R35" s="1" t="s">
        <v>84</v>
      </c>
      <c r="X35" s="13"/>
      <c r="Y35" s="14"/>
      <c r="Z35" s="10"/>
      <c r="AA35" s="13"/>
      <c r="AC35" s="13"/>
      <c r="AD35" s="13"/>
      <c r="AE35" s="10"/>
      <c r="AF35" s="9"/>
      <c r="AH35" s="10"/>
    </row>
    <row r="36" spans="1:46" ht="15.75">
      <c r="A36" s="43"/>
      <c r="B36" s="43"/>
      <c r="C36" s="43"/>
      <c r="D36" s="43"/>
      <c r="E36" s="43"/>
      <c r="F36" s="140">
        <f t="shared" si="0"/>
        <v>30</v>
      </c>
      <c r="G36" s="72"/>
      <c r="H36" s="76" t="s">
        <v>56</v>
      </c>
      <c r="I36" s="76"/>
      <c r="J36" s="89">
        <f ca="1">+K9/K7</f>
        <v>9.2430000000000012E-2</v>
      </c>
      <c r="K36" s="89">
        <f ca="1">+J36</f>
        <v>9.2430000000000012E-2</v>
      </c>
      <c r="L36" s="72"/>
      <c r="M36" s="72"/>
      <c r="N36" s="72"/>
      <c r="O36" s="43"/>
      <c r="P36" s="43"/>
      <c r="R36" s="3">
        <v>1</v>
      </c>
      <c r="S36" s="117">
        <f ca="1">AI31/Investment*100</f>
        <v>245.38150218146265</v>
      </c>
      <c r="T36" s="118">
        <f ca="1">EXP(y_inter1-(slope*LN(+S36)))</f>
        <v>7.1028140404391911</v>
      </c>
      <c r="U36" s="119">
        <f ca="1">(+S36*T36/100)/100</f>
        <v>0.17428991789585532</v>
      </c>
      <c r="V36" s="119">
        <f>regDebt_weighted</f>
        <v>3.5860000000000003E-2</v>
      </c>
      <c r="W36" s="119">
        <f ca="1">+U36-V36</f>
        <v>0.13842991789585532</v>
      </c>
      <c r="X36" s="119">
        <f ca="1">+((W36*(1-0.34))-Pfd_weighted)/Equity_percent</f>
        <v>0.24759809828855961</v>
      </c>
      <c r="Y36" s="119">
        <f ca="1">+X36*equityP</f>
        <v>0.14855885897313575</v>
      </c>
      <c r="Z36" s="119">
        <f ca="1">+Y36/(1-taxrate)</f>
        <v>0.21222694139019393</v>
      </c>
      <c r="AA36" s="119">
        <f>debtP*Debt_Rate</f>
        <v>2.1000000000000001E-2</v>
      </c>
      <c r="AB36" s="119">
        <f ca="1">+AA36+Z36</f>
        <v>0.23322694139019393</v>
      </c>
      <c r="AC36" s="119">
        <f ca="1">+AB36/(S36/100)</f>
        <v>9.5046667868925058E-2</v>
      </c>
      <c r="AD36" s="119">
        <f ca="1">1-AC36</f>
        <v>0.90495333213107498</v>
      </c>
      <c r="AE36" s="120">
        <f ca="1">expenses/(AD36)</f>
        <v>1694930.6459822776</v>
      </c>
      <c r="AF36" s="121">
        <f ca="1">+AE36-Revenue</f>
        <v>205068.44641255355</v>
      </c>
      <c r="AG36" s="122">
        <f ca="1">+AF36/$J$49</f>
        <v>231006.49616634686</v>
      </c>
      <c r="AH36" s="122">
        <f ca="1">+AG36*$J$47</f>
        <v>4643.230572943572</v>
      </c>
      <c r="AI36" s="120">
        <f ca="1">ROUND(+AH36+AE36,5)</f>
        <v>1699573.87656</v>
      </c>
    </row>
    <row r="37" spans="1:46" ht="15.75">
      <c r="A37" s="43"/>
      <c r="B37" s="43"/>
      <c r="C37" s="43"/>
      <c r="D37" s="43"/>
      <c r="E37" s="43"/>
      <c r="F37" s="140">
        <f t="shared" si="0"/>
        <v>31</v>
      </c>
      <c r="G37" s="72"/>
      <c r="H37" s="76" t="s">
        <v>57</v>
      </c>
      <c r="I37" s="74"/>
      <c r="J37" s="93">
        <f ca="1">+S39/100</f>
        <v>2.4447470662843571</v>
      </c>
      <c r="K37" s="93">
        <f ca="1">+J37</f>
        <v>2.4447470662843571</v>
      </c>
      <c r="L37" s="72"/>
      <c r="M37" s="72"/>
      <c r="N37" s="72"/>
      <c r="O37" s="43"/>
      <c r="P37" s="43"/>
      <c r="R37" s="35">
        <v>2</v>
      </c>
      <c r="S37" s="123">
        <f ca="1">AI32/Investment*100</f>
        <v>244.95038148408187</v>
      </c>
      <c r="T37" s="34">
        <f ca="1">EXP(y_inter2-(slope*LN(+S37)))</f>
        <v>7.0101792629612838</v>
      </c>
      <c r="U37" s="4">
        <f ca="1">(+S37*T37/100)/100</f>
        <v>0.17171460847341663</v>
      </c>
      <c r="V37" s="4">
        <f>regDebt_weighted</f>
        <v>3.5860000000000003E-2</v>
      </c>
      <c r="W37" s="4">
        <f ca="1">+U37-V37</f>
        <v>0.13585460847341663</v>
      </c>
      <c r="X37" s="4">
        <f ca="1">+((W37*(1-0.34))-Pfd_weighted)/Equity_percent</f>
        <v>0.24265709765248536</v>
      </c>
      <c r="Y37" s="4">
        <f ca="1">+X37*equityP</f>
        <v>0.14559425859149122</v>
      </c>
      <c r="Z37" s="4">
        <f ca="1">+Y37/(1-taxrate)</f>
        <v>0.20799179798784462</v>
      </c>
      <c r="AA37" s="4">
        <f>debtP*Debt_Rate</f>
        <v>2.1000000000000001E-2</v>
      </c>
      <c r="AB37" s="4">
        <f ca="1">+AA37+Z37</f>
        <v>0.22899179798784461</v>
      </c>
      <c r="AC37" s="4">
        <f ca="1">+AB37/(S37/100)</f>
        <v>9.3484972997572427E-2</v>
      </c>
      <c r="AD37" s="4">
        <f ca="1">1-AC37</f>
        <v>0.90651502700242759</v>
      </c>
      <c r="AE37" s="124">
        <f ca="1">expenses/(AD37)</f>
        <v>1692010.7114877754</v>
      </c>
      <c r="AF37" s="125">
        <f ca="1">+AE37-Revenue</f>
        <v>202148.5119180514</v>
      </c>
      <c r="AG37" s="126">
        <f ca="1">+AF37/$J$49</f>
        <v>227717.23422278487</v>
      </c>
      <c r="AH37" s="126">
        <f ca="1">+AG37*$J$47</f>
        <v>4577.1164078779757</v>
      </c>
      <c r="AI37" s="124">
        <f ca="1">ROUND(+AH37+AE37,5)</f>
        <v>1696587.8278999999</v>
      </c>
    </row>
    <row r="38" spans="1:46" ht="15.75">
      <c r="A38" s="43"/>
      <c r="B38" s="43"/>
      <c r="C38" s="43"/>
      <c r="D38" s="43"/>
      <c r="E38" s="43"/>
      <c r="F38" s="140">
        <f t="shared" si="0"/>
        <v>32</v>
      </c>
      <c r="G38" s="72"/>
      <c r="H38" s="76" t="s">
        <v>58</v>
      </c>
      <c r="I38" s="72"/>
      <c r="J38" s="89">
        <f>+C10</f>
        <v>0.3</v>
      </c>
      <c r="K38" s="89">
        <f>+J38</f>
        <v>0.3</v>
      </c>
      <c r="L38" s="72"/>
      <c r="M38" s="72"/>
      <c r="N38" s="72"/>
      <c r="O38" s="43"/>
      <c r="P38" s="43"/>
      <c r="Q38" s="71"/>
      <c r="R38" s="5">
        <v>3</v>
      </c>
      <c r="S38" s="123">
        <f ca="1">AI33/Investment*100</f>
        <v>244.6602146331978</v>
      </c>
      <c r="T38" s="6">
        <f ca="1">EXP(y_inter3-(slope*LN(S38)))</f>
        <v>6.9476510560397848</v>
      </c>
      <c r="U38" s="4">
        <f ca="1">(+S38*T38/100)/100</f>
        <v>0.16998137985672571</v>
      </c>
      <c r="V38" s="4">
        <f>regDebt_weighted</f>
        <v>3.5860000000000003E-2</v>
      </c>
      <c r="W38" s="4">
        <f ca="1">+U38-V38</f>
        <v>0.1341213798567257</v>
      </c>
      <c r="X38" s="4">
        <f ca="1">+((W38*(1-0.34))-Pfd_weighted)/Equity_percent</f>
        <v>0.23933171716697374</v>
      </c>
      <c r="Y38" s="4">
        <f ca="1">+X38*equityP</f>
        <v>0.14359903030018423</v>
      </c>
      <c r="Z38" s="4">
        <f ca="1">+Y38/(1-taxrate)</f>
        <v>0.20514147185740605</v>
      </c>
      <c r="AA38" s="4">
        <f>debtP*Debt_Rate</f>
        <v>2.1000000000000001E-2</v>
      </c>
      <c r="AB38" s="4">
        <f ca="1">+AA38+Z38</f>
        <v>0.22614147185740605</v>
      </c>
      <c r="AC38" s="4">
        <f ca="1">+AB38/(S38/100)</f>
        <v>9.2430831958700096E-2</v>
      </c>
      <c r="AD38" s="4">
        <f ca="1">1-AC38</f>
        <v>0.90756916804129995</v>
      </c>
      <c r="AE38" s="124">
        <f ca="1">expenses/(AD38)</f>
        <v>1690045.4420714066</v>
      </c>
      <c r="AF38" s="125">
        <f ca="1">+AE38-Revenue</f>
        <v>200183.2425016826</v>
      </c>
      <c r="AG38" s="126">
        <f ca="1">+AF38/$J$49</f>
        <v>225503.38801757732</v>
      </c>
      <c r="AH38" s="126">
        <f ca="1">+AG38*$J$47</f>
        <v>4532.6180991533038</v>
      </c>
      <c r="AI38" s="124">
        <f ca="1">ROUND(+AH38+AE38,5)</f>
        <v>1694578.06017</v>
      </c>
    </row>
    <row r="39" spans="1:46" ht="15.75">
      <c r="A39" s="43"/>
      <c r="B39" s="43"/>
      <c r="C39" s="43"/>
      <c r="D39" s="43"/>
      <c r="E39" s="43"/>
      <c r="F39" s="140">
        <f t="shared" si="0"/>
        <v>33</v>
      </c>
      <c r="G39" s="72"/>
      <c r="H39" s="72"/>
      <c r="I39" s="72"/>
      <c r="J39" s="72"/>
      <c r="K39" s="72"/>
      <c r="L39" s="72"/>
      <c r="M39" s="72"/>
      <c r="N39" s="72"/>
      <c r="O39" s="43"/>
      <c r="P39" s="43"/>
      <c r="R39" s="7">
        <v>4</v>
      </c>
      <c r="S39" s="123">
        <f ca="1">AI34/Investment*100</f>
        <v>244.47470662843571</v>
      </c>
      <c r="T39" s="8">
        <f ca="1">EXP(y_inter4-(slope*LN(S39)))</f>
        <v>6.9075996125990793</v>
      </c>
      <c r="U39" s="4">
        <f ca="1">(+S39*T39/100)/100</f>
        <v>0.16887333887968561</v>
      </c>
      <c r="V39" s="4">
        <f>regDebt_weighted</f>
        <v>3.5860000000000003E-2</v>
      </c>
      <c r="W39" s="4">
        <f ca="1">+U39-V39</f>
        <v>0.13301333887968561</v>
      </c>
      <c r="X39" s="4">
        <f ca="1">+((W39*(1-0.34))-Pfd_weighted)/Equity_percent</f>
        <v>0.23720582459474565</v>
      </c>
      <c r="Y39" s="4">
        <f ca="1">+X39*equityP</f>
        <v>0.14232349475684739</v>
      </c>
      <c r="Z39" s="4">
        <f ca="1">+Y39/(1-taxrate)</f>
        <v>0.2033192782240677</v>
      </c>
      <c r="AA39" s="4">
        <f>debtP*Debt_Rate</f>
        <v>2.1000000000000001E-2</v>
      </c>
      <c r="AB39" s="4">
        <f ca="1">+AA39+Z39</f>
        <v>0.22431927822406769</v>
      </c>
      <c r="AC39" s="4">
        <f ca="1">+AB39/(S39/100)</f>
        <v>9.1755618124127178E-2</v>
      </c>
      <c r="AD39" s="4">
        <f ca="1">1-AC39</f>
        <v>0.90824438187587286</v>
      </c>
      <c r="AE39" s="124">
        <f ca="1">expenses/(AD39)</f>
        <v>1688789.0158426128</v>
      </c>
      <c r="AF39" s="125">
        <f ca="1">+AE39-Revenue</f>
        <v>198926.8162728888</v>
      </c>
      <c r="AG39" s="126">
        <f ca="1">+AF39/$J$49</f>
        <v>224088.04291752595</v>
      </c>
      <c r="AH39" s="126">
        <f ca="1">+AG39*$J$47</f>
        <v>4504.1696626422718</v>
      </c>
      <c r="AI39" s="124">
        <f ca="1">ROUND(+AH39+AE39,5)</f>
        <v>1693293.18551</v>
      </c>
    </row>
    <row r="40" spans="1:46" ht="15.75">
      <c r="A40" s="43"/>
      <c r="B40" s="43"/>
      <c r="C40" s="43"/>
      <c r="D40" s="43"/>
      <c r="E40" s="43"/>
      <c r="F40" s="140">
        <f t="shared" si="0"/>
        <v>34</v>
      </c>
      <c r="G40" s="74"/>
      <c r="H40" s="72"/>
      <c r="I40" s="72"/>
      <c r="J40" s="72"/>
      <c r="K40" s="72"/>
      <c r="L40" s="72"/>
      <c r="M40" s="72"/>
      <c r="N40" s="72"/>
      <c r="O40" s="43"/>
      <c r="P40" s="43"/>
      <c r="X40" s="13"/>
      <c r="Y40" s="14"/>
      <c r="Z40" s="10"/>
      <c r="AA40" s="13"/>
      <c r="AC40" s="13"/>
      <c r="AD40" s="13"/>
      <c r="AE40" s="10"/>
      <c r="AF40" s="9"/>
      <c r="AH40" s="10"/>
    </row>
    <row r="41" spans="1:46" ht="15.75">
      <c r="A41" s="43"/>
      <c r="B41" s="43"/>
      <c r="C41" s="43"/>
      <c r="D41" s="43"/>
      <c r="E41" s="43"/>
      <c r="F41" s="140">
        <f t="shared" si="0"/>
        <v>35</v>
      </c>
      <c r="G41" s="72"/>
      <c r="H41" s="102" t="s">
        <v>61</v>
      </c>
      <c r="I41" s="94"/>
      <c r="J41" s="72"/>
      <c r="K41" s="72"/>
      <c r="L41" s="72"/>
      <c r="M41" s="72"/>
      <c r="N41" s="72"/>
      <c r="O41" s="43"/>
      <c r="P41" s="43"/>
      <c r="R41" s="28" t="s">
        <v>59</v>
      </c>
      <c r="S41" s="29"/>
      <c r="T41" s="15"/>
      <c r="U41" s="15"/>
      <c r="V41" s="16"/>
      <c r="X41" s="12"/>
      <c r="Y41" s="14"/>
      <c r="Z41" s="10"/>
      <c r="AA41" s="13"/>
      <c r="AC41" s="13"/>
      <c r="AD41" s="13"/>
      <c r="AE41" s="10"/>
      <c r="AF41" s="9"/>
      <c r="AH41" s="10"/>
    </row>
    <row r="42" spans="1:46" ht="15.75">
      <c r="A42" s="43"/>
      <c r="B42" s="43"/>
      <c r="C42" s="43"/>
      <c r="D42" s="43"/>
      <c r="E42" s="43"/>
      <c r="F42" s="140">
        <f t="shared" si="0"/>
        <v>36</v>
      </c>
      <c r="G42" s="72"/>
      <c r="H42" s="72"/>
      <c r="I42" s="72"/>
      <c r="J42" s="108" t="s">
        <v>48</v>
      </c>
      <c r="K42" s="198" t="s">
        <v>20</v>
      </c>
      <c r="L42" s="72"/>
      <c r="M42" s="72"/>
      <c r="N42" s="72"/>
      <c r="O42" s="43"/>
      <c r="P42" s="43"/>
      <c r="R42" s="30" t="s">
        <v>60</v>
      </c>
      <c r="S42" s="31"/>
      <c r="T42" s="17"/>
      <c r="U42" s="17"/>
      <c r="V42" s="18"/>
      <c r="X42" s="13"/>
      <c r="Y42" s="14"/>
      <c r="Z42" s="10"/>
      <c r="AA42" s="13"/>
      <c r="AC42" s="13"/>
      <c r="AD42" s="13"/>
      <c r="AE42" s="10"/>
      <c r="AH42" s="10"/>
    </row>
    <row r="43" spans="1:46" ht="15.75">
      <c r="A43" s="43"/>
      <c r="B43" s="43"/>
      <c r="C43" s="43"/>
      <c r="D43" s="43"/>
      <c r="E43" s="43"/>
      <c r="F43" s="140">
        <f t="shared" si="0"/>
        <v>37</v>
      </c>
      <c r="G43" s="72"/>
      <c r="H43" s="76" t="s">
        <v>62</v>
      </c>
      <c r="I43" s="75"/>
      <c r="J43" s="127">
        <f>IF($A$65=TRUE,C11,0)</f>
        <v>1.4999999999999999E-2</v>
      </c>
      <c r="K43" s="128">
        <f ca="1">+J43*($J$7/$J$49)</f>
        <v>3382.5246422536893</v>
      </c>
      <c r="L43" s="72"/>
      <c r="M43" s="72"/>
      <c r="N43" s="72"/>
      <c r="O43" s="43"/>
      <c r="P43" s="43"/>
      <c r="R43" s="5">
        <v>0</v>
      </c>
      <c r="S43" s="32">
        <v>1</v>
      </c>
      <c r="T43" s="17"/>
      <c r="U43" s="19" t="s">
        <v>56</v>
      </c>
      <c r="V43" s="20">
        <f ca="1">VLOOKUP(R49,R36:AE39,12)</f>
        <v>9.2430831958700096E-2</v>
      </c>
      <c r="AA43" s="13"/>
      <c r="AC43" s="13"/>
      <c r="AH43" s="10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46" ht="15.75">
      <c r="A44" s="43"/>
      <c r="B44" s="43"/>
      <c r="C44" s="43"/>
      <c r="D44" s="43"/>
      <c r="E44" s="43"/>
      <c r="F44" s="140">
        <f t="shared" si="0"/>
        <v>38</v>
      </c>
      <c r="G44" s="72"/>
      <c r="H44" s="76" t="s">
        <v>63</v>
      </c>
      <c r="I44" s="75"/>
      <c r="J44" s="127">
        <f>IF($A$65=TRUE,C12,0)</f>
        <v>5.1000000000000004E-3</v>
      </c>
      <c r="K44" s="128">
        <f ca="1">+J44*($J$7/$J$49)</f>
        <v>1150.0583783662544</v>
      </c>
      <c r="L44" s="72"/>
      <c r="M44" s="72"/>
      <c r="N44" s="72"/>
      <c r="O44" s="43"/>
      <c r="P44" s="43"/>
      <c r="R44" s="5">
        <v>50</v>
      </c>
      <c r="S44" s="32">
        <v>2</v>
      </c>
      <c r="T44" s="17"/>
      <c r="U44" s="19" t="s">
        <v>31</v>
      </c>
      <c r="V44" s="20">
        <f ca="1">ROUND(1-V43,5)</f>
        <v>0.90756999999999999</v>
      </c>
      <c r="Y44" s="66"/>
      <c r="Z44" s="1"/>
      <c r="AA44" s="1"/>
      <c r="AC44" s="13"/>
      <c r="AF44" s="9"/>
      <c r="AH44" s="10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46" ht="15.75">
      <c r="A45" s="43"/>
      <c r="B45" s="43"/>
      <c r="C45" s="43"/>
      <c r="D45" s="43"/>
      <c r="E45" s="43"/>
      <c r="F45" s="140">
        <f t="shared" si="0"/>
        <v>39</v>
      </c>
      <c r="G45" s="72"/>
      <c r="H45" s="76" t="s">
        <v>66</v>
      </c>
      <c r="I45" s="75"/>
      <c r="J45" s="127">
        <f>IF($A$65=TRUE,C13,0)</f>
        <v>0</v>
      </c>
      <c r="K45" s="128">
        <f ca="1">+J45*($J$7/$J$49)</f>
        <v>0</v>
      </c>
      <c r="L45" s="72"/>
      <c r="M45" s="72"/>
      <c r="N45" s="72"/>
      <c r="O45" s="43"/>
      <c r="P45" s="43"/>
      <c r="R45" s="5">
        <v>125</v>
      </c>
      <c r="S45" s="32">
        <v>3</v>
      </c>
      <c r="T45" s="17"/>
      <c r="U45" s="149" t="s">
        <v>107</v>
      </c>
      <c r="V45" s="166">
        <f ca="1">+M7/Revenue-1</f>
        <v>0.1374048394118117</v>
      </c>
      <c r="W45" s="11"/>
      <c r="X45" s="13"/>
      <c r="Y45" s="66"/>
      <c r="Z45" s="10"/>
      <c r="AA45" s="13"/>
      <c r="AC45" s="13"/>
      <c r="AD45" s="13"/>
      <c r="AE45" s="10"/>
      <c r="AF45" s="9"/>
      <c r="AH45" s="10"/>
      <c r="AL45" s="13"/>
      <c r="AM45" s="13"/>
      <c r="AN45" s="13"/>
      <c r="AO45" s="13"/>
      <c r="AP45" s="13"/>
      <c r="AQ45" s="13"/>
      <c r="AR45" s="13"/>
      <c r="AS45" s="13"/>
      <c r="AT45" s="13"/>
    </row>
    <row r="46" spans="1:46" ht="15.75">
      <c r="A46" s="43"/>
      <c r="B46" s="43"/>
      <c r="C46" s="43"/>
      <c r="D46" s="43"/>
      <c r="E46" s="43"/>
      <c r="F46" s="140">
        <f t="shared" si="0"/>
        <v>40</v>
      </c>
      <c r="G46" s="72"/>
      <c r="H46" s="76" t="s">
        <v>69</v>
      </c>
      <c r="I46" s="75"/>
      <c r="J46" s="127">
        <f>IF($A$65=TRUE,C14,0)</f>
        <v>0</v>
      </c>
      <c r="K46" s="128">
        <f ca="1">+J46*($J$7/$J$49)</f>
        <v>0</v>
      </c>
      <c r="L46" s="72"/>
      <c r="M46" s="72"/>
      <c r="N46" s="72"/>
      <c r="O46" s="43"/>
      <c r="P46" s="43"/>
      <c r="R46" s="7">
        <v>401</v>
      </c>
      <c r="S46" s="33">
        <v>4</v>
      </c>
      <c r="T46" s="21"/>
      <c r="U46" s="21"/>
      <c r="V46" s="22"/>
      <c r="X46" s="13"/>
      <c r="Y46" s="14"/>
      <c r="Z46" s="10"/>
      <c r="AA46" s="13"/>
      <c r="AC46" s="13"/>
      <c r="AD46" s="13"/>
      <c r="AE46" s="10"/>
      <c r="AF46" s="9"/>
      <c r="AH46" s="10"/>
      <c r="AL46" s="13"/>
      <c r="AM46" s="13"/>
      <c r="AN46" s="13"/>
      <c r="AO46" s="13"/>
      <c r="AP46" s="13"/>
      <c r="AQ46" s="13"/>
      <c r="AR46" s="13"/>
      <c r="AS46" s="13"/>
      <c r="AT46" s="13"/>
    </row>
    <row r="47" spans="1:46" ht="16.5" thickBot="1">
      <c r="A47" s="43"/>
      <c r="B47" s="43"/>
      <c r="C47" s="43"/>
      <c r="D47" s="43"/>
      <c r="E47" s="43"/>
      <c r="F47" s="140">
        <f t="shared" si="0"/>
        <v>41</v>
      </c>
      <c r="G47" s="72"/>
      <c r="H47" s="76" t="s">
        <v>71</v>
      </c>
      <c r="I47" s="74"/>
      <c r="J47" s="135">
        <f>SUM(J43:J46)</f>
        <v>2.01E-2</v>
      </c>
      <c r="K47" s="134">
        <f ca="1">+K43+K44+K45+K46</f>
        <v>4532.5830206199435</v>
      </c>
      <c r="L47" s="72"/>
      <c r="M47" s="72"/>
      <c r="N47" s="72"/>
      <c r="O47" s="43"/>
      <c r="P47" s="43"/>
      <c r="R47" s="5"/>
      <c r="S47" s="170"/>
      <c r="T47" s="17"/>
      <c r="U47" s="17"/>
      <c r="V47" s="17"/>
      <c r="X47" s="13"/>
      <c r="Y47" s="14"/>
      <c r="Z47" s="10"/>
      <c r="AA47" s="13"/>
      <c r="AC47" s="13"/>
      <c r="AD47" s="13"/>
      <c r="AE47" s="10"/>
      <c r="AF47" s="9"/>
      <c r="AH47" s="10"/>
      <c r="AL47" s="13"/>
      <c r="AM47" s="13"/>
      <c r="AN47" s="13"/>
      <c r="AO47" s="13"/>
      <c r="AP47" s="13"/>
      <c r="AQ47" s="13"/>
      <c r="AR47" s="13"/>
      <c r="AS47" s="13"/>
      <c r="AT47" s="13"/>
    </row>
    <row r="48" spans="1:46" ht="16.5" thickTop="1">
      <c r="A48" s="43"/>
      <c r="B48" s="43"/>
      <c r="C48" s="43"/>
      <c r="D48" s="43"/>
      <c r="E48" s="43"/>
      <c r="F48" s="140">
        <f t="shared" si="0"/>
        <v>42</v>
      </c>
      <c r="G48" s="72"/>
      <c r="H48" s="76"/>
      <c r="I48" s="74"/>
      <c r="J48" s="169"/>
      <c r="K48" s="105"/>
      <c r="L48" s="72"/>
      <c r="M48" s="72"/>
      <c r="N48" s="72"/>
      <c r="O48" s="43"/>
      <c r="P48" s="43"/>
      <c r="R48" s="145">
        <f ca="1">VLOOKUP(R49,R36:S39,2)</f>
        <v>244.6602146331978</v>
      </c>
      <c r="S48" s="146" t="s">
        <v>64</v>
      </c>
      <c r="T48" s="16"/>
      <c r="V48" s="161"/>
      <c r="X48" t="s">
        <v>65</v>
      </c>
      <c r="AC48" s="13"/>
      <c r="AF48" s="9"/>
      <c r="AH48" s="10"/>
    </row>
    <row r="49" spans="1:46" ht="15.75">
      <c r="A49" s="43"/>
      <c r="B49" s="43"/>
      <c r="C49" s="43"/>
      <c r="D49" s="43"/>
      <c r="E49" s="43"/>
      <c r="F49" s="140">
        <f t="shared" si="0"/>
        <v>43</v>
      </c>
      <c r="G49" s="176"/>
      <c r="H49" s="199" t="s">
        <v>73</v>
      </c>
      <c r="I49" s="100"/>
      <c r="J49" s="200">
        <f ca="1">((K35)-J47)</f>
        <v>0.88771722793840646</v>
      </c>
      <c r="K49" s="100"/>
      <c r="L49" s="100"/>
      <c r="M49" s="100"/>
      <c r="N49" s="100"/>
      <c r="O49" s="43"/>
      <c r="P49" s="43"/>
      <c r="R49" s="147">
        <f ca="1">VLOOKUP(S36,R43:S46,2)</f>
        <v>3</v>
      </c>
      <c r="S49" s="148" t="s">
        <v>67</v>
      </c>
      <c r="T49" s="18"/>
      <c r="X49" t="s">
        <v>68</v>
      </c>
      <c r="AA49" s="1"/>
      <c r="AC49" s="13"/>
      <c r="AH49" s="10"/>
    </row>
    <row r="50" spans="1:46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7"/>
      <c r="L50" s="43"/>
      <c r="M50" s="43"/>
      <c r="N50" s="48"/>
      <c r="O50" s="43"/>
      <c r="P50" s="43"/>
      <c r="R50" s="147"/>
      <c r="S50" s="149"/>
      <c r="T50" s="18"/>
      <c r="X50" t="s">
        <v>70</v>
      </c>
      <c r="AA50" s="13"/>
      <c r="AC50" s="13"/>
      <c r="AD50" s="13"/>
      <c r="AE50" s="10"/>
      <c r="AH50" s="10"/>
    </row>
    <row r="51" spans="1:46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7"/>
      <c r="L51" s="43"/>
      <c r="M51" s="43"/>
      <c r="N51" s="48"/>
      <c r="O51" s="43"/>
      <c r="P51" s="43"/>
      <c r="R51" s="150">
        <f ca="1">+V44</f>
        <v>0.90756999999999999</v>
      </c>
      <c r="S51" s="144" t="s">
        <v>31</v>
      </c>
      <c r="T51" s="26"/>
      <c r="X51" t="s">
        <v>72</v>
      </c>
      <c r="AA51" s="13"/>
      <c r="AC51" s="13"/>
      <c r="AD51" s="13"/>
      <c r="AE51" s="10"/>
      <c r="AF51" s="13"/>
      <c r="AH51" s="10"/>
      <c r="AL51" s="13"/>
      <c r="AM51" s="13"/>
      <c r="AN51" s="13"/>
      <c r="AO51" s="13"/>
      <c r="AP51" s="13"/>
      <c r="AQ51" s="13"/>
      <c r="AR51" s="13"/>
      <c r="AS51" s="13"/>
      <c r="AT51" s="13"/>
    </row>
    <row r="52" spans="1:46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Z52" s="10"/>
      <c r="AA52" s="13"/>
      <c r="AC52" s="13"/>
      <c r="AD52" s="13"/>
      <c r="AE52" s="10"/>
      <c r="AF52" s="9"/>
      <c r="AH52" s="10"/>
      <c r="AL52" s="13"/>
      <c r="AM52" s="13"/>
      <c r="AN52" s="13"/>
      <c r="AO52" s="13"/>
      <c r="AP52" s="13"/>
      <c r="AQ52" s="13"/>
      <c r="AR52" s="13"/>
      <c r="AS52" s="13"/>
      <c r="AT52" s="13"/>
    </row>
    <row r="53" spans="1:46">
      <c r="A53" s="43"/>
      <c r="B53" s="43"/>
      <c r="C53" s="43"/>
      <c r="D53" s="43"/>
      <c r="E53" s="43"/>
      <c r="F53" s="43"/>
      <c r="G53" s="43"/>
      <c r="H53" s="43"/>
      <c r="I53" s="43"/>
      <c r="J53" s="44"/>
      <c r="K53" s="44"/>
      <c r="L53" s="44"/>
      <c r="M53" s="44"/>
      <c r="N53" s="43"/>
      <c r="O53" s="43"/>
      <c r="P53" s="43"/>
      <c r="R53"/>
      <c r="Z53" s="10"/>
      <c r="AA53" s="13"/>
      <c r="AC53" s="13"/>
      <c r="AD53" s="13"/>
      <c r="AE53" s="10"/>
      <c r="AF53" s="9"/>
      <c r="AH53" s="10"/>
      <c r="AL53" s="13"/>
      <c r="AM53" s="13"/>
      <c r="AN53" s="13"/>
      <c r="AO53" s="13"/>
      <c r="AP53" s="13"/>
      <c r="AQ53" s="13"/>
      <c r="AR53" s="13"/>
      <c r="AS53" s="13"/>
      <c r="AT53" s="13"/>
    </row>
    <row r="54" spans="1:46" ht="15.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4"/>
      <c r="L54" s="44"/>
      <c r="M54" s="44"/>
      <c r="N54" s="43"/>
      <c r="O54" s="43"/>
      <c r="P54" s="43"/>
      <c r="R54"/>
      <c r="S54" t="s">
        <v>74</v>
      </c>
      <c r="T54" s="13"/>
      <c r="U54" s="23"/>
      <c r="W54" s="68" t="s">
        <v>75</v>
      </c>
      <c r="X54" s="59"/>
      <c r="Y54" s="59"/>
      <c r="Z54" s="59"/>
      <c r="AC54" s="13"/>
      <c r="AF54" s="9"/>
      <c r="AH54" s="10"/>
      <c r="AL54" s="13"/>
      <c r="AM54" s="13"/>
      <c r="AN54" s="13"/>
      <c r="AO54" s="13"/>
      <c r="AP54" s="13"/>
      <c r="AQ54" s="13"/>
      <c r="AR54" s="13"/>
      <c r="AS54" s="13"/>
      <c r="AT54" s="13"/>
    </row>
    <row r="55" spans="1:46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50"/>
      <c r="M55" s="50"/>
      <c r="N55" s="43"/>
      <c r="O55" s="43"/>
      <c r="P55" s="43"/>
      <c r="R55" s="24"/>
      <c r="S55" s="164" t="s">
        <v>46</v>
      </c>
      <c r="T55" s="164" t="s">
        <v>76</v>
      </c>
      <c r="U55" s="165" t="s">
        <v>49</v>
      </c>
      <c r="W55" s="54" t="s">
        <v>77</v>
      </c>
      <c r="X55" s="63">
        <v>5.7225999999999999</v>
      </c>
      <c r="Y55" s="62" t="s">
        <v>78</v>
      </c>
      <c r="Z55" s="65">
        <v>5.6985000000000001</v>
      </c>
      <c r="AA55" s="1"/>
      <c r="AC55" s="13"/>
      <c r="AH55" s="10"/>
    </row>
    <row r="56" spans="1:46">
      <c r="A56" s="43"/>
      <c r="B56" s="43"/>
      <c r="C56" s="43"/>
      <c r="D56" s="43"/>
      <c r="E56" s="43"/>
      <c r="F56" s="43"/>
      <c r="G56" s="43"/>
      <c r="H56" s="43"/>
      <c r="I56" s="43"/>
      <c r="J56" s="50"/>
      <c r="K56" s="43"/>
      <c r="L56" s="50"/>
      <c r="M56" s="50"/>
      <c r="N56" s="43"/>
      <c r="O56" s="43"/>
      <c r="P56" s="43"/>
      <c r="R56" s="25" t="s">
        <v>29</v>
      </c>
      <c r="S56" s="162">
        <v>0.56200000000000006</v>
      </c>
      <c r="T56" s="162">
        <v>6.3799999999999996E-2</v>
      </c>
      <c r="U56" s="20">
        <f>ROUND(+S56*T56,5)</f>
        <v>3.5860000000000003E-2</v>
      </c>
      <c r="W56" s="55" t="s">
        <v>79</v>
      </c>
      <c r="X56" s="64">
        <v>5.7082699999999997</v>
      </c>
      <c r="Y56" s="61" t="s">
        <v>80</v>
      </c>
      <c r="Z56" s="67">
        <v>5.6921999999999997</v>
      </c>
      <c r="AA56" s="13"/>
      <c r="AC56" s="13"/>
      <c r="AD56" s="13"/>
      <c r="AE56" s="10"/>
      <c r="AH56" s="10"/>
    </row>
    <row r="57" spans="1:46">
      <c r="A57" s="43"/>
      <c r="B57" s="43"/>
      <c r="C57" s="43"/>
      <c r="D57" s="43"/>
      <c r="E57" s="44"/>
      <c r="F57" s="43"/>
      <c r="G57" s="43"/>
      <c r="H57" s="43"/>
      <c r="I57" s="43"/>
      <c r="J57" s="50"/>
      <c r="K57" s="43"/>
      <c r="L57" s="50"/>
      <c r="M57" s="50"/>
      <c r="N57" s="43"/>
      <c r="O57" s="43"/>
      <c r="P57" s="43"/>
      <c r="R57" s="25" t="s">
        <v>81</v>
      </c>
      <c r="S57" s="162">
        <v>9.4E-2</v>
      </c>
      <c r="T57" s="162">
        <v>6.59E-2</v>
      </c>
      <c r="U57" s="20">
        <f>ROUND(+S57*T57,5)</f>
        <v>6.1900000000000002E-3</v>
      </c>
      <c r="W57" s="25"/>
      <c r="X57" s="17"/>
      <c r="Y57" s="60"/>
      <c r="Z57" s="56"/>
      <c r="AA57" s="13"/>
      <c r="AC57" s="13"/>
      <c r="AD57" s="13"/>
      <c r="AE57" s="10"/>
      <c r="AF57" s="9"/>
      <c r="AH57" s="10"/>
      <c r="AL57" s="13"/>
    </row>
    <row r="58" spans="1:46" ht="15.75">
      <c r="A58" s="43"/>
      <c r="B58" s="43"/>
      <c r="C58" s="43"/>
      <c r="D58" s="43"/>
      <c r="E58" s="44"/>
      <c r="F58" s="44"/>
      <c r="G58" s="44"/>
      <c r="H58" s="51"/>
      <c r="I58" s="44"/>
      <c r="J58" s="50"/>
      <c r="K58" s="43"/>
      <c r="L58" s="43"/>
      <c r="M58" s="43"/>
      <c r="N58" s="43"/>
      <c r="O58" s="43"/>
      <c r="P58" s="43"/>
      <c r="R58" s="25" t="s">
        <v>27</v>
      </c>
      <c r="S58" s="163">
        <v>0.34399999999999997</v>
      </c>
      <c r="T58" s="111"/>
      <c r="U58" s="112"/>
      <c r="W58" s="27"/>
      <c r="X58" s="57" t="s">
        <v>82</v>
      </c>
      <c r="Y58" s="69">
        <v>0.68367</v>
      </c>
      <c r="Z58" s="58"/>
      <c r="AA58" s="13"/>
      <c r="AC58" s="13"/>
      <c r="AD58" s="13"/>
      <c r="AE58" s="10"/>
      <c r="AF58" s="9"/>
      <c r="AH58" s="10"/>
    </row>
    <row r="59" spans="1:46" ht="15.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R59" s="27"/>
      <c r="S59" s="163">
        <f>SUM(S56:S58)</f>
        <v>1</v>
      </c>
      <c r="T59" s="113"/>
      <c r="U59" s="114"/>
      <c r="X59" s="13"/>
      <c r="Y59" s="14"/>
      <c r="Z59" s="10"/>
      <c r="AA59" s="13"/>
      <c r="AC59" s="13"/>
      <c r="AD59" s="13"/>
      <c r="AE59" s="10"/>
      <c r="AF59" s="9"/>
      <c r="AH59" s="10"/>
    </row>
    <row r="60" spans="1:46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X60" s="53"/>
      <c r="AC60" s="13"/>
      <c r="AF60" s="9"/>
      <c r="AH60" s="10"/>
      <c r="AL60" s="9"/>
      <c r="AM60" s="9"/>
      <c r="AN60" s="9"/>
      <c r="AO60" s="9"/>
      <c r="AP60" s="9"/>
      <c r="AQ60" s="9"/>
      <c r="AR60" s="9"/>
      <c r="AS60" s="9"/>
      <c r="AT60" s="9"/>
    </row>
    <row r="61" spans="1:46">
      <c r="A61" s="43"/>
      <c r="B61" s="43"/>
      <c r="C61" s="43"/>
      <c r="D61" s="43"/>
      <c r="E61" s="44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W61" s="152" t="s">
        <v>51</v>
      </c>
      <c r="X61" s="153"/>
      <c r="Y61" s="161" t="s">
        <v>52</v>
      </c>
      <c r="Z61" s="151" t="s">
        <v>17</v>
      </c>
      <c r="AC61" s="13"/>
      <c r="AH61" s="10"/>
      <c r="AL61" s="9"/>
      <c r="AM61" s="9"/>
      <c r="AN61" s="9"/>
      <c r="AO61" s="9"/>
      <c r="AP61" s="9"/>
      <c r="AQ61" s="9"/>
      <c r="AR61" s="9"/>
      <c r="AS61" s="9"/>
      <c r="AT61" s="9"/>
    </row>
    <row r="62" spans="1:46">
      <c r="A62" s="43"/>
      <c r="B62" s="43"/>
      <c r="C62" s="43"/>
      <c r="D62" s="43"/>
      <c r="E62" s="43"/>
      <c r="F62" s="44"/>
      <c r="G62" s="44"/>
      <c r="H62" s="44"/>
      <c r="I62" s="44"/>
      <c r="J62" s="44"/>
      <c r="K62" s="44"/>
      <c r="L62" s="44"/>
      <c r="M62" s="44"/>
      <c r="N62" s="44"/>
      <c r="O62" s="43"/>
      <c r="P62" s="43"/>
      <c r="W62" s="154"/>
      <c r="X62" s="109"/>
      <c r="Y62" s="109"/>
      <c r="Z62" s="155"/>
      <c r="AC62" s="13"/>
      <c r="AD62" s="13"/>
      <c r="AE62" s="10"/>
      <c r="AH62" s="10"/>
      <c r="AL62" s="9"/>
      <c r="AM62" s="9"/>
      <c r="AN62" s="9"/>
      <c r="AO62" s="9"/>
      <c r="AP62" s="9"/>
      <c r="AQ62" s="9"/>
      <c r="AR62" s="9"/>
      <c r="AS62" s="9"/>
      <c r="AT62" s="9"/>
    </row>
    <row r="63" spans="1:46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W63" s="25" t="s">
        <v>54</v>
      </c>
      <c r="X63" s="109"/>
      <c r="Y63" s="20">
        <f t="shared" ref="Y63:Y68" ca="1" si="1">+J33</f>
        <v>0.22553436000834556</v>
      </c>
      <c r="Z63" s="20">
        <f t="shared" ref="Z63:Z68" ca="1" si="2">+K33</f>
        <v>0.1641740520058419</v>
      </c>
      <c r="AC63" s="13"/>
      <c r="AD63" s="13"/>
      <c r="AE63" s="10"/>
      <c r="AF63" s="9"/>
      <c r="AH63" s="10"/>
      <c r="AL63" s="9"/>
      <c r="AM63" s="9"/>
      <c r="AN63" s="9"/>
      <c r="AO63" s="9"/>
      <c r="AP63" s="9"/>
      <c r="AQ63" s="9"/>
      <c r="AR63" s="9"/>
      <c r="AS63" s="9"/>
      <c r="AT63" s="9"/>
    </row>
    <row r="64" spans="1:46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W64" s="25" t="s">
        <v>55</v>
      </c>
      <c r="X64" s="109"/>
      <c r="Y64" s="20">
        <f t="shared" ca="1" si="1"/>
        <v>0.34089060001390931</v>
      </c>
      <c r="Z64" s="20">
        <f t="shared" ca="1" si="2"/>
        <v>0.23862342000973649</v>
      </c>
      <c r="AC64" s="13"/>
      <c r="AD64" s="13"/>
      <c r="AE64" s="10"/>
      <c r="AF64" s="9"/>
      <c r="AH64" s="10"/>
    </row>
    <row r="65" spans="1:38">
      <c r="A65" t="b">
        <v>1</v>
      </c>
      <c r="F65" s="43"/>
      <c r="G65" s="43"/>
      <c r="H65" s="43"/>
      <c r="I65" s="43"/>
      <c r="J65" s="43"/>
      <c r="K65" s="43"/>
      <c r="L65" s="43"/>
      <c r="M65" s="43"/>
      <c r="N65" s="43"/>
      <c r="W65" s="25" t="s">
        <v>31</v>
      </c>
      <c r="X65" s="109"/>
      <c r="Y65" s="20">
        <f t="shared" ca="1" si="1"/>
        <v>0.90756999999999999</v>
      </c>
      <c r="Z65" s="20">
        <f t="shared" ca="1" si="2"/>
        <v>0.90781722793840647</v>
      </c>
      <c r="AC65" s="13"/>
      <c r="AD65" s="13"/>
      <c r="AE65" s="10"/>
      <c r="AF65" s="9"/>
      <c r="AH65" s="10"/>
    </row>
    <row r="66" spans="1:38">
      <c r="H66" s="9"/>
      <c r="I66" s="9"/>
      <c r="J66" s="9"/>
      <c r="K66" s="9"/>
      <c r="L66" s="9"/>
      <c r="M66" s="9"/>
      <c r="N66" s="9"/>
      <c r="O66" s="9"/>
      <c r="W66" s="25" t="s">
        <v>56</v>
      </c>
      <c r="X66" s="109"/>
      <c r="Y66" s="20">
        <f t="shared" ca="1" si="1"/>
        <v>9.2430000000000012E-2</v>
      </c>
      <c r="Z66" s="20">
        <f t="shared" ca="1" si="2"/>
        <v>9.2430000000000012E-2</v>
      </c>
      <c r="AC66" s="13"/>
      <c r="AF66" s="9"/>
      <c r="AH66" s="10"/>
      <c r="AL66" s="9"/>
    </row>
    <row r="67" spans="1:38">
      <c r="H67" s="9"/>
      <c r="I67" s="9"/>
      <c r="J67" s="9"/>
      <c r="K67" s="9"/>
      <c r="L67" s="9"/>
      <c r="M67" s="9"/>
      <c r="N67" s="9"/>
      <c r="O67" s="9"/>
      <c r="W67" s="25" t="s">
        <v>57</v>
      </c>
      <c r="X67" s="157"/>
      <c r="Y67" s="20">
        <f t="shared" ca="1" si="1"/>
        <v>2.4447470662843571</v>
      </c>
      <c r="Z67" s="20">
        <f t="shared" ca="1" si="2"/>
        <v>2.4447470662843571</v>
      </c>
      <c r="AC67" s="13"/>
      <c r="AH67" s="10"/>
    </row>
    <row r="68" spans="1:38">
      <c r="O68" s="9"/>
      <c r="W68" s="25" t="s">
        <v>58</v>
      </c>
      <c r="X68" s="110"/>
      <c r="Y68" s="20">
        <f t="shared" si="1"/>
        <v>0.3</v>
      </c>
      <c r="Z68" s="20">
        <f t="shared" si="2"/>
        <v>0.3</v>
      </c>
      <c r="AC68" s="13"/>
      <c r="AD68" s="13"/>
      <c r="AE68" s="10"/>
      <c r="AH68" s="10"/>
    </row>
    <row r="69" spans="1:38" ht="15.75">
      <c r="O69" s="9"/>
      <c r="W69" s="25"/>
      <c r="X69" s="17"/>
      <c r="Y69" s="111"/>
      <c r="Z69" s="156"/>
      <c r="AC69" s="13"/>
      <c r="AD69" s="13"/>
      <c r="AE69" s="10"/>
      <c r="AF69" s="9"/>
      <c r="AH69" s="10"/>
    </row>
    <row r="70" spans="1:38">
      <c r="O70" s="9"/>
      <c r="W70" s="27"/>
      <c r="X70" s="158"/>
      <c r="Y70" s="159"/>
      <c r="Z70" s="160"/>
      <c r="AA70" s="13"/>
      <c r="AC70" s="13"/>
      <c r="AD70" s="13"/>
      <c r="AE70" s="10"/>
      <c r="AF70" s="9"/>
      <c r="AH70" s="10"/>
    </row>
    <row r="71" spans="1:38">
      <c r="X71" s="13"/>
      <c r="Y71" s="14"/>
      <c r="Z71" s="10"/>
      <c r="AA71" s="13"/>
      <c r="AC71" s="13"/>
      <c r="AD71" s="13"/>
      <c r="AE71" s="10"/>
      <c r="AF71" s="9"/>
      <c r="AH71" s="10"/>
    </row>
    <row r="72" spans="1:38">
      <c r="AC72" s="13"/>
      <c r="AF72" s="9"/>
      <c r="AH72" s="10"/>
    </row>
    <row r="73" spans="1:38">
      <c r="Y73" s="1"/>
      <c r="Z73" s="1"/>
      <c r="AA73" s="1"/>
      <c r="AC73" s="13"/>
      <c r="AH73" s="10"/>
    </row>
    <row r="74" spans="1:38">
      <c r="X74" s="13"/>
      <c r="Y74" s="14"/>
      <c r="Z74" s="10"/>
      <c r="AA74" s="13"/>
      <c r="AC74" s="13"/>
      <c r="AD74" s="13"/>
      <c r="AE74" s="10"/>
      <c r="AH74" s="10"/>
    </row>
    <row r="75" spans="1:38">
      <c r="X75" s="13"/>
      <c r="Y75" s="14"/>
      <c r="Z75" s="10"/>
      <c r="AA75" s="13"/>
      <c r="AC75" s="13"/>
      <c r="AD75" s="13"/>
      <c r="AE75" s="10"/>
      <c r="AF75" s="9"/>
      <c r="AH75" s="10"/>
    </row>
    <row r="76" spans="1:38">
      <c r="X76" s="13"/>
      <c r="Y76" s="14"/>
      <c r="Z76" s="10"/>
      <c r="AA76" s="13"/>
      <c r="AC76" s="13"/>
      <c r="AD76" s="13"/>
      <c r="AE76" s="10"/>
      <c r="AF76" s="9"/>
      <c r="AH76" s="10"/>
    </row>
    <row r="77" spans="1:38">
      <c r="X77" s="13"/>
      <c r="Y77" s="14"/>
      <c r="Z77" s="10"/>
      <c r="AA77" s="13"/>
      <c r="AC77" s="13"/>
      <c r="AD77" s="13"/>
      <c r="AE77" s="10"/>
      <c r="AF77" s="9"/>
      <c r="AH77" s="10"/>
    </row>
    <row r="78" spans="1:38">
      <c r="AC78" s="13"/>
      <c r="AF78" s="9"/>
      <c r="AH78" s="10"/>
    </row>
    <row r="80" spans="1:38">
      <c r="X80" s="13"/>
      <c r="Y80" s="14"/>
      <c r="Z80" s="10"/>
      <c r="AA80" s="13"/>
      <c r="AD80" s="13"/>
      <c r="AE80" s="10"/>
    </row>
    <row r="81" spans="24:32">
      <c r="X81" s="13"/>
      <c r="Y81" s="14"/>
      <c r="Z81" s="10"/>
      <c r="AA81" s="13"/>
      <c r="AD81" s="13"/>
      <c r="AE81" s="10"/>
      <c r="AF81" s="9"/>
    </row>
    <row r="82" spans="24:32">
      <c r="X82" s="13"/>
      <c r="Y82" s="14"/>
      <c r="Z82" s="10"/>
      <c r="AA82" s="13"/>
      <c r="AD82" s="13"/>
      <c r="AE82" s="10"/>
      <c r="AF82" s="9"/>
    </row>
    <row r="83" spans="24:32">
      <c r="X83" s="13"/>
      <c r="Y83" s="14"/>
      <c r="Z83" s="10"/>
      <c r="AA83" s="13"/>
      <c r="AD83" s="13"/>
      <c r="AE83" s="10"/>
      <c r="AF83" s="9"/>
    </row>
    <row r="84" spans="24:32">
      <c r="AF84" s="9"/>
    </row>
    <row r="86" spans="24:32">
      <c r="X86" s="13"/>
      <c r="Y86" s="14"/>
      <c r="Z86" s="10"/>
      <c r="AA86" s="13"/>
      <c r="AD86" s="13"/>
      <c r="AE86" s="10"/>
    </row>
    <row r="87" spans="24:32">
      <c r="X87" s="13"/>
      <c r="Y87" s="14"/>
      <c r="Z87" s="10"/>
      <c r="AA87" s="13"/>
      <c r="AD87" s="13"/>
      <c r="AE87" s="10"/>
      <c r="AF87" s="9"/>
    </row>
    <row r="88" spans="24:32">
      <c r="X88" s="13"/>
      <c r="Y88" s="14"/>
      <c r="Z88" s="10"/>
      <c r="AA88" s="13"/>
      <c r="AD88" s="13"/>
      <c r="AE88" s="10"/>
      <c r="AF88" s="9"/>
    </row>
    <row r="89" spans="24:32">
      <c r="X89" s="13"/>
      <c r="Y89" s="14"/>
      <c r="Z89" s="10"/>
      <c r="AA89" s="13"/>
      <c r="AD89" s="13"/>
      <c r="AE89" s="10"/>
      <c r="AF89" s="9"/>
    </row>
    <row r="90" spans="24:32">
      <c r="AF90" s="9"/>
    </row>
    <row r="92" spans="24:32">
      <c r="X92" s="13"/>
      <c r="Y92" s="14"/>
      <c r="Z92" s="10"/>
      <c r="AA92" s="13"/>
      <c r="AD92" s="13"/>
      <c r="AE92" s="10"/>
    </row>
    <row r="93" spans="24:32">
      <c r="X93" s="13"/>
      <c r="Y93" s="14"/>
      <c r="Z93" s="10"/>
      <c r="AA93" s="13"/>
      <c r="AD93" s="13"/>
      <c r="AE93" s="10"/>
      <c r="AF93" s="9"/>
    </row>
    <row r="94" spans="24:32">
      <c r="X94" s="13"/>
      <c r="Y94" s="14"/>
      <c r="Z94" s="10"/>
      <c r="AA94" s="13"/>
      <c r="AD94" s="13"/>
      <c r="AE94" s="10"/>
      <c r="AF94" s="9"/>
    </row>
    <row r="95" spans="24:32">
      <c r="X95" s="13"/>
      <c r="Y95" s="14"/>
      <c r="Z95" s="10"/>
      <c r="AA95" s="13"/>
      <c r="AD95" s="13"/>
      <c r="AE95" s="10"/>
      <c r="AF95" s="9"/>
    </row>
    <row r="96" spans="24:32">
      <c r="AF96" s="9"/>
    </row>
    <row r="98" spans="24:32">
      <c r="X98" s="13"/>
      <c r="Y98" s="14"/>
      <c r="Z98" s="10"/>
      <c r="AA98" s="13"/>
      <c r="AD98" s="13"/>
      <c r="AE98" s="10"/>
    </row>
    <row r="99" spans="24:32">
      <c r="X99" s="13"/>
      <c r="Y99" s="14"/>
      <c r="Z99" s="10"/>
      <c r="AA99" s="13"/>
      <c r="AD99" s="13"/>
      <c r="AE99" s="10"/>
      <c r="AF99" s="9"/>
    </row>
    <row r="100" spans="24:32">
      <c r="X100" s="13"/>
      <c r="Y100" s="14"/>
      <c r="Z100" s="10"/>
      <c r="AA100" s="13"/>
      <c r="AD100" s="13"/>
      <c r="AE100" s="10"/>
      <c r="AF100" s="9"/>
    </row>
    <row r="101" spans="24:32">
      <c r="X101" s="13"/>
      <c r="Y101" s="14"/>
      <c r="Z101" s="10"/>
      <c r="AA101" s="13"/>
      <c r="AD101" s="13"/>
      <c r="AE101" s="10"/>
      <c r="AF101" s="9"/>
    </row>
    <row r="102" spans="24:32">
      <c r="AF102" s="9"/>
    </row>
    <row r="104" spans="24:32">
      <c r="X104" s="13"/>
      <c r="Y104" s="14"/>
      <c r="Z104" s="10"/>
      <c r="AA104" s="13"/>
      <c r="AD104" s="13"/>
      <c r="AE104" s="10"/>
    </row>
    <row r="105" spans="24:32">
      <c r="X105" s="13"/>
      <c r="Y105" s="14"/>
      <c r="Z105" s="10"/>
      <c r="AA105" s="13"/>
      <c r="AD105" s="13"/>
      <c r="AE105" s="10"/>
      <c r="AF105" s="9"/>
    </row>
    <row r="106" spans="24:32">
      <c r="X106" s="13"/>
      <c r="Y106" s="14"/>
      <c r="Z106" s="10"/>
      <c r="AA106" s="13"/>
      <c r="AD106" s="13"/>
      <c r="AE106" s="10"/>
      <c r="AF106" s="9"/>
    </row>
    <row r="107" spans="24:32">
      <c r="X107" s="13"/>
      <c r="Y107" s="14"/>
      <c r="Z107" s="10"/>
      <c r="AA107" s="13"/>
      <c r="AD107" s="13"/>
      <c r="AE107" s="10"/>
      <c r="AF107" s="9"/>
    </row>
    <row r="108" spans="24:32">
      <c r="AF108" s="9"/>
    </row>
    <row r="110" spans="24:32">
      <c r="X110" s="13"/>
      <c r="Y110" s="14"/>
      <c r="Z110" s="10"/>
      <c r="AA110" s="13"/>
      <c r="AD110" s="13"/>
      <c r="AE110" s="10"/>
    </row>
    <row r="111" spans="24:32">
      <c r="X111" s="13"/>
      <c r="Y111" s="14"/>
      <c r="Z111" s="10"/>
      <c r="AA111" s="13"/>
      <c r="AD111" s="13"/>
      <c r="AE111" s="10"/>
    </row>
    <row r="112" spans="24:32">
      <c r="X112" s="13"/>
      <c r="Y112" s="14"/>
      <c r="Z112" s="10"/>
      <c r="AA112" s="13"/>
      <c r="AD112" s="13"/>
      <c r="AE112" s="10"/>
    </row>
    <row r="113" spans="24:31">
      <c r="X113" s="13"/>
      <c r="Y113" s="14"/>
      <c r="Z113" s="10"/>
      <c r="AA113" s="13"/>
      <c r="AD113" s="13"/>
      <c r="AE113" s="10"/>
    </row>
  </sheetData>
  <mergeCells count="6">
    <mergeCell ref="AF2:AI2"/>
    <mergeCell ref="B2:C2"/>
    <mergeCell ref="B17:C17"/>
    <mergeCell ref="B18:C18"/>
    <mergeCell ref="B15:C15"/>
    <mergeCell ref="C16:D16"/>
  </mergeCells>
  <pageMargins left="0.25" right="0.25" top="0.3" bottom="0.44" header="0.23" footer="0.21"/>
  <pageSetup scale="99" orientation="portrait" r:id="rId1"/>
  <headerFooter alignWithMargins="0"/>
  <ignoredErrors>
    <ignoredError sqref="K43:K47" unlockedFormula="1"/>
  </ignoredErrors>
  <drawing r:id="rId2"/>
  <legacyDrawing r:id="rId3"/>
  <controls>
    <mc:AlternateContent xmlns:mc="http://schemas.openxmlformats.org/markup-compatibility/2006">
      <mc:Choice Requires="x14">
        <control shapeId="2051" r:id="rId4" name="CheckBox1">
          <controlPr defaultSize="0" autoFill="0" autoLine="0" linkedCell="A65" r:id="rId5">
            <anchor moveWithCells="1">
              <from>
                <xdr:col>2</xdr:col>
                <xdr:colOff>95250</xdr:colOff>
                <xdr:row>14</xdr:row>
                <xdr:rowOff>171450</xdr:rowOff>
              </from>
              <to>
                <xdr:col>2</xdr:col>
                <xdr:colOff>352425</xdr:colOff>
                <xdr:row>16</xdr:row>
                <xdr:rowOff>19050</xdr:rowOff>
              </to>
            </anchor>
          </controlPr>
        </control>
      </mc:Choice>
      <mc:Fallback>
        <control shapeId="2051" r:id="rId4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3:X39"/>
  <sheetViews>
    <sheetView showGridLines="0" zoomScale="80" zoomScaleNormal="80" workbookViewId="0">
      <selection activeCell="C3" sqref="C3"/>
    </sheetView>
  </sheetViews>
  <sheetFormatPr defaultRowHeight="15.75"/>
  <cols>
    <col min="1" max="16384" width="8.88671875" style="179"/>
  </cols>
  <sheetData>
    <row r="3" spans="3:24" ht="25.5">
      <c r="C3" s="203" t="s">
        <v>137</v>
      </c>
    </row>
    <row r="4" spans="3:24" ht="26.25">
      <c r="C4" s="204" t="s">
        <v>128</v>
      </c>
    </row>
    <row r="5" spans="3:24" ht="26.25">
      <c r="C5" s="204" t="s">
        <v>129</v>
      </c>
    </row>
    <row r="6" spans="3:24" ht="26.25">
      <c r="C6" s="204"/>
    </row>
    <row r="8" spans="3:24" ht="20.25">
      <c r="C8" s="180" t="s">
        <v>130</v>
      </c>
      <c r="D8" s="178"/>
      <c r="E8" s="178"/>
      <c r="F8" s="178"/>
      <c r="G8" s="178"/>
      <c r="H8" s="178"/>
      <c r="I8" s="178"/>
      <c r="J8" s="178"/>
      <c r="K8" s="178"/>
      <c r="N8" s="178"/>
      <c r="O8" s="180" t="s">
        <v>122</v>
      </c>
      <c r="P8" s="178"/>
      <c r="Q8" s="178"/>
      <c r="R8" s="178"/>
      <c r="S8" s="178"/>
      <c r="T8" s="178"/>
      <c r="U8" s="178"/>
      <c r="V8" s="178"/>
      <c r="W8" s="178"/>
      <c r="X8" s="178"/>
    </row>
    <row r="9" spans="3:24">
      <c r="C9" s="178"/>
      <c r="D9" s="178"/>
      <c r="E9" s="178"/>
      <c r="F9" s="178"/>
      <c r="G9" s="178"/>
      <c r="H9" s="178"/>
      <c r="I9" s="178"/>
      <c r="J9" s="178"/>
      <c r="K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</row>
    <row r="10" spans="3:24" ht="18.75">
      <c r="C10" s="181" t="s">
        <v>131</v>
      </c>
      <c r="D10" s="178"/>
      <c r="E10" s="178"/>
      <c r="F10" s="178"/>
      <c r="G10" s="178"/>
      <c r="H10" s="178"/>
      <c r="I10" s="178"/>
      <c r="J10" s="178"/>
      <c r="K10" s="178"/>
      <c r="N10" s="178"/>
      <c r="O10" s="181" t="s">
        <v>123</v>
      </c>
      <c r="P10" s="178"/>
      <c r="Q10" s="178"/>
      <c r="R10" s="178"/>
      <c r="S10" s="178"/>
      <c r="T10" s="178"/>
      <c r="U10" s="178"/>
      <c r="V10" s="178"/>
      <c r="W10" s="178"/>
      <c r="X10" s="178"/>
    </row>
    <row r="11" spans="3:24" ht="18.75">
      <c r="C11" s="181" t="s">
        <v>132</v>
      </c>
      <c r="D11" s="181"/>
      <c r="E11" s="178"/>
      <c r="F11" s="178"/>
      <c r="G11" s="178"/>
      <c r="H11" s="178"/>
      <c r="I11" s="178"/>
      <c r="J11" s="178"/>
      <c r="K11" s="178"/>
      <c r="N11" s="178"/>
      <c r="O11" s="181" t="s">
        <v>133</v>
      </c>
      <c r="P11" s="178"/>
      <c r="Q11" s="178"/>
      <c r="R11" s="178"/>
      <c r="S11" s="178"/>
      <c r="T11" s="178"/>
      <c r="U11" s="178"/>
      <c r="V11" s="178"/>
      <c r="W11" s="178"/>
      <c r="X11" s="178"/>
    </row>
    <row r="12" spans="3:24" ht="18.75">
      <c r="C12" s="181" t="s">
        <v>134</v>
      </c>
      <c r="D12" s="178"/>
      <c r="E12" s="178"/>
      <c r="F12" s="178"/>
      <c r="G12" s="178"/>
      <c r="H12" s="178"/>
      <c r="I12" s="178"/>
      <c r="J12" s="178"/>
      <c r="K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</row>
    <row r="13" spans="3:24" ht="18.75">
      <c r="C13" s="181" t="s">
        <v>135</v>
      </c>
      <c r="D13" s="178"/>
      <c r="E13" s="178"/>
      <c r="F13" s="178"/>
      <c r="G13" s="178"/>
      <c r="H13" s="178"/>
      <c r="I13" s="178"/>
      <c r="J13" s="178"/>
      <c r="K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</row>
    <row r="14" spans="3:24">
      <c r="C14" s="178"/>
      <c r="D14" s="178"/>
      <c r="E14" s="178"/>
      <c r="F14" s="178"/>
      <c r="G14" s="178"/>
      <c r="H14" s="178"/>
      <c r="I14" s="178"/>
      <c r="J14" s="178"/>
      <c r="K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</row>
    <row r="15" spans="3:24">
      <c r="C15" s="178"/>
      <c r="D15" s="178"/>
      <c r="E15" s="178"/>
      <c r="F15" s="178"/>
      <c r="G15" s="178"/>
      <c r="H15" s="178"/>
      <c r="I15" s="178"/>
      <c r="J15" s="178"/>
      <c r="K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</row>
    <row r="16" spans="3:24">
      <c r="C16" s="178"/>
      <c r="D16" s="178"/>
      <c r="E16" s="178"/>
      <c r="F16" s="178"/>
      <c r="G16" s="178"/>
      <c r="H16" s="178"/>
      <c r="I16" s="178"/>
      <c r="J16" s="178"/>
      <c r="K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</row>
    <row r="17" spans="3:24">
      <c r="C17" s="178"/>
      <c r="D17" s="178"/>
      <c r="E17" s="178"/>
      <c r="F17" s="178"/>
      <c r="G17" s="178"/>
      <c r="H17" s="178"/>
      <c r="I17" s="178"/>
      <c r="J17" s="178"/>
      <c r="K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</row>
    <row r="18" spans="3:24">
      <c r="C18" s="178"/>
      <c r="D18" s="178"/>
      <c r="E18" s="178"/>
      <c r="F18" s="178"/>
      <c r="G18" s="178"/>
      <c r="H18" s="178"/>
      <c r="I18" s="178"/>
      <c r="J18" s="178"/>
      <c r="K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</row>
    <row r="19" spans="3:24">
      <c r="C19" s="178"/>
      <c r="D19" s="178"/>
      <c r="E19" s="178"/>
      <c r="F19" s="178"/>
      <c r="G19" s="178"/>
      <c r="H19" s="178"/>
      <c r="I19" s="178"/>
      <c r="J19" s="178"/>
      <c r="K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</row>
    <row r="20" spans="3:24">
      <c r="C20" s="178"/>
      <c r="D20" s="178"/>
      <c r="E20" s="178"/>
      <c r="F20" s="178"/>
      <c r="G20" s="178"/>
      <c r="H20" s="178"/>
      <c r="I20" s="178"/>
      <c r="J20" s="178"/>
      <c r="K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</row>
    <row r="21" spans="3:24">
      <c r="C21" s="178"/>
      <c r="D21" s="178"/>
      <c r="E21" s="178"/>
      <c r="F21" s="178"/>
      <c r="G21" s="178"/>
      <c r="H21" s="178"/>
      <c r="I21" s="178"/>
      <c r="J21" s="178"/>
      <c r="K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</row>
    <row r="22" spans="3:24">
      <c r="C22" s="178"/>
      <c r="D22" s="178"/>
      <c r="E22" s="178"/>
      <c r="F22" s="178"/>
      <c r="G22" s="178"/>
      <c r="H22" s="178"/>
      <c r="I22" s="178"/>
      <c r="J22" s="178"/>
      <c r="K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</row>
    <row r="23" spans="3:24">
      <c r="C23" s="178"/>
      <c r="D23" s="178"/>
      <c r="E23" s="178"/>
      <c r="F23" s="178"/>
      <c r="G23" s="178"/>
      <c r="H23" s="178"/>
      <c r="I23" s="178"/>
      <c r="J23" s="178"/>
      <c r="K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</row>
    <row r="24" spans="3:24">
      <c r="C24" s="178"/>
      <c r="D24" s="178"/>
      <c r="E24" s="178"/>
      <c r="F24" s="178"/>
      <c r="G24" s="178"/>
      <c r="H24" s="178"/>
      <c r="I24" s="178"/>
      <c r="J24" s="178"/>
      <c r="K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</row>
    <row r="25" spans="3:24">
      <c r="C25" s="178"/>
      <c r="D25" s="178"/>
      <c r="E25" s="178"/>
      <c r="F25" s="178"/>
      <c r="G25" s="178"/>
      <c r="H25" s="178"/>
      <c r="I25" s="178"/>
      <c r="J25" s="178"/>
      <c r="K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3:24">
      <c r="C26" s="178"/>
      <c r="D26" s="178"/>
      <c r="E26" s="178"/>
      <c r="F26" s="178"/>
      <c r="G26" s="178"/>
      <c r="H26" s="178"/>
      <c r="I26" s="178"/>
      <c r="J26" s="178"/>
      <c r="K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</row>
    <row r="27" spans="3:24">
      <c r="C27" s="178"/>
      <c r="D27" s="178"/>
      <c r="E27" s="178"/>
      <c r="F27" s="178"/>
      <c r="G27" s="178"/>
      <c r="H27" s="178"/>
      <c r="I27" s="178"/>
      <c r="J27" s="178"/>
      <c r="K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</row>
    <row r="28" spans="3:24">
      <c r="C28" s="178"/>
      <c r="D28" s="178"/>
      <c r="E28" s="178"/>
      <c r="F28" s="178"/>
      <c r="G28" s="178"/>
      <c r="H28" s="178"/>
      <c r="I28" s="178"/>
      <c r="J28" s="178"/>
      <c r="K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</row>
    <row r="29" spans="3:24">
      <c r="C29" s="178"/>
      <c r="D29" s="178"/>
      <c r="E29" s="178"/>
      <c r="F29" s="178"/>
      <c r="G29" s="178"/>
      <c r="H29" s="178"/>
      <c r="I29" s="178"/>
      <c r="J29" s="178"/>
      <c r="K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</row>
    <row r="30" spans="3:24">
      <c r="C30" s="178"/>
      <c r="D30" s="178"/>
      <c r="E30" s="178"/>
      <c r="F30" s="178"/>
      <c r="G30" s="178"/>
      <c r="H30" s="178"/>
      <c r="I30" s="178"/>
      <c r="J30" s="178"/>
      <c r="K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</row>
    <row r="31" spans="3:24">
      <c r="C31" s="178"/>
      <c r="D31" s="178"/>
      <c r="E31" s="178"/>
      <c r="F31" s="178"/>
      <c r="G31" s="178"/>
      <c r="H31" s="178"/>
      <c r="I31" s="178"/>
      <c r="J31" s="178"/>
      <c r="K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</row>
    <row r="32" spans="3:24">
      <c r="C32" s="178"/>
      <c r="D32" s="178"/>
      <c r="E32" s="178"/>
      <c r="F32" s="178"/>
      <c r="G32" s="178"/>
      <c r="H32" s="178"/>
      <c r="I32" s="178"/>
      <c r="J32" s="178"/>
      <c r="K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</row>
    <row r="33" spans="3:24">
      <c r="C33" s="178"/>
      <c r="D33" s="178"/>
      <c r="E33" s="178"/>
      <c r="F33" s="178"/>
      <c r="G33" s="178"/>
      <c r="H33" s="178"/>
      <c r="I33" s="178"/>
      <c r="J33" s="178"/>
      <c r="K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</row>
    <row r="34" spans="3:24">
      <c r="C34" s="178"/>
      <c r="D34" s="178"/>
      <c r="E34" s="178"/>
      <c r="F34" s="178"/>
      <c r="G34" s="178"/>
      <c r="H34" s="178"/>
      <c r="I34" s="178"/>
      <c r="J34" s="178"/>
      <c r="K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</row>
    <row r="35" spans="3:24">
      <c r="C35" s="178"/>
      <c r="D35" s="178"/>
      <c r="E35" s="178"/>
      <c r="F35" s="178"/>
      <c r="G35" s="178"/>
      <c r="H35" s="178"/>
      <c r="I35" s="178"/>
      <c r="J35" s="178"/>
      <c r="K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</row>
    <row r="36" spans="3:24">
      <c r="C36" s="178"/>
      <c r="D36" s="178"/>
      <c r="E36" s="178"/>
      <c r="F36" s="178"/>
      <c r="G36" s="178"/>
      <c r="H36" s="178"/>
      <c r="I36" s="178"/>
      <c r="J36" s="178"/>
      <c r="K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</row>
    <row r="37" spans="3:24">
      <c r="C37" s="178"/>
      <c r="D37" s="178"/>
      <c r="E37" s="178"/>
      <c r="F37" s="178"/>
      <c r="G37" s="178"/>
      <c r="H37" s="178"/>
      <c r="I37" s="178"/>
      <c r="J37" s="178"/>
      <c r="K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</row>
    <row r="38" spans="3:24">
      <c r="C38" s="178"/>
      <c r="D38" s="178"/>
      <c r="E38" s="178"/>
      <c r="F38" s="178"/>
      <c r="G38" s="178"/>
      <c r="H38" s="178"/>
      <c r="I38" s="178"/>
      <c r="J38" s="178"/>
      <c r="K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</row>
    <row r="39" spans="3:24"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9B1C4A4426FA488DEB61B5BC498D21" ma:contentTypeVersion="56" ma:contentTypeDescription="" ma:contentTypeScope="" ma:versionID="e7c19061ef8abe79fcc92ece21c08bd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2019-04-18T07:00:00+00:00</OpenedDate>
    <SignificantOrder xmlns="dc463f71-b30c-4ab2-9473-d307f9d35888">false</SignificantOrder>
    <Date1 xmlns="dc463f71-b30c-4ab2-9473-d307f9d35888">2019-04-18T07:00:00+00:00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Zippy Disposal Service, Inc.</CaseCompanyNames>
    <Nickname xmlns="http://schemas.microsoft.com/sharepoint/v3" xsi:nil="true"/>
    <DocketNumber xmlns="dc463f71-b30c-4ab2-9473-d307f9d35888">190293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7A283E1-C2DF-4548-821B-500589A37AA4}"/>
</file>

<file path=customXml/itemProps2.xml><?xml version="1.0" encoding="utf-8"?>
<ds:datastoreItem xmlns:ds="http://schemas.openxmlformats.org/officeDocument/2006/customXml" ds:itemID="{4FE753AC-0E66-4B9A-8103-48509A59FD76}"/>
</file>

<file path=customXml/itemProps3.xml><?xml version="1.0" encoding="utf-8"?>
<ds:datastoreItem xmlns:ds="http://schemas.openxmlformats.org/officeDocument/2006/customXml" ds:itemID="{3A705636-5D14-4B1E-AA08-44FA961B946D}"/>
</file>

<file path=customXml/itemProps4.xml><?xml version="1.0" encoding="utf-8"?>
<ds:datastoreItem xmlns:ds="http://schemas.openxmlformats.org/officeDocument/2006/customXml" ds:itemID="{3333F9BB-C6E5-4CBF-A8A8-25812C0CA7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16</vt:i4>
      </vt:variant>
    </vt:vector>
  </HeadingPairs>
  <TitlesOfParts>
    <vt:vector size="18" baseType="lpstr">
      <vt:lpstr>LG Nonpublic 2018 V5.0c</vt:lpstr>
      <vt:lpstr>Instructions</vt:lpstr>
      <vt:lpstr>'LG Nonpublic 2018 V5.0c'!Debt_Rate</vt:lpstr>
      <vt:lpstr>'LG Nonpublic 2018 V5.0c'!debtP</vt:lpstr>
      <vt:lpstr>'LG Nonpublic 2018 V5.0c'!Equity_percent</vt:lpstr>
      <vt:lpstr>'LG Nonpublic 2018 V5.0c'!equityP</vt:lpstr>
      <vt:lpstr>'LG Nonpublic 2018 V5.0c'!expenses</vt:lpstr>
      <vt:lpstr>'LG Nonpublic 2018 V5.0c'!Investment</vt:lpstr>
      <vt:lpstr>'LG Nonpublic 2018 V5.0c'!Pfd_weighted</vt:lpstr>
      <vt:lpstr>'LG Nonpublic 2018 V5.0c'!Print_Area</vt:lpstr>
      <vt:lpstr>'LG Nonpublic 2018 V5.0c'!regDebt_weighted</vt:lpstr>
      <vt:lpstr>'LG Nonpublic 2018 V5.0c'!Revenue</vt:lpstr>
      <vt:lpstr>slope</vt:lpstr>
      <vt:lpstr>'LG Nonpublic 2018 V5.0c'!taxrate</vt:lpstr>
      <vt:lpstr>y_inter1</vt:lpstr>
      <vt:lpstr>y_inter2</vt:lpstr>
      <vt:lpstr>y_inter3</vt:lpstr>
      <vt:lpstr>y_inter4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Information Services</dc:creator>
  <cp:keywords/>
  <dc:description/>
  <cp:lastModifiedBy>Glen</cp:lastModifiedBy>
  <cp:lastPrinted>2018-03-23T23:41:52Z</cp:lastPrinted>
  <dcterms:created xsi:type="dcterms:W3CDTF">2016-10-12T18:11:03Z</dcterms:created>
  <dcterms:modified xsi:type="dcterms:W3CDTF">2019-04-18T22:45:31Z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0x0101006E56B4D1795A2E4DB2F0B01679ED314A00769B1C4A4426FA488DEB61B5BC498D21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