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Shared\Common\Res Com Strategy\Environmental Policy and Strategy\GHG\WA\2018 (Reporting Year 2017)\"/>
    </mc:Choice>
  </mc:AlternateContent>
  <bookViews>
    <workbookView xWindow="0" yWindow="240" windowWidth="19200" windowHeight="6105"/>
  </bookViews>
  <sheets>
    <sheet name="Summary 2017" sheetId="1" r:id="rId1"/>
    <sheet name="Known Resources" sheetId="4" r:id="rId2"/>
    <sheet name="Unknown Resources" sheetId="3" r:id="rId3"/>
    <sheet name="Known - Emission Factor" sheetId="7" state="hidden" r:id="rId4"/>
  </sheets>
  <externalReferences>
    <externalReference r:id="rId5"/>
  </externalReference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B4" i="3" l="1"/>
  <c r="B40" i="4"/>
  <c r="B38" i="4"/>
  <c r="B37" i="4"/>
  <c r="B36" i="4"/>
  <c r="B35" i="4"/>
  <c r="B34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8" i="4"/>
  <c r="B5" i="4"/>
  <c r="B6" i="4"/>
  <c r="B7" i="4"/>
  <c r="B4" i="4"/>
  <c r="B15" i="3"/>
  <c r="B16" i="3"/>
  <c r="B17" i="3"/>
  <c r="B14" i="3"/>
  <c r="B13" i="3"/>
  <c r="B11" i="3"/>
  <c r="B10" i="3"/>
  <c r="B9" i="3"/>
  <c r="B7" i="3"/>
  <c r="B8" i="3"/>
  <c r="B5" i="3"/>
  <c r="B6" i="3"/>
  <c r="B20" i="3" l="1"/>
  <c r="B41" i="4"/>
  <c r="E20" i="1" s="1"/>
  <c r="F41" i="4" l="1"/>
  <c r="G41" i="4" l="1"/>
  <c r="F33" i="4" l="1"/>
  <c r="F30" i="4"/>
  <c r="F6" i="4"/>
  <c r="F7" i="4"/>
  <c r="C5" i="4"/>
  <c r="C4" i="4"/>
  <c r="C6" i="4"/>
  <c r="C7" i="4" l="1"/>
  <c r="B18" i="3" l="1"/>
  <c r="E21" i="1" s="1"/>
  <c r="D7" i="4" l="1"/>
  <c r="D8" i="4"/>
  <c r="D11" i="4"/>
  <c r="D12" i="4"/>
  <c r="D15" i="4"/>
  <c r="D16" i="4"/>
  <c r="D19" i="4"/>
  <c r="D20" i="4"/>
  <c r="D23" i="4"/>
  <c r="D24" i="4"/>
  <c r="D27" i="4"/>
  <c r="D28" i="4"/>
  <c r="D31" i="4"/>
  <c r="D32" i="4"/>
  <c r="D34" i="4"/>
  <c r="D35" i="4"/>
  <c r="D36" i="4"/>
  <c r="D39" i="4"/>
  <c r="D40" i="4"/>
  <c r="D5" i="4"/>
  <c r="D6" i="4"/>
  <c r="D9" i="4"/>
  <c r="D10" i="4"/>
  <c r="D13" i="4"/>
  <c r="D14" i="4"/>
  <c r="D17" i="4"/>
  <c r="D18" i="4"/>
  <c r="D21" i="4"/>
  <c r="D22" i="4"/>
  <c r="D25" i="4"/>
  <c r="D26" i="4"/>
  <c r="D29" i="4"/>
  <c r="D30" i="4"/>
  <c r="D33" i="4"/>
  <c r="D37" i="4"/>
  <c r="D38" i="4"/>
  <c r="D4" i="4"/>
  <c r="D5" i="3"/>
  <c r="D6" i="3"/>
  <c r="D7" i="3"/>
  <c r="D8" i="3"/>
  <c r="D9" i="3"/>
  <c r="D10" i="3"/>
  <c r="D11" i="3"/>
  <c r="D12" i="3"/>
  <c r="D13" i="3"/>
  <c r="D14" i="3"/>
  <c r="D16" i="3"/>
  <c r="D17" i="3"/>
  <c r="D4" i="3"/>
  <c r="D41" i="4" l="1"/>
  <c r="G20" i="1" s="1"/>
  <c r="H10" i="1"/>
  <c r="E5" i="1"/>
  <c r="F10" i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F14" i="1"/>
  <c r="F13" i="1"/>
  <c r="E22" i="1" l="1"/>
  <c r="H11" i="1"/>
  <c r="F12" i="1" l="1"/>
  <c r="F11" i="1"/>
  <c r="F18" i="3" l="1"/>
  <c r="D15" i="3"/>
  <c r="D18" i="3" s="1"/>
  <c r="G21" i="1" s="1"/>
  <c r="D21" i="3" l="1"/>
  <c r="G22" i="1"/>
  <c r="H22" i="1" s="1"/>
  <c r="F21" i="1" l="1"/>
  <c r="F20" i="1"/>
</calcChain>
</file>

<file path=xl/comments1.xml><?xml version="1.0" encoding="utf-8"?>
<comments xmlns="http://schemas.openxmlformats.org/spreadsheetml/2006/main">
  <authors>
    <author>Avcisert, Tuba {Mkt Function}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<sst xmlns="http://schemas.openxmlformats.org/spreadsheetml/2006/main" count="229" uniqueCount="142">
  <si>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</si>
  <si>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</si>
  <si>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</si>
  <si>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</si>
  <si>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</si>
  <si>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</si>
  <si>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</si>
  <si>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</si>
  <si>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</si>
  <si>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</si>
  <si>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</si>
  <si>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</si>
  <si>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</si>
  <si>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</si>
  <si>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</si>
  <si>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</si>
  <si>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</si>
  <si>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</si>
  <si>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</si>
  <si>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</si>
  <si>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</si>
  <si>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</si>
  <si>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</si>
  <si>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</si>
  <si>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</si>
  <si>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</si>
  <si>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</si>
  <si>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</si>
  <si>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</si>
  <si>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</si>
  <si>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</si>
  <si>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</si>
  <si>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</si>
  <si>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</si>
  <si>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</si>
  <si>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</si>
  <si>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</si>
  <si>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</si>
  <si>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</si>
  <si>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</si>
  <si>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</si>
  <si>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</si>
  <si>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</si>
  <si>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</si>
  <si>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</si>
  <si>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</si>
  <si>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</si>
  <si>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</si>
  <si>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</si>
  <si>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</si>
  <si>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</si>
  <si>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</si>
  <si>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</si>
  <si>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</si>
  <si>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</si>
  <si>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</si>
  <si>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</si>
  <si>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</si>
  <si>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</si>
  <si>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</si>
  <si>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</si>
  <si>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</si>
  <si>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</si>
  <si>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</si>
  <si>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</si>
  <si>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</si>
  <si>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</si>
  <si>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</si>
  <si>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</si>
  <si>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</si>
  <si>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</si>
  <si>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</si>
  <si>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</si>
  <si>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</si>
  <si>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</si>
  <si>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</si>
  <si>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</si>
  <si>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</si>
  <si>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</si>
  <si>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</si>
  <si>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</si>
  <si>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</si>
  <si>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</si>
  <si>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</si>
  <si>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</si>
  <si>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</si>
  <si>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</si>
  <si>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</si>
  <si>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</si>
  <si>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</si>
  <si>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</si>
  <si>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</si>
  <si>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</si>
  <si>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</si>
  <si>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</si>
  <si>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</si>
  <si>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</si>
  <si>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</si>
  <si>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</si>
  <si>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</si>
  <si>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</si>
  <si>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</si>
  <si>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</si>
  <si>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</si>
  <si>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</si>
  <si>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</si>
  <si>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</si>
  <si>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</si>
  <si>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</si>
  <si>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</si>
  <si>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</si>
  <si>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</si>
  <si>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</si>
  <si>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</si>
  <si>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</si>
  <si>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</si>
  <si>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</si>
  <si>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</si>
  <si>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</si>
  <si>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</si>
  <si>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</si>
  <si>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</si>
  <si>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</si>
  <si>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</si>
  <si>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</si>
  <si>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</si>
  <si>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</si>
  <si>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</si>
  <si>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</si>
  <si>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</si>
  <si>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>Summary Energy and Emissions Intensity Report - 2017</t>
  </si>
  <si>
    <t>2017 Washington - WCA Allocation Factor</t>
  </si>
  <si>
    <t xml:space="preserve">Hermiston </t>
  </si>
  <si>
    <t>EIM Purchases</t>
  </si>
  <si>
    <t>EIM Sales from source other than WCA Generation</t>
  </si>
  <si>
    <t>CAGW</t>
  </si>
  <si>
    <t>CAEW</t>
  </si>
  <si>
    <t>WA Situs</t>
  </si>
  <si>
    <t>EIM Sales</t>
  </si>
  <si>
    <r>
      <t xml:space="preserve">EIM </t>
    </r>
    <r>
      <rPr>
        <sz val="11"/>
        <rFont val="Calibri"/>
        <family val="2"/>
      </rPr>
      <t>Transfers from PACE to PACW</t>
    </r>
  </si>
  <si>
    <t>Annual (Unallocated) MWh 2017</t>
  </si>
  <si>
    <t>Updated 5/31/2018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</si>
</sst>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9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6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4" fillId="36" borderId="0" xfId="31" applyNumberFormat="1" applyFont="1" applyFill="1" applyBorder="1" applyAlignment="1"/>
    <xf numFmtId="37" fontId="34" fillId="36" borderId="2" xfId="1" applyNumberFormat="1" applyFont="1" applyFill="1" applyBorder="1" applyAlignment="1">
      <alignment horizontal="center" vertical="center"/>
    </xf>
    <xf numFmtId="37" fontId="34" fillId="36" borderId="5" xfId="1" applyNumberFormat="1" applyFont="1" applyFill="1" applyBorder="1" applyAlignment="1">
      <alignment horizontal="center" vertical="center"/>
    </xf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A/Specified%20Emission%20Factors+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Reference"/>
      <sheetName val="1. Specified Emission Factors"/>
      <sheetName val="2. Emission Factor - Comparison"/>
      <sheetName val="3. EPA CO2 Data"/>
      <sheetName val="4. FERC Form 1 - 2017"/>
      <sheetName val="5. 18 Mar PacifiCorp Net MWH"/>
      <sheetName val="6. PacifiCorp CO2"/>
      <sheetName val="7. PacifiCorp CO2 per MWHn"/>
    </sheetNames>
    <sheetDataSet>
      <sheetData sheetId="0"/>
      <sheetData sheetId="1">
        <row r="19">
          <cell r="N19">
            <v>2087.6432937923923</v>
          </cell>
        </row>
        <row r="20">
          <cell r="N20">
            <v>1975.5463658443623</v>
          </cell>
        </row>
        <row r="21">
          <cell r="N21">
            <v>909.77777676698702</v>
          </cell>
        </row>
        <row r="22">
          <cell r="N22">
            <v>910.49149065122549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32"/>
  <sheetViews>
    <sheetView tabSelected="1" workbookViewId="0">
      <selection activeCell="C28" sqref="C28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1" max="11" width="9.7109375" bestFit="1" customWidth="1"/>
    <col min="12" max="12" width="14.5703125" customWidth="1"/>
  </cols>
  <sheetData>
    <row r="1" spans="2:8" ht="18.75">
      <c r="B1" s="2" t="s">
        <v>130</v>
      </c>
    </row>
    <row r="2" spans="2:8" ht="15.75" thickBot="1"/>
    <row r="3" spans="2:8">
      <c r="B3" s="40"/>
      <c r="C3" s="41" t="s">
        <v>14</v>
      </c>
      <c r="D3" s="42" t="s">
        <v>42</v>
      </c>
      <c r="E3" s="45"/>
      <c r="F3" s="43"/>
    </row>
    <row r="4" spans="2:8">
      <c r="B4" s="158" t="s">
        <v>15</v>
      </c>
      <c r="C4" s="160"/>
      <c r="D4" s="24">
        <v>2017</v>
      </c>
      <c r="E4" s="47" t="s">
        <v>38</v>
      </c>
      <c r="F4" s="44"/>
    </row>
    <row r="5" spans="2:8" ht="15.75" thickBot="1">
      <c r="B5" s="161" t="s">
        <v>20</v>
      </c>
      <c r="C5" s="162"/>
      <c r="D5" s="123">
        <v>303749</v>
      </c>
      <c r="E5" s="124">
        <f>+E15/D5</f>
        <v>15.176525790504661</v>
      </c>
    </row>
    <row r="6" spans="2:8">
      <c r="B6" s="5"/>
      <c r="C6" s="5"/>
      <c r="D6" s="14"/>
      <c r="F6" s="13"/>
    </row>
    <row r="7" spans="2:8" ht="19.5" thickBot="1">
      <c r="B7" s="5"/>
      <c r="C7" s="38" t="s">
        <v>35</v>
      </c>
      <c r="D7" s="14"/>
      <c r="F7" s="13"/>
    </row>
    <row r="8" spans="2:8">
      <c r="B8" s="27"/>
      <c r="C8" s="28"/>
      <c r="D8" s="28"/>
      <c r="E8" s="28"/>
      <c r="F8" s="28"/>
      <c r="G8" s="29" t="s">
        <v>19</v>
      </c>
      <c r="H8" s="56" t="s">
        <v>39</v>
      </c>
    </row>
    <row r="9" spans="2:8">
      <c r="B9" s="30"/>
      <c r="C9" s="9"/>
      <c r="D9" s="9"/>
      <c r="E9" s="11" t="s">
        <v>13</v>
      </c>
      <c r="F9" s="20" t="s">
        <v>27</v>
      </c>
      <c r="G9" s="16" t="s">
        <v>34</v>
      </c>
      <c r="H9" s="57" t="s">
        <v>19</v>
      </c>
    </row>
    <row r="10" spans="2:8">
      <c r="B10" s="158" t="s">
        <v>11</v>
      </c>
      <c r="C10" s="159"/>
      <c r="D10" s="160"/>
      <c r="E10" s="52">
        <v>1873648.5407889823</v>
      </c>
      <c r="F10" s="10">
        <f>+E10/E15</f>
        <v>0.4064441790179229</v>
      </c>
      <c r="G10" s="52">
        <v>108880</v>
      </c>
      <c r="H10" s="139">
        <f>+E10/G10</f>
        <v>17.208381160809903</v>
      </c>
    </row>
    <row r="11" spans="2:8">
      <c r="B11" s="158" t="s">
        <v>16</v>
      </c>
      <c r="C11" s="159"/>
      <c r="D11" s="160"/>
      <c r="E11" s="52">
        <v>1686745.8408716919</v>
      </c>
      <c r="F11" s="10">
        <f>+E11/E15</f>
        <v>0.36590001464004673</v>
      </c>
      <c r="G11" s="53">
        <v>15909</v>
      </c>
      <c r="H11" s="58">
        <f>+E11/G11</f>
        <v>106.02463013839285</v>
      </c>
    </row>
    <row r="12" spans="2:8">
      <c r="B12" s="158" t="s">
        <v>17</v>
      </c>
      <c r="C12" s="159"/>
      <c r="D12" s="160"/>
      <c r="E12" s="52">
        <v>869483.21090597706</v>
      </c>
      <c r="F12" s="10">
        <f>+E12/E15</f>
        <v>0.18861402345913508</v>
      </c>
      <c r="G12" s="54">
        <v>486</v>
      </c>
      <c r="H12" s="58">
        <f>+E12/G12</f>
        <v>1789.0601047448088</v>
      </c>
    </row>
    <row r="13" spans="2:8">
      <c r="B13" s="158" t="s">
        <v>40</v>
      </c>
      <c r="C13" s="159"/>
      <c r="D13" s="160"/>
      <c r="E13" s="52">
        <v>167392.19365244347</v>
      </c>
      <c r="F13" s="10">
        <f>+E13/E15</f>
        <v>3.6311816886654295E-2</v>
      </c>
      <c r="G13" s="54">
        <v>5055</v>
      </c>
      <c r="H13" s="58">
        <f>+E13/G13</f>
        <v>33.114182720562503</v>
      </c>
    </row>
    <row r="14" spans="2:8">
      <c r="B14" s="163" t="s">
        <v>41</v>
      </c>
      <c r="C14" s="164"/>
      <c r="D14" s="165"/>
      <c r="E14" s="52">
        <v>12584.746120905504</v>
      </c>
      <c r="F14" s="10">
        <f>+E14/E15</f>
        <v>2.7299659962409665E-3</v>
      </c>
      <c r="G14" s="54">
        <v>239</v>
      </c>
      <c r="H14" s="58">
        <f>+E14/G14</f>
        <v>52.655841510064867</v>
      </c>
    </row>
    <row r="15" spans="2:8" ht="15.75" thickBot="1">
      <c r="B15" s="32"/>
      <c r="C15" s="49" t="s">
        <v>12</v>
      </c>
      <c r="D15" s="50"/>
      <c r="E15" s="46">
        <v>4609854.5323400004</v>
      </c>
      <c r="F15" s="51"/>
      <c r="G15" s="55"/>
      <c r="H15" s="59"/>
    </row>
    <row r="17" spans="2:11" ht="19.5" thickBot="1">
      <c r="C17" s="39" t="s">
        <v>36</v>
      </c>
    </row>
    <row r="18" spans="2:11">
      <c r="B18" s="27"/>
      <c r="C18" s="28"/>
      <c r="D18" s="28"/>
      <c r="E18" s="28"/>
      <c r="F18" s="29" t="s">
        <v>28</v>
      </c>
      <c r="G18" s="34" t="s">
        <v>5</v>
      </c>
      <c r="H18" s="35"/>
    </row>
    <row r="19" spans="2:11" ht="18">
      <c r="B19" s="36"/>
      <c r="C19" s="5"/>
      <c r="D19" s="5"/>
      <c r="E19" s="20" t="s">
        <v>18</v>
      </c>
      <c r="F19" s="16" t="s">
        <v>29</v>
      </c>
      <c r="G19" s="12" t="s">
        <v>8</v>
      </c>
      <c r="H19" s="31"/>
      <c r="J19" s="153"/>
      <c r="K19" s="153"/>
    </row>
    <row r="20" spans="2:11" ht="15.75" thickBot="1">
      <c r="B20" s="158" t="s">
        <v>32</v>
      </c>
      <c r="C20" s="159"/>
      <c r="D20" s="160"/>
      <c r="E20" s="126">
        <f>'Known Resources'!B41</f>
        <v>3772358.7858982575</v>
      </c>
      <c r="F20" s="10">
        <f>+E20/(E20+E21)</f>
        <v>0.82218109580030319</v>
      </c>
      <c r="G20" s="126">
        <f>'Known Resources'!D41</f>
        <v>2383140.6229655938</v>
      </c>
      <c r="H20" s="125"/>
      <c r="J20" s="154"/>
      <c r="K20" s="155"/>
    </row>
    <row r="21" spans="2:11" ht="18">
      <c r="B21" s="158" t="s">
        <v>33</v>
      </c>
      <c r="C21" s="159"/>
      <c r="D21" s="160"/>
      <c r="E21" s="127">
        <f>'Unknown Resources'!B18</f>
        <v>815874.64000687073</v>
      </c>
      <c r="F21" s="37">
        <f>+E21/(E20+E21)</f>
        <v>0.17781890419969681</v>
      </c>
      <c r="G21" s="128">
        <f>'Unknown Resources'!D18</f>
        <v>338110.48448081024</v>
      </c>
      <c r="H21" s="48" t="s">
        <v>37</v>
      </c>
      <c r="J21" s="154"/>
      <c r="K21" s="155"/>
    </row>
    <row r="22" spans="2:11" ht="18.75" thickBot="1">
      <c r="B22" s="32"/>
      <c r="C22" s="33"/>
      <c r="D22" s="33"/>
      <c r="E22" s="49">
        <f>+D4</f>
        <v>2017</v>
      </c>
      <c r="F22" s="133" t="s">
        <v>4</v>
      </c>
      <c r="G22" s="134">
        <f>SUM(G20:G21)</f>
        <v>2721251.1074464042</v>
      </c>
      <c r="H22" s="141">
        <f>+G22/H24</f>
        <v>1.1342903846587749</v>
      </c>
    </row>
    <row r="23" spans="2:11">
      <c r="E23" s="3"/>
    </row>
    <row r="24" spans="2:11" ht="18">
      <c r="E24" s="155"/>
      <c r="G24" s="15" t="s">
        <v>26</v>
      </c>
      <c r="H24" s="21">
        <f>H30</f>
        <v>2399078</v>
      </c>
      <c r="I24" s="19"/>
      <c r="J24" s="82"/>
      <c r="K24" s="82"/>
    </row>
    <row r="26" spans="2:11">
      <c r="F26" s="19" t="s">
        <v>21</v>
      </c>
      <c r="G26" s="17"/>
      <c r="H26" s="17"/>
    </row>
    <row r="27" spans="2:11">
      <c r="F27" s="17"/>
      <c r="G27" s="17"/>
      <c r="H27" s="129" t="s">
        <v>25</v>
      </c>
    </row>
    <row r="28" spans="2:11" ht="18">
      <c r="F28" s="17"/>
      <c r="G28" s="17"/>
      <c r="H28" s="130" t="s">
        <v>3</v>
      </c>
    </row>
    <row r="29" spans="2:11">
      <c r="F29" s="17"/>
      <c r="G29" s="18" t="s">
        <v>22</v>
      </c>
      <c r="H29" s="131">
        <v>1131957</v>
      </c>
    </row>
    <row r="30" spans="2:11">
      <c r="F30" s="17"/>
      <c r="G30" s="18" t="s">
        <v>23</v>
      </c>
      <c r="H30" s="131">
        <v>2399078</v>
      </c>
    </row>
    <row r="31" spans="2:11">
      <c r="F31" s="17"/>
      <c r="G31" s="18" t="s">
        <v>24</v>
      </c>
      <c r="H31" s="131">
        <v>6946064</v>
      </c>
    </row>
    <row r="32" spans="2:11">
      <c r="H32" s="132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45"/>
  <sheetViews>
    <sheetView workbookViewId="0">
      <selection activeCell="F3" sqref="F3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0.5703125" bestFit="1" customWidth="1"/>
    <col min="8" max="8" width="29.28515625" bestFit="1" customWidth="1"/>
    <col min="9" max="9" width="10.5703125" customWidth="1"/>
  </cols>
  <sheetData>
    <row r="1" spans="1:10" ht="18.75">
      <c r="A1" s="2" t="s">
        <v>10</v>
      </c>
      <c r="B1" s="23">
        <v>2017</v>
      </c>
      <c r="C1" s="1"/>
      <c r="D1" s="1"/>
      <c r="E1" s="68"/>
      <c r="F1" s="68"/>
      <c r="I1" s="148">
        <v>0.22945340348812068</v>
      </c>
      <c r="J1" s="35" t="s">
        <v>136</v>
      </c>
    </row>
    <row r="2" spans="1:10" ht="18.75">
      <c r="A2" s="2"/>
      <c r="B2" s="7" t="s">
        <v>30</v>
      </c>
      <c r="C2" s="7">
        <v>2017</v>
      </c>
      <c r="D2" s="7" t="s">
        <v>5</v>
      </c>
      <c r="E2" s="68"/>
      <c r="F2" s="68" t="s">
        <v>141</v>
      </c>
      <c r="I2" s="149">
        <v>0.22614123237430531</v>
      </c>
      <c r="J2" s="31" t="s">
        <v>135</v>
      </c>
    </row>
    <row r="3" spans="1:10" ht="20.25" thickBot="1">
      <c r="A3" s="4" t="s">
        <v>0</v>
      </c>
      <c r="B3" s="8">
        <v>2017</v>
      </c>
      <c r="C3" s="8" t="s">
        <v>7</v>
      </c>
      <c r="D3" s="8" t="s">
        <v>8</v>
      </c>
      <c r="E3" s="6"/>
      <c r="F3" s="68" t="s">
        <v>140</v>
      </c>
      <c r="G3" s="68" t="s">
        <v>138</v>
      </c>
      <c r="I3" s="149">
        <v>1</v>
      </c>
      <c r="J3" s="151" t="s">
        <v>137</v>
      </c>
    </row>
    <row r="4" spans="1:10">
      <c r="A4" s="64" t="s">
        <v>47</v>
      </c>
      <c r="B4" s="65">
        <f>F4*$I$1</f>
        <v>127780.7939987321</v>
      </c>
      <c r="C4" s="65">
        <f>'[1]1. Specified Emission Factors'!$N$19</f>
        <v>2087.6432937923923</v>
      </c>
      <c r="D4" s="83">
        <f>(+B4*C4)/2000</f>
        <v>133380.35883346011</v>
      </c>
      <c r="E4" s="68" t="s">
        <v>82</v>
      </c>
      <c r="F4" s="146">
        <v>556892.1273610465</v>
      </c>
      <c r="H4" s="5"/>
      <c r="I4" s="166"/>
    </row>
    <row r="5" spans="1:10">
      <c r="A5" s="64" t="s">
        <v>46</v>
      </c>
      <c r="B5" s="65">
        <f t="shared" ref="B5:B7" si="0">F5*$I$1</f>
        <v>2000680.6824011246</v>
      </c>
      <c r="C5" s="65">
        <f>'[1]1. Specified Emission Factors'!$N$20</f>
        <v>1975.5463658443623</v>
      </c>
      <c r="D5" s="83">
        <f t="shared" ref="D5:D40" si="1">(+B5*C5)/2000</f>
        <v>1976218.7256662804</v>
      </c>
      <c r="E5" s="68" t="s">
        <v>82</v>
      </c>
      <c r="F5" s="146">
        <v>8719333.2153153457</v>
      </c>
      <c r="G5" s="62"/>
      <c r="H5" s="5"/>
      <c r="I5" s="166"/>
    </row>
    <row r="6" spans="1:10">
      <c r="A6" s="64" t="s">
        <v>45</v>
      </c>
      <c r="B6" s="65">
        <f t="shared" si="0"/>
        <v>390852.07476868219</v>
      </c>
      <c r="C6" s="65">
        <f>'[1]1. Specified Emission Factors'!$N$21</f>
        <v>909.77777676698702</v>
      </c>
      <c r="D6" s="83">
        <f t="shared" si="1"/>
        <v>177794.26581390793</v>
      </c>
      <c r="E6" s="68" t="s">
        <v>83</v>
      </c>
      <c r="F6" s="146">
        <f>1758799-55394</f>
        <v>1703405</v>
      </c>
      <c r="G6" s="60">
        <v>55394</v>
      </c>
      <c r="H6" s="5"/>
      <c r="I6" s="166"/>
    </row>
    <row r="7" spans="1:10">
      <c r="A7" s="64" t="s">
        <v>132</v>
      </c>
      <c r="B7" s="65">
        <f t="shared" si="0"/>
        <v>210319.97253145676</v>
      </c>
      <c r="C7" s="65">
        <f>'[1]1. Specified Emission Factors'!$N$22</f>
        <v>910.49149065122549</v>
      </c>
      <c r="D7" s="83">
        <f t="shared" si="1"/>
        <v>95747.27265194543</v>
      </c>
      <c r="E7" s="68" t="s">
        <v>83</v>
      </c>
      <c r="F7" s="146">
        <f>1061583-144970</f>
        <v>916613</v>
      </c>
      <c r="G7" s="144">
        <v>144970</v>
      </c>
      <c r="H7" s="5"/>
      <c r="I7" s="166"/>
    </row>
    <row r="8" spans="1:10">
      <c r="A8" s="64" t="s">
        <v>43</v>
      </c>
      <c r="B8" s="65">
        <f>F8*$I$2</f>
        <v>43400.346893579554</v>
      </c>
      <c r="C8" s="65">
        <v>0</v>
      </c>
      <c r="D8" s="83">
        <f t="shared" si="1"/>
        <v>0</v>
      </c>
      <c r="E8" s="79" t="s">
        <v>84</v>
      </c>
      <c r="F8" s="146">
        <v>191917</v>
      </c>
      <c r="H8" s="5"/>
      <c r="I8" s="166"/>
    </row>
    <row r="9" spans="1:10">
      <c r="A9" s="64" t="s">
        <v>44</v>
      </c>
      <c r="B9" s="65">
        <f t="shared" ref="B9:B33" si="2">F9*$I$2</f>
        <v>35206.797762193724</v>
      </c>
      <c r="C9" s="65">
        <v>0</v>
      </c>
      <c r="D9" s="83">
        <f t="shared" si="1"/>
        <v>0</v>
      </c>
      <c r="E9" s="79" t="s">
        <v>84</v>
      </c>
      <c r="F9" s="146">
        <v>155685</v>
      </c>
      <c r="G9" s="122"/>
      <c r="H9" s="5"/>
      <c r="I9" s="166"/>
    </row>
    <row r="10" spans="1:10">
      <c r="A10" s="64" t="s">
        <v>48</v>
      </c>
      <c r="B10" s="65">
        <f t="shared" si="2"/>
        <v>106038.52842524125</v>
      </c>
      <c r="C10" s="65">
        <v>0</v>
      </c>
      <c r="D10" s="83">
        <f t="shared" si="1"/>
        <v>0</v>
      </c>
      <c r="E10" s="79" t="s">
        <v>84</v>
      </c>
      <c r="F10" s="146">
        <v>468904</v>
      </c>
      <c r="G10" s="122"/>
      <c r="H10" s="5"/>
      <c r="I10" s="166"/>
    </row>
    <row r="11" spans="1:10" s="61" customFormat="1">
      <c r="A11" s="64" t="s">
        <v>54</v>
      </c>
      <c r="B11" s="65">
        <f t="shared" si="2"/>
        <v>518.99412829903065</v>
      </c>
      <c r="C11" s="65">
        <v>0</v>
      </c>
      <c r="D11" s="83">
        <f t="shared" si="1"/>
        <v>0</v>
      </c>
      <c r="E11" s="79" t="s">
        <v>85</v>
      </c>
      <c r="F11" s="146">
        <v>2295</v>
      </c>
      <c r="G11" s="122"/>
      <c r="H11" s="5"/>
      <c r="I11" s="166"/>
    </row>
    <row r="12" spans="1:10" s="61" customFormat="1">
      <c r="A12" s="64" t="s">
        <v>55</v>
      </c>
      <c r="B12" s="65">
        <f t="shared" si="2"/>
        <v>11169.567749431688</v>
      </c>
      <c r="C12" s="65">
        <v>0</v>
      </c>
      <c r="D12" s="83">
        <f t="shared" si="1"/>
        <v>0</v>
      </c>
      <c r="E12" s="79" t="s">
        <v>85</v>
      </c>
      <c r="F12" s="146">
        <v>49392</v>
      </c>
      <c r="H12" s="5"/>
      <c r="I12" s="166"/>
    </row>
    <row r="13" spans="1:10" s="61" customFormat="1">
      <c r="A13" s="64" t="s">
        <v>56</v>
      </c>
      <c r="B13" s="65">
        <f t="shared" si="2"/>
        <v>15314.058115155582</v>
      </c>
      <c r="C13" s="65">
        <v>0</v>
      </c>
      <c r="D13" s="83">
        <f t="shared" si="1"/>
        <v>0</v>
      </c>
      <c r="E13" s="79" t="s">
        <v>85</v>
      </c>
      <c r="F13" s="146">
        <v>67719</v>
      </c>
      <c r="H13" s="5"/>
      <c r="I13" s="166"/>
    </row>
    <row r="14" spans="1:10" s="61" customFormat="1">
      <c r="A14" s="64" t="s">
        <v>57</v>
      </c>
      <c r="B14" s="65">
        <f t="shared" si="2"/>
        <v>24360.385833824916</v>
      </c>
      <c r="C14" s="65">
        <v>0</v>
      </c>
      <c r="D14" s="83">
        <f t="shared" si="1"/>
        <v>0</v>
      </c>
      <c r="E14" s="79" t="s">
        <v>85</v>
      </c>
      <c r="F14" s="146">
        <v>107722</v>
      </c>
      <c r="H14" s="5"/>
      <c r="I14" s="166"/>
    </row>
    <row r="15" spans="1:10" s="61" customFormat="1">
      <c r="A15" s="64" t="s">
        <v>58</v>
      </c>
      <c r="B15" s="65">
        <f t="shared" si="2"/>
        <v>31273.071025042682</v>
      </c>
      <c r="C15" s="65">
        <v>0</v>
      </c>
      <c r="D15" s="83">
        <f t="shared" si="1"/>
        <v>0</v>
      </c>
      <c r="E15" s="79" t="s">
        <v>85</v>
      </c>
      <c r="F15" s="146">
        <v>138290</v>
      </c>
      <c r="H15" s="5"/>
      <c r="I15" s="166"/>
    </row>
    <row r="16" spans="1:10" s="61" customFormat="1">
      <c r="A16" s="64" t="s">
        <v>59</v>
      </c>
      <c r="B16" s="65">
        <f t="shared" si="2"/>
        <v>4154.4405799483629</v>
      </c>
      <c r="C16" s="65">
        <v>0</v>
      </c>
      <c r="D16" s="83">
        <f t="shared" si="1"/>
        <v>0</v>
      </c>
      <c r="E16" s="79" t="s">
        <v>85</v>
      </c>
      <c r="F16" s="146">
        <v>18371</v>
      </c>
      <c r="H16" s="5"/>
      <c r="I16" s="166"/>
    </row>
    <row r="17" spans="1:9" s="61" customFormat="1">
      <c r="A17" s="64" t="s">
        <v>60</v>
      </c>
      <c r="B17" s="65">
        <f t="shared" si="2"/>
        <v>1780.1837812505314</v>
      </c>
      <c r="C17" s="65">
        <v>0</v>
      </c>
      <c r="D17" s="83">
        <f t="shared" si="1"/>
        <v>0</v>
      </c>
      <c r="E17" s="79" t="s">
        <v>85</v>
      </c>
      <c r="F17" s="146">
        <v>7872</v>
      </c>
      <c r="H17" s="5"/>
      <c r="I17" s="166"/>
    </row>
    <row r="18" spans="1:9" s="61" customFormat="1">
      <c r="A18" s="64" t="s">
        <v>61</v>
      </c>
      <c r="B18" s="65">
        <f t="shared" si="2"/>
        <v>9566.6786943626121</v>
      </c>
      <c r="C18" s="65">
        <v>0</v>
      </c>
      <c r="D18" s="83">
        <f t="shared" si="1"/>
        <v>0</v>
      </c>
      <c r="E18" s="79" t="s">
        <v>85</v>
      </c>
      <c r="F18" s="146">
        <v>42304</v>
      </c>
      <c r="H18" s="5"/>
      <c r="I18" s="166"/>
    </row>
    <row r="19" spans="1:9" s="61" customFormat="1">
      <c r="A19" s="64" t="s">
        <v>62</v>
      </c>
      <c r="B19" s="65">
        <f t="shared" si="2"/>
        <v>24615.699285175506</v>
      </c>
      <c r="C19" s="65">
        <v>0</v>
      </c>
      <c r="D19" s="83">
        <f t="shared" si="1"/>
        <v>0</v>
      </c>
      <c r="E19" s="79" t="s">
        <v>85</v>
      </c>
      <c r="F19" s="146">
        <v>108851</v>
      </c>
      <c r="H19" s="5"/>
      <c r="I19" s="166"/>
    </row>
    <row r="20" spans="1:9" s="61" customFormat="1">
      <c r="A20" s="64" t="s">
        <v>63</v>
      </c>
      <c r="B20" s="65">
        <f t="shared" si="2"/>
        <v>72078.447277127081</v>
      </c>
      <c r="C20" s="65">
        <v>0</v>
      </c>
      <c r="D20" s="83">
        <f t="shared" si="1"/>
        <v>0</v>
      </c>
      <c r="E20" s="79" t="s">
        <v>85</v>
      </c>
      <c r="F20" s="146">
        <v>318732</v>
      </c>
      <c r="H20" s="5"/>
      <c r="I20" s="166"/>
    </row>
    <row r="21" spans="1:9" s="61" customFormat="1">
      <c r="A21" s="64" t="s">
        <v>64</v>
      </c>
      <c r="B21" s="65">
        <f t="shared" si="2"/>
        <v>39557.302790610607</v>
      </c>
      <c r="C21" s="65">
        <v>0</v>
      </c>
      <c r="D21" s="83">
        <f t="shared" si="1"/>
        <v>0</v>
      </c>
      <c r="E21" s="79" t="s">
        <v>85</v>
      </c>
      <c r="F21" s="146">
        <v>174923</v>
      </c>
      <c r="H21" s="5"/>
      <c r="I21" s="166"/>
    </row>
    <row r="22" spans="1:9">
      <c r="A22" s="64" t="s">
        <v>65</v>
      </c>
      <c r="B22" s="65">
        <f t="shared" si="2"/>
        <v>45434.93956125118</v>
      </c>
      <c r="C22" s="65">
        <v>0</v>
      </c>
      <c r="D22" s="83">
        <f t="shared" si="1"/>
        <v>0</v>
      </c>
      <c r="E22" s="79" t="s">
        <v>85</v>
      </c>
      <c r="F22" s="146">
        <v>200914</v>
      </c>
      <c r="H22" s="5"/>
      <c r="I22" s="166"/>
    </row>
    <row r="23" spans="1:9">
      <c r="A23" s="64" t="s">
        <v>66</v>
      </c>
      <c r="B23" s="65">
        <f t="shared" si="2"/>
        <v>142383.72115120722</v>
      </c>
      <c r="C23" s="65">
        <v>0</v>
      </c>
      <c r="D23" s="83">
        <f t="shared" si="1"/>
        <v>0</v>
      </c>
      <c r="E23" s="79" t="s">
        <v>85</v>
      </c>
      <c r="F23" s="146">
        <v>629623</v>
      </c>
      <c r="H23" s="5"/>
      <c r="I23" s="166"/>
    </row>
    <row r="24" spans="1:9">
      <c r="A24" s="64" t="s">
        <v>67</v>
      </c>
      <c r="B24" s="65">
        <f t="shared" si="2"/>
        <v>4772.9368504920876</v>
      </c>
      <c r="C24" s="65">
        <v>0</v>
      </c>
      <c r="D24" s="83">
        <f t="shared" si="1"/>
        <v>0</v>
      </c>
      <c r="E24" s="79" t="s">
        <v>85</v>
      </c>
      <c r="F24" s="146">
        <v>21106</v>
      </c>
      <c r="H24" s="5"/>
      <c r="I24" s="166"/>
    </row>
    <row r="25" spans="1:9">
      <c r="A25" s="64" t="s">
        <v>77</v>
      </c>
      <c r="B25" s="65">
        <f t="shared" si="2"/>
        <v>57938.514440458894</v>
      </c>
      <c r="C25" s="65">
        <v>0</v>
      </c>
      <c r="D25" s="83">
        <f t="shared" si="1"/>
        <v>0</v>
      </c>
      <c r="E25" s="79" t="s">
        <v>85</v>
      </c>
      <c r="F25" s="146">
        <v>256205</v>
      </c>
      <c r="H25" s="5"/>
      <c r="I25" s="166"/>
    </row>
    <row r="26" spans="1:9">
      <c r="A26" s="64" t="s">
        <v>76</v>
      </c>
      <c r="B26" s="65">
        <f t="shared" si="2"/>
        <v>9221.8133149917958</v>
      </c>
      <c r="C26" s="65">
        <v>0</v>
      </c>
      <c r="D26" s="83">
        <f t="shared" si="1"/>
        <v>0</v>
      </c>
      <c r="E26" s="79" t="s">
        <v>85</v>
      </c>
      <c r="F26" s="146">
        <v>40779</v>
      </c>
      <c r="H26" s="5"/>
      <c r="I26" s="166"/>
    </row>
    <row r="27" spans="1:9">
      <c r="A27" s="64" t="s">
        <v>75</v>
      </c>
      <c r="B27" s="65">
        <f t="shared" si="2"/>
        <v>1040.02352768943</v>
      </c>
      <c r="C27" s="65">
        <v>0</v>
      </c>
      <c r="D27" s="83">
        <f t="shared" si="1"/>
        <v>0</v>
      </c>
      <c r="E27" s="79" t="s">
        <v>85</v>
      </c>
      <c r="F27" s="146">
        <v>4599</v>
      </c>
      <c r="H27" s="5"/>
      <c r="I27" s="166"/>
    </row>
    <row r="28" spans="1:9">
      <c r="A28" s="64" t="s">
        <v>74</v>
      </c>
      <c r="B28" s="65">
        <f t="shared" si="2"/>
        <v>17875.785995491711</v>
      </c>
      <c r="C28" s="65">
        <v>0</v>
      </c>
      <c r="D28" s="83">
        <f t="shared" si="1"/>
        <v>0</v>
      </c>
      <c r="E28" s="79" t="s">
        <v>85</v>
      </c>
      <c r="F28" s="146">
        <v>79047</v>
      </c>
      <c r="H28" s="5"/>
      <c r="I28" s="166"/>
    </row>
    <row r="29" spans="1:9">
      <c r="A29" s="64" t="s">
        <v>73</v>
      </c>
      <c r="B29" s="65">
        <f t="shared" si="2"/>
        <v>13653.050763366309</v>
      </c>
      <c r="C29" s="65">
        <v>0</v>
      </c>
      <c r="D29" s="83">
        <f t="shared" si="1"/>
        <v>0</v>
      </c>
      <c r="E29" s="79" t="s">
        <v>85</v>
      </c>
      <c r="F29" s="146">
        <v>60374</v>
      </c>
      <c r="H29" s="5"/>
      <c r="I29" s="166"/>
    </row>
    <row r="30" spans="1:9">
      <c r="A30" s="64" t="s">
        <v>72</v>
      </c>
      <c r="B30" s="65">
        <f t="shared" si="2"/>
        <v>78620.713129715732</v>
      </c>
      <c r="C30" s="65">
        <v>0</v>
      </c>
      <c r="D30" s="83">
        <f t="shared" si="1"/>
        <v>0</v>
      </c>
      <c r="E30" s="79" t="s">
        <v>85</v>
      </c>
      <c r="F30" s="146">
        <f>866809-519147</f>
        <v>347662</v>
      </c>
      <c r="G30">
        <v>519147</v>
      </c>
      <c r="H30" s="5"/>
      <c r="I30" s="166"/>
    </row>
    <row r="31" spans="1:9">
      <c r="A31" s="64" t="s">
        <v>71</v>
      </c>
      <c r="B31" s="65">
        <f t="shared" si="2"/>
        <v>57717.122173964446</v>
      </c>
      <c r="C31" s="65">
        <v>0</v>
      </c>
      <c r="D31" s="83">
        <f t="shared" si="1"/>
        <v>0</v>
      </c>
      <c r="E31" s="79" t="s">
        <v>85</v>
      </c>
      <c r="F31" s="146">
        <v>255226</v>
      </c>
      <c r="H31" s="5"/>
      <c r="I31" s="166"/>
    </row>
    <row r="32" spans="1:9">
      <c r="A32" s="64" t="s">
        <v>70</v>
      </c>
      <c r="B32" s="65">
        <f t="shared" si="2"/>
        <v>1049.7476006815252</v>
      </c>
      <c r="C32" s="65">
        <v>0</v>
      </c>
      <c r="D32" s="83">
        <f t="shared" si="1"/>
        <v>0</v>
      </c>
      <c r="E32" s="79" t="s">
        <v>85</v>
      </c>
      <c r="F32" s="146">
        <v>4642</v>
      </c>
      <c r="H32" s="5"/>
      <c r="I32" s="166"/>
    </row>
    <row r="33" spans="1:9">
      <c r="A33" s="64" t="s">
        <v>68</v>
      </c>
      <c r="B33" s="65">
        <f t="shared" si="2"/>
        <v>89358.803407777246</v>
      </c>
      <c r="C33" s="65">
        <v>0</v>
      </c>
      <c r="D33" s="83">
        <f t="shared" si="1"/>
        <v>0</v>
      </c>
      <c r="E33" s="79" t="s">
        <v>85</v>
      </c>
      <c r="F33" s="146">
        <f>726025-330879</f>
        <v>395146</v>
      </c>
      <c r="G33">
        <v>330879</v>
      </c>
      <c r="H33" s="5"/>
      <c r="I33" s="166"/>
    </row>
    <row r="34" spans="1:9" s="62" customFormat="1">
      <c r="A34" s="64" t="s">
        <v>81</v>
      </c>
      <c r="B34" s="65">
        <f>F34</f>
        <v>5940.5150000000003</v>
      </c>
      <c r="C34" s="65">
        <v>0</v>
      </c>
      <c r="D34" s="83">
        <f t="shared" si="1"/>
        <v>0</v>
      </c>
      <c r="E34" s="79" t="s">
        <v>85</v>
      </c>
      <c r="F34" s="146">
        <v>5940.5150000000003</v>
      </c>
      <c r="H34" s="5"/>
      <c r="I34" s="166"/>
    </row>
    <row r="35" spans="1:9" s="62" customFormat="1">
      <c r="A35" s="64" t="s">
        <v>78</v>
      </c>
      <c r="B35" s="65">
        <f>(F35*$I$1*0.7)+(F35*$I$2*0.3)</f>
        <v>54340.294348583979</v>
      </c>
      <c r="C35" s="65">
        <v>0</v>
      </c>
      <c r="D35" s="83">
        <f t="shared" si="1"/>
        <v>0</v>
      </c>
      <c r="E35" s="79" t="s">
        <v>85</v>
      </c>
      <c r="F35" s="146">
        <v>237855</v>
      </c>
      <c r="H35" s="5"/>
      <c r="I35" s="166"/>
    </row>
    <row r="36" spans="1:9" s="62" customFormat="1">
      <c r="A36" s="64" t="s">
        <v>79</v>
      </c>
      <c r="B36" s="65">
        <f t="shared" ref="B36:B37" si="3">(F36*$I$1*0.7)+(F36*$I$2*0.3)</f>
        <v>10738.293730493337</v>
      </c>
      <c r="C36" s="65">
        <v>0</v>
      </c>
      <c r="D36" s="83">
        <f t="shared" si="1"/>
        <v>0</v>
      </c>
      <c r="E36" s="79" t="s">
        <v>85</v>
      </c>
      <c r="F36" s="146">
        <v>47003</v>
      </c>
      <c r="H36" s="5"/>
      <c r="I36" s="166"/>
    </row>
    <row r="37" spans="1:9" s="66" customFormat="1">
      <c r="A37" s="64" t="s">
        <v>80</v>
      </c>
      <c r="B37" s="65">
        <f t="shared" si="3"/>
        <v>9947.1376087841163</v>
      </c>
      <c r="C37" s="65">
        <v>0</v>
      </c>
      <c r="D37" s="83">
        <f t="shared" si="1"/>
        <v>0</v>
      </c>
      <c r="E37" s="79" t="s">
        <v>85</v>
      </c>
      <c r="F37" s="146">
        <v>43540</v>
      </c>
      <c r="H37" s="5"/>
      <c r="I37" s="166"/>
    </row>
    <row r="38" spans="1:9" s="62" customFormat="1">
      <c r="A38" s="64" t="s">
        <v>50</v>
      </c>
      <c r="B38" s="65">
        <f>F38*I2</f>
        <v>21145.812865018495</v>
      </c>
      <c r="C38" s="65">
        <v>0</v>
      </c>
      <c r="D38" s="83">
        <f t="shared" si="1"/>
        <v>0</v>
      </c>
      <c r="E38" s="79" t="s">
        <v>85</v>
      </c>
      <c r="F38" s="146">
        <v>93507.108999999997</v>
      </c>
      <c r="H38" s="5"/>
      <c r="I38" s="166"/>
    </row>
    <row r="39" spans="1:9" s="62" customFormat="1">
      <c r="A39" s="64" t="s">
        <v>52</v>
      </c>
      <c r="B39" s="65"/>
      <c r="C39" s="65">
        <v>0</v>
      </c>
      <c r="D39" s="83">
        <f t="shared" si="1"/>
        <v>0</v>
      </c>
      <c r="E39" s="79" t="s">
        <v>86</v>
      </c>
      <c r="F39" s="146">
        <v>0</v>
      </c>
      <c r="H39" s="5"/>
      <c r="I39" s="166"/>
    </row>
    <row r="40" spans="1:9" s="62" customFormat="1" ht="15.75" thickBot="1">
      <c r="A40" s="64" t="s">
        <v>53</v>
      </c>
      <c r="B40" s="65">
        <f>(F40*I1*79.264%)+(F40*I2*20.736%)</f>
        <v>2511.5343870509714</v>
      </c>
      <c r="C40" s="65">
        <v>0</v>
      </c>
      <c r="D40" s="83">
        <f t="shared" si="1"/>
        <v>0</v>
      </c>
      <c r="E40" s="79" t="s">
        <v>85</v>
      </c>
      <c r="F40" s="147">
        <v>10978.589</v>
      </c>
      <c r="H40" s="5"/>
      <c r="I40" s="166"/>
    </row>
    <row r="41" spans="1:9" ht="16.5" thickTop="1" thickBot="1">
      <c r="A41" s="78"/>
      <c r="B41" s="80">
        <f>SUM(B4:B40)</f>
        <v>3772358.7858982575</v>
      </c>
      <c r="C41" s="78"/>
      <c r="D41" s="80">
        <f>SUM(D4:D40)</f>
        <v>2383140.6229655938</v>
      </c>
      <c r="E41" s="78"/>
      <c r="F41" s="135">
        <f>SUM(F4:F40)</f>
        <v>16483367.555676391</v>
      </c>
      <c r="G41" s="135">
        <f>SUM(G4:G40)</f>
        <v>1050390</v>
      </c>
      <c r="H41" s="5"/>
      <c r="I41" s="167"/>
    </row>
    <row r="42" spans="1:9">
      <c r="A42" s="78"/>
      <c r="B42" s="78"/>
      <c r="C42" s="78"/>
      <c r="D42" s="78"/>
      <c r="E42" s="78"/>
      <c r="F42" s="78"/>
      <c r="G42" s="144"/>
    </row>
    <row r="43" spans="1:9">
      <c r="A43" s="78" t="s">
        <v>131</v>
      </c>
      <c r="B43" s="145">
        <v>0.22862536070966685</v>
      </c>
      <c r="C43" s="78"/>
      <c r="D43" s="78"/>
      <c r="E43" s="78"/>
      <c r="F43" s="78"/>
      <c r="G43" s="144"/>
    </row>
    <row r="44" spans="1:9">
      <c r="E44" s="67"/>
      <c r="F44" s="67"/>
    </row>
    <row r="45" spans="1:9">
      <c r="F45" s="67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4"/>
  <sheetViews>
    <sheetView workbookViewId="0">
      <selection activeCell="C28" sqref="C28"/>
    </sheetView>
  </sheetViews>
  <sheetFormatPr defaultRowHeight="15"/>
  <cols>
    <col min="1" max="1" width="46.140625" customWidth="1"/>
    <col min="2" max="2" width="13.7109375" style="69" customWidth="1"/>
    <col min="3" max="3" width="12.5703125" style="69" customWidth="1"/>
    <col min="4" max="4" width="13.5703125" style="69" customWidth="1"/>
    <col min="5" max="5" width="17.5703125" customWidth="1"/>
    <col min="6" max="6" width="15.28515625" customWidth="1"/>
    <col min="7" max="7" width="11.285156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31</v>
      </c>
      <c r="B1" s="70">
        <v>2017</v>
      </c>
      <c r="D1" s="71" t="s">
        <v>2</v>
      </c>
      <c r="H1" s="82">
        <v>895.1</v>
      </c>
      <c r="I1" t="s">
        <v>6</v>
      </c>
      <c r="K1" s="148">
        <v>0.22945340348812068</v>
      </c>
      <c r="L1" s="35" t="s">
        <v>136</v>
      </c>
    </row>
    <row r="2" spans="1:14" ht="18.75">
      <c r="A2" s="2"/>
      <c r="B2" s="7" t="s">
        <v>30</v>
      </c>
      <c r="C2" s="7" t="s">
        <v>1</v>
      </c>
      <c r="D2" s="7" t="s">
        <v>5</v>
      </c>
      <c r="E2" s="3"/>
      <c r="F2" s="25" t="s">
        <v>9</v>
      </c>
      <c r="G2" s="24">
        <v>2017</v>
      </c>
      <c r="H2" s="26"/>
      <c r="K2" s="149">
        <v>0.22614123237430531</v>
      </c>
      <c r="L2" s="31" t="s">
        <v>135</v>
      </c>
    </row>
    <row r="3" spans="1:14" ht="45.75" thickBot="1">
      <c r="A3" s="84" t="s">
        <v>0</v>
      </c>
      <c r="B3" s="85">
        <v>2017</v>
      </c>
      <c r="C3" s="85" t="s">
        <v>93</v>
      </c>
      <c r="D3" s="85" t="s">
        <v>94</v>
      </c>
      <c r="E3" s="86"/>
      <c r="F3" s="168" t="s">
        <v>140</v>
      </c>
      <c r="H3" s="142"/>
      <c r="I3" s="138"/>
      <c r="K3" s="150">
        <v>1</v>
      </c>
      <c r="L3" s="151" t="s">
        <v>137</v>
      </c>
    </row>
    <row r="4" spans="1:14">
      <c r="A4" s="64" t="s">
        <v>90</v>
      </c>
      <c r="B4" s="72">
        <f>F4*$K$2</f>
        <v>2149.4724137177718</v>
      </c>
      <c r="C4" s="121">
        <v>895.1</v>
      </c>
      <c r="D4" s="88">
        <f>(+B4*C4)/2000</f>
        <v>961.99637875938879</v>
      </c>
      <c r="E4" s="87"/>
      <c r="F4" s="72">
        <v>9505</v>
      </c>
      <c r="J4" s="60"/>
    </row>
    <row r="5" spans="1:14">
      <c r="A5" s="64" t="s">
        <v>88</v>
      </c>
      <c r="B5" s="72">
        <f t="shared" ref="B5:B8" si="0">F5*$K$2</f>
        <v>2038.2109273896137</v>
      </c>
      <c r="C5" s="121">
        <v>895.1</v>
      </c>
      <c r="D5" s="88">
        <f t="shared" ref="D5:D17" si="1">(+B5*C5)/2000</f>
        <v>912.20130055322159</v>
      </c>
      <c r="E5" s="87"/>
      <c r="F5" s="72">
        <v>9013</v>
      </c>
      <c r="I5" s="82"/>
      <c r="J5" s="60"/>
    </row>
    <row r="6" spans="1:14">
      <c r="A6" s="64" t="s">
        <v>89</v>
      </c>
      <c r="B6" s="72">
        <f t="shared" si="0"/>
        <v>992875.86005846353</v>
      </c>
      <c r="C6" s="121">
        <v>895.1</v>
      </c>
      <c r="D6" s="88">
        <f t="shared" si="1"/>
        <v>444361.59116916539</v>
      </c>
      <c r="E6" s="87"/>
      <c r="F6" s="72">
        <v>4390512.2901916066</v>
      </c>
      <c r="I6" s="82"/>
      <c r="J6" s="60"/>
    </row>
    <row r="7" spans="1:14" s="82" customFormat="1">
      <c r="A7" s="64" t="s">
        <v>127</v>
      </c>
      <c r="B7" s="72">
        <f>F7*$K$2</f>
        <v>0</v>
      </c>
      <c r="C7" s="121">
        <v>0</v>
      </c>
      <c r="D7" s="88">
        <f t="shared" si="1"/>
        <v>0</v>
      </c>
      <c r="E7" s="87"/>
      <c r="F7" s="72">
        <v>0</v>
      </c>
      <c r="H7" s="138"/>
      <c r="J7" s="60"/>
      <c r="N7" s="60"/>
    </row>
    <row r="8" spans="1:14">
      <c r="A8" s="64" t="s">
        <v>91</v>
      </c>
      <c r="B8" s="72">
        <f t="shared" si="0"/>
        <v>14058.295851781064</v>
      </c>
      <c r="C8" s="121">
        <v>895.1</v>
      </c>
      <c r="D8" s="88">
        <f t="shared" si="1"/>
        <v>6291.7903084646159</v>
      </c>
      <c r="E8" s="87"/>
      <c r="F8" s="72">
        <v>62166</v>
      </c>
      <c r="I8" s="82"/>
      <c r="J8" s="60"/>
      <c r="N8" s="60"/>
    </row>
    <row r="9" spans="1:14">
      <c r="A9" s="64" t="s">
        <v>128</v>
      </c>
      <c r="B9" s="72">
        <f>F9*$K$2</f>
        <v>53893.900706860528</v>
      </c>
      <c r="C9" s="121">
        <v>895.1</v>
      </c>
      <c r="D9" s="88">
        <f t="shared" si="1"/>
        <v>24120.215261355428</v>
      </c>
      <c r="E9" s="87"/>
      <c r="F9" s="72">
        <v>238319.6560000001</v>
      </c>
      <c r="I9" s="82"/>
      <c r="J9" s="60"/>
      <c r="N9" s="60"/>
    </row>
    <row r="10" spans="1:14">
      <c r="A10" s="64" t="s">
        <v>51</v>
      </c>
      <c r="B10" s="72">
        <f>(F10*K1*0.7)+(F10*K2*0.3)</f>
        <v>12727.0358729937</v>
      </c>
      <c r="C10" s="121">
        <v>895.1</v>
      </c>
      <c r="D10" s="88">
        <f t="shared" si="1"/>
        <v>5695.9849049583299</v>
      </c>
      <c r="E10" s="87"/>
      <c r="F10" s="72">
        <v>55708</v>
      </c>
      <c r="I10" s="82"/>
      <c r="J10" s="60"/>
      <c r="N10" s="144"/>
    </row>
    <row r="11" spans="1:14">
      <c r="A11" s="64" t="s">
        <v>49</v>
      </c>
      <c r="B11" s="72">
        <f>F11*$K$2</f>
        <v>-397389.06434447842</v>
      </c>
      <c r="C11" s="121">
        <v>895.1</v>
      </c>
      <c r="D11" s="88">
        <f t="shared" si="1"/>
        <v>-177851.47574737133</v>
      </c>
      <c r="E11" s="87"/>
      <c r="F11" s="72">
        <v>-1757260.541</v>
      </c>
      <c r="J11" s="60"/>
      <c r="N11" s="60"/>
    </row>
    <row r="12" spans="1:14">
      <c r="A12" s="64" t="s">
        <v>87</v>
      </c>
      <c r="B12" s="72"/>
      <c r="C12" s="121">
        <v>0</v>
      </c>
      <c r="D12" s="88">
        <f t="shared" si="1"/>
        <v>0</v>
      </c>
      <c r="E12" s="87"/>
      <c r="F12" s="72">
        <v>0</v>
      </c>
      <c r="I12" s="82"/>
    </row>
    <row r="13" spans="1:14" s="82" customFormat="1">
      <c r="A13" s="64" t="s">
        <v>139</v>
      </c>
      <c r="B13" s="72">
        <f>F13*K2</f>
        <v>90390.382821849838</v>
      </c>
      <c r="C13" s="121">
        <v>895.1</v>
      </c>
      <c r="D13" s="88">
        <f t="shared" si="1"/>
        <v>40454.215831918897</v>
      </c>
      <c r="E13" s="87"/>
      <c r="F13" s="72">
        <v>399707.66000000009</v>
      </c>
      <c r="J13" s="60"/>
      <c r="N13" s="152"/>
    </row>
    <row r="14" spans="1:14">
      <c r="A14" s="64" t="s">
        <v>92</v>
      </c>
      <c r="B14" s="72">
        <f>F14*$K$2</f>
        <v>-15274.349071598048</v>
      </c>
      <c r="C14" s="121">
        <v>895.1</v>
      </c>
      <c r="D14" s="88">
        <f t="shared" si="1"/>
        <v>-6836.034926993706</v>
      </c>
      <c r="E14" s="87"/>
      <c r="F14" s="72">
        <v>-67543.406000000003</v>
      </c>
      <c r="I14" s="82"/>
      <c r="J14" s="60"/>
    </row>
    <row r="15" spans="1:14">
      <c r="A15" s="64" t="s">
        <v>133</v>
      </c>
      <c r="B15" s="72">
        <f t="shared" ref="B15:B17" si="2">F15*$K$2</f>
        <v>163013.40890405161</v>
      </c>
      <c r="C15" s="73">
        <v>0</v>
      </c>
      <c r="D15" s="88">
        <f t="shared" si="1"/>
        <v>0</v>
      </c>
      <c r="F15" s="72">
        <v>720847.79583333328</v>
      </c>
      <c r="G15" s="60"/>
      <c r="H15" s="60"/>
      <c r="I15" s="82"/>
      <c r="J15" s="60"/>
      <c r="N15" s="138"/>
    </row>
    <row r="16" spans="1:14">
      <c r="A16" s="64" t="s">
        <v>134</v>
      </c>
      <c r="B16" s="72">
        <f t="shared" si="2"/>
        <v>-102608.51413416059</v>
      </c>
      <c r="C16" s="73">
        <v>0</v>
      </c>
      <c r="D16" s="88">
        <f t="shared" si="1"/>
        <v>0</v>
      </c>
      <c r="F16" s="72">
        <v>-453736.42416666698</v>
      </c>
      <c r="G16" s="60"/>
      <c r="I16" s="82"/>
      <c r="J16" s="156"/>
    </row>
    <row r="17" spans="1:10" ht="15.75" thickBot="1">
      <c r="A17" s="22"/>
      <c r="B17" s="72">
        <f t="shared" si="2"/>
        <v>0</v>
      </c>
      <c r="C17" s="74">
        <v>0</v>
      </c>
      <c r="D17" s="88">
        <f t="shared" si="1"/>
        <v>0</v>
      </c>
      <c r="F17" s="136"/>
      <c r="G17" s="82"/>
      <c r="J17" s="5"/>
    </row>
    <row r="18" spans="1:10" ht="16.5" thickTop="1" thickBot="1">
      <c r="A18" s="63"/>
      <c r="B18" s="75">
        <f>SUM(B4:B17)</f>
        <v>815874.64000687073</v>
      </c>
      <c r="C18" s="76"/>
      <c r="D18" s="77">
        <f>SUM(D4:D17)</f>
        <v>338110.48448081024</v>
      </c>
      <c r="F18" s="137">
        <f>SUM(F4:F17)</f>
        <v>3607239.0308582736</v>
      </c>
      <c r="G18" s="82"/>
      <c r="J18" s="157"/>
    </row>
    <row r="19" spans="1:10">
      <c r="J19" s="5"/>
    </row>
    <row r="20" spans="1:10">
      <c r="A20" s="66" t="s">
        <v>131</v>
      </c>
      <c r="B20" s="145">
        <f>'Known Resources'!B43</f>
        <v>0.22862536070966685</v>
      </c>
      <c r="F20" s="138"/>
    </row>
    <row r="21" spans="1:10">
      <c r="D21" s="143">
        <f>D18/'Summary 2017'!E15</f>
        <v>7.3345152674304137E-2</v>
      </c>
      <c r="F21" s="138"/>
    </row>
    <row r="22" spans="1:10">
      <c r="B22" s="140"/>
      <c r="F22" s="152"/>
    </row>
    <row r="23" spans="1:10">
      <c r="F23" s="138"/>
    </row>
    <row r="24" spans="1:10">
      <c r="A24" t="s">
        <v>129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2" customWidth="1"/>
    <col min="2" max="2" width="34.7109375" style="82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2" customWidth="1"/>
    <col min="8" max="8" width="13.42578125" style="82" customWidth="1"/>
    <col min="9" max="9" width="28.85546875" style="82" customWidth="1"/>
    <col min="11" max="16384" width="9.140625" style="82"/>
  </cols>
  <sheetData>
    <row r="2" spans="2:13">
      <c r="B2" s="89" t="s">
        <v>95</v>
      </c>
    </row>
    <row r="3" spans="2:13">
      <c r="B3" s="90" t="s">
        <v>118</v>
      </c>
      <c r="C3" s="91">
        <v>2013</v>
      </c>
      <c r="D3" s="91">
        <v>2014</v>
      </c>
      <c r="E3" s="91">
        <v>2015</v>
      </c>
      <c r="M3" s="81"/>
    </row>
    <row r="4" spans="2:13">
      <c r="B4" s="82" t="s">
        <v>96</v>
      </c>
      <c r="C4" s="92">
        <v>249411.34980000003</v>
      </c>
      <c r="D4" s="92">
        <v>588540.53559999994</v>
      </c>
      <c r="E4" s="92">
        <v>652575.45380000002</v>
      </c>
      <c r="F4" s="103" t="s">
        <v>119</v>
      </c>
      <c r="M4" s="81"/>
    </row>
    <row r="5" spans="2:13">
      <c r="B5" s="82" t="s">
        <v>46</v>
      </c>
      <c r="C5" s="92">
        <v>10737153.304823698</v>
      </c>
      <c r="D5" s="92">
        <v>9865275.1750967987</v>
      </c>
      <c r="E5" s="92">
        <v>9651660.6989069991</v>
      </c>
      <c r="F5" s="103" t="s">
        <v>119</v>
      </c>
      <c r="M5" s="81"/>
    </row>
    <row r="6" spans="2:13">
      <c r="B6" s="82" t="s">
        <v>45</v>
      </c>
      <c r="C6" s="92">
        <v>746836.73800000001</v>
      </c>
      <c r="D6" s="92">
        <v>1169354.4140000001</v>
      </c>
      <c r="E6" s="92">
        <v>489137.44500000001</v>
      </c>
      <c r="F6" s="103" t="s">
        <v>119</v>
      </c>
      <c r="M6" s="81"/>
    </row>
    <row r="7" spans="2:13">
      <c r="B7" s="82" t="s">
        <v>97</v>
      </c>
      <c r="C7" s="92">
        <v>1165015.3759999999</v>
      </c>
      <c r="D7" s="92">
        <v>1049272.4750000001</v>
      </c>
      <c r="E7" s="92">
        <v>1081686.5190000001</v>
      </c>
      <c r="F7" s="103" t="s">
        <v>119</v>
      </c>
      <c r="M7" s="81"/>
    </row>
    <row r="8" spans="2:13">
      <c r="B8" s="82" t="s">
        <v>98</v>
      </c>
      <c r="C8" s="102">
        <f>(C17*H47)</f>
        <v>6689.799422</v>
      </c>
      <c r="F8" s="103"/>
      <c r="M8" s="81"/>
    </row>
    <row r="9" spans="2:13">
      <c r="C9" s="92"/>
      <c r="D9" s="92"/>
      <c r="E9" s="92"/>
      <c r="F9" s="103"/>
      <c r="J9" s="82"/>
      <c r="M9" s="81"/>
    </row>
    <row r="10" spans="2:13">
      <c r="B10" s="90" t="s">
        <v>117</v>
      </c>
      <c r="C10" s="91">
        <v>2013</v>
      </c>
      <c r="D10" s="91">
        <v>2014</v>
      </c>
      <c r="E10" s="91">
        <v>2015</v>
      </c>
      <c r="F10" s="103"/>
      <c r="J10" s="82"/>
    </row>
    <row r="11" spans="2:13">
      <c r="B11" s="82" t="s">
        <v>96</v>
      </c>
      <c r="C11" s="98">
        <v>222792</v>
      </c>
      <c r="D11" s="98">
        <v>540252</v>
      </c>
      <c r="E11" s="98">
        <v>615241</v>
      </c>
      <c r="F11" s="103" t="s">
        <v>125</v>
      </c>
      <c r="J11" s="82"/>
    </row>
    <row r="12" spans="2:13">
      <c r="B12" s="82" t="s">
        <v>99</v>
      </c>
      <c r="C12" s="99">
        <v>9936388</v>
      </c>
      <c r="D12" s="99">
        <v>9364549</v>
      </c>
      <c r="E12" s="99">
        <v>9195773</v>
      </c>
      <c r="F12" s="103" t="s">
        <v>120</v>
      </c>
      <c r="J12" s="82"/>
    </row>
    <row r="13" spans="2:13">
      <c r="B13" s="82" t="s">
        <v>45</v>
      </c>
      <c r="C13" s="99">
        <v>1674194</v>
      </c>
      <c r="D13" s="99">
        <v>1558872</v>
      </c>
      <c r="E13" s="99">
        <v>698027</v>
      </c>
      <c r="F13" s="103" t="s">
        <v>120</v>
      </c>
      <c r="J13" s="82"/>
    </row>
    <row r="14" spans="2:13" hidden="1">
      <c r="B14" s="82" t="s">
        <v>100</v>
      </c>
      <c r="C14" s="99">
        <v>1293909</v>
      </c>
      <c r="D14" s="99">
        <v>1164903</v>
      </c>
      <c r="E14" s="99">
        <v>1202753</v>
      </c>
      <c r="F14" s="103" t="s">
        <v>101</v>
      </c>
      <c r="J14" s="82"/>
    </row>
    <row r="15" spans="2:13" hidden="1">
      <c r="B15" s="82" t="s">
        <v>102</v>
      </c>
      <c r="C15" s="99">
        <v>1293909</v>
      </c>
      <c r="D15" s="99">
        <v>1164903</v>
      </c>
      <c r="E15" s="99">
        <v>1202753</v>
      </c>
      <c r="F15" s="103" t="s">
        <v>101</v>
      </c>
      <c r="J15" s="82"/>
    </row>
    <row r="16" spans="2:13">
      <c r="B16" s="82" t="s">
        <v>97</v>
      </c>
      <c r="C16" s="99">
        <f>SUM(C14:C15)</f>
        <v>2587818</v>
      </c>
      <c r="D16" s="99">
        <f>SUM(D14:D15)</f>
        <v>2329806</v>
      </c>
      <c r="E16" s="99">
        <f>SUM(E14:E15)</f>
        <v>2405506</v>
      </c>
      <c r="F16" s="103" t="s">
        <v>122</v>
      </c>
      <c r="J16" s="82"/>
    </row>
    <row r="17" spans="2:10">
      <c r="B17" s="82" t="s">
        <v>98</v>
      </c>
      <c r="C17" s="99">
        <v>6124</v>
      </c>
      <c r="D17" s="99"/>
      <c r="E17" s="99"/>
      <c r="F17" s="103" t="s">
        <v>121</v>
      </c>
      <c r="J17" s="82"/>
    </row>
    <row r="18" spans="2:10">
      <c r="F18" s="103"/>
      <c r="J18" s="82"/>
    </row>
    <row r="19" spans="2:10" hidden="1">
      <c r="B19" s="82" t="s">
        <v>103</v>
      </c>
      <c r="F19" s="103"/>
      <c r="J19" s="82"/>
    </row>
    <row r="20" spans="2:10" hidden="1">
      <c r="B20" s="93"/>
      <c r="C20" s="100">
        <v>1157889</v>
      </c>
      <c r="D20" s="100">
        <v>1157889</v>
      </c>
      <c r="E20" s="100">
        <v>1157889</v>
      </c>
      <c r="F20" s="104"/>
      <c r="J20" s="82"/>
    </row>
    <row r="21" spans="2:10" hidden="1">
      <c r="B21" s="5"/>
      <c r="C21" s="101">
        <v>2377702</v>
      </c>
      <c r="D21" s="101">
        <v>2377702</v>
      </c>
      <c r="E21" s="101">
        <v>2377702</v>
      </c>
      <c r="F21" s="105"/>
      <c r="J21" s="82"/>
    </row>
    <row r="22" spans="2:10" hidden="1">
      <c r="B22" s="82" t="s">
        <v>104</v>
      </c>
      <c r="C22" s="92">
        <f t="shared" ref="C22:E22" si="0">SUM(C20:C21)</f>
        <v>3535591</v>
      </c>
      <c r="D22" s="92">
        <f t="shared" si="0"/>
        <v>3535591</v>
      </c>
      <c r="E22" s="92">
        <f t="shared" si="0"/>
        <v>3535591</v>
      </c>
      <c r="F22" s="103"/>
      <c r="J22" s="82"/>
    </row>
    <row r="23" spans="2:10" hidden="1">
      <c r="B23" s="82" t="s">
        <v>105</v>
      </c>
      <c r="F23" s="103"/>
      <c r="J23" s="82"/>
    </row>
    <row r="24" spans="2:10" hidden="1">
      <c r="B24" s="82" t="s">
        <v>106</v>
      </c>
      <c r="F24" s="103"/>
      <c r="J24" s="82"/>
    </row>
    <row r="25" spans="2:10" hidden="1">
      <c r="F25" s="103"/>
      <c r="J25" s="82"/>
    </row>
    <row r="26" spans="2:10" hidden="1">
      <c r="F26" s="103"/>
      <c r="J26" s="82"/>
    </row>
    <row r="27" spans="2:10" hidden="1">
      <c r="F27" s="103"/>
      <c r="J27" s="82"/>
    </row>
    <row r="28" spans="2:10" hidden="1">
      <c r="B28" s="82" t="s">
        <v>107</v>
      </c>
      <c r="C28" s="92">
        <v>2151957</v>
      </c>
      <c r="F28" s="103"/>
      <c r="J28" s="82"/>
    </row>
    <row r="29" spans="2:10" hidden="1">
      <c r="C29" s="98">
        <f>C28*$H46</f>
        <v>215195.7</v>
      </c>
      <c r="F29" s="103"/>
      <c r="J29" s="82"/>
    </row>
    <row r="30" spans="2:10" hidden="1">
      <c r="B30" s="82" t="s">
        <v>108</v>
      </c>
      <c r="C30" s="92">
        <v>2155070</v>
      </c>
      <c r="D30" s="92">
        <v>5055530</v>
      </c>
      <c r="F30" s="103"/>
      <c r="J30" s="82"/>
    </row>
    <row r="31" spans="2:10" hidden="1">
      <c r="C31" s="3">
        <f>C30*0.1</f>
        <v>215507</v>
      </c>
      <c r="D31" s="98">
        <f>D30*0.1</f>
        <v>505553</v>
      </c>
      <c r="F31" s="103"/>
      <c r="J31" s="82"/>
    </row>
    <row r="32" spans="2:10" hidden="1">
      <c r="F32" s="103"/>
      <c r="J32" s="82"/>
    </row>
    <row r="33" spans="2:10" hidden="1">
      <c r="F33" s="103"/>
      <c r="J33" s="82"/>
    </row>
    <row r="34" spans="2:10" hidden="1">
      <c r="F34" s="103"/>
      <c r="J34" s="82"/>
    </row>
    <row r="35" spans="2:10" hidden="1">
      <c r="F35" s="103"/>
      <c r="J35" s="82"/>
    </row>
    <row r="36" spans="2:10" s="95" customFormat="1">
      <c r="B36" s="94" t="s">
        <v>109</v>
      </c>
      <c r="C36" s="91">
        <v>2013</v>
      </c>
      <c r="D36" s="91">
        <v>2014</v>
      </c>
      <c r="E36" s="91">
        <v>2015</v>
      </c>
      <c r="F36" s="106"/>
    </row>
    <row r="37" spans="2:10" s="95" customFormat="1">
      <c r="B37" s="82" t="s">
        <v>96</v>
      </c>
      <c r="C37" s="107">
        <f>(C4*$H51)/C11</f>
        <v>2238.9614510395349</v>
      </c>
      <c r="D37" s="97">
        <f>(D4*$H51)/D11</f>
        <v>2178.7630054122887</v>
      </c>
      <c r="E37" s="97">
        <f>(E4*$H51)/E11</f>
        <v>2121.3652984765322</v>
      </c>
      <c r="F37" s="106"/>
    </row>
    <row r="38" spans="2:10">
      <c r="B38" s="82" t="s">
        <v>46</v>
      </c>
      <c r="C38" s="107">
        <f>(C5*$H51)/C12</f>
        <v>2161.1783486763397</v>
      </c>
      <c r="D38" s="97">
        <f>(D5*$H51)/D12</f>
        <v>2106.9407987713657</v>
      </c>
      <c r="E38" s="97">
        <f>(E5*$H51)/E12</f>
        <v>2099.1515773403712</v>
      </c>
      <c r="F38" s="103"/>
      <c r="J38" s="82"/>
    </row>
    <row r="39" spans="2:10">
      <c r="B39" s="82" t="s">
        <v>45</v>
      </c>
      <c r="C39" s="107">
        <f>(C6*$H51)/C13</f>
        <v>892.17466792976199</v>
      </c>
      <c r="D39" s="97">
        <f>(D6*$H51)/D13</f>
        <v>1500.2571269482037</v>
      </c>
      <c r="E39" s="97">
        <f>(E6*$H51)/E13</f>
        <v>1401.485744820759</v>
      </c>
      <c r="F39" s="103"/>
      <c r="J39" s="82"/>
    </row>
    <row r="40" spans="2:10">
      <c r="B40" s="82" t="s">
        <v>97</v>
      </c>
      <c r="C40" s="107">
        <f>(C7*$H51)/C16</f>
        <v>900.38432069024952</v>
      </c>
      <c r="D40" s="97">
        <f>(D7*$H51)/D16</f>
        <v>900.73806574452988</v>
      </c>
      <c r="E40" s="97">
        <f>(E7*$H51)/E16</f>
        <v>899.34219162205375</v>
      </c>
      <c r="F40" s="103"/>
      <c r="J40" s="82"/>
    </row>
    <row r="41" spans="2:10">
      <c r="B41" s="82" t="s">
        <v>98</v>
      </c>
      <c r="C41" s="107">
        <f>(C8*$H51)/C17</f>
        <v>2184.7809999999999</v>
      </c>
      <c r="D41" s="96"/>
      <c r="E41" s="96"/>
      <c r="F41" s="103"/>
      <c r="J41" s="82"/>
    </row>
    <row r="43" spans="2:10">
      <c r="B43" s="89" t="s">
        <v>114</v>
      </c>
      <c r="J43" s="82"/>
    </row>
    <row r="44" spans="2:10">
      <c r="B44" s="90" t="s">
        <v>116</v>
      </c>
      <c r="C44" s="91">
        <v>2013</v>
      </c>
      <c r="D44" s="91">
        <v>2014</v>
      </c>
      <c r="E44" s="91">
        <v>2015</v>
      </c>
      <c r="F44" s="82"/>
      <c r="G44" s="108" t="s">
        <v>110</v>
      </c>
      <c r="H44" s="109"/>
      <c r="I44"/>
      <c r="J44" s="81"/>
    </row>
    <row r="45" spans="2:10">
      <c r="B45" s="82" t="s">
        <v>115</v>
      </c>
      <c r="C45" s="99">
        <v>62089</v>
      </c>
      <c r="D45" s="99">
        <v>66234</v>
      </c>
      <c r="E45" s="99">
        <v>45774</v>
      </c>
      <c r="F45" s="82"/>
      <c r="G45" s="110" t="s">
        <v>46</v>
      </c>
      <c r="H45" s="111">
        <v>0.66669999999999996</v>
      </c>
      <c r="I45"/>
      <c r="J45" s="81"/>
    </row>
    <row r="46" spans="2:10">
      <c r="B46" s="82" t="s">
        <v>43</v>
      </c>
      <c r="C46" s="99">
        <v>227258</v>
      </c>
      <c r="D46" s="99">
        <v>216762</v>
      </c>
      <c r="E46" s="99">
        <v>186746</v>
      </c>
      <c r="F46" s="82"/>
      <c r="G46" s="110" t="s">
        <v>112</v>
      </c>
      <c r="H46" s="113">
        <v>0.1</v>
      </c>
      <c r="I46"/>
      <c r="J46" s="81"/>
    </row>
    <row r="47" spans="2:10">
      <c r="B47" s="82" t="s">
        <v>44</v>
      </c>
      <c r="C47" s="99">
        <v>206164</v>
      </c>
      <c r="D47" s="99">
        <v>215245</v>
      </c>
      <c r="E47" s="99">
        <v>188567</v>
      </c>
      <c r="F47" s="82"/>
      <c r="G47" s="114" t="s">
        <v>98</v>
      </c>
      <c r="H47" s="115">
        <v>1.0923905</v>
      </c>
      <c r="I47" s="116" t="s">
        <v>124</v>
      </c>
      <c r="J47" s="82"/>
    </row>
    <row r="48" spans="2:10">
      <c r="B48" s="82" t="s">
        <v>48</v>
      </c>
      <c r="C48" s="99">
        <v>485852</v>
      </c>
      <c r="D48" s="99">
        <v>542156</v>
      </c>
      <c r="E48" s="99">
        <v>436619</v>
      </c>
      <c r="F48" s="82"/>
      <c r="G48" s="117" t="s">
        <v>126</v>
      </c>
      <c r="H48" s="118"/>
      <c r="I48" s="5"/>
      <c r="J48" s="81"/>
    </row>
    <row r="49" spans="2:10">
      <c r="B49" s="82" t="s">
        <v>54</v>
      </c>
      <c r="C49" s="99">
        <v>1925</v>
      </c>
      <c r="D49" s="99">
        <v>2498</v>
      </c>
      <c r="E49" s="99">
        <v>2396</v>
      </c>
      <c r="F49" s="82"/>
      <c r="G49" s="110" t="s">
        <v>111</v>
      </c>
      <c r="H49" s="119">
        <v>0.90718500000000002</v>
      </c>
      <c r="I49" s="5"/>
      <c r="J49" s="81"/>
    </row>
    <row r="50" spans="2:10">
      <c r="B50" s="82" t="s">
        <v>55</v>
      </c>
      <c r="C50" s="99">
        <v>37778</v>
      </c>
      <c r="D50" s="99">
        <v>41246</v>
      </c>
      <c r="E50" s="99">
        <v>31575</v>
      </c>
      <c r="F50" s="82"/>
      <c r="G50" s="110" t="s">
        <v>123</v>
      </c>
      <c r="H50" s="119">
        <v>1.1023099999999999</v>
      </c>
      <c r="I50" s="5"/>
      <c r="J50" s="81"/>
    </row>
    <row r="51" spans="2:10">
      <c r="B51" s="82" t="s">
        <v>56</v>
      </c>
      <c r="C51" s="99">
        <v>39381</v>
      </c>
      <c r="D51" s="99">
        <v>44892</v>
      </c>
      <c r="E51" s="99">
        <v>32142</v>
      </c>
      <c r="G51" s="112" t="s">
        <v>113</v>
      </c>
      <c r="H51" s="120">
        <v>2000</v>
      </c>
      <c r="J51" s="82"/>
    </row>
    <row r="52" spans="2:10">
      <c r="B52" s="82" t="s">
        <v>57</v>
      </c>
      <c r="C52" s="99">
        <v>67577</v>
      </c>
      <c r="D52" s="99">
        <v>65390</v>
      </c>
      <c r="E52" s="99">
        <v>60539</v>
      </c>
      <c r="J52" s="82"/>
    </row>
    <row r="53" spans="2:10">
      <c r="B53" s="82" t="s">
        <v>58</v>
      </c>
      <c r="C53" s="99">
        <v>83609</v>
      </c>
      <c r="D53" s="99">
        <v>86439</v>
      </c>
      <c r="E53" s="99">
        <v>77098</v>
      </c>
      <c r="J53" s="82"/>
    </row>
    <row r="54" spans="2:10">
      <c r="B54" s="82" t="s">
        <v>59</v>
      </c>
      <c r="C54" s="99">
        <v>16334</v>
      </c>
      <c r="D54" s="99">
        <v>16187</v>
      </c>
      <c r="E54" s="99">
        <v>16857</v>
      </c>
      <c r="J54" s="82"/>
    </row>
    <row r="55" spans="2:10">
      <c r="B55" s="82" t="s">
        <v>60</v>
      </c>
      <c r="C55" s="99">
        <v>9864</v>
      </c>
      <c r="D55" s="99">
        <v>7396</v>
      </c>
      <c r="E55" s="99">
        <v>9699</v>
      </c>
      <c r="J55" s="82"/>
    </row>
    <row r="56" spans="2:10">
      <c r="B56" s="82" t="s">
        <v>61</v>
      </c>
      <c r="C56" s="99">
        <v>15766</v>
      </c>
      <c r="D56" s="99">
        <v>24132</v>
      </c>
      <c r="E56" s="99">
        <v>7941</v>
      </c>
      <c r="J56" s="82"/>
    </row>
    <row r="57" spans="2:10">
      <c r="B57" s="82" t="s">
        <v>62</v>
      </c>
      <c r="C57" s="99">
        <v>85349</v>
      </c>
      <c r="D57" s="99">
        <v>85550</v>
      </c>
      <c r="E57" s="99">
        <v>82043</v>
      </c>
      <c r="J57" s="82"/>
    </row>
    <row r="58" spans="2:10">
      <c r="B58" s="82" t="s">
        <v>63</v>
      </c>
      <c r="C58" s="99">
        <v>166834</v>
      </c>
      <c r="D58" s="99">
        <v>172588</v>
      </c>
      <c r="E58" s="99">
        <v>160121</v>
      </c>
      <c r="J58" s="82"/>
    </row>
    <row r="59" spans="2:10">
      <c r="B59" s="82" t="s">
        <v>64</v>
      </c>
      <c r="C59" s="99">
        <v>123888</v>
      </c>
      <c r="D59" s="99">
        <v>140861</v>
      </c>
      <c r="E59" s="99">
        <v>123550</v>
      </c>
      <c r="J59" s="82"/>
    </row>
    <row r="60" spans="2:10">
      <c r="B60" s="82" t="s">
        <v>65</v>
      </c>
      <c r="C60" s="99">
        <v>150001</v>
      </c>
      <c r="D60" s="99">
        <v>173729</v>
      </c>
      <c r="E60" s="99">
        <v>136640</v>
      </c>
      <c r="J60" s="82"/>
    </row>
    <row r="61" spans="2:10">
      <c r="B61" s="82" t="s">
        <v>66</v>
      </c>
      <c r="C61" s="99">
        <v>460852</v>
      </c>
      <c r="D61" s="99">
        <v>579582</v>
      </c>
      <c r="E61" s="99">
        <v>398837</v>
      </c>
      <c r="J61" s="82"/>
    </row>
    <row r="62" spans="2:10">
      <c r="B62" s="82" t="s">
        <v>67</v>
      </c>
      <c r="C62" s="99">
        <v>20789</v>
      </c>
      <c r="D62" s="99">
        <v>23728</v>
      </c>
      <c r="E62" s="99">
        <v>6378</v>
      </c>
      <c r="J62" s="82"/>
    </row>
    <row r="63" spans="2:10">
      <c r="B63" s="82" t="s">
        <v>77</v>
      </c>
      <c r="C63" s="99">
        <v>215139</v>
      </c>
      <c r="D63" s="99">
        <v>206474</v>
      </c>
      <c r="E63" s="99">
        <v>166763</v>
      </c>
      <c r="J63" s="82"/>
    </row>
    <row r="64" spans="2:10">
      <c r="B64" s="82" t="s">
        <v>76</v>
      </c>
      <c r="C64" s="99">
        <v>33745</v>
      </c>
      <c r="D64" s="99">
        <v>35937</v>
      </c>
      <c r="E64" s="99">
        <v>27781</v>
      </c>
      <c r="J64" s="82"/>
    </row>
    <row r="65" spans="2:10">
      <c r="B65" s="82" t="s">
        <v>75</v>
      </c>
      <c r="C65" s="99">
        <v>4178</v>
      </c>
      <c r="D65" s="99">
        <v>4567</v>
      </c>
      <c r="E65" s="99">
        <v>1219</v>
      </c>
      <c r="J65" s="82"/>
    </row>
    <row r="66" spans="2:10">
      <c r="B66" s="82" t="s">
        <v>74</v>
      </c>
      <c r="C66" s="99">
        <v>53119</v>
      </c>
      <c r="D66" s="99">
        <v>70420</v>
      </c>
      <c r="E66" s="99">
        <v>44735</v>
      </c>
      <c r="J66" s="82"/>
    </row>
    <row r="67" spans="2:10">
      <c r="B67" s="82" t="s">
        <v>73</v>
      </c>
      <c r="C67" s="99">
        <v>45782</v>
      </c>
      <c r="D67" s="99">
        <v>54071</v>
      </c>
      <c r="E67" s="99">
        <v>34278</v>
      </c>
      <c r="J67" s="82"/>
    </row>
    <row r="68" spans="2:10">
      <c r="B68" s="82" t="s">
        <v>72</v>
      </c>
      <c r="C68" s="99">
        <v>574493</v>
      </c>
      <c r="D68" s="99">
        <v>811753</v>
      </c>
      <c r="E68" s="99">
        <v>583525</v>
      </c>
      <c r="J68" s="82"/>
    </row>
    <row r="69" spans="2:10">
      <c r="B69" s="82" t="s">
        <v>71</v>
      </c>
      <c r="C69" s="99">
        <v>195898</v>
      </c>
      <c r="D69" s="99">
        <v>226366</v>
      </c>
      <c r="E69" s="99">
        <v>183992</v>
      </c>
      <c r="J69" s="82"/>
    </row>
    <row r="70" spans="2:10">
      <c r="B70" s="82" t="s">
        <v>70</v>
      </c>
      <c r="C70" s="99">
        <v>5340</v>
      </c>
      <c r="D70" s="99">
        <v>2354</v>
      </c>
      <c r="E70" s="99">
        <v>3490</v>
      </c>
      <c r="J70" s="82"/>
    </row>
    <row r="71" spans="2:10">
      <c r="B71" s="82" t="s">
        <v>69</v>
      </c>
      <c r="C71" s="99">
        <v>926</v>
      </c>
      <c r="D71" s="99">
        <v>55</v>
      </c>
      <c r="E71" s="99">
        <v>-21</v>
      </c>
      <c r="J71" s="82"/>
    </row>
    <row r="72" spans="2:10">
      <c r="B72" s="82" t="s">
        <v>68</v>
      </c>
      <c r="C72" s="99">
        <v>506285</v>
      </c>
      <c r="D72" s="99">
        <v>671963</v>
      </c>
      <c r="E72" s="99">
        <v>482067</v>
      </c>
      <c r="J72" s="82"/>
    </row>
    <row r="73" spans="2:10">
      <c r="J73" s="82"/>
    </row>
    <row r="74" spans="2:10">
      <c r="J74" s="82"/>
    </row>
    <row r="75" spans="2:10">
      <c r="J75" s="82"/>
    </row>
    <row r="76" spans="2:10">
      <c r="J76" s="82"/>
    </row>
    <row r="77" spans="2:10">
      <c r="J77" s="82"/>
    </row>
    <row r="78" spans="2:10">
      <c r="J78" s="82"/>
    </row>
    <row r="79" spans="2:10">
      <c r="J79" s="82"/>
    </row>
    <row r="80" spans="2:10">
      <c r="J80" s="82"/>
    </row>
    <row r="81" spans="10:10">
      <c r="J81" s="82"/>
    </row>
    <row r="82" spans="10:10">
      <c r="J82" s="82"/>
    </row>
    <row r="83" spans="10:10">
      <c r="J83" s="82"/>
    </row>
    <row r="84" spans="10:10">
      <c r="J84" s="82"/>
    </row>
    <row r="85" spans="10:10">
      <c r="J85" s="82"/>
    </row>
    <row r="86" spans="10:10">
      <c r="J86" s="82"/>
    </row>
    <row r="87" spans="10:10">
      <c r="J87" s="82"/>
    </row>
    <row r="88" spans="10:10">
      <c r="J88" s="82"/>
    </row>
    <row r="89" spans="10:10">
      <c r="J89" s="82"/>
    </row>
    <row r="90" spans="10:10">
      <c r="J90" s="82"/>
    </row>
    <row r="91" spans="10:10">
      <c r="J91" s="82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F7D419C413AD4E90F4213DA4AA17FD" ma:contentTypeVersion="76" ma:contentTypeDescription="" ma:contentTypeScope="" ma:versionID="95192bacf0d7efd4604004e5091999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E7179C-D785-4EB8-BED9-48EB64FD5271}"/>
</file>

<file path=customXml/itemProps2.xml><?xml version="1.0" encoding="utf-8"?>
<ds:datastoreItem xmlns:ds="http://schemas.openxmlformats.org/officeDocument/2006/customXml" ds:itemID="{834B1474-668F-4BF5-9691-B854D4A901E5}"/>
</file>

<file path=customXml/itemProps3.xml><?xml version="1.0" encoding="utf-8"?>
<ds:datastoreItem xmlns:ds="http://schemas.openxmlformats.org/officeDocument/2006/customXml" ds:itemID="{02EE3346-1C5B-4564-83A0-1E39203CAD1B}"/>
</file>

<file path=customXml/itemProps4.xml><?xml version="1.0" encoding="utf-8"?>
<ds:datastoreItem xmlns:ds="http://schemas.openxmlformats.org/officeDocument/2006/customXml" ds:itemID="{978DD023-44EE-4DD6-B45E-67703971F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2017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Avcisert, Tuba {Mkt Function}</cp:lastModifiedBy>
  <dcterms:created xsi:type="dcterms:W3CDTF">2016-02-08T23:38:12Z</dcterms:created>
  <dcterms:modified xsi:type="dcterms:W3CDTF">2018-06-01T00:24:40Z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0x0101006E56B4D1795A2E4DB2F0B01679ED314A00C4F7D419C413AD4E90F4213DA4AA17FD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