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0" windowWidth="27795" windowHeight="11970"/>
  </bookViews>
  <sheets>
    <sheet name="2018 Q1 Actual" sheetId="8" r:id="rId1"/>
    <sheet name="2017 Actual" sheetId="4" state="hidden" r:id="rId2"/>
    <sheet name="2018 Budget" sheetId="7" state="hidden" r:id="rId3"/>
    <sheet name="Costs" sheetId="1" state="hidden" r:id="rId4"/>
    <sheet name="Residential" sheetId="5" state="hidden" r:id="rId5"/>
    <sheet name="Summary" sheetId="6" state="hidden" r:id="rId6"/>
  </sheets>
  <calcPr calcId="145621"/>
</workbook>
</file>

<file path=xl/calcChain.xml><?xml version="1.0" encoding="utf-8"?>
<calcChain xmlns="http://schemas.openxmlformats.org/spreadsheetml/2006/main">
  <c r="G31" i="8" l="1"/>
  <c r="G30" i="8"/>
  <c r="G29" i="8"/>
  <c r="G27" i="8"/>
  <c r="G32" i="8"/>
  <c r="B18" i="8" l="1"/>
  <c r="H18" i="8"/>
  <c r="G18" i="8"/>
  <c r="E18" i="8"/>
  <c r="F11" i="8"/>
  <c r="E8" i="8"/>
  <c r="G8" i="8"/>
  <c r="G33" i="8" s="1"/>
  <c r="G11" i="8"/>
  <c r="G7" i="8"/>
  <c r="H7" i="8"/>
  <c r="H33" i="8" s="1"/>
  <c r="C42" i="7"/>
  <c r="D42" i="7"/>
  <c r="E42" i="7"/>
  <c r="F42" i="7"/>
  <c r="G42" i="7"/>
  <c r="H42" i="7"/>
  <c r="B42" i="7"/>
  <c r="C44" i="7"/>
  <c r="D44" i="7"/>
  <c r="E44" i="7"/>
  <c r="F44" i="7"/>
  <c r="G44" i="7"/>
  <c r="H44" i="7"/>
  <c r="B44" i="7"/>
  <c r="F32" i="7"/>
  <c r="C28" i="7"/>
  <c r="D28" i="7"/>
  <c r="E28" i="7"/>
  <c r="F28" i="7"/>
  <c r="B28" i="7"/>
  <c r="G18" i="7"/>
  <c r="C7" i="7"/>
  <c r="B7" i="7" s="1"/>
  <c r="D7" i="7"/>
  <c r="H53" i="8" l="1"/>
  <c r="R19" i="8" s="1"/>
  <c r="G53" i="8"/>
  <c r="Q36" i="8" s="1"/>
  <c r="F53" i="8"/>
  <c r="E53" i="8"/>
  <c r="D53" i="8"/>
  <c r="C53" i="8"/>
  <c r="B53" i="8"/>
  <c r="I52" i="8"/>
  <c r="U52" i="8"/>
  <c r="U53" i="8" s="1"/>
  <c r="I51" i="8"/>
  <c r="K45" i="8"/>
  <c r="K42" i="8"/>
  <c r="X21" i="8"/>
  <c r="U21" i="8"/>
  <c r="N21" i="8"/>
  <c r="I21" i="8"/>
  <c r="X19" i="8"/>
  <c r="U19" i="8"/>
  <c r="O19" i="8"/>
  <c r="N19" i="8"/>
  <c r="I19" i="8"/>
  <c r="X18" i="8"/>
  <c r="N18" i="8"/>
  <c r="X16" i="8"/>
  <c r="U16" i="8"/>
  <c r="N16" i="8"/>
  <c r="I16" i="8"/>
  <c r="X11" i="8"/>
  <c r="U11" i="8"/>
  <c r="O11" i="8"/>
  <c r="N11" i="8"/>
  <c r="I11" i="8"/>
  <c r="H9" i="8"/>
  <c r="H13" i="8" s="1"/>
  <c r="G9" i="8"/>
  <c r="G13" i="8" s="1"/>
  <c r="X8" i="8"/>
  <c r="U8" i="8"/>
  <c r="I8" i="8"/>
  <c r="B7" i="8" l="1"/>
  <c r="B30" i="8"/>
  <c r="B32" i="8"/>
  <c r="B29" i="8"/>
  <c r="B36" i="8"/>
  <c r="B31" i="8"/>
  <c r="B27" i="8"/>
  <c r="L27" i="8" s="1"/>
  <c r="B28" i="8"/>
  <c r="B17" i="8"/>
  <c r="L17" i="8" s="1"/>
  <c r="F30" i="8"/>
  <c r="P30" i="8" s="1"/>
  <c r="F32" i="8"/>
  <c r="P32" i="8" s="1"/>
  <c r="F29" i="8"/>
  <c r="F36" i="8"/>
  <c r="F31" i="8"/>
  <c r="P31" i="8" s="1"/>
  <c r="F28" i="8"/>
  <c r="F27" i="8"/>
  <c r="F7" i="8"/>
  <c r="F9" i="8" s="1"/>
  <c r="F13" i="8" s="1"/>
  <c r="M18" i="8"/>
  <c r="C31" i="8"/>
  <c r="M31" i="8" s="1"/>
  <c r="C30" i="8"/>
  <c r="C32" i="8"/>
  <c r="M32" i="8" s="1"/>
  <c r="C29" i="8"/>
  <c r="M29" i="8" s="1"/>
  <c r="C36" i="8"/>
  <c r="C28" i="8"/>
  <c r="C27" i="8"/>
  <c r="C7" i="8"/>
  <c r="C17" i="8"/>
  <c r="C33" i="8" s="1"/>
  <c r="M19" i="8"/>
  <c r="V8" i="8"/>
  <c r="D31" i="8"/>
  <c r="N31" i="8" s="1"/>
  <c r="D28" i="8"/>
  <c r="D30" i="8"/>
  <c r="N30" i="8" s="1"/>
  <c r="D32" i="8"/>
  <c r="N32" i="8" s="1"/>
  <c r="D29" i="8"/>
  <c r="D36" i="8"/>
  <c r="D27" i="8"/>
  <c r="D17" i="8"/>
  <c r="N17" i="8" s="1"/>
  <c r="K43" i="8"/>
  <c r="E32" i="8"/>
  <c r="E36" i="8"/>
  <c r="O36" i="8" s="1"/>
  <c r="E31" i="8"/>
  <c r="O31" i="8" s="1"/>
  <c r="E28" i="8"/>
  <c r="E27" i="8"/>
  <c r="O27" i="8" s="1"/>
  <c r="E30" i="8"/>
  <c r="O30" i="8" s="1"/>
  <c r="E29" i="8"/>
  <c r="O29" i="8" s="1"/>
  <c r="E7" i="8"/>
  <c r="E9" i="8" s="1"/>
  <c r="E13" i="8" s="1"/>
  <c r="E17" i="8"/>
  <c r="V16" i="8"/>
  <c r="V19" i="8"/>
  <c r="V21" i="8"/>
  <c r="N28" i="8"/>
  <c r="N8" i="8"/>
  <c r="V11" i="8"/>
  <c r="R18" i="8"/>
  <c r="R7" i="8"/>
  <c r="R9" i="8" s="1"/>
  <c r="R17" i="8"/>
  <c r="R21" i="8"/>
  <c r="R8" i="8"/>
  <c r="R11" i="8"/>
  <c r="R16" i="8"/>
  <c r="R33" i="8"/>
  <c r="Q8" i="8"/>
  <c r="Q17" i="8"/>
  <c r="Q18" i="8"/>
  <c r="Q19" i="8"/>
  <c r="Q30" i="8"/>
  <c r="H30" i="8" s="1"/>
  <c r="R30" i="8" s="1"/>
  <c r="O7" i="8"/>
  <c r="O16" i="8"/>
  <c r="O17" i="8"/>
  <c r="O18" i="8"/>
  <c r="O28" i="8"/>
  <c r="O32" i="8"/>
  <c r="P36" i="8"/>
  <c r="O8" i="8"/>
  <c r="O21" i="8"/>
  <c r="M8" i="8"/>
  <c r="P27" i="8"/>
  <c r="U27" i="8"/>
  <c r="X52" i="8"/>
  <c r="X53" i="8" s="1"/>
  <c r="Y16" i="8" s="1"/>
  <c r="L18" i="8"/>
  <c r="L8" i="8"/>
  <c r="L16" i="8"/>
  <c r="L7" i="8"/>
  <c r="L19" i="8"/>
  <c r="P19" i="8"/>
  <c r="P21" i="8"/>
  <c r="H36" i="8"/>
  <c r="I53" i="8"/>
  <c r="L11" i="8"/>
  <c r="L21" i="8"/>
  <c r="I18" i="8"/>
  <c r="U18" i="8"/>
  <c r="V18" i="8" s="1"/>
  <c r="P18" i="8"/>
  <c r="P8" i="8"/>
  <c r="P16" i="8"/>
  <c r="P11" i="8"/>
  <c r="M28" i="8"/>
  <c r="Q31" i="8"/>
  <c r="H31" i="8" s="1"/>
  <c r="R31" i="8" s="1"/>
  <c r="Q32" i="8"/>
  <c r="H32" i="8" s="1"/>
  <c r="R32" i="8" s="1"/>
  <c r="Q27" i="8"/>
  <c r="M11" i="8"/>
  <c r="M21" i="8"/>
  <c r="Q21" i="8"/>
  <c r="M30" i="8"/>
  <c r="M33" i="8"/>
  <c r="Q33" i="8"/>
  <c r="Q7" i="8"/>
  <c r="M16" i="8"/>
  <c r="Q16" i="8"/>
  <c r="N27" i="8"/>
  <c r="Q11" i="8"/>
  <c r="Q28" i="8"/>
  <c r="H28" i="8" s="1"/>
  <c r="R28" i="8" s="1"/>
  <c r="N36" i="8"/>
  <c r="D32" i="7"/>
  <c r="F7" i="7"/>
  <c r="E7" i="7"/>
  <c r="E32" i="7"/>
  <c r="C43" i="7"/>
  <c r="D43" i="7"/>
  <c r="E43" i="7"/>
  <c r="F43" i="7"/>
  <c r="G43" i="7"/>
  <c r="H43" i="7"/>
  <c r="B43" i="7"/>
  <c r="C41" i="7"/>
  <c r="D41" i="7"/>
  <c r="E41" i="7"/>
  <c r="F41" i="7"/>
  <c r="G41" i="7"/>
  <c r="H41" i="7"/>
  <c r="B41" i="7"/>
  <c r="C35" i="7"/>
  <c r="D35" i="7"/>
  <c r="E35" i="7"/>
  <c r="F35" i="7"/>
  <c r="B35" i="7"/>
  <c r="G32" i="7"/>
  <c r="C31" i="7"/>
  <c r="D31" i="7"/>
  <c r="E31" i="7"/>
  <c r="F31" i="7"/>
  <c r="B31" i="7"/>
  <c r="C30" i="7"/>
  <c r="D30" i="7"/>
  <c r="E30" i="7"/>
  <c r="F30" i="7"/>
  <c r="B30" i="7"/>
  <c r="C29" i="7"/>
  <c r="D29" i="7"/>
  <c r="E29" i="7"/>
  <c r="F29" i="7"/>
  <c r="B29" i="7"/>
  <c r="C26" i="7"/>
  <c r="D26" i="7"/>
  <c r="E26" i="7"/>
  <c r="F26" i="7"/>
  <c r="B26" i="7"/>
  <c r="G35" i="7"/>
  <c r="G27" i="7"/>
  <c r="G28" i="7"/>
  <c r="G29" i="7"/>
  <c r="G30" i="7"/>
  <c r="G31" i="7"/>
  <c r="G26" i="7"/>
  <c r="C27" i="7"/>
  <c r="D27" i="7"/>
  <c r="E27" i="7"/>
  <c r="F27" i="7"/>
  <c r="B27" i="7"/>
  <c r="D17" i="7"/>
  <c r="F17" i="7"/>
  <c r="R13" i="8" l="1"/>
  <c r="X27" i="8"/>
  <c r="Y27" i="8" s="1"/>
  <c r="E34" i="8"/>
  <c r="N29" i="8"/>
  <c r="D7" i="8"/>
  <c r="C9" i="8"/>
  <c r="C13" i="8" s="1"/>
  <c r="M7" i="8"/>
  <c r="M9" i="8" s="1"/>
  <c r="M13" i="8" s="1"/>
  <c r="S8" i="8"/>
  <c r="C43" i="8"/>
  <c r="G43" i="8"/>
  <c r="Q43" i="8" s="1"/>
  <c r="D45" i="8"/>
  <c r="H45" i="8"/>
  <c r="E44" i="8"/>
  <c r="B44" i="8"/>
  <c r="F42" i="8"/>
  <c r="E45" i="8"/>
  <c r="C42" i="8"/>
  <c r="E43" i="8"/>
  <c r="B43" i="8"/>
  <c r="F45" i="8"/>
  <c r="C44" i="8"/>
  <c r="G44" i="8"/>
  <c r="D42" i="8"/>
  <c r="H42" i="8"/>
  <c r="F43" i="8"/>
  <c r="C45" i="8"/>
  <c r="G45" i="8"/>
  <c r="Q45" i="8" s="1"/>
  <c r="D44" i="8"/>
  <c r="H44" i="8"/>
  <c r="E42" i="8"/>
  <c r="B42" i="8"/>
  <c r="D43" i="8"/>
  <c r="H43" i="8"/>
  <c r="B45" i="8"/>
  <c r="F44" i="8"/>
  <c r="P44" i="8" s="1"/>
  <c r="G42" i="8"/>
  <c r="F20" i="8"/>
  <c r="C20" i="8"/>
  <c r="M20" i="8" s="1"/>
  <c r="G20" i="8"/>
  <c r="D20" i="8"/>
  <c r="H20" i="8"/>
  <c r="E20" i="8"/>
  <c r="B20" i="8"/>
  <c r="E33" i="8"/>
  <c r="O33" i="8" s="1"/>
  <c r="F17" i="8"/>
  <c r="F33" i="8" s="1"/>
  <c r="P33" i="8" s="1"/>
  <c r="B33" i="8"/>
  <c r="B9" i="8"/>
  <c r="B13" i="8" s="1"/>
  <c r="X7" i="8"/>
  <c r="X9" i="8" s="1"/>
  <c r="X13" i="8" s="1"/>
  <c r="I7" i="8"/>
  <c r="I9" i="8" s="1"/>
  <c r="I13" i="8" s="1"/>
  <c r="P7" i="8"/>
  <c r="E38" i="8"/>
  <c r="O34" i="8"/>
  <c r="O38" i="8" s="1"/>
  <c r="O9" i="8"/>
  <c r="O13" i="8" s="1"/>
  <c r="U31" i="8"/>
  <c r="V31" i="8" s="1"/>
  <c r="U36" i="8"/>
  <c r="S18" i="8"/>
  <c r="S19" i="8"/>
  <c r="S7" i="8"/>
  <c r="S9" i="8" s="1"/>
  <c r="Y19" i="8"/>
  <c r="Y18" i="8"/>
  <c r="Q9" i="8"/>
  <c r="Q13" i="8" s="1"/>
  <c r="P9" i="8"/>
  <c r="P13" i="8" s="1"/>
  <c r="I28" i="8"/>
  <c r="S28" i="8" s="1"/>
  <c r="X28" i="8"/>
  <c r="Y28" i="8" s="1"/>
  <c r="L28" i="8"/>
  <c r="L31" i="8"/>
  <c r="I31" i="8"/>
  <c r="S31" i="8" s="1"/>
  <c r="X31" i="8"/>
  <c r="Y31" i="8" s="1"/>
  <c r="H27" i="8"/>
  <c r="I27" i="8" s="1"/>
  <c r="M36" i="8"/>
  <c r="P45" i="8"/>
  <c r="M43" i="8"/>
  <c r="O45" i="8"/>
  <c r="O44" i="8"/>
  <c r="P43" i="8"/>
  <c r="M45" i="8"/>
  <c r="Q44" i="8"/>
  <c r="R45" i="8"/>
  <c r="M44" i="8"/>
  <c r="R43" i="8"/>
  <c r="S21" i="8"/>
  <c r="S11" i="8"/>
  <c r="O43" i="8"/>
  <c r="R44" i="8"/>
  <c r="P20" i="8"/>
  <c r="U29" i="8"/>
  <c r="V29" i="8" s="1"/>
  <c r="P29" i="8"/>
  <c r="U28" i="8"/>
  <c r="V28" i="8" s="1"/>
  <c r="P28" i="8"/>
  <c r="V36" i="8"/>
  <c r="U32" i="8"/>
  <c r="V32" i="8" s="1"/>
  <c r="Y8" i="8"/>
  <c r="R36" i="8"/>
  <c r="I36" i="8"/>
  <c r="X36" i="8"/>
  <c r="L36" i="8"/>
  <c r="L30" i="8"/>
  <c r="I30" i="8"/>
  <c r="S30" i="8" s="1"/>
  <c r="X30" i="8"/>
  <c r="Y30" i="8" s="1"/>
  <c r="F34" i="8"/>
  <c r="F38" i="8" s="1"/>
  <c r="C34" i="8"/>
  <c r="C38" i="8" s="1"/>
  <c r="M27" i="8"/>
  <c r="M34" i="8" s="1"/>
  <c r="G34" i="8"/>
  <c r="G38" i="8" s="1"/>
  <c r="Q29" i="8"/>
  <c r="H29" i="8" s="1"/>
  <c r="R29" i="8" s="1"/>
  <c r="X17" i="8"/>
  <c r="M17" i="8"/>
  <c r="I17" i="8"/>
  <c r="L9" i="8"/>
  <c r="L13" i="8" s="1"/>
  <c r="X32" i="8"/>
  <c r="Y32" i="8" s="1"/>
  <c r="I32" i="8"/>
  <c r="S32" i="8" s="1"/>
  <c r="L32" i="8"/>
  <c r="U30" i="8"/>
  <c r="V30" i="8" s="1"/>
  <c r="B34" i="8"/>
  <c r="B38" i="8" s="1"/>
  <c r="S16" i="8"/>
  <c r="X29" i="8"/>
  <c r="Y29" i="8" s="1"/>
  <c r="L29" i="8"/>
  <c r="Y21" i="8"/>
  <c r="Y11" i="8"/>
  <c r="V27" i="8"/>
  <c r="Y7" i="8"/>
  <c r="C20" i="7"/>
  <c r="D20" i="7"/>
  <c r="E20" i="7"/>
  <c r="F20" i="7"/>
  <c r="G20" i="7"/>
  <c r="H20" i="7"/>
  <c r="B20" i="7"/>
  <c r="X18" i="7"/>
  <c r="G51" i="7"/>
  <c r="B50" i="7"/>
  <c r="B8" i="7"/>
  <c r="X8" i="7" s="1"/>
  <c r="H52" i="7"/>
  <c r="F52" i="7"/>
  <c r="P35" i="7" s="1"/>
  <c r="E52" i="7"/>
  <c r="O30" i="7" s="1"/>
  <c r="D52" i="7"/>
  <c r="C52" i="7"/>
  <c r="M31" i="7" s="1"/>
  <c r="B52" i="7"/>
  <c r="G52" i="7"/>
  <c r="Q35" i="7" s="1"/>
  <c r="U51" i="7"/>
  <c r="U52" i="7" s="1"/>
  <c r="I50" i="7"/>
  <c r="K44" i="7"/>
  <c r="K41" i="7"/>
  <c r="L35" i="7"/>
  <c r="H32" i="7"/>
  <c r="R32" i="7" s="1"/>
  <c r="N31" i="7"/>
  <c r="N30" i="7"/>
  <c r="M30" i="7"/>
  <c r="P29" i="7"/>
  <c r="O29" i="7"/>
  <c r="N29" i="7"/>
  <c r="M29" i="7"/>
  <c r="L29" i="7"/>
  <c r="O28" i="7"/>
  <c r="N28" i="7"/>
  <c r="L27" i="7"/>
  <c r="N26" i="7"/>
  <c r="X21" i="7"/>
  <c r="U21" i="7"/>
  <c r="R21" i="7"/>
  <c r="N21" i="7"/>
  <c r="L21" i="7"/>
  <c r="I21" i="7"/>
  <c r="X19" i="7"/>
  <c r="U19" i="7"/>
  <c r="R19" i="7"/>
  <c r="P19" i="7"/>
  <c r="N19" i="7"/>
  <c r="M19" i="7"/>
  <c r="I19" i="7"/>
  <c r="R18" i="7"/>
  <c r="O18" i="7"/>
  <c r="N18" i="7"/>
  <c r="M18" i="7"/>
  <c r="R17" i="7"/>
  <c r="L17" i="7"/>
  <c r="C17" i="7"/>
  <c r="X16" i="7"/>
  <c r="U16" i="7"/>
  <c r="R16" i="7"/>
  <c r="O16" i="7"/>
  <c r="N16" i="7"/>
  <c r="I16" i="7"/>
  <c r="X11" i="7"/>
  <c r="R11" i="7"/>
  <c r="N11" i="7"/>
  <c r="M11" i="7"/>
  <c r="H9" i="7"/>
  <c r="H13" i="7" s="1"/>
  <c r="G9" i="7"/>
  <c r="G13" i="7" s="1"/>
  <c r="D9" i="7"/>
  <c r="D13" i="7" s="1"/>
  <c r="U8" i="7"/>
  <c r="R8" i="7"/>
  <c r="P8" i="7"/>
  <c r="O8" i="7"/>
  <c r="N8" i="7"/>
  <c r="M8" i="7"/>
  <c r="I8" i="7"/>
  <c r="R7" i="7"/>
  <c r="N7" i="7"/>
  <c r="E9" i="7"/>
  <c r="E13" i="7" s="1"/>
  <c r="N32" i="7"/>
  <c r="C42" i="4"/>
  <c r="D42" i="4"/>
  <c r="E42" i="4"/>
  <c r="F42" i="4"/>
  <c r="G42" i="4"/>
  <c r="H42" i="4"/>
  <c r="B42" i="4"/>
  <c r="C44" i="4"/>
  <c r="D44" i="4"/>
  <c r="E44" i="4"/>
  <c r="F44" i="4"/>
  <c r="G44" i="4"/>
  <c r="H44" i="4"/>
  <c r="B44" i="4"/>
  <c r="C43" i="4"/>
  <c r="D43" i="4"/>
  <c r="E43" i="4"/>
  <c r="F43" i="4"/>
  <c r="G43" i="4"/>
  <c r="H43" i="4"/>
  <c r="B43" i="4"/>
  <c r="C41" i="4"/>
  <c r="D41" i="4"/>
  <c r="E41" i="4"/>
  <c r="F41" i="4"/>
  <c r="G41" i="4"/>
  <c r="H41" i="4"/>
  <c r="B41" i="4"/>
  <c r="C35" i="4"/>
  <c r="D35" i="4"/>
  <c r="E35" i="4"/>
  <c r="F35" i="4"/>
  <c r="B35" i="4"/>
  <c r="F32" i="4"/>
  <c r="H32" i="4"/>
  <c r="G32" i="4"/>
  <c r="E32" i="4"/>
  <c r="D32" i="4"/>
  <c r="C32" i="4"/>
  <c r="C31" i="4"/>
  <c r="D31" i="4"/>
  <c r="E31" i="4"/>
  <c r="F31" i="4"/>
  <c r="B31" i="4"/>
  <c r="L33" i="8" l="1"/>
  <c r="D33" i="8"/>
  <c r="D9" i="8"/>
  <c r="D13" i="8" s="1"/>
  <c r="U7" i="8"/>
  <c r="N7" i="8"/>
  <c r="N9" i="8" s="1"/>
  <c r="N13" i="8" s="1"/>
  <c r="P34" i="8"/>
  <c r="P38" i="8" s="1"/>
  <c r="I29" i="8"/>
  <c r="S29" i="8" s="1"/>
  <c r="M22" i="8"/>
  <c r="M24" i="8" s="1"/>
  <c r="S13" i="8"/>
  <c r="Q34" i="8"/>
  <c r="Q38" i="8" s="1"/>
  <c r="Y17" i="8"/>
  <c r="N45" i="8"/>
  <c r="U45" i="8"/>
  <c r="V45" i="8" s="1"/>
  <c r="L42" i="8"/>
  <c r="X42" i="8"/>
  <c r="I42" i="8"/>
  <c r="B46" i="8"/>
  <c r="U44" i="8"/>
  <c r="V44" i="8" s="1"/>
  <c r="N44" i="8"/>
  <c r="Q42" i="8"/>
  <c r="Q46" i="8" s="1"/>
  <c r="G46" i="8"/>
  <c r="S27" i="8"/>
  <c r="S17" i="8"/>
  <c r="Y36" i="8"/>
  <c r="L43" i="8"/>
  <c r="I43" i="8"/>
  <c r="S43" i="8" s="1"/>
  <c r="X43" i="8"/>
  <c r="Y43" i="8" s="1"/>
  <c r="D46" i="8"/>
  <c r="U42" i="8"/>
  <c r="N42" i="8"/>
  <c r="L44" i="8"/>
  <c r="I44" i="8"/>
  <c r="S44" i="8" s="1"/>
  <c r="X44" i="8"/>
  <c r="Y44" i="8" s="1"/>
  <c r="P17" i="8"/>
  <c r="F22" i="8"/>
  <c r="F24" i="8" s="1"/>
  <c r="F40" i="8" s="1"/>
  <c r="U17" i="8"/>
  <c r="C22" i="8"/>
  <c r="C24" i="8" s="1"/>
  <c r="C40" i="8" s="1"/>
  <c r="S36" i="8"/>
  <c r="X20" i="8"/>
  <c r="Y20" i="8" s="1"/>
  <c r="I20" i="8"/>
  <c r="S20" i="8" s="1"/>
  <c r="B22" i="8"/>
  <c r="B24" i="8" s="1"/>
  <c r="B40" i="8" s="1"/>
  <c r="L20" i="8"/>
  <c r="E46" i="8"/>
  <c r="O42" i="8"/>
  <c r="O46" i="8" s="1"/>
  <c r="O55" i="8" s="1"/>
  <c r="H22" i="8"/>
  <c r="H24" i="8" s="1"/>
  <c r="R20" i="8"/>
  <c r="O20" i="8"/>
  <c r="E22" i="8"/>
  <c r="E24" i="8" s="1"/>
  <c r="E40" i="8" s="1"/>
  <c r="N20" i="8"/>
  <c r="U20" i="8"/>
  <c r="V20" i="8" s="1"/>
  <c r="D22" i="8"/>
  <c r="D24" i="8" s="1"/>
  <c r="H46" i="8"/>
  <c r="R42" i="8"/>
  <c r="R46" i="8" s="1"/>
  <c r="M38" i="8"/>
  <c r="L34" i="8"/>
  <c r="L38" i="8" s="1"/>
  <c r="Y9" i="8"/>
  <c r="Y13" i="8" s="1"/>
  <c r="Q20" i="8"/>
  <c r="G22" i="8"/>
  <c r="G24" i="8" s="1"/>
  <c r="G40" i="8" s="1"/>
  <c r="P42" i="8"/>
  <c r="P46" i="8" s="1"/>
  <c r="F46" i="8"/>
  <c r="U43" i="8"/>
  <c r="V43" i="8" s="1"/>
  <c r="N43" i="8"/>
  <c r="M42" i="8"/>
  <c r="M46" i="8" s="1"/>
  <c r="C46" i="8"/>
  <c r="X45" i="8"/>
  <c r="Y45" i="8" s="1"/>
  <c r="I45" i="8"/>
  <c r="S45" i="8" s="1"/>
  <c r="L45" i="8"/>
  <c r="H34" i="8"/>
  <c r="H38" i="8" s="1"/>
  <c r="R27" i="8"/>
  <c r="R34" i="8" s="1"/>
  <c r="R38" i="8" s="1"/>
  <c r="R9" i="7"/>
  <c r="X7" i="7"/>
  <c r="N9" i="7"/>
  <c r="N13" i="7" s="1"/>
  <c r="C32" i="7"/>
  <c r="M32" i="7" s="1"/>
  <c r="R13" i="7"/>
  <c r="Q16" i="7"/>
  <c r="Q32" i="7"/>
  <c r="Q21" i="7"/>
  <c r="Q30" i="7"/>
  <c r="H30" i="7" s="1"/>
  <c r="R30" i="7" s="1"/>
  <c r="Q7" i="7"/>
  <c r="Q19" i="7"/>
  <c r="Q29" i="7"/>
  <c r="H29" i="7" s="1"/>
  <c r="R29" i="7" s="1"/>
  <c r="I51" i="7"/>
  <c r="I52" i="7" s="1"/>
  <c r="R44" i="7" s="1"/>
  <c r="Q8" i="7"/>
  <c r="Q9" i="7" s="1"/>
  <c r="Q17" i="7"/>
  <c r="O11" i="7"/>
  <c r="O19" i="7"/>
  <c r="O27" i="7"/>
  <c r="O31" i="7"/>
  <c r="O35" i="7"/>
  <c r="O7" i="7"/>
  <c r="O9" i="7" s="1"/>
  <c r="O13" i="7" s="1"/>
  <c r="E17" i="7"/>
  <c r="O17" i="7" s="1"/>
  <c r="O21" i="7"/>
  <c r="O32" i="7"/>
  <c r="U35" i="7"/>
  <c r="V35" i="7" s="1"/>
  <c r="P16" i="7"/>
  <c r="P21" i="7"/>
  <c r="P26" i="7"/>
  <c r="U28" i="7"/>
  <c r="V28" i="7" s="1"/>
  <c r="U29" i="7"/>
  <c r="V29" i="7" s="1"/>
  <c r="P30" i="7"/>
  <c r="P11" i="7"/>
  <c r="V16" i="7"/>
  <c r="V8" i="7"/>
  <c r="V21" i="7"/>
  <c r="V19" i="7"/>
  <c r="X17" i="7"/>
  <c r="M17" i="7"/>
  <c r="M21" i="7"/>
  <c r="M28" i="7"/>
  <c r="M16" i="7"/>
  <c r="R41" i="7"/>
  <c r="R42" i="7"/>
  <c r="L11" i="7"/>
  <c r="L16" i="7"/>
  <c r="L19" i="7"/>
  <c r="L28" i="7"/>
  <c r="M42" i="7"/>
  <c r="L8" i="7"/>
  <c r="N27" i="7"/>
  <c r="N33" i="7" s="1"/>
  <c r="M7" i="7"/>
  <c r="I11" i="7"/>
  <c r="U11" i="7"/>
  <c r="L30" i="7"/>
  <c r="X30" i="7"/>
  <c r="K42" i="7"/>
  <c r="C9" i="7"/>
  <c r="C13" i="7" s="1"/>
  <c r="N17" i="7"/>
  <c r="U18" i="7"/>
  <c r="V18" i="7" s="1"/>
  <c r="P18" i="7"/>
  <c r="X26" i="7"/>
  <c r="L26" i="7"/>
  <c r="X29" i="7"/>
  <c r="H35" i="7"/>
  <c r="I18" i="7"/>
  <c r="Q18" i="7"/>
  <c r="M26" i="7"/>
  <c r="U31" i="7"/>
  <c r="V31" i="7" s="1"/>
  <c r="N35" i="7"/>
  <c r="O43" i="7"/>
  <c r="Q11" i="7"/>
  <c r="D33" i="7"/>
  <c r="D37" i="7" s="1"/>
  <c r="Q26" i="7"/>
  <c r="Q27" i="7"/>
  <c r="H27" i="7" s="1"/>
  <c r="R27" i="7" s="1"/>
  <c r="P28" i="7"/>
  <c r="P43" i="7"/>
  <c r="Q44" i="7"/>
  <c r="X51" i="7"/>
  <c r="X52" i="7" s="1"/>
  <c r="L18" i="7"/>
  <c r="P31" i="7"/>
  <c r="Q31" i="7"/>
  <c r="H31" i="7" s="1"/>
  <c r="R31" i="7" s="1"/>
  <c r="U30" i="7"/>
  <c r="V30" i="7" s="1"/>
  <c r="M27" i="7"/>
  <c r="C30" i="4"/>
  <c r="D30" i="4"/>
  <c r="E30" i="4"/>
  <c r="F30" i="4"/>
  <c r="B30" i="4"/>
  <c r="C29" i="4"/>
  <c r="D29" i="4"/>
  <c r="E29" i="4"/>
  <c r="F29" i="4"/>
  <c r="B29" i="4"/>
  <c r="C28" i="4"/>
  <c r="D28" i="4"/>
  <c r="E28" i="4"/>
  <c r="F28" i="4"/>
  <c r="B28" i="4"/>
  <c r="G28" i="4"/>
  <c r="C27" i="4"/>
  <c r="D27" i="4"/>
  <c r="E27" i="4"/>
  <c r="F27" i="4"/>
  <c r="B27" i="4"/>
  <c r="N33" i="8" l="1"/>
  <c r="N34" i="8" s="1"/>
  <c r="N38" i="8" s="1"/>
  <c r="U33" i="8"/>
  <c r="D34" i="8"/>
  <c r="D38" i="8" s="1"/>
  <c r="D40" i="8"/>
  <c r="D48" i="8" s="1"/>
  <c r="U9" i="8"/>
  <c r="U13" i="8" s="1"/>
  <c r="V7" i="8"/>
  <c r="V9" i="8" s="1"/>
  <c r="V13" i="8" s="1"/>
  <c r="I33" i="8"/>
  <c r="S33" i="8" s="1"/>
  <c r="X33" i="8"/>
  <c r="P55" i="8"/>
  <c r="S34" i="8"/>
  <c r="S38" i="8" s="1"/>
  <c r="G48" i="8"/>
  <c r="S22" i="8"/>
  <c r="S24" i="8" s="1"/>
  <c r="R55" i="8"/>
  <c r="Q55" i="8"/>
  <c r="I22" i="8"/>
  <c r="I24" i="8" s="1"/>
  <c r="B48" i="8"/>
  <c r="N46" i="8"/>
  <c r="N55" i="8" s="1"/>
  <c r="O22" i="8"/>
  <c r="O24" i="8" s="1"/>
  <c r="O40" i="8" s="1"/>
  <c r="O48" i="8" s="1"/>
  <c r="O49" i="8" s="1"/>
  <c r="C48" i="8"/>
  <c r="L22" i="8"/>
  <c r="L24" i="8" s="1"/>
  <c r="L40" i="8" s="1"/>
  <c r="L46" i="8"/>
  <c r="L55" i="8" s="1"/>
  <c r="Q22" i="8"/>
  <c r="Q24" i="8" s="1"/>
  <c r="Q40" i="8" s="1"/>
  <c r="Q48" i="8" s="1"/>
  <c r="Q49" i="8" s="1"/>
  <c r="E48" i="8"/>
  <c r="P22" i="8"/>
  <c r="P24" i="8" s="1"/>
  <c r="P40" i="8" s="1"/>
  <c r="P48" i="8" s="1"/>
  <c r="P49" i="8" s="1"/>
  <c r="I46" i="8"/>
  <c r="S42" i="8"/>
  <c r="S46" i="8" s="1"/>
  <c r="Y22" i="8"/>
  <c r="Y24" i="8" s="1"/>
  <c r="X46" i="8"/>
  <c r="Y42" i="8"/>
  <c r="Y46" i="8" s="1"/>
  <c r="M55" i="8"/>
  <c r="R22" i="8"/>
  <c r="R24" i="8" s="1"/>
  <c r="R40" i="8" s="1"/>
  <c r="R48" i="8" s="1"/>
  <c r="R49" i="8" s="1"/>
  <c r="V17" i="8"/>
  <c r="U22" i="8"/>
  <c r="U24" i="8" s="1"/>
  <c r="V42" i="8"/>
  <c r="V46" i="8" s="1"/>
  <c r="U46" i="8"/>
  <c r="N22" i="8"/>
  <c r="N24" i="8" s="1"/>
  <c r="H40" i="8"/>
  <c r="H48" i="8" s="1"/>
  <c r="F48" i="8"/>
  <c r="X22" i="8"/>
  <c r="X24" i="8" s="1"/>
  <c r="M40" i="8"/>
  <c r="M48" i="8" s="1"/>
  <c r="M49" i="8" s="1"/>
  <c r="B9" i="7"/>
  <c r="B13" i="7" s="1"/>
  <c r="L7" i="7"/>
  <c r="B32" i="7"/>
  <c r="X32" i="7" s="1"/>
  <c r="Y32" i="7" s="1"/>
  <c r="U7" i="7"/>
  <c r="V7" i="7" s="1"/>
  <c r="C22" i="7"/>
  <c r="C24" i="7" s="1"/>
  <c r="N20" i="7"/>
  <c r="Q20" i="7"/>
  <c r="Q56" i="7" s="1"/>
  <c r="N42" i="7"/>
  <c r="O44" i="7"/>
  <c r="I30" i="7"/>
  <c r="S30" i="7" s="1"/>
  <c r="S8" i="7"/>
  <c r="P41" i="7"/>
  <c r="L20" i="7"/>
  <c r="L22" i="7" s="1"/>
  <c r="M41" i="7"/>
  <c r="M43" i="7"/>
  <c r="L43" i="7"/>
  <c r="O42" i="7"/>
  <c r="Q13" i="7"/>
  <c r="U43" i="7"/>
  <c r="V43" i="7" s="1"/>
  <c r="L42" i="7"/>
  <c r="S18" i="7"/>
  <c r="L41" i="7"/>
  <c r="S19" i="7"/>
  <c r="H22" i="7"/>
  <c r="H24" i="7" s="1"/>
  <c r="M44" i="7"/>
  <c r="P20" i="7"/>
  <c r="Q42" i="7"/>
  <c r="O20" i="7"/>
  <c r="P44" i="7"/>
  <c r="P42" i="7"/>
  <c r="I29" i="7"/>
  <c r="S29" i="7" s="1"/>
  <c r="S16" i="7"/>
  <c r="S21" i="7"/>
  <c r="N44" i="7"/>
  <c r="R43" i="7"/>
  <c r="R45" i="7" s="1"/>
  <c r="L44" i="7"/>
  <c r="Q43" i="7"/>
  <c r="D22" i="7"/>
  <c r="D24" i="7" s="1"/>
  <c r="D39" i="7" s="1"/>
  <c r="O26" i="7"/>
  <c r="O33" i="7" s="1"/>
  <c r="O37" i="7" s="1"/>
  <c r="E33" i="7"/>
  <c r="E37" i="7" s="1"/>
  <c r="U26" i="7"/>
  <c r="V26" i="7" s="1"/>
  <c r="R20" i="7"/>
  <c r="R56" i="7" s="1"/>
  <c r="N22" i="7"/>
  <c r="N24" i="7" s="1"/>
  <c r="X28" i="7"/>
  <c r="Y28" i="7" s="1"/>
  <c r="M35" i="7"/>
  <c r="P27" i="7"/>
  <c r="Y11" i="7"/>
  <c r="Y21" i="7"/>
  <c r="Y16" i="7"/>
  <c r="O41" i="7"/>
  <c r="Y26" i="7"/>
  <c r="S11" i="7"/>
  <c r="Y8" i="7"/>
  <c r="L9" i="7"/>
  <c r="L13" i="7" s="1"/>
  <c r="I35" i="7"/>
  <c r="B22" i="7"/>
  <c r="M33" i="7"/>
  <c r="R35" i="7"/>
  <c r="I27" i="7"/>
  <c r="S27" i="7" s="1"/>
  <c r="N56" i="7"/>
  <c r="Y7" i="7"/>
  <c r="X9" i="7"/>
  <c r="X13" i="7" s="1"/>
  <c r="Y19" i="7"/>
  <c r="G33" i="7"/>
  <c r="G37" i="7" s="1"/>
  <c r="Q28" i="7"/>
  <c r="H28" i="7" s="1"/>
  <c r="R28" i="7" s="1"/>
  <c r="H26" i="7"/>
  <c r="N41" i="7"/>
  <c r="X41" i="7"/>
  <c r="N37" i="7"/>
  <c r="C33" i="7"/>
  <c r="C37" i="7" s="1"/>
  <c r="X27" i="7"/>
  <c r="Y27" i="7" s="1"/>
  <c r="I31" i="7"/>
  <c r="S31" i="7" s="1"/>
  <c r="X31" i="7"/>
  <c r="Y31" i="7" s="1"/>
  <c r="L31" i="7"/>
  <c r="X35" i="7"/>
  <c r="Q41" i="7"/>
  <c r="Q45" i="7" s="1"/>
  <c r="Y18" i="7"/>
  <c r="Y29" i="7"/>
  <c r="Y30" i="7"/>
  <c r="V11" i="7"/>
  <c r="M9" i="7"/>
  <c r="M13" i="7" s="1"/>
  <c r="U27" i="7"/>
  <c r="Y17" i="7"/>
  <c r="C26" i="4"/>
  <c r="D26" i="4"/>
  <c r="E26" i="4"/>
  <c r="F26" i="4"/>
  <c r="B26" i="4"/>
  <c r="F18" i="4"/>
  <c r="G18" i="4"/>
  <c r="F17" i="4"/>
  <c r="C17" i="4"/>
  <c r="F11" i="4"/>
  <c r="D17" i="4"/>
  <c r="H35" i="4"/>
  <c r="H27" i="4"/>
  <c r="H29" i="4"/>
  <c r="H30" i="4"/>
  <c r="H31" i="4"/>
  <c r="H26" i="4"/>
  <c r="C20" i="4"/>
  <c r="D20" i="4"/>
  <c r="E20" i="4"/>
  <c r="F20" i="4"/>
  <c r="G20" i="4"/>
  <c r="H20" i="4"/>
  <c r="B20" i="4"/>
  <c r="C18" i="4"/>
  <c r="Y33" i="8" l="1"/>
  <c r="Y34" i="8" s="1"/>
  <c r="Y38" i="8" s="1"/>
  <c r="Y55" i="8" s="1"/>
  <c r="X34" i="8"/>
  <c r="X38" i="8" s="1"/>
  <c r="N40" i="8"/>
  <c r="X40" i="8"/>
  <c r="Y40" i="8"/>
  <c r="Y48" i="8" s="1"/>
  <c r="Y49" i="8" s="1"/>
  <c r="I34" i="8"/>
  <c r="I38" i="8" s="1"/>
  <c r="K38" i="8" s="1"/>
  <c r="V33" i="8"/>
  <c r="V34" i="8" s="1"/>
  <c r="V38" i="8" s="1"/>
  <c r="U34" i="8"/>
  <c r="U38" i="8" s="1"/>
  <c r="U40" i="8" s="1"/>
  <c r="U48" i="8" s="1"/>
  <c r="V55" i="8"/>
  <c r="I40" i="8"/>
  <c r="I48" i="8" s="1"/>
  <c r="N48" i="8"/>
  <c r="N49" i="8" s="1"/>
  <c r="X48" i="8"/>
  <c r="L48" i="8"/>
  <c r="L49" i="8" s="1"/>
  <c r="V22" i="8"/>
  <c r="V24" i="8" s="1"/>
  <c r="V40" i="8" s="1"/>
  <c r="V48" i="8" s="1"/>
  <c r="V49" i="8" s="1"/>
  <c r="S55" i="8"/>
  <c r="S40" i="8"/>
  <c r="S48" i="8" s="1"/>
  <c r="S49" i="8" s="1"/>
  <c r="B33" i="7"/>
  <c r="B37" i="7" s="1"/>
  <c r="O45" i="7"/>
  <c r="O54" i="7" s="1"/>
  <c r="Q22" i="7"/>
  <c r="Q24" i="7" s="1"/>
  <c r="U9" i="7"/>
  <c r="U13" i="7" s="1"/>
  <c r="L32" i="7"/>
  <c r="L33" i="7" s="1"/>
  <c r="L37" i="7" s="1"/>
  <c r="I32" i="7"/>
  <c r="S32" i="7" s="1"/>
  <c r="F9" i="7"/>
  <c r="F13" i="7" s="1"/>
  <c r="B24" i="7"/>
  <c r="P7" i="7"/>
  <c r="P9" i="7" s="1"/>
  <c r="P13" i="7" s="1"/>
  <c r="I7" i="7"/>
  <c r="S7" i="7" s="1"/>
  <c r="E22" i="7"/>
  <c r="E24" i="7" s="1"/>
  <c r="X20" i="7"/>
  <c r="Y20" i="7" s="1"/>
  <c r="Y22" i="7" s="1"/>
  <c r="X42" i="7"/>
  <c r="Y42" i="7" s="1"/>
  <c r="M20" i="7"/>
  <c r="M22" i="7" s="1"/>
  <c r="X43" i="7"/>
  <c r="Y43" i="7" s="1"/>
  <c r="U41" i="7"/>
  <c r="N43" i="7"/>
  <c r="X44" i="7"/>
  <c r="Y44" i="7" s="1"/>
  <c r="M45" i="7"/>
  <c r="U44" i="7"/>
  <c r="V44" i="7" s="1"/>
  <c r="I43" i="7"/>
  <c r="S43" i="7" s="1"/>
  <c r="P45" i="7"/>
  <c r="G22" i="7"/>
  <c r="G24" i="7" s="1"/>
  <c r="G39" i="7" s="1"/>
  <c r="U42" i="7"/>
  <c r="V42" i="7" s="1"/>
  <c r="C45" i="7"/>
  <c r="C47" i="7" s="1"/>
  <c r="D45" i="7"/>
  <c r="D47" i="7" s="1"/>
  <c r="I42" i="7"/>
  <c r="S42" i="7" s="1"/>
  <c r="C39" i="7"/>
  <c r="U20" i="7"/>
  <c r="V20" i="7" s="1"/>
  <c r="E45" i="7"/>
  <c r="L45" i="7"/>
  <c r="F45" i="7"/>
  <c r="I20" i="7"/>
  <c r="S20" i="7" s="1"/>
  <c r="I44" i="7"/>
  <c r="S44" i="7" s="1"/>
  <c r="H45" i="7"/>
  <c r="I41" i="7"/>
  <c r="S41" i="7" s="1"/>
  <c r="G45" i="7"/>
  <c r="B45" i="7"/>
  <c r="I17" i="7"/>
  <c r="S17" i="7" s="1"/>
  <c r="S22" i="7" s="1"/>
  <c r="P17" i="7"/>
  <c r="P22" i="7" s="1"/>
  <c r="U17" i="7"/>
  <c r="V17" i="7" s="1"/>
  <c r="V22" i="7" s="1"/>
  <c r="R22" i="7"/>
  <c r="R24" i="7" s="1"/>
  <c r="E39" i="7"/>
  <c r="F22" i="7"/>
  <c r="M56" i="7"/>
  <c r="N39" i="7"/>
  <c r="M24" i="7"/>
  <c r="I22" i="7"/>
  <c r="S35" i="7"/>
  <c r="V9" i="7"/>
  <c r="V13" i="7" s="1"/>
  <c r="I28" i="7"/>
  <c r="S28" i="7" s="1"/>
  <c r="L24" i="7"/>
  <c r="Y33" i="7"/>
  <c r="F33" i="7"/>
  <c r="F37" i="7" s="1"/>
  <c r="Y35" i="7"/>
  <c r="N45" i="7"/>
  <c r="H33" i="7"/>
  <c r="H37" i="7" s="1"/>
  <c r="H39" i="7" s="1"/>
  <c r="R26" i="7"/>
  <c r="R33" i="7" s="1"/>
  <c r="R37" i="7" s="1"/>
  <c r="R54" i="7" s="1"/>
  <c r="I26" i="7"/>
  <c r="X33" i="7"/>
  <c r="X37" i="7" s="1"/>
  <c r="Y41" i="7"/>
  <c r="V41" i="7"/>
  <c r="Q33" i="7"/>
  <c r="Q37" i="7" s="1"/>
  <c r="Q54" i="7" s="1"/>
  <c r="Y9" i="7"/>
  <c r="Y13" i="7" s="1"/>
  <c r="O56" i="7"/>
  <c r="O22" i="7"/>
  <c r="O24" i="7" s="1"/>
  <c r="O39" i="7" s="1"/>
  <c r="M37" i="7"/>
  <c r="V27" i="7"/>
  <c r="P32" i="7"/>
  <c r="G51" i="4"/>
  <c r="F51" i="4"/>
  <c r="L56" i="7" l="1"/>
  <c r="B39" i="7"/>
  <c r="O47" i="7"/>
  <c r="O48" i="7" s="1"/>
  <c r="U45" i="7"/>
  <c r="E47" i="7"/>
  <c r="G47" i="7"/>
  <c r="Y45" i="7"/>
  <c r="S45" i="7"/>
  <c r="M54" i="7"/>
  <c r="B47" i="7"/>
  <c r="U32" i="7"/>
  <c r="V32" i="7" s="1"/>
  <c r="V56" i="7" s="1"/>
  <c r="F24" i="7"/>
  <c r="F39" i="7" s="1"/>
  <c r="F47" i="7" s="1"/>
  <c r="I9" i="7"/>
  <c r="I13" i="7" s="1"/>
  <c r="I24" i="7" s="1"/>
  <c r="L39" i="7"/>
  <c r="L47" i="7" s="1"/>
  <c r="L48" i="7" s="1"/>
  <c r="M39" i="7"/>
  <c r="M47" i="7" s="1"/>
  <c r="M48" i="7" s="1"/>
  <c r="P56" i="7"/>
  <c r="X22" i="7"/>
  <c r="X24" i="7" s="1"/>
  <c r="X39" i="7" s="1"/>
  <c r="X45" i="7"/>
  <c r="I45" i="7"/>
  <c r="P24" i="7"/>
  <c r="V45" i="7"/>
  <c r="Q39" i="7"/>
  <c r="Q47" i="7" s="1"/>
  <c r="Q48" i="7" s="1"/>
  <c r="L54" i="7"/>
  <c r="R39" i="7"/>
  <c r="R47" i="7" s="1"/>
  <c r="R48" i="7" s="1"/>
  <c r="H47" i="7"/>
  <c r="V24" i="7"/>
  <c r="U22" i="7"/>
  <c r="U24" i="7" s="1"/>
  <c r="N47" i="7"/>
  <c r="N48" i="7" s="1"/>
  <c r="P33" i="7"/>
  <c r="P37" i="7" s="1"/>
  <c r="P54" i="7" s="1"/>
  <c r="Y24" i="7"/>
  <c r="Y56" i="7"/>
  <c r="Y37" i="7"/>
  <c r="I33" i="7"/>
  <c r="I37" i="7" s="1"/>
  <c r="K37" i="7" s="1"/>
  <c r="S26" i="7"/>
  <c r="S33" i="7" s="1"/>
  <c r="S37" i="7" s="1"/>
  <c r="N54" i="7"/>
  <c r="S56" i="7"/>
  <c r="S9" i="7"/>
  <c r="S13" i="7" s="1"/>
  <c r="S24" i="7" s="1"/>
  <c r="X21" i="4"/>
  <c r="X19" i="4"/>
  <c r="X16" i="4"/>
  <c r="X11" i="4"/>
  <c r="X8" i="4"/>
  <c r="C52" i="4"/>
  <c r="M11" i="4" s="1"/>
  <c r="S54" i="7" l="1"/>
  <c r="Y54" i="7"/>
  <c r="X47" i="7"/>
  <c r="U33" i="7"/>
  <c r="U37" i="7" s="1"/>
  <c r="U39" i="7" s="1"/>
  <c r="U47" i="7" s="1"/>
  <c r="V33" i="7"/>
  <c r="V37" i="7" s="1"/>
  <c r="V54" i="7" s="1"/>
  <c r="I39" i="7"/>
  <c r="I47" i="7" s="1"/>
  <c r="P39" i="7"/>
  <c r="P47" i="7" s="1"/>
  <c r="P48" i="7" s="1"/>
  <c r="S39" i="7"/>
  <c r="S47" i="7" s="1"/>
  <c r="S48" i="7" s="1"/>
  <c r="Y39" i="7"/>
  <c r="Y47" i="7" s="1"/>
  <c r="Y48" i="7" s="1"/>
  <c r="M32" i="4"/>
  <c r="M30" i="4"/>
  <c r="M27" i="4"/>
  <c r="M26" i="4"/>
  <c r="M20" i="4"/>
  <c r="M29" i="4"/>
  <c r="M31" i="4"/>
  <c r="M19" i="4"/>
  <c r="C9" i="4"/>
  <c r="C13" i="4" s="1"/>
  <c r="M21" i="4"/>
  <c r="M8" i="4"/>
  <c r="M16" i="4"/>
  <c r="V39" i="7" l="1"/>
  <c r="V47" i="7" s="1"/>
  <c r="V48" i="7" s="1"/>
  <c r="C33" i="4"/>
  <c r="C37" i="4" s="1"/>
  <c r="M17" i="4"/>
  <c r="M35" i="4"/>
  <c r="M28" i="4"/>
  <c r="M33" i="4" s="1"/>
  <c r="M7" i="4"/>
  <c r="M9" i="4" s="1"/>
  <c r="M13" i="4" s="1"/>
  <c r="U21" i="4"/>
  <c r="U19" i="4"/>
  <c r="U18" i="4"/>
  <c r="U16" i="4"/>
  <c r="U11" i="4"/>
  <c r="U8" i="4"/>
  <c r="M56" i="4" l="1"/>
  <c r="M37" i="4"/>
  <c r="E52" i="4"/>
  <c r="O20" i="4" l="1"/>
  <c r="O35" i="4"/>
  <c r="E17" i="4"/>
  <c r="O29" i="4"/>
  <c r="O8" i="4"/>
  <c r="O18" i="4"/>
  <c r="O11" i="4"/>
  <c r="O19" i="4"/>
  <c r="O27" i="4"/>
  <c r="O16" i="4"/>
  <c r="O28" i="4"/>
  <c r="O21" i="4"/>
  <c r="O32" i="4" l="1"/>
  <c r="O31" i="4"/>
  <c r="O30" i="4"/>
  <c r="O7" i="4"/>
  <c r="O9" i="4" s="1"/>
  <c r="O13" i="4" s="1"/>
  <c r="E9" i="4"/>
  <c r="E13" i="4" s="1"/>
  <c r="E36" i="6"/>
  <c r="N36" i="6" s="1"/>
  <c r="E35" i="6"/>
  <c r="N35" i="6" s="1"/>
  <c r="E34" i="6"/>
  <c r="E33" i="6"/>
  <c r="N33" i="6" s="1"/>
  <c r="E32" i="6"/>
  <c r="N32" i="6" s="1"/>
  <c r="N42" i="6"/>
  <c r="N43" i="6"/>
  <c r="N44" i="6"/>
  <c r="N45" i="6"/>
  <c r="N41" i="6"/>
  <c r="N34" i="6"/>
  <c r="N24" i="6"/>
  <c r="N25" i="6"/>
  <c r="N26" i="6"/>
  <c r="N27" i="6"/>
  <c r="N23" i="6"/>
  <c r="N16" i="6"/>
  <c r="N17" i="6"/>
  <c r="N18" i="6"/>
  <c r="N19" i="6"/>
  <c r="N15" i="6"/>
  <c r="K44" i="4" l="1"/>
  <c r="K41" i="4"/>
  <c r="K42" i="4" s="1"/>
  <c r="I8" i="4"/>
  <c r="I50" i="4" l="1"/>
  <c r="I21" i="4"/>
  <c r="I19" i="4"/>
  <c r="I11" i="4"/>
  <c r="B52" i="4"/>
  <c r="L27" i="4" l="1"/>
  <c r="U51" i="4"/>
  <c r="U52" i="4" s="1"/>
  <c r="V8" i="4" s="1"/>
  <c r="L8" i="4"/>
  <c r="L11" i="4"/>
  <c r="L21" i="4"/>
  <c r="L17" i="4"/>
  <c r="L19" i="4"/>
  <c r="L18" i="4"/>
  <c r="G8" i="5"/>
  <c r="V11" i="4" l="1"/>
  <c r="I51" i="4"/>
  <c r="V18" i="4"/>
  <c r="F6" i="6"/>
  <c r="F42" i="6" s="1"/>
  <c r="N37" i="6"/>
  <c r="N28" i="6"/>
  <c r="H42" i="6"/>
  <c r="H43" i="6"/>
  <c r="H44" i="6"/>
  <c r="H45" i="6"/>
  <c r="H46" i="6"/>
  <c r="H41" i="6"/>
  <c r="H16" i="6"/>
  <c r="H17" i="6"/>
  <c r="H18" i="6"/>
  <c r="H19" i="6"/>
  <c r="H15" i="6"/>
  <c r="M18" i="4" l="1"/>
  <c r="M22" i="4" s="1"/>
  <c r="M24" i="4" s="1"/>
  <c r="M39" i="4" s="1"/>
  <c r="C22" i="4"/>
  <c r="C24" i="4" s="1"/>
  <c r="C39" i="4" s="1"/>
  <c r="X18" i="4"/>
  <c r="F44" i="6"/>
  <c r="F43" i="6"/>
  <c r="F45" i="6"/>
  <c r="F41" i="6"/>
  <c r="E47" i="6"/>
  <c r="F5" i="6" l="1"/>
  <c r="H47" i="6"/>
  <c r="N47" i="6"/>
  <c r="B18" i="5" l="1"/>
  <c r="I18" i="4"/>
  <c r="N20" i="6" l="1"/>
  <c r="N29" i="6"/>
  <c r="E38" i="6"/>
  <c r="H37" i="6"/>
  <c r="H36" i="6"/>
  <c r="H35" i="6"/>
  <c r="H34" i="6"/>
  <c r="H33" i="6"/>
  <c r="H32" i="6"/>
  <c r="E29" i="6"/>
  <c r="E20" i="6"/>
  <c r="H24" i="6"/>
  <c r="H25" i="6"/>
  <c r="H26" i="6"/>
  <c r="H27" i="6"/>
  <c r="H28" i="6"/>
  <c r="H23" i="6"/>
  <c r="H20" i="6"/>
  <c r="F16" i="6"/>
  <c r="J16" i="6" s="1"/>
  <c r="F17" i="6"/>
  <c r="F18" i="6"/>
  <c r="J18" i="6" s="1"/>
  <c r="F19" i="6"/>
  <c r="J19" i="6" s="1"/>
  <c r="F15" i="6"/>
  <c r="J15" i="6" s="1"/>
  <c r="E52" i="6" l="1"/>
  <c r="N38" i="6"/>
  <c r="N52" i="6" s="1"/>
  <c r="J17" i="6"/>
  <c r="J20" i="6" s="1"/>
  <c r="F20" i="6"/>
  <c r="H38" i="6"/>
  <c r="H29" i="6"/>
  <c r="H52" i="6" l="1"/>
  <c r="E18" i="5"/>
  <c r="E17" i="1" l="1"/>
  <c r="D8" i="1"/>
  <c r="E8" i="1"/>
  <c r="B51" i="5" l="1"/>
  <c r="E51" i="5" s="1"/>
  <c r="E52" i="5" s="1"/>
  <c r="G18" i="5" s="1"/>
  <c r="B50" i="5"/>
  <c r="B21" i="5"/>
  <c r="B19" i="5"/>
  <c r="B11" i="5"/>
  <c r="E11" i="5" s="1"/>
  <c r="B8" i="5"/>
  <c r="G11" i="5" l="1"/>
  <c r="E55" i="5"/>
  <c r="B52" i="5"/>
  <c r="B55" i="5" s="1"/>
  <c r="D8" i="5"/>
  <c r="D50" i="5"/>
  <c r="D52" i="5" s="1"/>
  <c r="D55" i="5" l="1"/>
  <c r="D21" i="5"/>
  <c r="E21" i="5" s="1"/>
  <c r="G21" i="5" s="1"/>
  <c r="D19" i="5"/>
  <c r="E19" i="5" s="1"/>
  <c r="G19" i="5" s="1"/>
  <c r="F52" i="4"/>
  <c r="G52" i="4"/>
  <c r="H52" i="4"/>
  <c r="D52" i="4"/>
  <c r="X29" i="4" l="1"/>
  <c r="X35" i="4"/>
  <c r="X27" i="4"/>
  <c r="X20" i="4"/>
  <c r="X31" i="4"/>
  <c r="X30" i="4"/>
  <c r="X26" i="4"/>
  <c r="X28" i="4"/>
  <c r="G22" i="4"/>
  <c r="P28" i="4"/>
  <c r="P31" i="4"/>
  <c r="P35" i="4"/>
  <c r="P29" i="4"/>
  <c r="P30" i="4"/>
  <c r="H22" i="4"/>
  <c r="X51" i="4"/>
  <c r="X52" i="4" s="1"/>
  <c r="P32" i="4"/>
  <c r="O17" i="4"/>
  <c r="L20" i="4"/>
  <c r="P18" i="4"/>
  <c r="Q31" i="4"/>
  <c r="Q27" i="4"/>
  <c r="Q19" i="4"/>
  <c r="Q11" i="4"/>
  <c r="Q26" i="4"/>
  <c r="Q8" i="4"/>
  <c r="Q35" i="4"/>
  <c r="Q29" i="4"/>
  <c r="Q21" i="4"/>
  <c r="Q17" i="4"/>
  <c r="Q28" i="4"/>
  <c r="H28" i="4" s="1"/>
  <c r="R28" i="4" s="1"/>
  <c r="Q16" i="4"/>
  <c r="Q30" i="4"/>
  <c r="Q18" i="4"/>
  <c r="C29" i="1"/>
  <c r="P19" i="4"/>
  <c r="V19" i="4" s="1"/>
  <c r="P8" i="4"/>
  <c r="P21" i="4"/>
  <c r="V21" i="4" s="1"/>
  <c r="P11" i="4"/>
  <c r="N21" i="4"/>
  <c r="N19" i="4"/>
  <c r="N11" i="4"/>
  <c r="N8" i="4"/>
  <c r="N18" i="4"/>
  <c r="R30" i="4"/>
  <c r="R26" i="4"/>
  <c r="R18" i="4"/>
  <c r="R17" i="4"/>
  <c r="R16" i="4"/>
  <c r="R31" i="4"/>
  <c r="R27" i="4"/>
  <c r="R19" i="4"/>
  <c r="R11" i="4"/>
  <c r="R8" i="4"/>
  <c r="R35" i="4"/>
  <c r="R29" i="4"/>
  <c r="R21" i="4"/>
  <c r="I52" i="4"/>
  <c r="D29" i="1"/>
  <c r="R20" i="4" l="1"/>
  <c r="Q20" i="4"/>
  <c r="Q22" i="4" s="1"/>
  <c r="U20" i="4"/>
  <c r="U17" i="4"/>
  <c r="X17" i="4"/>
  <c r="X22" i="4" s="1"/>
  <c r="M44" i="4"/>
  <c r="Q44" i="4"/>
  <c r="R43" i="4"/>
  <c r="O41" i="4"/>
  <c r="L42" i="4"/>
  <c r="R41" i="4"/>
  <c r="M42" i="4"/>
  <c r="R44" i="4"/>
  <c r="O43" i="4"/>
  <c r="M43" i="4"/>
  <c r="O44" i="4"/>
  <c r="L44" i="4"/>
  <c r="P43" i="4"/>
  <c r="O42" i="4"/>
  <c r="Q43" i="4"/>
  <c r="U32" i="4"/>
  <c r="V32" i="4" s="1"/>
  <c r="Y8" i="4"/>
  <c r="Y11" i="4"/>
  <c r="Y19" i="4"/>
  <c r="Y21" i="4"/>
  <c r="Y16" i="4"/>
  <c r="Y35" i="4"/>
  <c r="Y31" i="4"/>
  <c r="Y29" i="4"/>
  <c r="Y30" i="4"/>
  <c r="Y28" i="4"/>
  <c r="Y26" i="4"/>
  <c r="Y27" i="4"/>
  <c r="Y20" i="4"/>
  <c r="Y18" i="4"/>
  <c r="Q42" i="4"/>
  <c r="I27" i="4"/>
  <c r="P27" i="4"/>
  <c r="U27" i="4"/>
  <c r="U28" i="4"/>
  <c r="U30" i="4"/>
  <c r="U7" i="4"/>
  <c r="U31" i="4"/>
  <c r="U35" i="4"/>
  <c r="E22" i="4"/>
  <c r="E24" i="4" s="1"/>
  <c r="U29" i="4"/>
  <c r="O56" i="4"/>
  <c r="O22" i="4"/>
  <c r="O24" i="4" s="1"/>
  <c r="L30" i="4"/>
  <c r="I30" i="4"/>
  <c r="L26" i="4"/>
  <c r="L29" i="4"/>
  <c r="L28" i="4"/>
  <c r="I28" i="4"/>
  <c r="L31" i="4"/>
  <c r="L35" i="4"/>
  <c r="I35" i="4"/>
  <c r="S19" i="4"/>
  <c r="B20" i="5"/>
  <c r="D20" i="5" s="1"/>
  <c r="E20" i="5" s="1"/>
  <c r="G20" i="5" s="1"/>
  <c r="N20" i="4"/>
  <c r="S21" i="4"/>
  <c r="S18" i="4"/>
  <c r="F29" i="1"/>
  <c r="R22" i="4"/>
  <c r="S8" i="4"/>
  <c r="S11" i="4"/>
  <c r="C17" i="1"/>
  <c r="Y17" i="4" l="1"/>
  <c r="Y22" i="4" s="1"/>
  <c r="N32" i="4"/>
  <c r="B32" i="5"/>
  <c r="D32" i="5" s="1"/>
  <c r="E32" i="5" s="1"/>
  <c r="G32" i="5" s="1"/>
  <c r="B32" i="4"/>
  <c r="X32" i="4" s="1"/>
  <c r="X7" i="4"/>
  <c r="I7" i="4"/>
  <c r="I9" i="4" s="1"/>
  <c r="I13" i="4" s="1"/>
  <c r="M41" i="4"/>
  <c r="M45" i="4" s="1"/>
  <c r="C45" i="4"/>
  <c r="C47" i="4" s="1"/>
  <c r="X41" i="4"/>
  <c r="X43" i="4"/>
  <c r="Y43" i="4" s="1"/>
  <c r="L41" i="4"/>
  <c r="X44" i="4"/>
  <c r="Y44" i="4" s="1"/>
  <c r="L43" i="4"/>
  <c r="X42" i="4"/>
  <c r="Y42" i="4" s="1"/>
  <c r="U41" i="4"/>
  <c r="U44" i="4"/>
  <c r="O26" i="4"/>
  <c r="O33" i="4" s="1"/>
  <c r="O37" i="4" s="1"/>
  <c r="O39" i="4" s="1"/>
  <c r="E33" i="4"/>
  <c r="E37" i="4" s="1"/>
  <c r="E39" i="4" s="1"/>
  <c r="U43" i="4"/>
  <c r="V43" i="4" s="1"/>
  <c r="U42" i="4"/>
  <c r="S35" i="4"/>
  <c r="O45" i="4"/>
  <c r="E45" i="4"/>
  <c r="F14" i="1"/>
  <c r="D14" i="1" s="1"/>
  <c r="F12" i="1"/>
  <c r="D12" i="1" s="1"/>
  <c r="S28" i="4"/>
  <c r="S30" i="4"/>
  <c r="F11" i="1"/>
  <c r="D11" i="1" s="1"/>
  <c r="S27" i="4"/>
  <c r="V31" i="4"/>
  <c r="B31" i="5"/>
  <c r="D31" i="5" s="1"/>
  <c r="E31" i="5" s="1"/>
  <c r="G31" i="5" s="1"/>
  <c r="N31" i="4"/>
  <c r="V29" i="4"/>
  <c r="B29" i="5"/>
  <c r="D29" i="5" s="1"/>
  <c r="E29" i="5" s="1"/>
  <c r="G29" i="5" s="1"/>
  <c r="N29" i="4"/>
  <c r="B41" i="5"/>
  <c r="D41" i="5" s="1"/>
  <c r="V35" i="4"/>
  <c r="B35" i="5"/>
  <c r="N35" i="4"/>
  <c r="B43" i="5"/>
  <c r="D43" i="5" s="1"/>
  <c r="E43" i="5" s="1"/>
  <c r="G43" i="5" s="1"/>
  <c r="G33" i="4"/>
  <c r="G37" i="4" s="1"/>
  <c r="Q32" i="4"/>
  <c r="V27" i="4"/>
  <c r="B27" i="5"/>
  <c r="D27" i="5" s="1"/>
  <c r="E27" i="5" s="1"/>
  <c r="G27" i="5" s="1"/>
  <c r="N27" i="4"/>
  <c r="I31" i="4"/>
  <c r="V28" i="4"/>
  <c r="B28" i="5"/>
  <c r="D28" i="5" s="1"/>
  <c r="E28" i="5" s="1"/>
  <c r="G28" i="5" s="1"/>
  <c r="N28" i="4"/>
  <c r="I29" i="4"/>
  <c r="V30" i="4"/>
  <c r="B30" i="5"/>
  <c r="D30" i="5" s="1"/>
  <c r="E30" i="5" s="1"/>
  <c r="G30" i="5" s="1"/>
  <c r="N30" i="4"/>
  <c r="I43" i="4"/>
  <c r="S43" i="4" s="1"/>
  <c r="I42" i="4"/>
  <c r="S42" i="4" s="1"/>
  <c r="P20" i="4"/>
  <c r="V20" i="4" s="1"/>
  <c r="I20" i="4"/>
  <c r="I41" i="4"/>
  <c r="S41" i="4" s="1"/>
  <c r="B45" i="4"/>
  <c r="I44" i="4"/>
  <c r="S44" i="4" s="1"/>
  <c r="N42" i="4"/>
  <c r="B42" i="5"/>
  <c r="D42" i="5" s="1"/>
  <c r="E42" i="5" s="1"/>
  <c r="G42" i="5" s="1"/>
  <c r="N44" i="4"/>
  <c r="B44" i="5"/>
  <c r="D44" i="5" s="1"/>
  <c r="E44" i="5" s="1"/>
  <c r="G44" i="5" s="1"/>
  <c r="P42" i="4"/>
  <c r="P41" i="4"/>
  <c r="F45" i="4"/>
  <c r="P44" i="4"/>
  <c r="H45" i="4"/>
  <c r="R42" i="4"/>
  <c r="R45" i="4" s="1"/>
  <c r="N41" i="4"/>
  <c r="D45" i="4"/>
  <c r="Q41" i="4"/>
  <c r="Q45" i="4" s="1"/>
  <c r="G45" i="4"/>
  <c r="N43" i="4"/>
  <c r="Q33" i="4" l="1"/>
  <c r="Q37" i="4" s="1"/>
  <c r="Q54" i="4" s="1"/>
  <c r="S7" i="4"/>
  <c r="S9" i="4" s="1"/>
  <c r="S13" i="4" s="1"/>
  <c r="X9" i="4"/>
  <c r="X13" i="4" s="1"/>
  <c r="X24" i="4" s="1"/>
  <c r="Y7" i="4"/>
  <c r="X33" i="4"/>
  <c r="X37" i="4" s="1"/>
  <c r="Y32" i="4"/>
  <c r="Y33" i="4" s="1"/>
  <c r="Y37" i="4" s="1"/>
  <c r="L45" i="4"/>
  <c r="M54" i="4"/>
  <c r="M47" i="4"/>
  <c r="M48" i="4" s="1"/>
  <c r="X45" i="4"/>
  <c r="Y41" i="4"/>
  <c r="Y45" i="4" s="1"/>
  <c r="E47" i="4"/>
  <c r="V44" i="4"/>
  <c r="V42" i="4"/>
  <c r="O54" i="4"/>
  <c r="O47" i="4"/>
  <c r="O48" i="4" s="1"/>
  <c r="V41" i="4"/>
  <c r="U45" i="4"/>
  <c r="D35" i="5"/>
  <c r="E35" i="5" s="1"/>
  <c r="F13" i="1"/>
  <c r="D13" i="1" s="1"/>
  <c r="S29" i="4"/>
  <c r="F15" i="1"/>
  <c r="D15" i="1" s="1"/>
  <c r="S31" i="4"/>
  <c r="F7" i="1"/>
  <c r="F8" i="1" s="1"/>
  <c r="C7" i="1"/>
  <c r="C8" i="1" s="1"/>
  <c r="S20" i="4"/>
  <c r="D45" i="5"/>
  <c r="D61" i="5" s="1"/>
  <c r="P45" i="4"/>
  <c r="N45" i="4"/>
  <c r="B45" i="5"/>
  <c r="B61" i="5" s="1"/>
  <c r="E41" i="5"/>
  <c r="S45" i="4"/>
  <c r="H33" i="4" l="1"/>
  <c r="H37" i="4" s="1"/>
  <c r="R32" i="4"/>
  <c r="R33" i="4" s="1"/>
  <c r="R37" i="4" s="1"/>
  <c r="R54" i="4" s="1"/>
  <c r="X39" i="4"/>
  <c r="X47" i="4" s="1"/>
  <c r="Y9" i="4"/>
  <c r="Y13" i="4" s="1"/>
  <c r="Y24" i="4" s="1"/>
  <c r="Y39" i="4" s="1"/>
  <c r="Y47" i="4" s="1"/>
  <c r="Y48" i="4" s="1"/>
  <c r="Y56" i="4"/>
  <c r="Y54" i="4"/>
  <c r="V45" i="4"/>
  <c r="G35" i="5"/>
  <c r="E45" i="5"/>
  <c r="G41" i="5"/>
  <c r="I45" i="4"/>
  <c r="E61" i="5" l="1"/>
  <c r="G45" i="5"/>
  <c r="E25" i="1"/>
  <c r="E27" i="1" s="1"/>
  <c r="R7" i="4" l="1"/>
  <c r="R56" i="4" s="1"/>
  <c r="H9" i="4"/>
  <c r="H13" i="4" s="1"/>
  <c r="H24" i="4" s="1"/>
  <c r="H39" i="4" s="1"/>
  <c r="H47" i="4" s="1"/>
  <c r="F25" i="1"/>
  <c r="R9" i="4" l="1"/>
  <c r="R13" i="4" s="1"/>
  <c r="R24" i="4" s="1"/>
  <c r="R39" i="4" s="1"/>
  <c r="R47" i="4" s="1"/>
  <c r="R48" i="4" s="1"/>
  <c r="L7" i="4" l="1"/>
  <c r="B9" i="4"/>
  <c r="B13" i="4" s="1"/>
  <c r="L32" i="4" l="1"/>
  <c r="I32" i="4"/>
  <c r="B33" i="4"/>
  <c r="B37" i="4" s="1"/>
  <c r="B7" i="5"/>
  <c r="B9" i="5" s="1"/>
  <c r="B13" i="5" s="1"/>
  <c r="L9" i="4"/>
  <c r="L13" i="4" s="1"/>
  <c r="D9" i="4"/>
  <c r="D13" i="4" s="1"/>
  <c r="P7" i="4"/>
  <c r="N7" i="4"/>
  <c r="L33" i="4" l="1"/>
  <c r="L37" i="4" s="1"/>
  <c r="N9" i="4"/>
  <c r="N13" i="4" s="1"/>
  <c r="V7" i="4"/>
  <c r="F16" i="1"/>
  <c r="S32" i="4"/>
  <c r="B54" i="5"/>
  <c r="B56" i="5" s="1"/>
  <c r="D7" i="5"/>
  <c r="D9" i="5" s="1"/>
  <c r="D13" i="5" s="1"/>
  <c r="Q7" i="4"/>
  <c r="Q56" i="4" s="1"/>
  <c r="F9" i="4"/>
  <c r="F13" i="4" s="1"/>
  <c r="P9" i="4"/>
  <c r="P13" i="4" s="1"/>
  <c r="L54" i="4" l="1"/>
  <c r="V9" i="4"/>
  <c r="V13" i="4" s="1"/>
  <c r="U9" i="4"/>
  <c r="U13" i="4" s="1"/>
  <c r="D16" i="1"/>
  <c r="D54" i="5"/>
  <c r="D56" i="5" s="1"/>
  <c r="E7" i="5"/>
  <c r="G7" i="5" s="1"/>
  <c r="G9" i="4"/>
  <c r="G13" i="4" s="1"/>
  <c r="G24" i="4" s="1"/>
  <c r="G39" i="4" s="1"/>
  <c r="G47" i="4" s="1"/>
  <c r="Q9" i="4"/>
  <c r="Q13" i="4" s="1"/>
  <c r="Q24" i="4" s="1"/>
  <c r="Q39" i="4" s="1"/>
  <c r="Q47" i="4" s="1"/>
  <c r="Q48" i="4" s="1"/>
  <c r="E9" i="5" l="1"/>
  <c r="E13" i="5" s="1"/>
  <c r="G13" i="5" s="1"/>
  <c r="E54" i="5"/>
  <c r="E56" i="5" s="1"/>
  <c r="L42" i="6"/>
  <c r="L46" i="6"/>
  <c r="L43" i="6"/>
  <c r="L41" i="6"/>
  <c r="L44" i="6"/>
  <c r="L45" i="6"/>
  <c r="G9" i="5" l="1"/>
  <c r="L16" i="4" l="1"/>
  <c r="L56" i="4" s="1"/>
  <c r="B22" i="4"/>
  <c r="B24" i="4" s="1"/>
  <c r="B39" i="4" s="1"/>
  <c r="B47" i="4" s="1"/>
  <c r="L22" i="4" l="1"/>
  <c r="L24" i="4" s="1"/>
  <c r="L39" i="4" s="1"/>
  <c r="L47" i="4" s="1"/>
  <c r="L48" i="4" s="1"/>
  <c r="N16" i="4" l="1"/>
  <c r="P17" i="4"/>
  <c r="D22" i="4"/>
  <c r="D24" i="4" s="1"/>
  <c r="N17" i="4"/>
  <c r="B16" i="5"/>
  <c r="D16" i="5" s="1"/>
  <c r="B17" i="5"/>
  <c r="E17" i="5" s="1"/>
  <c r="G17" i="5" s="1"/>
  <c r="I17" i="4"/>
  <c r="S17" i="4" s="1"/>
  <c r="V17" i="4" l="1"/>
  <c r="N56" i="4"/>
  <c r="N22" i="4"/>
  <c r="P16" i="4"/>
  <c r="P56" i="4" s="1"/>
  <c r="I16" i="4"/>
  <c r="F22" i="4"/>
  <c r="F24" i="4" s="1"/>
  <c r="B22" i="5"/>
  <c r="B24" i="5" s="1"/>
  <c r="B58" i="5" s="1"/>
  <c r="P43" i="6"/>
  <c r="P42" i="6"/>
  <c r="P45" i="6"/>
  <c r="P44" i="6"/>
  <c r="P46" i="6"/>
  <c r="E16" i="5"/>
  <c r="D22" i="5"/>
  <c r="D24" i="5" s="1"/>
  <c r="N24" i="4" l="1"/>
  <c r="V16" i="4"/>
  <c r="V56" i="4" s="1"/>
  <c r="L16" i="6"/>
  <c r="P16" i="6" s="1"/>
  <c r="R16" i="6" s="1"/>
  <c r="L17" i="6"/>
  <c r="P17" i="6" s="1"/>
  <c r="R17" i="6" s="1"/>
  <c r="L19" i="6"/>
  <c r="P19" i="6" s="1"/>
  <c r="R19" i="6" s="1"/>
  <c r="R56" i="6" s="1"/>
  <c r="L18" i="6"/>
  <c r="P18" i="6" s="1"/>
  <c r="R18" i="6" s="1"/>
  <c r="L15" i="6"/>
  <c r="I22" i="4"/>
  <c r="I24" i="4" s="1"/>
  <c r="S16" i="4"/>
  <c r="S56" i="4" s="1"/>
  <c r="P22" i="4"/>
  <c r="P24" i="4" s="1"/>
  <c r="E22" i="5"/>
  <c r="G16" i="5"/>
  <c r="P41" i="6"/>
  <c r="P47" i="6" s="1"/>
  <c r="L47" i="6"/>
  <c r="D58" i="5"/>
  <c r="U22" i="4" l="1"/>
  <c r="U24" i="4" s="1"/>
  <c r="L20" i="6"/>
  <c r="P15" i="6"/>
  <c r="P20" i="6" s="1"/>
  <c r="V22" i="4"/>
  <c r="V24" i="4" s="1"/>
  <c r="L37" i="6"/>
  <c r="P37" i="6" s="1"/>
  <c r="L32" i="6"/>
  <c r="L26" i="6"/>
  <c r="P26" i="6" s="1"/>
  <c r="L23" i="6"/>
  <c r="L25" i="6"/>
  <c r="P25" i="6" s="1"/>
  <c r="L33" i="6"/>
  <c r="P33" i="6" s="1"/>
  <c r="L36" i="6"/>
  <c r="P36" i="6" s="1"/>
  <c r="L27" i="6"/>
  <c r="P27" i="6" s="1"/>
  <c r="L28" i="6"/>
  <c r="P28" i="6" s="1"/>
  <c r="L35" i="6"/>
  <c r="P35" i="6" s="1"/>
  <c r="L24" i="6"/>
  <c r="P24" i="6" s="1"/>
  <c r="L34" i="6"/>
  <c r="P34" i="6" s="1"/>
  <c r="S22" i="4"/>
  <c r="S24" i="4" s="1"/>
  <c r="E24" i="5"/>
  <c r="G22" i="5"/>
  <c r="R15" i="6" l="1"/>
  <c r="R20" i="6" s="1"/>
  <c r="L29" i="6"/>
  <c r="P23" i="6"/>
  <c r="P29" i="6" s="1"/>
  <c r="L38" i="6"/>
  <c r="P32" i="6"/>
  <c r="P38" i="6" s="1"/>
  <c r="G24" i="5"/>
  <c r="E58" i="5"/>
  <c r="L52" i="6" l="1"/>
  <c r="P52" i="6" s="1"/>
  <c r="F19" i="1"/>
  <c r="F20" i="1" s="1"/>
  <c r="D20" i="1" l="1"/>
  <c r="D21" i="1" s="1"/>
  <c r="F21" i="1"/>
  <c r="C20" i="1" l="1"/>
  <c r="C21" i="1" s="1"/>
  <c r="C23" i="1" s="1"/>
  <c r="C31" i="1" s="1"/>
  <c r="C27" i="1" l="1"/>
  <c r="J41" i="6"/>
  <c r="R41" i="6" s="1"/>
  <c r="F4" i="6"/>
  <c r="F24" i="6" s="1"/>
  <c r="J24" i="6" s="1"/>
  <c r="R24" i="6" s="1"/>
  <c r="F25" i="6" l="1"/>
  <c r="J25" i="6" s="1"/>
  <c r="R25" i="6" s="1"/>
  <c r="F27" i="6"/>
  <c r="J27" i="6" s="1"/>
  <c r="R27" i="6" s="1"/>
  <c r="J45" i="6"/>
  <c r="R45" i="6" s="1"/>
  <c r="J44" i="6"/>
  <c r="R44" i="6" s="1"/>
  <c r="F34" i="6"/>
  <c r="J34" i="6" s="1"/>
  <c r="R34" i="6" s="1"/>
  <c r="F37" i="6"/>
  <c r="J37" i="6" s="1"/>
  <c r="R37" i="6" s="1"/>
  <c r="F32" i="6"/>
  <c r="J32" i="6" s="1"/>
  <c r="F36" i="6"/>
  <c r="J36" i="6" s="1"/>
  <c r="R36" i="6" s="1"/>
  <c r="F23" i="6"/>
  <c r="J23" i="6" s="1"/>
  <c r="R23" i="6" s="1"/>
  <c r="F35" i="6"/>
  <c r="J35" i="6" s="1"/>
  <c r="R35" i="6" s="1"/>
  <c r="J43" i="6"/>
  <c r="R43" i="6" s="1"/>
  <c r="F26" i="6"/>
  <c r="J26" i="6" s="1"/>
  <c r="R26" i="6" s="1"/>
  <c r="F28" i="6"/>
  <c r="J28" i="6" s="1"/>
  <c r="R28" i="6" s="1"/>
  <c r="J42" i="6"/>
  <c r="R42" i="6" s="1"/>
  <c r="F33" i="6"/>
  <c r="J33" i="6" s="1"/>
  <c r="R33" i="6" s="1"/>
  <c r="F46" i="6"/>
  <c r="J46" i="6" s="1"/>
  <c r="R46" i="6" s="1"/>
  <c r="R55" i="6" l="1"/>
  <c r="R47" i="6"/>
  <c r="R29" i="6"/>
  <c r="F29" i="6"/>
  <c r="F38" i="6"/>
  <c r="J47" i="6"/>
  <c r="J38" i="6"/>
  <c r="R32" i="6"/>
  <c r="R38" i="6" s="1"/>
  <c r="J29" i="6"/>
  <c r="F47" i="6"/>
  <c r="R54" i="6" l="1"/>
  <c r="R57" i="6" s="1"/>
  <c r="R59" i="6" s="1"/>
  <c r="F52" i="6"/>
  <c r="J52" i="6" s="1"/>
  <c r="R52" i="6" s="1"/>
  <c r="D33" i="4"/>
  <c r="D37" i="4" s="1"/>
  <c r="D39" i="4" s="1"/>
  <c r="D47" i="4" s="1"/>
  <c r="N26" i="4"/>
  <c r="N33" i="4" s="1"/>
  <c r="N37" i="4" s="1"/>
  <c r="P26" i="4"/>
  <c r="P33" i="4" s="1"/>
  <c r="P37" i="4" s="1"/>
  <c r="B26" i="5"/>
  <c r="D26" i="5" l="1"/>
  <c r="D33" i="5" s="1"/>
  <c r="D37" i="5" s="1"/>
  <c r="D39" i="5" s="1"/>
  <c r="D47" i="5" s="1"/>
  <c r="D62" i="5" s="1"/>
  <c r="B33" i="5"/>
  <c r="B37" i="5" s="1"/>
  <c r="B39" i="5" s="1"/>
  <c r="B47" i="5" s="1"/>
  <c r="B62" i="5" s="1"/>
  <c r="P39" i="4"/>
  <c r="P47" i="4" s="1"/>
  <c r="P48" i="4" s="1"/>
  <c r="P54" i="4"/>
  <c r="N39" i="4"/>
  <c r="N47" i="4" s="1"/>
  <c r="N48" i="4" s="1"/>
  <c r="N54" i="4"/>
  <c r="U26" i="4"/>
  <c r="F33" i="4"/>
  <c r="F37" i="4" s="1"/>
  <c r="F39" i="4" s="1"/>
  <c r="F47" i="4" s="1"/>
  <c r="I26" i="4"/>
  <c r="D59" i="5" l="1"/>
  <c r="D60" i="5" s="1"/>
  <c r="B59" i="5"/>
  <c r="B60" i="5" s="1"/>
  <c r="E26" i="5"/>
  <c r="V26" i="4"/>
  <c r="V33" i="4" s="1"/>
  <c r="V37" i="4" s="1"/>
  <c r="U33" i="4"/>
  <c r="U37" i="4" s="1"/>
  <c r="U39" i="4" s="1"/>
  <c r="U47" i="4" s="1"/>
  <c r="F10" i="1"/>
  <c r="S26" i="4"/>
  <c r="S33" i="4" s="1"/>
  <c r="S37" i="4" s="1"/>
  <c r="I33" i="4"/>
  <c r="I37" i="4" s="1"/>
  <c r="E33" i="5" l="1"/>
  <c r="G26" i="5"/>
  <c r="I39" i="4"/>
  <c r="I47" i="4" s="1"/>
  <c r="K37" i="4"/>
  <c r="V39" i="4"/>
  <c r="V47" i="4" s="1"/>
  <c r="V48" i="4" s="1"/>
  <c r="V54" i="4"/>
  <c r="S54" i="4"/>
  <c r="S39" i="4"/>
  <c r="S47" i="4" s="1"/>
  <c r="S48" i="4" s="1"/>
  <c r="F17" i="1"/>
  <c r="F23" i="1" s="1"/>
  <c r="F27" i="1" s="1"/>
  <c r="F31" i="1" s="1"/>
  <c r="D10" i="1"/>
  <c r="D17" i="1" s="1"/>
  <c r="D23" i="1" s="1"/>
  <c r="G33" i="5" l="1"/>
  <c r="E37" i="5"/>
  <c r="D27" i="1"/>
  <c r="D31" i="1"/>
  <c r="G37" i="5" l="1"/>
  <c r="E59" i="5"/>
  <c r="E60" i="5" s="1"/>
  <c r="E39" i="5"/>
  <c r="E47" i="5" l="1"/>
  <c r="G39" i="5"/>
  <c r="E62" i="5" l="1"/>
  <c r="G47" i="5"/>
  <c r="G64" i="5" s="1"/>
</calcChain>
</file>

<file path=xl/sharedStrings.xml><?xml version="1.0" encoding="utf-8"?>
<sst xmlns="http://schemas.openxmlformats.org/spreadsheetml/2006/main" count="318" uniqueCount="113">
  <si>
    <t>Revenue:</t>
  </si>
  <si>
    <t>Total O/S Revenue</t>
  </si>
  <si>
    <t>MRF-Inter/C</t>
  </si>
  <si>
    <t>Gross Revenue</t>
  </si>
  <si>
    <t>Rev Reductions (All O/S &amp; I/C)</t>
  </si>
  <si>
    <t>Total Disposal</t>
  </si>
  <si>
    <t>Total COGS SOM</t>
  </si>
  <si>
    <t>Total Subcontract</t>
  </si>
  <si>
    <t>Total Transport</t>
  </si>
  <si>
    <t>Total Host/Tax/Royalty</t>
  </si>
  <si>
    <t>Total Revenue Reductions</t>
  </si>
  <si>
    <t>Total Net Revenue</t>
  </si>
  <si>
    <t>Operating Labor</t>
  </si>
  <si>
    <t>Supervisory Labor</t>
  </si>
  <si>
    <t>Equipment Operating</t>
  </si>
  <si>
    <t>Equipment Maintenance</t>
  </si>
  <si>
    <t>Insurance Expense</t>
  </si>
  <si>
    <t>Occupancy / Facility Costs</t>
  </si>
  <si>
    <t>Other Operating Expenses</t>
  </si>
  <si>
    <t>Pre-DD&amp;A GOE</t>
  </si>
  <si>
    <t>Depreciation</t>
  </si>
  <si>
    <t>Total Operating Expenses</t>
  </si>
  <si>
    <t>Gross Profit</t>
  </si>
  <si>
    <t>G&amp;A Payroll &amp; Related</t>
  </si>
  <si>
    <t>G&amp;A Expense</t>
  </si>
  <si>
    <t>Bad Debt Expense</t>
  </si>
  <si>
    <t>Management Fee</t>
  </si>
  <si>
    <t>Total SG&amp;A</t>
  </si>
  <si>
    <t>Operating Income</t>
  </si>
  <si>
    <t>MRF-SOM</t>
  </si>
  <si>
    <t>MRF-Processing Fees</t>
  </si>
  <si>
    <t>Rabanco Recycling - 4584</t>
  </si>
  <si>
    <t>D &amp; B</t>
  </si>
  <si>
    <t>C D</t>
  </si>
  <si>
    <t>Total</t>
  </si>
  <si>
    <t>InBound Tons</t>
  </si>
  <si>
    <t>Total Diverted - Glass</t>
  </si>
  <si>
    <t>SGA</t>
  </si>
  <si>
    <t>Processing Costs</t>
  </si>
  <si>
    <t>Baling</t>
  </si>
  <si>
    <t>Processing</t>
  </si>
  <si>
    <t>Tons</t>
  </si>
  <si>
    <t>Inbound Tons</t>
  </si>
  <si>
    <t>Depreciation - Facility</t>
  </si>
  <si>
    <t>Total Depreciation</t>
  </si>
  <si>
    <t xml:space="preserve">  3rd Party</t>
  </si>
  <si>
    <t xml:space="preserve">  Intercompany</t>
  </si>
  <si>
    <t>Total InBound Tons</t>
  </si>
  <si>
    <t>Cost Per Inbound Ton</t>
  </si>
  <si>
    <t>Total Costs</t>
  </si>
  <si>
    <t>OCC</t>
  </si>
  <si>
    <t>Cost Per Ton</t>
  </si>
  <si>
    <t>Residential</t>
  </si>
  <si>
    <t>Total Residential</t>
  </si>
  <si>
    <t>3rd Party</t>
  </si>
  <si>
    <t>I/C</t>
  </si>
  <si>
    <t>OI Per Ton</t>
  </si>
  <si>
    <t>Net Revenue</t>
  </si>
  <si>
    <t>Ops Expense</t>
  </si>
  <si>
    <t xml:space="preserve">   Transportation</t>
  </si>
  <si>
    <t xml:space="preserve">       Revenue Reduction</t>
  </si>
  <si>
    <t>SOM</t>
  </si>
  <si>
    <t>Processing Fee</t>
  </si>
  <si>
    <t>Net Change</t>
  </si>
  <si>
    <t>Proposed Change in MRF Processing fee and Rebate</t>
  </si>
  <si>
    <t>Commercial</t>
  </si>
  <si>
    <t>Rebate 80% of material value</t>
  </si>
  <si>
    <t>Financial Impact</t>
  </si>
  <si>
    <t>Processing fee</t>
  </si>
  <si>
    <t>Klickitat</t>
  </si>
  <si>
    <t>Eastside</t>
  </si>
  <si>
    <t>Kent</t>
  </si>
  <si>
    <t>Seatac</t>
  </si>
  <si>
    <t>Lynnwood</t>
  </si>
  <si>
    <t>Revised Processing Fee</t>
  </si>
  <si>
    <t>Current Processing Fee</t>
  </si>
  <si>
    <t>Change</t>
  </si>
  <si>
    <t>Revised Commodity Value</t>
  </si>
  <si>
    <t>Current Commodity Value</t>
  </si>
  <si>
    <t>Net Impact</t>
  </si>
  <si>
    <t xml:space="preserve">Residential - based on City of Seattle sampling </t>
  </si>
  <si>
    <t>Commercial - based on actual material sold less City of Seattle sampling, less D&amp;B and C&amp;D material. (updated annually)</t>
  </si>
  <si>
    <t>Seattle</t>
  </si>
  <si>
    <t>Industrial</t>
  </si>
  <si>
    <t>Commercial/Industrial</t>
  </si>
  <si>
    <t>BU404</t>
  </si>
  <si>
    <t>BU407</t>
  </si>
  <si>
    <t>BU408</t>
  </si>
  <si>
    <t>2013 Actual</t>
  </si>
  <si>
    <t>Industrial D&amp;B</t>
  </si>
  <si>
    <t>MRF Impact</t>
  </si>
  <si>
    <t xml:space="preserve">Contamination </t>
  </si>
  <si>
    <t>Net Impact excluding contamination for the MRF</t>
  </si>
  <si>
    <t>I/C Per ton</t>
  </si>
  <si>
    <t>OI Per Ton excluding I/C processing fee and rebate</t>
  </si>
  <si>
    <t>Resid - I/C</t>
  </si>
  <si>
    <t>I/C Per Ton</t>
  </si>
  <si>
    <t>I/C Res/Com Combined</t>
  </si>
  <si>
    <t>SOM - Revenue (including disposal, diverted, transport and taxes)</t>
  </si>
  <si>
    <t>Comm -3P</t>
  </si>
  <si>
    <t>Comm - I/C</t>
  </si>
  <si>
    <t>Comm - 3P</t>
  </si>
  <si>
    <t>Res - Seattle</t>
  </si>
  <si>
    <t>Res- 3P</t>
  </si>
  <si>
    <t>Actual Processing Costs (Operating and GA expenses)</t>
  </si>
  <si>
    <t>Consolidated Residential</t>
  </si>
  <si>
    <t>For the period Ending Dec 2017</t>
  </si>
  <si>
    <t>2018 Budget</t>
  </si>
  <si>
    <t>For the period Ending March 2018</t>
  </si>
  <si>
    <t>This column</t>
  </si>
  <si>
    <t>ties to G/L</t>
  </si>
  <si>
    <t>Download file</t>
  </si>
  <si>
    <t>Processing Expenses: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</si>
</sst>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Fill="1"/>
    <xf numFmtId="0" fontId="0" fillId="0" borderId="0" xfId="0" applyFill="1" applyAlignment="1">
      <alignment horizontal="left" indent="1"/>
    </xf>
    <xf numFmtId="0" fontId="0" fillId="0" borderId="0" xfId="0" applyFill="1" applyAlignment="1">
      <alignment horizontal="left" indent="2"/>
    </xf>
    <xf numFmtId="0" fontId="0" fillId="0" borderId="0" xfId="0" applyFill="1" applyAlignment="1">
      <alignment horizontal="left" wrapText="1" indent="2"/>
    </xf>
    <xf numFmtId="0" fontId="0" fillId="0" borderId="0" xfId="0" applyFill="1" applyAlignment="1">
      <alignment horizontal="left" indent="3"/>
    </xf>
    <xf numFmtId="0" fontId="0" fillId="0" borderId="0" xfId="0" applyFill="1" applyAlignment="1">
      <alignment horizontal="left" indent="4"/>
    </xf>
    <xf numFmtId="0" fontId="0" fillId="0" borderId="0" xfId="0" applyAlignment="1">
      <alignment horizontal="left" indent="2"/>
    </xf>
    <xf numFmtId="0" fontId="3" fillId="0" borderId="0" xfId="0" applyFont="1" applyAlignment="1">
      <alignment horizontal="left" indent="2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5" fontId="0" fillId="0" borderId="0" xfId="0" applyNumberFormat="1"/>
    <xf numFmtId="5" fontId="0" fillId="0" borderId="2" xfId="0" applyNumberFormat="1" applyBorder="1"/>
    <xf numFmtId="5" fontId="0" fillId="0" borderId="3" xfId="0" applyNumberFormat="1" applyBorder="1"/>
    <xf numFmtId="37" fontId="0" fillId="0" borderId="0" xfId="0" applyNumberFormat="1"/>
    <xf numFmtId="37" fontId="0" fillId="0" borderId="2" xfId="0" applyNumberFormat="1" applyBorder="1"/>
    <xf numFmtId="7" fontId="0" fillId="0" borderId="0" xfId="0" applyNumberFormat="1"/>
    <xf numFmtId="9" fontId="0" fillId="0" borderId="0" xfId="2" applyFont="1"/>
    <xf numFmtId="164" fontId="0" fillId="0" borderId="0" xfId="1" applyNumberFormat="1" applyFont="1"/>
    <xf numFmtId="164" fontId="0" fillId="0" borderId="0" xfId="0" applyNumberFormat="1"/>
    <xf numFmtId="164" fontId="0" fillId="0" borderId="2" xfId="0" applyNumberFormat="1" applyBorder="1"/>
    <xf numFmtId="0" fontId="5" fillId="0" borderId="0" xfId="0" applyFont="1"/>
    <xf numFmtId="0" fontId="4" fillId="0" borderId="1" xfId="0" applyFont="1" applyBorder="1" applyAlignment="1">
      <alignment horizontal="center"/>
    </xf>
    <xf numFmtId="7" fontId="0" fillId="0" borderId="2" xfId="0" applyNumberFormat="1" applyBorder="1"/>
    <xf numFmtId="7" fontId="0" fillId="0" borderId="3" xfId="0" applyNumberFormat="1" applyBorder="1"/>
    <xf numFmtId="37" fontId="0" fillId="0" borderId="0" xfId="0" applyNumberFormat="1" applyBorder="1"/>
    <xf numFmtId="0" fontId="4" fillId="0" borderId="0" xfId="0" applyFont="1"/>
    <xf numFmtId="165" fontId="2" fillId="0" borderId="1" xfId="0" applyNumberFormat="1" applyFont="1" applyBorder="1" applyAlignment="1">
      <alignment horizontal="center" wrapText="1"/>
    </xf>
    <xf numFmtId="164" fontId="0" fillId="0" borderId="2" xfId="1" applyNumberFormat="1" applyFont="1" applyBorder="1"/>
    <xf numFmtId="7" fontId="0" fillId="0" borderId="0" xfId="0" applyNumberFormat="1" applyBorder="1"/>
    <xf numFmtId="0" fontId="0" fillId="0" borderId="0" xfId="0" applyBorder="1"/>
    <xf numFmtId="165" fontId="0" fillId="0" borderId="0" xfId="0" applyNumberFormat="1"/>
    <xf numFmtId="8" fontId="0" fillId="0" borderId="0" xfId="0" applyNumberFormat="1"/>
    <xf numFmtId="6" fontId="0" fillId="0" borderId="0" xfId="0" applyNumberFormat="1"/>
    <xf numFmtId="6" fontId="0" fillId="0" borderId="2" xfId="0" applyNumberFormat="1" applyBorder="1"/>
    <xf numFmtId="0" fontId="2" fillId="0" borderId="1" xfId="0" applyFont="1" applyBorder="1" applyAlignment="1">
      <alignment horizontal="center" wrapText="1"/>
    </xf>
    <xf numFmtId="6" fontId="0" fillId="0" borderId="0" xfId="0" applyNumberFormat="1" applyBorder="1"/>
    <xf numFmtId="2" fontId="0" fillId="0" borderId="0" xfId="0" applyNumberFormat="1"/>
    <xf numFmtId="43" fontId="0" fillId="0" borderId="0" xfId="1" applyFont="1" applyBorder="1"/>
    <xf numFmtId="43" fontId="0" fillId="0" borderId="0" xfId="1" applyFont="1"/>
    <xf numFmtId="0" fontId="0" fillId="0" borderId="5" xfId="0" applyBorder="1"/>
    <xf numFmtId="5" fontId="0" fillId="0" borderId="6" xfId="0" applyNumberFormat="1" applyBorder="1"/>
    <xf numFmtId="0" fontId="0" fillId="0" borderId="6" xfId="0" applyBorder="1"/>
    <xf numFmtId="7" fontId="0" fillId="0" borderId="6" xfId="0" applyNumberFormat="1" applyBorder="1"/>
    <xf numFmtId="7" fontId="0" fillId="0" borderId="7" xfId="0" applyNumberFormat="1" applyBorder="1"/>
    <xf numFmtId="7" fontId="0" fillId="0" borderId="4" xfId="0" applyNumberFormat="1" applyBorder="1"/>
    <xf numFmtId="9" fontId="0" fillId="0" borderId="0" xfId="0" applyNumberFormat="1"/>
    <xf numFmtId="43" fontId="0" fillId="0" borderId="0" xfId="0" applyNumberFormat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wrapText="1"/>
    </xf>
    <xf numFmtId="44" fontId="0" fillId="0" borderId="0" xfId="3" applyFont="1" applyBorder="1"/>
    <xf numFmtId="44" fontId="0" fillId="0" borderId="0" xfId="0" applyNumberFormat="1" applyBorder="1"/>
    <xf numFmtId="7" fontId="0" fillId="0" borderId="0" xfId="1" applyNumberFormat="1" applyFont="1"/>
    <xf numFmtId="164" fontId="0" fillId="0" borderId="0" xfId="1" applyNumberFormat="1" applyFont="1" applyBorder="1"/>
    <xf numFmtId="7" fontId="2" fillId="0" borderId="0" xfId="0" applyNumberFormat="1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4" fillId="2" borderId="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7" fontId="0" fillId="2" borderId="0" xfId="0" applyNumberFormat="1" applyFill="1"/>
    <xf numFmtId="7" fontId="0" fillId="2" borderId="2" xfId="0" applyNumberFormat="1" applyFill="1" applyBorder="1"/>
    <xf numFmtId="5" fontId="0" fillId="2" borderId="0" xfId="0" applyNumberFormat="1" applyFill="1"/>
    <xf numFmtId="7" fontId="0" fillId="2" borderId="3" xfId="0" applyNumberFormat="1" applyFill="1" applyBorder="1"/>
    <xf numFmtId="9" fontId="0" fillId="2" borderId="0" xfId="2" applyFont="1" applyFill="1"/>
    <xf numFmtId="0" fontId="0" fillId="2" borderId="0" xfId="0" applyFill="1"/>
    <xf numFmtId="37" fontId="0" fillId="2" borderId="0" xfId="0" applyNumberFormat="1" applyFill="1" applyBorder="1"/>
    <xf numFmtId="7" fontId="0" fillId="2" borderId="0" xfId="0" applyNumberFormat="1" applyFill="1" applyBorder="1"/>
    <xf numFmtId="0" fontId="0" fillId="2" borderId="0" xfId="0" applyFill="1" applyBorder="1"/>
    <xf numFmtId="0" fontId="4" fillId="0" borderId="0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8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F49" sqref="F49"/>
    </sheetView>
  </sheetViews>
  <sheetFormatPr defaultRowHeight="15" x14ac:dyDescent="0.25"/>
  <cols>
    <col min="1" max="1" width="32.140625" customWidth="1"/>
    <col min="2" max="8" width="12.7109375" customWidth="1"/>
    <col min="9" max="9" width="13.42578125" customWidth="1"/>
    <col min="10" max="10" width="3.85546875" customWidth="1"/>
    <col min="11" max="11" width="9.140625" hidden="1" customWidth="1"/>
    <col min="12" max="13" width="11.7109375" customWidth="1"/>
    <col min="14" max="19" width="12.7109375" customWidth="1"/>
    <col min="20" max="20" width="4.7109375" customWidth="1"/>
    <col min="21" max="21" width="11.5703125" customWidth="1"/>
    <col min="22" max="22" width="9.28515625" customWidth="1"/>
    <col min="23" max="23" width="3.140625" customWidth="1"/>
    <col min="24" max="24" width="14.28515625" customWidth="1"/>
    <col min="25" max="25" width="9.28515625" customWidth="1"/>
  </cols>
  <sheetData>
    <row r="1" spans="1:25" ht="18.75" x14ac:dyDescent="0.3">
      <c r="A1" s="22" t="s">
        <v>31</v>
      </c>
      <c r="I1" s="57" t="s">
        <v>109</v>
      </c>
    </row>
    <row r="2" spans="1:25" ht="18.75" x14ac:dyDescent="0.3">
      <c r="A2" s="22" t="s">
        <v>108</v>
      </c>
      <c r="I2" s="58" t="s">
        <v>110</v>
      </c>
      <c r="U2" s="71" t="s">
        <v>97</v>
      </c>
      <c r="X2" s="71" t="s">
        <v>105</v>
      </c>
    </row>
    <row r="3" spans="1:25" ht="21" customHeight="1" thickBot="1" x14ac:dyDescent="0.35">
      <c r="A3" s="9"/>
      <c r="I3" s="59" t="s">
        <v>111</v>
      </c>
      <c r="N3" s="73" t="s">
        <v>51</v>
      </c>
      <c r="O3" s="73"/>
      <c r="P3" s="73"/>
      <c r="Q3" s="73"/>
      <c r="R3" s="73"/>
      <c r="S3" s="73"/>
      <c r="U3" s="71"/>
      <c r="V3" s="71" t="s">
        <v>96</v>
      </c>
      <c r="X3" s="71"/>
      <c r="Y3" s="71" t="s">
        <v>96</v>
      </c>
    </row>
    <row r="4" spans="1:25" ht="15.75" x14ac:dyDescent="0.25">
      <c r="B4" s="23" t="s">
        <v>102</v>
      </c>
      <c r="C4" s="23" t="s">
        <v>103</v>
      </c>
      <c r="D4" s="23" t="s">
        <v>95</v>
      </c>
      <c r="E4" s="23" t="s">
        <v>99</v>
      </c>
      <c r="F4" s="23" t="s">
        <v>100</v>
      </c>
      <c r="G4" s="23" t="s">
        <v>32</v>
      </c>
      <c r="H4" s="23" t="s">
        <v>33</v>
      </c>
      <c r="I4" s="23" t="s">
        <v>34</v>
      </c>
      <c r="L4" s="23" t="s">
        <v>102</v>
      </c>
      <c r="M4" s="23" t="s">
        <v>103</v>
      </c>
      <c r="N4" s="60" t="s">
        <v>95</v>
      </c>
      <c r="O4" s="23" t="s">
        <v>101</v>
      </c>
      <c r="P4" s="23" t="s">
        <v>100</v>
      </c>
      <c r="Q4" s="23" t="s">
        <v>32</v>
      </c>
      <c r="R4" s="23" t="s">
        <v>33</v>
      </c>
      <c r="S4" s="23" t="s">
        <v>34</v>
      </c>
      <c r="U4" s="72"/>
      <c r="V4" s="72"/>
      <c r="X4" s="72"/>
      <c r="Y4" s="72"/>
    </row>
    <row r="5" spans="1:25" x14ac:dyDescent="0.25">
      <c r="B5" s="11"/>
      <c r="C5" s="11"/>
      <c r="D5" s="11"/>
      <c r="E5" s="11"/>
      <c r="F5" s="11"/>
      <c r="G5" s="11"/>
      <c r="H5" s="11"/>
      <c r="I5" s="11"/>
      <c r="L5" s="11"/>
      <c r="M5" s="11"/>
      <c r="N5" s="61"/>
      <c r="O5" s="11"/>
      <c r="P5" s="11"/>
      <c r="Q5" s="11"/>
      <c r="R5" s="11"/>
      <c r="S5" s="11"/>
    </row>
    <row r="6" spans="1:25" hidden="1" x14ac:dyDescent="0.25">
      <c r="A6" t="s">
        <v>0</v>
      </c>
      <c r="B6" s="12"/>
      <c r="C6" s="12"/>
      <c r="D6" s="12"/>
      <c r="E6" s="12"/>
      <c r="F6" s="12"/>
      <c r="G6" s="12"/>
      <c r="H6" s="12"/>
      <c r="I6" s="12"/>
      <c r="J6" s="12"/>
      <c r="L6" s="12"/>
      <c r="M6" s="12"/>
      <c r="N6" s="62"/>
      <c r="O6" s="12"/>
      <c r="P6" s="12"/>
      <c r="Q6" s="12"/>
      <c r="R6" s="12"/>
      <c r="S6" s="12"/>
    </row>
    <row r="7" spans="1:25" hidden="1" x14ac:dyDescent="0.25">
      <c r="A7" s="1" t="s">
        <v>29</v>
      </c>
      <c r="B7" s="12">
        <f>48.654*B53</f>
        <v>1108011.6516600002</v>
      </c>
      <c r="C7" s="12">
        <f>57.39*C53+29</f>
        <v>31574.561299999998</v>
      </c>
      <c r="D7" s="12">
        <f>1885955-C7-B7+64248</f>
        <v>810616.78703999985</v>
      </c>
      <c r="E7" s="12">
        <f>33.481*E53</f>
        <v>33351.093719999997</v>
      </c>
      <c r="F7" s="12">
        <f>33.481*F53</f>
        <v>175238.88438</v>
      </c>
      <c r="G7" s="12">
        <f>103988+108002+244427+5</f>
        <v>456422</v>
      </c>
      <c r="H7" s="12">
        <f>10328+8670+17246+558-84+37</f>
        <v>36755</v>
      </c>
      <c r="I7" s="12">
        <f>SUM(B7:H7)</f>
        <v>2651969.9780999999</v>
      </c>
      <c r="J7" s="12"/>
      <c r="L7" s="17">
        <f t="shared" ref="L7:S8" si="0">B7/B$53</f>
        <v>48.654000000000011</v>
      </c>
      <c r="M7" s="17">
        <f t="shared" si="0"/>
        <v>57.442758928084125</v>
      </c>
      <c r="N7" s="62">
        <f t="shared" si="0"/>
        <v>48.651359373415147</v>
      </c>
      <c r="O7" s="17">
        <f t="shared" si="0"/>
        <v>33.481000000000002</v>
      </c>
      <c r="P7" s="17">
        <f t="shared" si="0"/>
        <v>33.481000000000002</v>
      </c>
      <c r="Q7" s="17">
        <f t="shared" si="0"/>
        <v>109.56854065291444</v>
      </c>
      <c r="R7" s="17">
        <f t="shared" si="0"/>
        <v>99.563874742659024</v>
      </c>
      <c r="S7" s="17">
        <f t="shared" si="0"/>
        <v>52.255977940712832</v>
      </c>
      <c r="U7" s="12">
        <f>D7+F7</f>
        <v>985855.6714199998</v>
      </c>
      <c r="V7" s="17">
        <f>U7/$U$53</f>
        <v>45.025019554954312</v>
      </c>
      <c r="X7" s="12">
        <f>SUM(B7:D7)</f>
        <v>1950203</v>
      </c>
      <c r="Y7" s="17">
        <f>X7/$X$53</f>
        <v>48.773718753993712</v>
      </c>
    </row>
    <row r="8" spans="1:25" hidden="1" x14ac:dyDescent="0.25">
      <c r="A8" s="1" t="s">
        <v>30</v>
      </c>
      <c r="B8" s="12">
        <v>2060983</v>
      </c>
      <c r="C8" s="12">
        <v>43189</v>
      </c>
      <c r="D8" s="12"/>
      <c r="E8" s="12">
        <f>25988+20171+25826</f>
        <v>71985</v>
      </c>
      <c r="F8" s="12"/>
      <c r="G8" s="12">
        <f>17652+16805+23179</f>
        <v>57636</v>
      </c>
      <c r="H8" s="12">
        <v>2503</v>
      </c>
      <c r="I8" s="12">
        <f>SUM(B8:H8)</f>
        <v>2236296</v>
      </c>
      <c r="J8" s="12"/>
      <c r="L8" s="17">
        <f t="shared" si="0"/>
        <v>90.500011197328092</v>
      </c>
      <c r="M8" s="17">
        <f t="shared" si="0"/>
        <v>78.572598104317137</v>
      </c>
      <c r="N8" s="62">
        <f t="shared" si="0"/>
        <v>0</v>
      </c>
      <c r="O8" s="17">
        <f t="shared" si="0"/>
        <v>72.265389712082893</v>
      </c>
      <c r="P8" s="17">
        <f t="shared" si="0"/>
        <v>0</v>
      </c>
      <c r="Q8" s="17">
        <f t="shared" si="0"/>
        <v>13.836082417305425</v>
      </c>
      <c r="R8" s="17">
        <f t="shared" si="0"/>
        <v>6.7802578827608633</v>
      </c>
      <c r="S8" s="17">
        <f t="shared" si="0"/>
        <v>44.065293125463057</v>
      </c>
      <c r="U8" s="12">
        <f>D8+F8</f>
        <v>0</v>
      </c>
      <c r="V8" s="17">
        <f>U8/$U$53</f>
        <v>0</v>
      </c>
      <c r="X8" s="12">
        <f>SUM(B8:D8)</f>
        <v>2104172</v>
      </c>
      <c r="Y8" s="17">
        <f>X8/$X$53</f>
        <v>52.624415682894785</v>
      </c>
    </row>
    <row r="9" spans="1:25" hidden="1" x14ac:dyDescent="0.25">
      <c r="A9" s="2" t="s">
        <v>1</v>
      </c>
      <c r="B9" s="13">
        <f>SUM(B7:B8)</f>
        <v>3168994.65166</v>
      </c>
      <c r="C9" s="13">
        <f>SUM(C7:C8)</f>
        <v>74763.561300000001</v>
      </c>
      <c r="D9" s="13">
        <f>SUM(D7:D8)</f>
        <v>810616.78703999985</v>
      </c>
      <c r="E9" s="13">
        <f t="shared" ref="E9:I9" si="1">SUM(E7:E8)</f>
        <v>105336.09372</v>
      </c>
      <c r="F9" s="13">
        <f t="shared" si="1"/>
        <v>175238.88438</v>
      </c>
      <c r="G9" s="13">
        <f t="shared" si="1"/>
        <v>514058</v>
      </c>
      <c r="H9" s="13">
        <f t="shared" si="1"/>
        <v>39258</v>
      </c>
      <c r="I9" s="13">
        <f t="shared" si="1"/>
        <v>4888265.9780999999</v>
      </c>
      <c r="J9" s="12"/>
      <c r="L9" s="24">
        <f>SUM(L7:L8)</f>
        <v>139.15401119732809</v>
      </c>
      <c r="M9" s="24">
        <f>SUM(M7:M8)</f>
        <v>136.01535703240125</v>
      </c>
      <c r="N9" s="63">
        <f>SUM(N7:N8)</f>
        <v>48.651359373415147</v>
      </c>
      <c r="O9" s="24">
        <f t="shared" ref="O9:S9" si="2">SUM(O7:O8)</f>
        <v>105.7463897120829</v>
      </c>
      <c r="P9" s="24">
        <f t="shared" si="2"/>
        <v>33.481000000000002</v>
      </c>
      <c r="Q9" s="24">
        <f t="shared" si="2"/>
        <v>123.40462307021986</v>
      </c>
      <c r="R9" s="24">
        <f t="shared" si="2"/>
        <v>106.34413262541989</v>
      </c>
      <c r="S9" s="24">
        <f t="shared" si="2"/>
        <v>96.321271066175882</v>
      </c>
      <c r="U9" s="13">
        <f t="shared" ref="U9" si="3">SUM(U7:U8)</f>
        <v>985855.6714199998</v>
      </c>
      <c r="V9" s="24">
        <f>SUM(V7:V8)</f>
        <v>45.025019554954312</v>
      </c>
      <c r="X9" s="13">
        <f t="shared" ref="X9" si="4">SUM(X7:X8)</f>
        <v>4054375</v>
      </c>
      <c r="Y9" s="24">
        <f>SUM(Y7:Y8)</f>
        <v>101.3981344368885</v>
      </c>
    </row>
    <row r="10" spans="1:25" hidden="1" x14ac:dyDescent="0.25">
      <c r="A10" s="1"/>
      <c r="B10" s="12"/>
      <c r="C10" s="12"/>
      <c r="D10" s="12"/>
      <c r="E10" s="12"/>
      <c r="F10" s="12"/>
      <c r="G10" s="12"/>
      <c r="H10" s="12"/>
      <c r="I10" s="12"/>
      <c r="J10" s="12"/>
      <c r="L10" s="12"/>
      <c r="M10" s="12"/>
      <c r="N10" s="64"/>
      <c r="O10" s="12"/>
      <c r="P10" s="12"/>
      <c r="Q10" s="12"/>
      <c r="R10" s="12"/>
      <c r="S10" s="12"/>
      <c r="U10" s="12"/>
      <c r="V10" s="12"/>
      <c r="X10" s="12"/>
      <c r="Y10" s="12"/>
    </row>
    <row r="11" spans="1:25" hidden="1" x14ac:dyDescent="0.25">
      <c r="A11" s="1" t="s">
        <v>2</v>
      </c>
      <c r="B11" s="12"/>
      <c r="C11" s="12"/>
      <c r="D11" s="12">
        <v>1223639</v>
      </c>
      <c r="E11" s="12"/>
      <c r="F11" s="12">
        <f>130063+118211+136109</f>
        <v>384383</v>
      </c>
      <c r="G11" s="12">
        <f>22262+21672+28498</f>
        <v>72432</v>
      </c>
      <c r="H11" s="12"/>
      <c r="I11" s="12">
        <f>SUM(B11:H11)</f>
        <v>1680454</v>
      </c>
      <c r="J11" s="12"/>
      <c r="L11" s="17">
        <f t="shared" ref="L11:S11" si="5">B11/B$53</f>
        <v>0</v>
      </c>
      <c r="M11" s="17">
        <f t="shared" si="5"/>
        <v>0</v>
      </c>
      <c r="N11" s="62">
        <f t="shared" si="5"/>
        <v>73.440004801416421</v>
      </c>
      <c r="O11" s="17">
        <f t="shared" si="5"/>
        <v>0</v>
      </c>
      <c r="P11" s="17">
        <f t="shared" si="5"/>
        <v>73.439906151723932</v>
      </c>
      <c r="Q11" s="17">
        <f t="shared" si="5"/>
        <v>17.388006135926616</v>
      </c>
      <c r="R11" s="17">
        <f t="shared" si="5"/>
        <v>0</v>
      </c>
      <c r="S11" s="17">
        <f t="shared" si="5"/>
        <v>33.112655075113892</v>
      </c>
      <c r="U11" s="12">
        <f>D11+F11</f>
        <v>1608022</v>
      </c>
      <c r="V11" s="17">
        <f>U11/$U$53</f>
        <v>73.439981220082643</v>
      </c>
      <c r="X11" s="12">
        <f>SUM(B11:D11)</f>
        <v>1223639</v>
      </c>
      <c r="Y11" s="17">
        <f>X11/$X$53</f>
        <v>30.602672871705209</v>
      </c>
    </row>
    <row r="12" spans="1:25" hidden="1" x14ac:dyDescent="0.25">
      <c r="A12" s="1"/>
      <c r="B12" s="12"/>
      <c r="C12" s="12"/>
      <c r="D12" s="12"/>
      <c r="E12" s="12"/>
      <c r="F12" s="12"/>
      <c r="G12" s="12"/>
      <c r="H12" s="12"/>
      <c r="I12" s="12"/>
      <c r="J12" s="12"/>
      <c r="L12" s="12"/>
      <c r="M12" s="12"/>
      <c r="N12" s="64"/>
      <c r="O12" s="12"/>
      <c r="P12" s="12"/>
      <c r="Q12" s="12"/>
      <c r="R12" s="12"/>
      <c r="S12" s="12"/>
      <c r="U12" s="12"/>
      <c r="V12" s="12"/>
      <c r="X12" s="12"/>
      <c r="Y12" s="12"/>
    </row>
    <row r="13" spans="1:25" x14ac:dyDescent="0.25">
      <c r="A13" s="3" t="s">
        <v>3</v>
      </c>
      <c r="B13" s="13">
        <f>B11+B9</f>
        <v>3168994.65166</v>
      </c>
      <c r="C13" s="13">
        <f>C11+C9</f>
        <v>74763.561300000001</v>
      </c>
      <c r="D13" s="13">
        <f>D11+D9</f>
        <v>2034255.7870399999</v>
      </c>
      <c r="E13" s="13">
        <f t="shared" ref="E13:I13" si="6">E11+E9</f>
        <v>105336.09372</v>
      </c>
      <c r="F13" s="13">
        <f t="shared" si="6"/>
        <v>559621.88437999994</v>
      </c>
      <c r="G13" s="13">
        <f t="shared" si="6"/>
        <v>586490</v>
      </c>
      <c r="H13" s="13">
        <f t="shared" si="6"/>
        <v>39258</v>
      </c>
      <c r="I13" s="13">
        <f t="shared" si="6"/>
        <v>6568719.9780999999</v>
      </c>
      <c r="J13" s="12"/>
      <c r="L13" s="24">
        <f>L11+L9</f>
        <v>139.15401119732809</v>
      </c>
      <c r="M13" s="24">
        <f>M11+M9</f>
        <v>136.01535703240125</v>
      </c>
      <c r="N13" s="63">
        <f>N11+N9</f>
        <v>122.09136417483157</v>
      </c>
      <c r="O13" s="24">
        <f t="shared" ref="O13:S13" si="7">O11+O9</f>
        <v>105.7463897120829</v>
      </c>
      <c r="P13" s="24">
        <f t="shared" si="7"/>
        <v>106.92090615172393</v>
      </c>
      <c r="Q13" s="24">
        <f t="shared" si="7"/>
        <v>140.79262920614647</v>
      </c>
      <c r="R13" s="24">
        <f t="shared" si="7"/>
        <v>106.34413262541989</v>
      </c>
      <c r="S13" s="24">
        <f t="shared" si="7"/>
        <v>129.43392614128976</v>
      </c>
      <c r="U13" s="13">
        <f t="shared" ref="U13" si="8">U11+U9</f>
        <v>2593877.6714199996</v>
      </c>
      <c r="V13" s="24">
        <f>V11+V9</f>
        <v>118.46500077503696</v>
      </c>
      <c r="X13" s="13">
        <f t="shared" ref="X13" si="9">X11+X9</f>
        <v>5278014</v>
      </c>
      <c r="Y13" s="24">
        <f>Y11+Y9</f>
        <v>132.00080730859372</v>
      </c>
    </row>
    <row r="14" spans="1:25" x14ac:dyDescent="0.25">
      <c r="A14" s="1"/>
      <c r="B14" s="12"/>
      <c r="C14" s="12"/>
      <c r="D14" s="12"/>
      <c r="E14" s="12"/>
      <c r="F14" s="12"/>
      <c r="G14" s="12"/>
      <c r="H14" s="12"/>
      <c r="I14" s="12"/>
      <c r="J14" s="12"/>
      <c r="L14" s="12"/>
      <c r="M14" s="12"/>
      <c r="N14" s="64"/>
      <c r="O14" s="12"/>
      <c r="P14" s="12"/>
      <c r="Q14" s="12"/>
      <c r="R14" s="12"/>
      <c r="S14" s="12"/>
      <c r="U14" s="12"/>
      <c r="V14" s="12"/>
      <c r="X14" s="12"/>
      <c r="Y14" s="12"/>
    </row>
    <row r="15" spans="1:25" hidden="1" x14ac:dyDescent="0.25">
      <c r="A15" s="1" t="s">
        <v>4</v>
      </c>
      <c r="B15" s="17"/>
      <c r="C15" s="17"/>
      <c r="D15" s="17"/>
      <c r="E15" s="17"/>
      <c r="F15" s="17"/>
      <c r="G15" s="17"/>
      <c r="H15" s="17"/>
      <c r="I15" s="12"/>
      <c r="J15" s="12"/>
      <c r="L15" s="12"/>
      <c r="M15" s="12"/>
      <c r="N15" s="64"/>
      <c r="O15" s="12"/>
      <c r="P15" s="12"/>
      <c r="Q15" s="12"/>
      <c r="R15" s="12"/>
      <c r="S15" s="12"/>
      <c r="U15" s="12"/>
      <c r="V15" s="12"/>
      <c r="X15" s="12"/>
      <c r="Y15" s="12"/>
    </row>
    <row r="16" spans="1:25" hidden="1" x14ac:dyDescent="0.25">
      <c r="A16" s="2" t="s">
        <v>36</v>
      </c>
      <c r="B16" s="12"/>
      <c r="C16" s="12"/>
      <c r="D16" s="12"/>
      <c r="E16" s="12"/>
      <c r="F16" s="12"/>
      <c r="G16" s="12"/>
      <c r="H16" s="12"/>
      <c r="I16" s="12">
        <f t="shared" ref="I16:I21" si="10">SUM(B16:H16)</f>
        <v>0</v>
      </c>
      <c r="J16" s="12"/>
      <c r="L16" s="17">
        <f t="shared" ref="L16:S21" si="11">B16/B$53</f>
        <v>0</v>
      </c>
      <c r="M16" s="17">
        <f t="shared" si="11"/>
        <v>0</v>
      </c>
      <c r="N16" s="62">
        <f t="shared" si="11"/>
        <v>0</v>
      </c>
      <c r="O16" s="17">
        <f t="shared" si="11"/>
        <v>0</v>
      </c>
      <c r="P16" s="17">
        <f t="shared" si="11"/>
        <v>0</v>
      </c>
      <c r="Q16" s="17">
        <f t="shared" si="11"/>
        <v>0</v>
      </c>
      <c r="R16" s="17">
        <f t="shared" si="11"/>
        <v>0</v>
      </c>
      <c r="S16" s="17">
        <f t="shared" si="11"/>
        <v>0</v>
      </c>
      <c r="U16" s="12">
        <f t="shared" ref="U16:U21" si="12">D16+F16</f>
        <v>0</v>
      </c>
      <c r="V16" s="17">
        <f t="shared" ref="V16:V21" si="13">U16/$U$53</f>
        <v>0</v>
      </c>
      <c r="X16" s="12">
        <f t="shared" ref="X16:X21" si="14">SUM(B16:D16)</f>
        <v>0</v>
      </c>
      <c r="Y16" s="17">
        <f t="shared" ref="Y16:Y21" si="15">X16/$X$53</f>
        <v>0</v>
      </c>
    </row>
    <row r="17" spans="1:25" hidden="1" x14ac:dyDescent="0.25">
      <c r="A17" s="2" t="s">
        <v>5</v>
      </c>
      <c r="B17" s="12">
        <f>B53*(0.164-0.1052)*54.52</f>
        <v>73006.066523040019</v>
      </c>
      <c r="C17" s="12">
        <f>C53*(0.164)*54.52</f>
        <v>4914.7533776</v>
      </c>
      <c r="D17" s="12">
        <f>D53*(0.164)*54.52</f>
        <v>148977.37204000002</v>
      </c>
      <c r="E17" s="12">
        <f>E53*(0.164)*54.52</f>
        <v>8906.5878336000005</v>
      </c>
      <c r="F17" s="12">
        <f>313792-E17-D17-C17-B17</f>
        <v>77987.220225759971</v>
      </c>
      <c r="G17" s="12"/>
      <c r="H17" s="12"/>
      <c r="I17" s="12">
        <f t="shared" si="10"/>
        <v>313792</v>
      </c>
      <c r="J17" s="12"/>
      <c r="K17" s="12"/>
      <c r="L17" s="17">
        <f t="shared" si="11"/>
        <v>3.2057760000000006</v>
      </c>
      <c r="M17" s="17">
        <f t="shared" si="11"/>
        <v>8.9412800000000008</v>
      </c>
      <c r="N17" s="62">
        <f t="shared" si="11"/>
        <v>8.9412800000000008</v>
      </c>
      <c r="O17" s="17">
        <f t="shared" si="11"/>
        <v>8.9412800000000008</v>
      </c>
      <c r="P17" s="17">
        <f t="shared" si="11"/>
        <v>14.900175435473574</v>
      </c>
      <c r="Q17" s="17">
        <f t="shared" si="11"/>
        <v>0</v>
      </c>
      <c r="R17" s="17">
        <f t="shared" si="11"/>
        <v>0</v>
      </c>
      <c r="S17" s="17">
        <f t="shared" si="11"/>
        <v>6.1831423301858539</v>
      </c>
      <c r="U17" s="12">
        <f t="shared" si="12"/>
        <v>226964.59226576</v>
      </c>
      <c r="V17" s="17">
        <f t="shared" si="13"/>
        <v>10.36570108718732</v>
      </c>
      <c r="X17" s="12">
        <f t="shared" si="14"/>
        <v>226898.19194064004</v>
      </c>
      <c r="Y17" s="17">
        <f t="shared" si="15"/>
        <v>5.6746239235107634</v>
      </c>
    </row>
    <row r="18" spans="1:25" hidden="1" x14ac:dyDescent="0.25">
      <c r="A18" s="2" t="s">
        <v>6</v>
      </c>
      <c r="B18" s="12">
        <f>-58895+50003-55444+1327488-2</f>
        <v>1263150</v>
      </c>
      <c r="C18" s="12">
        <v>15626</v>
      </c>
      <c r="D18" s="12">
        <v>314729</v>
      </c>
      <c r="E18" s="12">
        <f>-17717+6755-6266+63934</f>
        <v>46706</v>
      </c>
      <c r="F18" s="12">
        <v>137253</v>
      </c>
      <c r="G18" s="12">
        <f>165874+150597-3466+6134-7149</f>
        <v>311990</v>
      </c>
      <c r="H18" s="12">
        <f>-533+968-918+37034</f>
        <v>36551</v>
      </c>
      <c r="I18" s="12">
        <f t="shared" si="10"/>
        <v>2126005</v>
      </c>
      <c r="J18" s="12"/>
      <c r="K18" s="12"/>
      <c r="L18" s="17">
        <f t="shared" si="11"/>
        <v>55.466294066426059</v>
      </c>
      <c r="M18" s="17">
        <f t="shared" si="11"/>
        <v>28.42796587043135</v>
      </c>
      <c r="N18" s="62">
        <f t="shared" si="11"/>
        <v>18.889312347142408</v>
      </c>
      <c r="O18" s="17">
        <f t="shared" si="11"/>
        <v>46.887925149580376</v>
      </c>
      <c r="P18" s="17">
        <f t="shared" si="11"/>
        <v>26.223447548519484</v>
      </c>
      <c r="Q18" s="17">
        <f t="shared" si="11"/>
        <v>74.896234183064749</v>
      </c>
      <c r="R18" s="17">
        <f t="shared" si="11"/>
        <v>99.011268826525097</v>
      </c>
      <c r="S18" s="17">
        <f t="shared" si="11"/>
        <v>41.892054321610416</v>
      </c>
      <c r="U18" s="12">
        <f t="shared" si="12"/>
        <v>451982</v>
      </c>
      <c r="V18" s="17">
        <f t="shared" si="13"/>
        <v>20.642472299393535</v>
      </c>
      <c r="X18" s="12">
        <f t="shared" si="14"/>
        <v>1593505</v>
      </c>
      <c r="Y18" s="17">
        <f t="shared" si="15"/>
        <v>39.852858755259199</v>
      </c>
    </row>
    <row r="19" spans="1:25" hidden="1" x14ac:dyDescent="0.25">
      <c r="A19" s="2" t="s">
        <v>7</v>
      </c>
      <c r="B19" s="12"/>
      <c r="C19" s="12"/>
      <c r="D19" s="12"/>
      <c r="E19" s="12"/>
      <c r="F19" s="12"/>
      <c r="G19" s="12"/>
      <c r="H19" s="12"/>
      <c r="I19" s="12">
        <f t="shared" si="10"/>
        <v>0</v>
      </c>
      <c r="J19" s="12"/>
      <c r="L19" s="17">
        <f t="shared" si="11"/>
        <v>0</v>
      </c>
      <c r="M19" s="17">
        <f t="shared" si="11"/>
        <v>0</v>
      </c>
      <c r="N19" s="62">
        <f t="shared" si="11"/>
        <v>0</v>
      </c>
      <c r="O19" s="17">
        <f t="shared" si="11"/>
        <v>0</v>
      </c>
      <c r="P19" s="17">
        <f t="shared" si="11"/>
        <v>0</v>
      </c>
      <c r="Q19" s="17">
        <f t="shared" si="11"/>
        <v>0</v>
      </c>
      <c r="R19" s="17">
        <f t="shared" si="11"/>
        <v>0</v>
      </c>
      <c r="S19" s="17">
        <f t="shared" si="11"/>
        <v>0</v>
      </c>
      <c r="U19" s="12">
        <f t="shared" si="12"/>
        <v>0</v>
      </c>
      <c r="V19" s="17">
        <f t="shared" si="13"/>
        <v>0</v>
      </c>
      <c r="X19" s="12">
        <f t="shared" si="14"/>
        <v>0</v>
      </c>
      <c r="Y19" s="17">
        <f t="shared" si="15"/>
        <v>0</v>
      </c>
    </row>
    <row r="20" spans="1:25" hidden="1" x14ac:dyDescent="0.25">
      <c r="A20" s="2" t="s">
        <v>8</v>
      </c>
      <c r="B20" s="12">
        <f>61687/$I$53*B53</f>
        <v>27681.320448437033</v>
      </c>
      <c r="C20" s="12">
        <f t="shared" ref="C20:H20" si="16">61687/$I$53*C53</f>
        <v>668.13321267556785</v>
      </c>
      <c r="D20" s="12">
        <f t="shared" si="16"/>
        <v>20252.639868097482</v>
      </c>
      <c r="E20" s="12">
        <f t="shared" si="16"/>
        <v>1210.800763749862</v>
      </c>
      <c r="F20" s="12">
        <f t="shared" si="16"/>
        <v>6361.9915085045004</v>
      </c>
      <c r="G20" s="12">
        <f t="shared" si="16"/>
        <v>5063.3939540410174</v>
      </c>
      <c r="H20" s="12">
        <f t="shared" si="16"/>
        <v>448.72024449453789</v>
      </c>
      <c r="I20" s="12">
        <f t="shared" si="10"/>
        <v>61686.999999999993</v>
      </c>
      <c r="J20" s="12"/>
      <c r="L20" s="17">
        <f t="shared" si="11"/>
        <v>1.2155169695918786</v>
      </c>
      <c r="M20" s="17">
        <f t="shared" si="11"/>
        <v>1.2155169695918786</v>
      </c>
      <c r="N20" s="62">
        <f t="shared" si="11"/>
        <v>1.2155169695918786</v>
      </c>
      <c r="O20" s="17">
        <f t="shared" si="11"/>
        <v>1.2155169695918786</v>
      </c>
      <c r="P20" s="17">
        <f t="shared" si="11"/>
        <v>1.2155169695918786</v>
      </c>
      <c r="Q20" s="17">
        <f t="shared" si="11"/>
        <v>1.2155169695918786</v>
      </c>
      <c r="R20" s="17">
        <f t="shared" si="11"/>
        <v>1.2155169695918786</v>
      </c>
      <c r="S20" s="17">
        <f t="shared" si="11"/>
        <v>1.2155169695918784</v>
      </c>
      <c r="U20" s="12">
        <f t="shared" si="12"/>
        <v>26614.631376601981</v>
      </c>
      <c r="V20" s="17">
        <f t="shared" si="13"/>
        <v>1.2155169695918786</v>
      </c>
      <c r="X20" s="12">
        <f t="shared" si="14"/>
        <v>48602.093529210084</v>
      </c>
      <c r="Y20" s="17">
        <f t="shared" si="15"/>
        <v>1.2155169695918786</v>
      </c>
    </row>
    <row r="21" spans="1:25" hidden="1" x14ac:dyDescent="0.25">
      <c r="A21" s="2" t="s">
        <v>9</v>
      </c>
      <c r="B21" s="12"/>
      <c r="C21" s="12"/>
      <c r="D21" s="12"/>
      <c r="E21" s="12"/>
      <c r="F21" s="12"/>
      <c r="G21" s="12"/>
      <c r="H21" s="12"/>
      <c r="I21" s="12">
        <f t="shared" si="10"/>
        <v>0</v>
      </c>
      <c r="J21" s="12"/>
      <c r="L21" s="17">
        <f t="shared" si="11"/>
        <v>0</v>
      </c>
      <c r="M21" s="17">
        <f t="shared" si="11"/>
        <v>0</v>
      </c>
      <c r="N21" s="62">
        <f t="shared" si="11"/>
        <v>0</v>
      </c>
      <c r="O21" s="17">
        <f t="shared" si="11"/>
        <v>0</v>
      </c>
      <c r="P21" s="17">
        <f t="shared" si="11"/>
        <v>0</v>
      </c>
      <c r="Q21" s="17">
        <f t="shared" si="11"/>
        <v>0</v>
      </c>
      <c r="R21" s="17">
        <f t="shared" si="11"/>
        <v>0</v>
      </c>
      <c r="S21" s="17">
        <f t="shared" si="11"/>
        <v>0</v>
      </c>
      <c r="U21" s="12">
        <f t="shared" si="12"/>
        <v>0</v>
      </c>
      <c r="V21" s="17">
        <f t="shared" si="13"/>
        <v>0</v>
      </c>
      <c r="X21" s="12">
        <f t="shared" si="14"/>
        <v>0</v>
      </c>
      <c r="Y21" s="17">
        <f t="shared" si="15"/>
        <v>0</v>
      </c>
    </row>
    <row r="22" spans="1:25" x14ac:dyDescent="0.25">
      <c r="A22" s="3" t="s">
        <v>10</v>
      </c>
      <c r="B22" s="13">
        <f t="shared" ref="B22:I22" si="17">SUM(B16:B21)</f>
        <v>1363837.386971477</v>
      </c>
      <c r="C22" s="13">
        <f t="shared" si="17"/>
        <v>21208.886590275564</v>
      </c>
      <c r="D22" s="13">
        <f t="shared" si="17"/>
        <v>483959.01190809754</v>
      </c>
      <c r="E22" s="13">
        <f t="shared" ref="E22" si="18">SUM(E16:E21)</f>
        <v>56823.388597349862</v>
      </c>
      <c r="F22" s="13">
        <f t="shared" si="17"/>
        <v>221602.21173426445</v>
      </c>
      <c r="G22" s="13">
        <f t="shared" si="17"/>
        <v>317053.39395404101</v>
      </c>
      <c r="H22" s="13">
        <f t="shared" si="17"/>
        <v>36999.720244494536</v>
      </c>
      <c r="I22" s="13">
        <f t="shared" si="17"/>
        <v>2501484</v>
      </c>
      <c r="J22" s="12"/>
      <c r="L22" s="24">
        <f t="shared" ref="L22:S22" si="19">SUM(L16:L21)</f>
        <v>59.887587036017941</v>
      </c>
      <c r="M22" s="24">
        <f t="shared" si="19"/>
        <v>38.584762840023231</v>
      </c>
      <c r="N22" s="63">
        <f t="shared" si="19"/>
        <v>29.046109316734285</v>
      </c>
      <c r="O22" s="24">
        <f t="shared" si="19"/>
        <v>57.044722119172256</v>
      </c>
      <c r="P22" s="24">
        <f t="shared" si="19"/>
        <v>42.33913995358494</v>
      </c>
      <c r="Q22" s="24">
        <f t="shared" si="19"/>
        <v>76.111751152656623</v>
      </c>
      <c r="R22" s="24">
        <f t="shared" si="19"/>
        <v>100.22678579611697</v>
      </c>
      <c r="S22" s="24">
        <f t="shared" si="19"/>
        <v>49.29071362138815</v>
      </c>
      <c r="U22" s="13">
        <f>SUM(U16:U21)</f>
        <v>705561.22364236205</v>
      </c>
      <c r="V22" s="24">
        <f>SUM(V16:V21)</f>
        <v>32.223690356172739</v>
      </c>
      <c r="X22" s="13">
        <f>SUM(X16:X21)</f>
        <v>1869005.2854698503</v>
      </c>
      <c r="Y22" s="24">
        <f>SUM(Y16:Y21)</f>
        <v>46.742999648361845</v>
      </c>
    </row>
    <row r="23" spans="1:25" x14ac:dyDescent="0.25">
      <c r="A23" s="1"/>
      <c r="B23" s="12"/>
      <c r="C23" s="12"/>
      <c r="D23" s="12"/>
      <c r="E23" s="12"/>
      <c r="F23" s="12"/>
      <c r="G23" s="12"/>
      <c r="H23" s="12"/>
      <c r="I23" s="12"/>
      <c r="J23" s="12"/>
      <c r="L23" s="12"/>
      <c r="M23" s="12"/>
      <c r="N23" s="64"/>
      <c r="O23" s="12"/>
      <c r="P23" s="12"/>
      <c r="Q23" s="12"/>
      <c r="R23" s="12"/>
      <c r="S23" s="12"/>
      <c r="U23" s="12"/>
      <c r="V23" s="12"/>
      <c r="X23" s="12"/>
      <c r="Y23" s="12"/>
    </row>
    <row r="24" spans="1:25" x14ac:dyDescent="0.25">
      <c r="A24" s="3" t="s">
        <v>11</v>
      </c>
      <c r="B24" s="12">
        <f t="shared" ref="B24:I24" si="20">B13-B22</f>
        <v>1805157.264688523</v>
      </c>
      <c r="C24" s="12">
        <f t="shared" si="20"/>
        <v>53554.674709724437</v>
      </c>
      <c r="D24" s="12">
        <f t="shared" si="20"/>
        <v>1550296.7751319022</v>
      </c>
      <c r="E24" s="12">
        <f t="shared" si="20"/>
        <v>48512.705122650143</v>
      </c>
      <c r="F24" s="12">
        <f t="shared" si="20"/>
        <v>338019.6726457355</v>
      </c>
      <c r="G24" s="12">
        <f t="shared" si="20"/>
        <v>269436.60604595899</v>
      </c>
      <c r="H24" s="12">
        <f t="shared" si="20"/>
        <v>2258.279755505464</v>
      </c>
      <c r="I24" s="12">
        <f t="shared" si="20"/>
        <v>4067235.9780999999</v>
      </c>
      <c r="J24" s="12"/>
      <c r="L24" s="17">
        <f t="shared" ref="L24:S24" si="21">L13-L22</f>
        <v>79.266424161310141</v>
      </c>
      <c r="M24" s="17">
        <f t="shared" si="21"/>
        <v>97.430594192378024</v>
      </c>
      <c r="N24" s="62">
        <f t="shared" si="21"/>
        <v>93.04525485809728</v>
      </c>
      <c r="O24" s="17">
        <f t="shared" si="21"/>
        <v>48.701667592910646</v>
      </c>
      <c r="P24" s="17">
        <f t="shared" si="21"/>
        <v>64.581766198138979</v>
      </c>
      <c r="Q24" s="17">
        <f t="shared" si="21"/>
        <v>64.680878053489849</v>
      </c>
      <c r="R24" s="17">
        <f t="shared" si="21"/>
        <v>6.1173468293029174</v>
      </c>
      <c r="S24" s="17">
        <f t="shared" si="21"/>
        <v>80.14321251990161</v>
      </c>
      <c r="U24" s="12">
        <f>U13-U22</f>
        <v>1888316.4477776375</v>
      </c>
      <c r="V24" s="17">
        <f>V13-V22</f>
        <v>86.241310418864217</v>
      </c>
      <c r="X24" s="12">
        <f>X13-X22</f>
        <v>3409008.7145301495</v>
      </c>
      <c r="Y24" s="17">
        <f>Y13-Y22</f>
        <v>85.257807660231876</v>
      </c>
    </row>
    <row r="25" spans="1:25" x14ac:dyDescent="0.25">
      <c r="A25" s="3"/>
      <c r="B25" s="12"/>
      <c r="C25" s="12"/>
      <c r="D25" s="12"/>
      <c r="E25" s="12"/>
      <c r="F25" s="12"/>
      <c r="G25" s="12"/>
      <c r="H25" s="12"/>
      <c r="I25" s="12"/>
      <c r="J25" s="12"/>
      <c r="L25" s="17"/>
      <c r="M25" s="17"/>
      <c r="N25" s="62"/>
      <c r="O25" s="17"/>
      <c r="P25" s="17"/>
      <c r="Q25" s="17"/>
      <c r="R25" s="17"/>
      <c r="S25" s="17"/>
      <c r="U25" s="12"/>
      <c r="V25" s="17"/>
      <c r="X25" s="12"/>
      <c r="Y25" s="17"/>
    </row>
    <row r="26" spans="1:25" x14ac:dyDescent="0.25">
      <c r="A26" s="3" t="s">
        <v>112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64"/>
      <c r="O26" s="12"/>
      <c r="P26" s="12"/>
      <c r="Q26" s="12"/>
      <c r="R26" s="12"/>
      <c r="S26" s="12"/>
      <c r="U26" s="12"/>
      <c r="V26" s="12"/>
      <c r="X26" s="12"/>
      <c r="Y26" s="12"/>
    </row>
    <row r="27" spans="1:25" x14ac:dyDescent="0.25">
      <c r="A27" s="2" t="s">
        <v>12</v>
      </c>
      <c r="B27" s="12">
        <f>B53*48.115</f>
        <v>1095736.8483500001</v>
      </c>
      <c r="C27" s="12">
        <f t="shared" ref="C27:F27" si="22">C53*48.115</f>
        <v>26447.372049999998</v>
      </c>
      <c r="D27" s="12">
        <f t="shared" si="22"/>
        <v>801680.10125000007</v>
      </c>
      <c r="E27" s="12">
        <f t="shared" si="22"/>
        <v>47928.313799999996</v>
      </c>
      <c r="F27" s="12">
        <f t="shared" si="22"/>
        <v>251832.94769999999</v>
      </c>
      <c r="G27" s="12">
        <f>14580+13897+16989-152</f>
        <v>45314</v>
      </c>
      <c r="H27" s="12">
        <f>Q27*0.5*$H$53</f>
        <v>2007.8735077287226</v>
      </c>
      <c r="I27" s="12">
        <f t="shared" ref="I27:I33" si="23">SUM(B27:H27)</f>
        <v>2270947.4566577286</v>
      </c>
      <c r="J27" s="12"/>
      <c r="L27" s="17">
        <f t="shared" ref="L27:S33" si="24">B27/B$53</f>
        <v>48.115000000000002</v>
      </c>
      <c r="M27" s="17">
        <f t="shared" si="24"/>
        <v>48.115000000000002</v>
      </c>
      <c r="N27" s="62">
        <f t="shared" si="24"/>
        <v>48.115000000000002</v>
      </c>
      <c r="O27" s="17">
        <f t="shared" si="24"/>
        <v>48.115000000000002</v>
      </c>
      <c r="P27" s="17">
        <f t="shared" si="24"/>
        <v>48.115000000000002</v>
      </c>
      <c r="Q27" s="17">
        <f t="shared" si="24"/>
        <v>10.878066462935978</v>
      </c>
      <c r="R27" s="17">
        <f t="shared" si="24"/>
        <v>5.439033231467989</v>
      </c>
      <c r="S27" s="17">
        <f t="shared" si="24"/>
        <v>44.748085830385435</v>
      </c>
      <c r="U27" s="12">
        <f t="shared" ref="U27:U33" si="25">D27+F27</f>
        <v>1053513.04895</v>
      </c>
      <c r="V27" s="17">
        <f t="shared" ref="V27:V33" si="26">U27/$U$53</f>
        <v>48.115000000000002</v>
      </c>
      <c r="X27" s="12">
        <f t="shared" ref="X27:X33" si="27">SUM(B27:D27)</f>
        <v>1923864.3216500001</v>
      </c>
      <c r="Y27" s="17">
        <f t="shared" ref="Y27:Y33" si="28">X27/$X$53</f>
        <v>48.115000000000002</v>
      </c>
    </row>
    <row r="28" spans="1:25" x14ac:dyDescent="0.25">
      <c r="A28" s="2" t="s">
        <v>13</v>
      </c>
      <c r="B28" s="12">
        <f>B53*2.52515</f>
        <v>57505.973243500004</v>
      </c>
      <c r="C28" s="12">
        <f t="shared" ref="C28:F28" si="29">C53*2.5251</f>
        <v>1387.9717169999999</v>
      </c>
      <c r="D28" s="12">
        <f t="shared" si="29"/>
        <v>42072.584925000003</v>
      </c>
      <c r="E28" s="12">
        <f t="shared" si="29"/>
        <v>2515.302612</v>
      </c>
      <c r="F28" s="12">
        <f t="shared" si="29"/>
        <v>13216.322898</v>
      </c>
      <c r="G28" s="12"/>
      <c r="H28" s="12">
        <f t="shared" ref="H28:H32" si="30">Q28*0.5*$H$53</f>
        <v>0</v>
      </c>
      <c r="I28" s="12">
        <f t="shared" si="23"/>
        <v>116698.1553955</v>
      </c>
      <c r="J28" s="12"/>
      <c r="L28" s="17">
        <f t="shared" si="24"/>
        <v>2.52515</v>
      </c>
      <c r="M28" s="17">
        <f t="shared" si="24"/>
        <v>2.5251000000000001</v>
      </c>
      <c r="N28" s="62">
        <f t="shared" si="24"/>
        <v>2.5251000000000001</v>
      </c>
      <c r="O28" s="17">
        <f t="shared" si="24"/>
        <v>2.5251000000000001</v>
      </c>
      <c r="P28" s="17">
        <f t="shared" si="24"/>
        <v>2.5251000000000001</v>
      </c>
      <c r="Q28" s="17">
        <f t="shared" si="24"/>
        <v>0</v>
      </c>
      <c r="R28" s="17">
        <f t="shared" si="24"/>
        <v>0</v>
      </c>
      <c r="S28" s="17">
        <f t="shared" si="24"/>
        <v>2.2994891663284047</v>
      </c>
      <c r="U28" s="12">
        <f t="shared" si="25"/>
        <v>55288.907823000001</v>
      </c>
      <c r="V28" s="17">
        <f t="shared" si="26"/>
        <v>2.5251000000000001</v>
      </c>
      <c r="X28" s="12">
        <f t="shared" si="27"/>
        <v>100966.5298855</v>
      </c>
      <c r="Y28" s="17">
        <f t="shared" si="28"/>
        <v>2.5251284774980238</v>
      </c>
    </row>
    <row r="29" spans="1:25" x14ac:dyDescent="0.25">
      <c r="A29" s="2" t="s">
        <v>14</v>
      </c>
      <c r="B29" s="12">
        <f>B53*3.59312</f>
        <v>81827.163764800003</v>
      </c>
      <c r="C29" s="12">
        <f t="shared" ref="C29:F29" si="31">C53*3.59312</f>
        <v>1975.0302703999998</v>
      </c>
      <c r="D29" s="12">
        <f t="shared" si="31"/>
        <v>59867.667159999997</v>
      </c>
      <c r="E29" s="12">
        <f t="shared" si="31"/>
        <v>3579.1786943999996</v>
      </c>
      <c r="F29" s="12">
        <f t="shared" si="31"/>
        <v>18806.318217599997</v>
      </c>
      <c r="G29" s="12">
        <f>3380+2961+4081+2</f>
        <v>10424</v>
      </c>
      <c r="H29" s="12">
        <f t="shared" si="30"/>
        <v>461.88977897700937</v>
      </c>
      <c r="I29" s="12">
        <f t="shared" si="23"/>
        <v>176941.24788617701</v>
      </c>
      <c r="J29" s="12"/>
      <c r="L29" s="17">
        <f t="shared" si="24"/>
        <v>3.5931199999999999</v>
      </c>
      <c r="M29" s="17">
        <f t="shared" si="24"/>
        <v>3.5931199999999999</v>
      </c>
      <c r="N29" s="62">
        <f t="shared" si="24"/>
        <v>3.5931199999999999</v>
      </c>
      <c r="O29" s="17">
        <f t="shared" si="24"/>
        <v>3.5931199999999999</v>
      </c>
      <c r="P29" s="17">
        <f t="shared" si="24"/>
        <v>3.5931199999999999</v>
      </c>
      <c r="Q29" s="17">
        <f t="shared" si="24"/>
        <v>2.5023825927890857</v>
      </c>
      <c r="R29" s="17">
        <f t="shared" si="24"/>
        <v>1.2511912963945429</v>
      </c>
      <c r="S29" s="17">
        <f t="shared" si="24"/>
        <v>3.4865545321771405</v>
      </c>
      <c r="U29" s="12">
        <f t="shared" si="25"/>
        <v>78673.985377599995</v>
      </c>
      <c r="V29" s="17">
        <f t="shared" si="26"/>
        <v>3.5931199999999999</v>
      </c>
      <c r="X29" s="12">
        <f t="shared" si="27"/>
        <v>143669.86119520001</v>
      </c>
      <c r="Y29" s="17">
        <f t="shared" si="28"/>
        <v>3.5931200000000003</v>
      </c>
    </row>
    <row r="30" spans="1:25" x14ac:dyDescent="0.25">
      <c r="A30" s="2" t="s">
        <v>15</v>
      </c>
      <c r="B30" s="12">
        <f>B53*14.03169</f>
        <v>319547.74556010001</v>
      </c>
      <c r="C30" s="12">
        <f t="shared" ref="C30:F30" si="32">C53*14.03169</f>
        <v>7712.7990422999992</v>
      </c>
      <c r="D30" s="12">
        <f t="shared" si="32"/>
        <v>233792.51085749999</v>
      </c>
      <c r="E30" s="12">
        <f t="shared" si="32"/>
        <v>13977.247042799998</v>
      </c>
      <c r="F30" s="12">
        <f t="shared" si="32"/>
        <v>73441.584826199993</v>
      </c>
      <c r="G30" s="12">
        <f>4725+4390+2465</f>
        <v>11580</v>
      </c>
      <c r="H30" s="12">
        <f t="shared" si="30"/>
        <v>513.11239836471304</v>
      </c>
      <c r="I30" s="12">
        <f t="shared" si="23"/>
        <v>660564.99972726463</v>
      </c>
      <c r="J30" s="12"/>
      <c r="L30" s="17">
        <f t="shared" si="24"/>
        <v>14.031689999999999</v>
      </c>
      <c r="M30" s="17">
        <f t="shared" si="24"/>
        <v>14.031689999999999</v>
      </c>
      <c r="N30" s="62">
        <f t="shared" si="24"/>
        <v>14.031689999999999</v>
      </c>
      <c r="O30" s="17">
        <f t="shared" si="24"/>
        <v>14.031689999999999</v>
      </c>
      <c r="P30" s="17">
        <f t="shared" si="24"/>
        <v>14.031689999999999</v>
      </c>
      <c r="Q30" s="17">
        <f t="shared" si="24"/>
        <v>2.7798916370392952</v>
      </c>
      <c r="R30" s="17">
        <f t="shared" si="24"/>
        <v>1.3899458185196476</v>
      </c>
      <c r="S30" s="17">
        <f t="shared" si="24"/>
        <v>13.016161698363428</v>
      </c>
      <c r="U30" s="12">
        <f t="shared" si="25"/>
        <v>307234.0956837</v>
      </c>
      <c r="V30" s="17">
        <f t="shared" si="26"/>
        <v>14.031689999999999</v>
      </c>
      <c r="X30" s="12">
        <f t="shared" si="27"/>
        <v>561053.05545989994</v>
      </c>
      <c r="Y30" s="17">
        <f t="shared" si="28"/>
        <v>14.031689999999999</v>
      </c>
    </row>
    <row r="31" spans="1:25" x14ac:dyDescent="0.25">
      <c r="A31" s="2" t="s">
        <v>16</v>
      </c>
      <c r="B31" s="12">
        <f>B53*2.3584118</f>
        <v>53708.795860822</v>
      </c>
      <c r="C31" s="12">
        <f t="shared" ref="C31:F31" si="33">C53*2.3584118</f>
        <v>1296.3482141059999</v>
      </c>
      <c r="D31" s="12">
        <f t="shared" si="33"/>
        <v>39295.267808649995</v>
      </c>
      <c r="E31" s="12">
        <f t="shared" si="33"/>
        <v>2349.2611622159998</v>
      </c>
      <c r="F31" s="12">
        <f t="shared" si="33"/>
        <v>12343.880192963998</v>
      </c>
      <c r="G31" s="12">
        <f>328+244+281+2</f>
        <v>855</v>
      </c>
      <c r="H31" s="12">
        <f t="shared" si="30"/>
        <v>37.885241848171816</v>
      </c>
      <c r="I31" s="12">
        <f t="shared" si="23"/>
        <v>109886.43848060617</v>
      </c>
      <c r="J31" s="12"/>
      <c r="L31" s="17">
        <f t="shared" si="24"/>
        <v>2.3584117999999998</v>
      </c>
      <c r="M31" s="17">
        <f t="shared" si="24"/>
        <v>2.3584117999999998</v>
      </c>
      <c r="N31" s="62">
        <f t="shared" si="24"/>
        <v>2.3584117999999998</v>
      </c>
      <c r="O31" s="17">
        <f t="shared" si="24"/>
        <v>2.3584117999999998</v>
      </c>
      <c r="P31" s="17">
        <f t="shared" si="24"/>
        <v>2.3584117999999998</v>
      </c>
      <c r="Q31" s="17">
        <f t="shared" si="24"/>
        <v>0.20525106646533656</v>
      </c>
      <c r="R31" s="17">
        <f t="shared" si="24"/>
        <v>0.10262553323266828</v>
      </c>
      <c r="S31" s="17">
        <f t="shared" si="24"/>
        <v>2.1652670854668052</v>
      </c>
      <c r="U31" s="12">
        <f t="shared" si="25"/>
        <v>51639.14800161399</v>
      </c>
      <c r="V31" s="17">
        <f t="shared" si="26"/>
        <v>2.3584117999999994</v>
      </c>
      <c r="X31" s="12">
        <f t="shared" si="27"/>
        <v>94300.411883577995</v>
      </c>
      <c r="Y31" s="17">
        <f t="shared" si="28"/>
        <v>2.3584117999999998</v>
      </c>
    </row>
    <row r="32" spans="1:25" x14ac:dyDescent="0.25">
      <c r="A32" s="2" t="s">
        <v>17</v>
      </c>
      <c r="B32" s="12">
        <f>B53*7.325976</f>
        <v>166836.57598103999</v>
      </c>
      <c r="C32" s="12">
        <f t="shared" ref="C32:F32" si="34">C53*7.325976</f>
        <v>4026.8692279199995</v>
      </c>
      <c r="D32" s="12">
        <f t="shared" si="34"/>
        <v>122063.58061799999</v>
      </c>
      <c r="E32" s="12">
        <f t="shared" si="34"/>
        <v>7297.5512131199994</v>
      </c>
      <c r="F32" s="12">
        <f t="shared" si="34"/>
        <v>38344.011864479995</v>
      </c>
      <c r="G32" s="12">
        <f>2228+3012+2368+1</f>
        <v>7609</v>
      </c>
      <c r="H32" s="12">
        <f t="shared" si="30"/>
        <v>337.15649733653731</v>
      </c>
      <c r="I32" s="12">
        <f t="shared" si="23"/>
        <v>346514.74540189648</v>
      </c>
      <c r="J32" s="12"/>
      <c r="L32" s="17">
        <f t="shared" si="24"/>
        <v>7.3259759999999989</v>
      </c>
      <c r="M32" s="17">
        <f t="shared" si="24"/>
        <v>7.3259759999999998</v>
      </c>
      <c r="N32" s="62">
        <f t="shared" si="24"/>
        <v>7.3259759999999998</v>
      </c>
      <c r="O32" s="17">
        <f t="shared" si="24"/>
        <v>7.3259759999999998</v>
      </c>
      <c r="P32" s="17">
        <f t="shared" si="24"/>
        <v>7.3259759999999998</v>
      </c>
      <c r="Q32" s="17">
        <f t="shared" si="24"/>
        <v>1.8266144616780655</v>
      </c>
      <c r="R32" s="17">
        <f t="shared" si="24"/>
        <v>0.91330723083903276</v>
      </c>
      <c r="S32" s="17">
        <f t="shared" si="24"/>
        <v>6.8279305728891755</v>
      </c>
      <c r="U32" s="12">
        <f t="shared" si="25"/>
        <v>160407.59248247999</v>
      </c>
      <c r="V32" s="17">
        <f t="shared" si="26"/>
        <v>7.3259759999999998</v>
      </c>
      <c r="X32" s="12">
        <f t="shared" si="27"/>
        <v>292927.02582695999</v>
      </c>
      <c r="Y32" s="17">
        <f t="shared" si="28"/>
        <v>7.3259759999999998</v>
      </c>
    </row>
    <row r="33" spans="1:25" x14ac:dyDescent="0.25">
      <c r="A33" s="2" t="s">
        <v>18</v>
      </c>
      <c r="B33" s="12">
        <f>B8*0.015+B7*0.00484*0.8+B17/54.24*13.27</f>
        <v>53066.147950786908</v>
      </c>
      <c r="C33" s="12">
        <f>C17/54.24*13.27+C8*0.015+C7*0.00484*0.8</f>
        <v>1972.5027876506497</v>
      </c>
      <c r="D33" s="12">
        <f>D17/54.24*13.27+D7*0.00484*0.8+D11*0.015+10000</f>
        <v>67941.112649470509</v>
      </c>
      <c r="E33" s="12">
        <f>E17/54.24*13.27+E8*0.015+E7*0.00484*0.8</f>
        <v>3387.937362462601</v>
      </c>
      <c r="F33" s="12">
        <f>F17/54.24*13.27+F7*0.00484*0.8+F11*0.015+12006</f>
        <v>37530.10794696823</v>
      </c>
      <c r="G33" s="12">
        <f>G8*0.015+G7*0.00484*0.8</f>
        <v>2631.8059840000001</v>
      </c>
      <c r="H33" s="12">
        <f>H8*0.015+H7*0.00484*0.8</f>
        <v>179.86036000000001</v>
      </c>
      <c r="I33" s="12">
        <f t="shared" si="23"/>
        <v>166709.47504133891</v>
      </c>
      <c r="J33" s="12"/>
      <c r="K33" s="12">
        <v>134455.51</v>
      </c>
      <c r="L33" s="17">
        <f t="shared" si="24"/>
        <v>2.330192429411249</v>
      </c>
      <c r="M33" s="17">
        <f t="shared" si="24"/>
        <v>3.5885218179101095</v>
      </c>
      <c r="N33" s="62">
        <f t="shared" si="24"/>
        <v>4.0776696715213294</v>
      </c>
      <c r="O33" s="17">
        <f t="shared" si="24"/>
        <v>3.4011337614570545</v>
      </c>
      <c r="P33" s="17">
        <f t="shared" si="24"/>
        <v>7.1704721735597445</v>
      </c>
      <c r="Q33" s="17">
        <f t="shared" si="24"/>
        <v>0.63179062566766608</v>
      </c>
      <c r="R33" s="17">
        <f t="shared" si="24"/>
        <v>0.48721519124498869</v>
      </c>
      <c r="S33" s="17">
        <f t="shared" si="24"/>
        <v>3.284941655527116</v>
      </c>
      <c r="U33" s="12">
        <f t="shared" si="25"/>
        <v>105471.22059643874</v>
      </c>
      <c r="V33" s="17">
        <f t="shared" si="26"/>
        <v>4.8169766706311572</v>
      </c>
      <c r="X33" s="12">
        <f t="shared" si="27"/>
        <v>122979.76338790807</v>
      </c>
      <c r="Y33" s="17">
        <f t="shared" si="28"/>
        <v>3.0756697594632567</v>
      </c>
    </row>
    <row r="34" spans="1:25" x14ac:dyDescent="0.25">
      <c r="A34" s="4" t="s">
        <v>19</v>
      </c>
      <c r="B34" s="13">
        <f>SUM(B27:B33)</f>
        <v>1828229.2507110492</v>
      </c>
      <c r="C34" s="13">
        <f>SUM(C27:C33)</f>
        <v>44818.893309376646</v>
      </c>
      <c r="D34" s="13">
        <f>SUM(D27:D33)</f>
        <v>1366712.8252686204</v>
      </c>
      <c r="E34" s="13">
        <f t="shared" ref="E34:I34" si="35">SUM(E27:E33)</f>
        <v>81034.791886998588</v>
      </c>
      <c r="F34" s="13">
        <f t="shared" si="35"/>
        <v>445515.17364621215</v>
      </c>
      <c r="G34" s="13">
        <f t="shared" si="35"/>
        <v>78413.805984000006</v>
      </c>
      <c r="H34" s="13">
        <f t="shared" si="35"/>
        <v>3537.7777842551545</v>
      </c>
      <c r="I34" s="13">
        <f t="shared" si="35"/>
        <v>3848262.5185905118</v>
      </c>
      <c r="J34" s="12"/>
      <c r="L34" s="24">
        <f>SUM(L27:L33)</f>
        <v>80.279540229411253</v>
      </c>
      <c r="M34" s="24">
        <f>SUM(M27:M33)</f>
        <v>81.537819617910102</v>
      </c>
      <c r="N34" s="63">
        <f>SUM(N27:N33)</f>
        <v>82.026967471521331</v>
      </c>
      <c r="O34" s="24">
        <f t="shared" ref="O34:S34" si="36">SUM(O27:O33)</f>
        <v>81.350431561457057</v>
      </c>
      <c r="P34" s="24">
        <f t="shared" si="36"/>
        <v>85.119769973559741</v>
      </c>
      <c r="Q34" s="24">
        <f t="shared" si="36"/>
        <v>18.823996846575426</v>
      </c>
      <c r="R34" s="24">
        <f t="shared" si="36"/>
        <v>9.5833183016988688</v>
      </c>
      <c r="S34" s="24">
        <f t="shared" si="36"/>
        <v>75.828430541137507</v>
      </c>
      <c r="U34" s="13">
        <f t="shared" ref="U34" si="37">SUM(U27:U33)</f>
        <v>1812227.9989148327</v>
      </c>
      <c r="V34" s="24">
        <f>SUM(V27:V33)</f>
        <v>82.76627447063116</v>
      </c>
      <c r="X34" s="13">
        <f t="shared" ref="X34" si="38">SUM(X27:X33)</f>
        <v>3239760.9692890462</v>
      </c>
      <c r="Y34" s="24">
        <f>SUM(Y27:Y33)</f>
        <v>81.024996036961269</v>
      </c>
    </row>
    <row r="35" spans="1:25" x14ac:dyDescent="0.25">
      <c r="A35" s="1"/>
      <c r="B35" s="12"/>
      <c r="C35" s="12"/>
      <c r="D35" s="12"/>
      <c r="E35" s="12"/>
      <c r="F35" s="12"/>
      <c r="G35" s="12"/>
      <c r="H35" s="12"/>
      <c r="I35" s="12"/>
      <c r="J35" s="12"/>
      <c r="L35" s="12"/>
      <c r="M35" s="12"/>
      <c r="N35" s="64"/>
      <c r="O35" s="12"/>
      <c r="P35" s="12"/>
      <c r="Q35" s="12"/>
      <c r="R35" s="12"/>
      <c r="S35" s="12"/>
      <c r="U35" s="12"/>
      <c r="V35" s="12"/>
      <c r="X35" s="12"/>
      <c r="Y35" s="12"/>
    </row>
    <row r="36" spans="1:25" x14ac:dyDescent="0.25">
      <c r="A36" s="2" t="s">
        <v>20</v>
      </c>
      <c r="B36" s="12">
        <f>B53*6.912691</f>
        <v>157424.71682338999</v>
      </c>
      <c r="C36" s="12">
        <f t="shared" ref="C36:F36" si="39">C53*6.912691</f>
        <v>3799.6988619699996</v>
      </c>
      <c r="D36" s="12">
        <f t="shared" si="39"/>
        <v>115177.52926924999</v>
      </c>
      <c r="E36" s="12">
        <f t="shared" si="39"/>
        <v>6885.8697589199992</v>
      </c>
      <c r="F36" s="12">
        <f t="shared" si="39"/>
        <v>36180.886440179995</v>
      </c>
      <c r="G36" s="12">
        <v>8163</v>
      </c>
      <c r="H36" s="12">
        <f t="shared" ref="H36" si="40">Q36*0.5*$H$53</f>
        <v>361.70436164517724</v>
      </c>
      <c r="I36" s="12">
        <f>SUM(B36:H36)</f>
        <v>327993.40551535512</v>
      </c>
      <c r="J36" s="12"/>
      <c r="L36" s="17">
        <f>B36/B$53</f>
        <v>6.9126909999999988</v>
      </c>
      <c r="M36" s="17">
        <f>C36/C$53</f>
        <v>6.9126909999999997</v>
      </c>
      <c r="N36" s="62">
        <f>D36/D$53</f>
        <v>6.9126909999999997</v>
      </c>
      <c r="O36" s="17">
        <f>E36/E$53</f>
        <v>6.9126909999999997</v>
      </c>
      <c r="P36" s="17">
        <f>F36/F$53</f>
        <v>6.9126909999999997</v>
      </c>
      <c r="Q36" s="17">
        <f t="shared" ref="Q36:S36" si="41">G36/G$53</f>
        <v>1.9596075503585291</v>
      </c>
      <c r="R36" s="17">
        <f t="shared" si="41"/>
        <v>0.97980377517926442</v>
      </c>
      <c r="S36" s="17">
        <f t="shared" si="41"/>
        <v>6.4629751863138845</v>
      </c>
      <c r="U36" s="12">
        <f>D36+F36</f>
        <v>151358.41570943</v>
      </c>
      <c r="V36" s="17">
        <f>U36/$U$53</f>
        <v>6.9126910000000006</v>
      </c>
      <c r="X36" s="12">
        <f>SUM(B36:D36)</f>
        <v>276401.94495460996</v>
      </c>
      <c r="Y36" s="17">
        <f>X36/$X$53</f>
        <v>6.9126909999999988</v>
      </c>
    </row>
    <row r="37" spans="1:25" x14ac:dyDescent="0.25">
      <c r="A37" s="1"/>
      <c r="B37" s="12"/>
      <c r="C37" s="12"/>
      <c r="D37" s="12"/>
      <c r="E37" s="12"/>
      <c r="F37" s="12"/>
      <c r="G37" s="12"/>
      <c r="H37" s="12"/>
      <c r="I37" s="12"/>
      <c r="J37" s="12"/>
      <c r="L37" s="12"/>
      <c r="M37" s="12"/>
      <c r="N37" s="64"/>
      <c r="O37" s="12"/>
      <c r="P37" s="12"/>
      <c r="Q37" s="12"/>
      <c r="R37" s="12"/>
      <c r="S37" s="12"/>
      <c r="U37" s="12"/>
      <c r="V37" s="12"/>
      <c r="X37" s="12"/>
      <c r="Y37" s="12"/>
    </row>
    <row r="38" spans="1:25" x14ac:dyDescent="0.25">
      <c r="A38" s="5" t="s">
        <v>21</v>
      </c>
      <c r="B38" s="13">
        <f>B36+B34</f>
        <v>1985653.9675344392</v>
      </c>
      <c r="C38" s="13">
        <f>C36+C34</f>
        <v>48618.592171346645</v>
      </c>
      <c r="D38" s="13">
        <f>D36+D34</f>
        <v>1481890.3545378703</v>
      </c>
      <c r="E38" s="13">
        <f t="shared" ref="E38:I38" si="42">E36+E34</f>
        <v>87920.66164591859</v>
      </c>
      <c r="F38" s="13">
        <f t="shared" si="42"/>
        <v>481696.06008639216</v>
      </c>
      <c r="G38" s="13">
        <f t="shared" si="42"/>
        <v>86576.805984000006</v>
      </c>
      <c r="H38" s="13">
        <f t="shared" si="42"/>
        <v>3899.4821459003319</v>
      </c>
      <c r="I38" s="13">
        <f t="shared" si="42"/>
        <v>4176255.9241058668</v>
      </c>
      <c r="J38" s="12"/>
      <c r="K38" s="12">
        <f>I38/1000-7735</f>
        <v>-3558.7440758941329</v>
      </c>
      <c r="L38" s="24">
        <f>L36+L34</f>
        <v>87.192231229411249</v>
      </c>
      <c r="M38" s="24">
        <f>M36+M34</f>
        <v>88.450510617910098</v>
      </c>
      <c r="N38" s="63">
        <f>N36+N34</f>
        <v>88.939658471521327</v>
      </c>
      <c r="O38" s="24">
        <f t="shared" ref="O38:S38" si="43">O36+O34</f>
        <v>88.263122561457052</v>
      </c>
      <c r="P38" s="24">
        <f t="shared" si="43"/>
        <v>92.032460973559736</v>
      </c>
      <c r="Q38" s="24">
        <f t="shared" si="43"/>
        <v>20.783604396933956</v>
      </c>
      <c r="R38" s="24">
        <f t="shared" si="43"/>
        <v>10.563122076878134</v>
      </c>
      <c r="S38" s="24">
        <f t="shared" si="43"/>
        <v>82.291405727451391</v>
      </c>
      <c r="U38" s="13">
        <f t="shared" ref="U38" si="44">U36+U34</f>
        <v>1963586.4146242626</v>
      </c>
      <c r="V38" s="24">
        <f>V36+V34</f>
        <v>89.678965470631155</v>
      </c>
      <c r="X38" s="13">
        <f t="shared" ref="X38" si="45">X36+X34</f>
        <v>3516162.9142436562</v>
      </c>
      <c r="Y38" s="24">
        <f>Y36+Y34</f>
        <v>87.937687036961265</v>
      </c>
    </row>
    <row r="39" spans="1:25" x14ac:dyDescent="0.25">
      <c r="A39" s="1"/>
      <c r="B39" s="12"/>
      <c r="C39" s="12"/>
      <c r="D39" s="12"/>
      <c r="E39" s="12"/>
      <c r="F39" s="12"/>
      <c r="G39" s="12"/>
      <c r="H39" s="12"/>
      <c r="I39" s="12"/>
      <c r="J39" s="12"/>
      <c r="L39" s="12"/>
      <c r="M39" s="12"/>
      <c r="N39" s="64"/>
      <c r="O39" s="12"/>
      <c r="P39" s="12"/>
      <c r="Q39" s="12"/>
      <c r="R39" s="12"/>
      <c r="S39" s="12"/>
      <c r="U39" s="12"/>
      <c r="V39" s="12"/>
      <c r="X39" s="12"/>
      <c r="Y39" s="12"/>
    </row>
    <row r="40" spans="1:25" x14ac:dyDescent="0.25">
      <c r="A40" s="6" t="s">
        <v>22</v>
      </c>
      <c r="B40" s="13">
        <f>B24-B38</f>
        <v>-180496.70284591615</v>
      </c>
      <c r="C40" s="13">
        <f>C24-C38</f>
        <v>4936.0825383777919</v>
      </c>
      <c r="D40" s="13">
        <f>D24-D38</f>
        <v>68406.420594031923</v>
      </c>
      <c r="E40" s="13">
        <f t="shared" ref="E40:I40" si="46">E24-E38</f>
        <v>-39407.956523268447</v>
      </c>
      <c r="F40" s="13">
        <f t="shared" si="46"/>
        <v>-143676.38744065666</v>
      </c>
      <c r="G40" s="13">
        <f t="shared" si="46"/>
        <v>182859.80006195899</v>
      </c>
      <c r="H40" s="13">
        <f t="shared" si="46"/>
        <v>-1641.202390394868</v>
      </c>
      <c r="I40" s="13">
        <f t="shared" si="46"/>
        <v>-109019.94600586686</v>
      </c>
      <c r="J40" s="12"/>
      <c r="L40" s="24">
        <f>L24-L38</f>
        <v>-7.9258070681011077</v>
      </c>
      <c r="M40" s="24">
        <f>M24-M38</f>
        <v>8.9800835744679262</v>
      </c>
      <c r="N40" s="63">
        <f>N24-N38</f>
        <v>4.1055963865759537</v>
      </c>
      <c r="O40" s="24">
        <f t="shared" ref="O40:S40" si="47">O24-O38</f>
        <v>-39.561454968546407</v>
      </c>
      <c r="P40" s="24">
        <f t="shared" si="47"/>
        <v>-27.450694775420757</v>
      </c>
      <c r="Q40" s="24">
        <f t="shared" si="47"/>
        <v>43.897273656555896</v>
      </c>
      <c r="R40" s="24">
        <f t="shared" si="47"/>
        <v>-4.4457752475752166</v>
      </c>
      <c r="S40" s="24">
        <f t="shared" si="47"/>
        <v>-2.1481932075497809</v>
      </c>
      <c r="U40" s="13">
        <f t="shared" ref="U40" si="48">U24-U38</f>
        <v>-75269.966846625088</v>
      </c>
      <c r="V40" s="24">
        <f>V24-V38</f>
        <v>-3.4376550517669386</v>
      </c>
      <c r="X40" s="13">
        <f t="shared" ref="X40" si="49">X24-X38</f>
        <v>-107154.19971350674</v>
      </c>
      <c r="Y40" s="24">
        <f>Y24-Y38</f>
        <v>-2.6798793767293887</v>
      </c>
    </row>
    <row r="41" spans="1:25" x14ac:dyDescent="0.25">
      <c r="A41" s="1"/>
      <c r="B41" s="12"/>
      <c r="C41" s="12"/>
      <c r="D41" s="12"/>
      <c r="E41" s="12"/>
      <c r="F41" s="12"/>
      <c r="G41" s="12"/>
      <c r="H41" s="12"/>
      <c r="I41" s="12"/>
      <c r="J41" s="12"/>
      <c r="L41" s="12"/>
      <c r="M41" s="12"/>
      <c r="N41" s="64"/>
      <c r="O41" s="12"/>
      <c r="P41" s="12"/>
      <c r="Q41" s="12"/>
      <c r="R41" s="12"/>
      <c r="S41" s="12"/>
      <c r="U41" s="12"/>
      <c r="V41" s="12"/>
      <c r="X41" s="12"/>
      <c r="Y41" s="12"/>
    </row>
    <row r="42" spans="1:25" x14ac:dyDescent="0.25">
      <c r="A42" s="2" t="s">
        <v>23</v>
      </c>
      <c r="B42" s="12">
        <f>107050/$I$53*B$53</f>
        <v>48037.43663989471</v>
      </c>
      <c r="C42" s="12">
        <f t="shared" ref="C42:H42" si="50">107050/$I$53*C$53</f>
        <v>1159.460833188833</v>
      </c>
      <c r="D42" s="12">
        <f t="shared" si="50"/>
        <v>35145.899425808289</v>
      </c>
      <c r="E42" s="12">
        <f t="shared" si="50"/>
        <v>2101.1918517584377</v>
      </c>
      <c r="F42" s="12">
        <f t="shared" si="50"/>
        <v>11040.433008338983</v>
      </c>
      <c r="G42" s="12">
        <f t="shared" si="50"/>
        <v>8786.880911376642</v>
      </c>
      <c r="H42" s="12">
        <f t="shared" si="50"/>
        <v>778.69732963412525</v>
      </c>
      <c r="I42" s="12">
        <f t="shared" ref="I42:I45" si="51">SUM(B42:H42)</f>
        <v>107050.00000000003</v>
      </c>
      <c r="J42" s="12"/>
      <c r="K42" s="12">
        <f>300249-10210</f>
        <v>290039</v>
      </c>
      <c r="L42" s="17">
        <f t="shared" ref="L42:S45" si="52">B42/B$53</f>
        <v>2.1093762315368005</v>
      </c>
      <c r="M42" s="17">
        <f t="shared" si="52"/>
        <v>2.1093762315368005</v>
      </c>
      <c r="N42" s="62">
        <f t="shared" si="52"/>
        <v>2.1093762315368005</v>
      </c>
      <c r="O42" s="17">
        <f t="shared" si="52"/>
        <v>2.1093762315368005</v>
      </c>
      <c r="P42" s="17">
        <f t="shared" si="52"/>
        <v>2.1093762315368005</v>
      </c>
      <c r="Q42" s="17">
        <f t="shared" si="52"/>
        <v>2.1093762315368005</v>
      </c>
      <c r="R42" s="17">
        <f t="shared" si="52"/>
        <v>2.1093762315368005</v>
      </c>
      <c r="S42" s="17">
        <f t="shared" si="52"/>
        <v>2.109376231536801</v>
      </c>
      <c r="U42" s="12">
        <f t="shared" ref="U42:U45" si="53">D42+F42</f>
        <v>46186.332434147276</v>
      </c>
      <c r="V42" s="17">
        <f>U42/$U$53</f>
        <v>2.109376231536801</v>
      </c>
      <c r="X42" s="12">
        <f>SUM(B42:D42)</f>
        <v>84342.796898891829</v>
      </c>
      <c r="Y42" s="17">
        <f>X42/$X$53</f>
        <v>2.1093762315368005</v>
      </c>
    </row>
    <row r="43" spans="1:25" x14ac:dyDescent="0.25">
      <c r="A43" s="2" t="s">
        <v>24</v>
      </c>
      <c r="B43" s="12">
        <f>(943)/$I$53*B$53</f>
        <v>423.16023121364503</v>
      </c>
      <c r="C43" s="12">
        <f t="shared" ref="C43:H43" si="54">(943)/$I$53*C$53</f>
        <v>10.213653112536846</v>
      </c>
      <c r="D43" s="12">
        <f t="shared" si="54"/>
        <v>309.59909536232794</v>
      </c>
      <c r="E43" s="12">
        <f t="shared" si="54"/>
        <v>18.509331305074323</v>
      </c>
      <c r="F43" s="12">
        <f t="shared" si="54"/>
        <v>97.254818560146276</v>
      </c>
      <c r="G43" s="12">
        <f t="shared" si="54"/>
        <v>77.403350765326223</v>
      </c>
      <c r="H43" s="12">
        <f t="shared" si="54"/>
        <v>6.859519680943297</v>
      </c>
      <c r="I43" s="12">
        <f t="shared" si="51"/>
        <v>943</v>
      </c>
      <c r="J43" s="12"/>
      <c r="K43" s="12">
        <f>1017811-K42-K44-K45</f>
        <v>120012</v>
      </c>
      <c r="L43" s="17">
        <f t="shared" si="52"/>
        <v>1.8581427242776297E-2</v>
      </c>
      <c r="M43" s="17">
        <f t="shared" si="52"/>
        <v>1.8581427242776297E-2</v>
      </c>
      <c r="N43" s="62">
        <f t="shared" si="52"/>
        <v>1.8581427242776297E-2</v>
      </c>
      <c r="O43" s="17">
        <f t="shared" si="52"/>
        <v>1.8581427242776297E-2</v>
      </c>
      <c r="P43" s="17">
        <f t="shared" si="52"/>
        <v>1.8581427242776297E-2</v>
      </c>
      <c r="Q43" s="17">
        <f t="shared" si="52"/>
        <v>1.8581427242776297E-2</v>
      </c>
      <c r="R43" s="17">
        <f t="shared" si="52"/>
        <v>1.8581427242776297E-2</v>
      </c>
      <c r="S43" s="17">
        <f t="shared" si="52"/>
        <v>1.8581427242776297E-2</v>
      </c>
      <c r="U43" s="12">
        <f t="shared" si="53"/>
        <v>406.85391392247425</v>
      </c>
      <c r="V43" s="17">
        <f>U43/$U$53</f>
        <v>1.8581427242776297E-2</v>
      </c>
      <c r="X43" s="12">
        <f>SUM(B43:D43)</f>
        <v>742.97297968850989</v>
      </c>
      <c r="Y43" s="17">
        <f>X43/$X$53</f>
        <v>1.85814272427763E-2</v>
      </c>
    </row>
    <row r="44" spans="1:25" x14ac:dyDescent="0.25">
      <c r="A44" s="2" t="s">
        <v>25</v>
      </c>
      <c r="B44" s="12">
        <f>-34057/$I$53*B$53</f>
        <v>-15282.680800045715</v>
      </c>
      <c r="C44" s="12">
        <f t="shared" ref="C44:H44" si="55">-34057/$I$53*C$53</f>
        <v>-368.8720933761054</v>
      </c>
      <c r="D44" s="12">
        <f t="shared" si="55"/>
        <v>-11181.353542688021</v>
      </c>
      <c r="E44" s="12">
        <f t="shared" si="55"/>
        <v>-668.47539369768424</v>
      </c>
      <c r="F44" s="12">
        <f t="shared" si="55"/>
        <v>-3512.4150113498431</v>
      </c>
      <c r="G44" s="12">
        <f t="shared" si="55"/>
        <v>-2795.4675684143326</v>
      </c>
      <c r="H44" s="12">
        <f t="shared" si="55"/>
        <v>-247.73559042829893</v>
      </c>
      <c r="I44" s="12">
        <f t="shared" si="51"/>
        <v>-34057</v>
      </c>
      <c r="J44" s="12"/>
      <c r="K44" s="12">
        <v>12665</v>
      </c>
      <c r="L44" s="17">
        <f t="shared" si="52"/>
        <v>-0.67107918091965257</v>
      </c>
      <c r="M44" s="17">
        <f t="shared" si="52"/>
        <v>-0.67107918091965257</v>
      </c>
      <c r="N44" s="62">
        <f t="shared" si="52"/>
        <v>-0.67107918091965257</v>
      </c>
      <c r="O44" s="17">
        <f t="shared" si="52"/>
        <v>-0.67107918091965257</v>
      </c>
      <c r="P44" s="17">
        <f t="shared" si="52"/>
        <v>-0.67107918091965257</v>
      </c>
      <c r="Q44" s="17">
        <f t="shared" si="52"/>
        <v>-0.67107918091965257</v>
      </c>
      <c r="R44" s="17">
        <f t="shared" si="52"/>
        <v>-0.67107918091965257</v>
      </c>
      <c r="S44" s="17">
        <f t="shared" si="52"/>
        <v>-0.67107918091965257</v>
      </c>
      <c r="U44" s="12">
        <f t="shared" si="53"/>
        <v>-14693.768554037864</v>
      </c>
      <c r="V44" s="17">
        <f>U44/$U$53</f>
        <v>-0.67107918091965257</v>
      </c>
      <c r="X44" s="12">
        <f>SUM(B44:D44)</f>
        <v>-26832.906436109843</v>
      </c>
      <c r="Y44" s="17">
        <f>X44/$X$53</f>
        <v>-0.67107918091965257</v>
      </c>
    </row>
    <row r="45" spans="1:25" x14ac:dyDescent="0.25">
      <c r="A45" s="2" t="s">
        <v>26</v>
      </c>
      <c r="B45" s="12">
        <f>259767/$I$53*B$53</f>
        <v>116567.40591906144</v>
      </c>
      <c r="C45" s="12">
        <f t="shared" ref="C45:H45" si="56">259767/$I$53*C$53</f>
        <v>2813.5419173747182</v>
      </c>
      <c r="D45" s="12">
        <f t="shared" si="56"/>
        <v>85284.865540812141</v>
      </c>
      <c r="E45" s="12">
        <f t="shared" si="56"/>
        <v>5098.7417445654737</v>
      </c>
      <c r="F45" s="12">
        <f t="shared" si="56"/>
        <v>26790.660077320805</v>
      </c>
      <c r="G45" s="12">
        <f t="shared" si="56"/>
        <v>21322.201716072639</v>
      </c>
      <c r="H45" s="12">
        <f t="shared" si="56"/>
        <v>1889.5830847927864</v>
      </c>
      <c r="I45" s="12">
        <f t="shared" si="51"/>
        <v>259767</v>
      </c>
      <c r="J45" s="12"/>
      <c r="K45" s="12">
        <f>665668-70573</f>
        <v>595095</v>
      </c>
      <c r="L45" s="17">
        <f t="shared" si="52"/>
        <v>5.1186019200151334</v>
      </c>
      <c r="M45" s="17">
        <f t="shared" si="52"/>
        <v>5.1186019200151334</v>
      </c>
      <c r="N45" s="62">
        <f t="shared" si="52"/>
        <v>5.1186019200151334</v>
      </c>
      <c r="O45" s="17">
        <f t="shared" si="52"/>
        <v>5.1186019200151334</v>
      </c>
      <c r="P45" s="17">
        <f t="shared" si="52"/>
        <v>5.1186019200151334</v>
      </c>
      <c r="Q45" s="17">
        <f t="shared" si="52"/>
        <v>5.1186019200151334</v>
      </c>
      <c r="R45" s="17">
        <f t="shared" si="52"/>
        <v>5.1186019200151334</v>
      </c>
      <c r="S45" s="17">
        <f t="shared" si="52"/>
        <v>5.1186019200151334</v>
      </c>
      <c r="U45" s="12">
        <f t="shared" si="53"/>
        <v>112075.52561813295</v>
      </c>
      <c r="V45" s="17">
        <f>U45/$U$53</f>
        <v>5.1186019200151334</v>
      </c>
      <c r="X45" s="12">
        <f>SUM(B45:D45)</f>
        <v>204665.8133772483</v>
      </c>
      <c r="Y45" s="17">
        <f>X45/$X$53</f>
        <v>5.1186019200151334</v>
      </c>
    </row>
    <row r="46" spans="1:25" x14ac:dyDescent="0.25">
      <c r="A46" s="7" t="s">
        <v>27</v>
      </c>
      <c r="B46" s="13">
        <f>SUM(B42:B45)</f>
        <v>149745.32199012407</v>
      </c>
      <c r="C46" s="13">
        <f>SUM(C42:C45)</f>
        <v>3614.3443102999827</v>
      </c>
      <c r="D46" s="13">
        <f>SUM(D42:D45)</f>
        <v>109559.01051929474</v>
      </c>
      <c r="E46" s="13">
        <f t="shared" ref="E46:I46" si="57">SUM(E42:E45)</f>
        <v>6549.9675339313017</v>
      </c>
      <c r="F46" s="13">
        <f t="shared" si="57"/>
        <v>34415.932892870092</v>
      </c>
      <c r="G46" s="13">
        <f t="shared" si="57"/>
        <v>27391.018409800272</v>
      </c>
      <c r="H46" s="13">
        <f t="shared" si="57"/>
        <v>2427.404343679556</v>
      </c>
      <c r="I46" s="13">
        <f t="shared" si="57"/>
        <v>333703</v>
      </c>
      <c r="J46" s="12"/>
      <c r="L46" s="24">
        <f>SUM(L42:L45)</f>
        <v>6.575480397875058</v>
      </c>
      <c r="M46" s="24">
        <f>SUM(M42:M45)</f>
        <v>6.575480397875058</v>
      </c>
      <c r="N46" s="63">
        <f>SUM(N42:N45)</f>
        <v>6.575480397875058</v>
      </c>
      <c r="O46" s="24">
        <f t="shared" ref="O46:S46" si="58">SUM(O42:O45)</f>
        <v>6.575480397875058</v>
      </c>
      <c r="P46" s="24">
        <f t="shared" si="58"/>
        <v>6.575480397875058</v>
      </c>
      <c r="Q46" s="24">
        <f t="shared" si="58"/>
        <v>6.575480397875058</v>
      </c>
      <c r="R46" s="24">
        <f t="shared" si="58"/>
        <v>6.575480397875058</v>
      </c>
      <c r="S46" s="24">
        <f t="shared" si="58"/>
        <v>6.575480397875058</v>
      </c>
      <c r="U46" s="13">
        <f t="shared" ref="U46" si="59">SUM(U42:U45)</f>
        <v>143974.94341216484</v>
      </c>
      <c r="V46" s="24">
        <f>SUM(V42:V45)</f>
        <v>6.575480397875058</v>
      </c>
      <c r="X46" s="13">
        <f t="shared" ref="X46" si="60">SUM(X42:X45)</f>
        <v>262918.67681971879</v>
      </c>
      <c r="Y46" s="24">
        <f>SUM(Y42:Y45)</f>
        <v>6.575480397875058</v>
      </c>
    </row>
    <row r="47" spans="1:25" x14ac:dyDescent="0.25">
      <c r="B47" s="12"/>
      <c r="C47" s="12"/>
      <c r="D47" s="12"/>
      <c r="E47" s="12"/>
      <c r="F47" s="12"/>
      <c r="G47" s="12"/>
      <c r="H47" s="12"/>
      <c r="I47" s="12"/>
      <c r="J47" s="12"/>
      <c r="L47" s="12"/>
      <c r="M47" s="12"/>
      <c r="N47" s="64"/>
      <c r="O47" s="12"/>
      <c r="P47" s="12"/>
      <c r="Q47" s="12"/>
      <c r="R47" s="12"/>
      <c r="S47" s="12"/>
      <c r="U47" s="12"/>
      <c r="V47" s="12"/>
      <c r="X47" s="12"/>
      <c r="Y47" s="12"/>
    </row>
    <row r="48" spans="1:25" ht="15.75" thickBot="1" x14ac:dyDescent="0.3">
      <c r="A48" s="8" t="s">
        <v>28</v>
      </c>
      <c r="B48" s="14">
        <f>B40-B46</f>
        <v>-330242.02483604022</v>
      </c>
      <c r="C48" s="14">
        <f>C40-C46</f>
        <v>1321.7382280778093</v>
      </c>
      <c r="D48" s="14">
        <f>D40-D46</f>
        <v>-41152.589925262815</v>
      </c>
      <c r="E48" s="14">
        <f t="shared" ref="E48:I48" si="61">E40-E46</f>
        <v>-45957.924057199751</v>
      </c>
      <c r="F48" s="14">
        <f t="shared" si="61"/>
        <v>-178092.32033352676</v>
      </c>
      <c r="G48" s="14">
        <f t="shared" si="61"/>
        <v>155468.78165215871</v>
      </c>
      <c r="H48" s="14">
        <f t="shared" si="61"/>
        <v>-4068.6067340744239</v>
      </c>
      <c r="I48" s="14">
        <f t="shared" si="61"/>
        <v>-442722.94600586686</v>
      </c>
      <c r="J48" s="12"/>
      <c r="L48" s="25">
        <f>L40-L46</f>
        <v>-14.501287465976166</v>
      </c>
      <c r="M48" s="25">
        <f>M40-M46</f>
        <v>2.4046031765928682</v>
      </c>
      <c r="N48" s="65">
        <f>N40-N46</f>
        <v>-2.4698840112991043</v>
      </c>
      <c r="O48" s="25">
        <f t="shared" ref="O48:S48" si="62">O40-O46</f>
        <v>-46.136935366421469</v>
      </c>
      <c r="P48" s="25">
        <f t="shared" si="62"/>
        <v>-34.026175173295812</v>
      </c>
      <c r="Q48" s="25">
        <f t="shared" si="62"/>
        <v>37.321793258680842</v>
      </c>
      <c r="R48" s="25">
        <f t="shared" si="62"/>
        <v>-11.021255645450275</v>
      </c>
      <c r="S48" s="25">
        <f t="shared" si="62"/>
        <v>-8.7236736054248389</v>
      </c>
      <c r="U48" s="14">
        <f t="shared" ref="U48" si="63">U40-U46</f>
        <v>-219244.91025878993</v>
      </c>
      <c r="V48" s="25">
        <f>V40-V46</f>
        <v>-10.013135449641997</v>
      </c>
      <c r="X48" s="14">
        <f t="shared" ref="X48" si="64">X40-X46</f>
        <v>-370072.87653322553</v>
      </c>
      <c r="Y48" s="25">
        <f>Y40-Y46</f>
        <v>-9.2553597746044467</v>
      </c>
    </row>
    <row r="49" spans="1:25" ht="15.75" thickTop="1" x14ac:dyDescent="0.25">
      <c r="L49" s="18">
        <f>L48/L13</f>
        <v>-0.10421034464764754</v>
      </c>
      <c r="M49" s="18">
        <f>M48/M13</f>
        <v>1.7678909419177199E-2</v>
      </c>
      <c r="N49" s="66">
        <f>N48/N13</f>
        <v>-2.0229801083738376E-2</v>
      </c>
      <c r="O49" s="18">
        <f t="shared" ref="O49:S49" si="65">O48/O13</f>
        <v>-0.4362979718933111</v>
      </c>
      <c r="P49" s="18">
        <f t="shared" si="65"/>
        <v>-0.31823687619156221</v>
      </c>
      <c r="Q49" s="18">
        <f t="shared" si="65"/>
        <v>0.2650834313494837</v>
      </c>
      <c r="R49" s="18">
        <f t="shared" si="65"/>
        <v>-0.10363764669811051</v>
      </c>
      <c r="S49" s="18">
        <f t="shared" si="65"/>
        <v>-6.7398663283242274E-2</v>
      </c>
      <c r="V49" s="18">
        <f>V48/V13</f>
        <v>-8.452399767131874E-2</v>
      </c>
      <c r="Y49" s="18">
        <f>Y48/Y13</f>
        <v>-7.0115933101584066E-2</v>
      </c>
    </row>
    <row r="50" spans="1:25" x14ac:dyDescent="0.25">
      <c r="A50" t="s">
        <v>35</v>
      </c>
      <c r="N50" s="67"/>
    </row>
    <row r="51" spans="1:25" x14ac:dyDescent="0.25">
      <c r="A51" t="s">
        <v>45</v>
      </c>
      <c r="B51" s="15">
        <v>22773.29</v>
      </c>
      <c r="C51" s="15">
        <v>549.66999999999996</v>
      </c>
      <c r="D51" s="15"/>
      <c r="E51" s="15">
        <v>996.11999999999989</v>
      </c>
      <c r="F51" s="15"/>
      <c r="G51" s="15">
        <v>1713.81</v>
      </c>
      <c r="H51" s="15">
        <v>369.15999999999997</v>
      </c>
      <c r="I51" s="15">
        <f>SUM(B51:H51)</f>
        <v>26402.05</v>
      </c>
      <c r="L51" s="26"/>
      <c r="M51" s="26"/>
      <c r="N51" s="68"/>
      <c r="O51" s="26"/>
      <c r="P51" s="26"/>
      <c r="Q51" s="26"/>
      <c r="R51" s="26"/>
      <c r="S51" s="26"/>
      <c r="U51" s="15"/>
      <c r="V51" s="26"/>
      <c r="X51" s="15"/>
      <c r="Y51" s="26"/>
    </row>
    <row r="52" spans="1:25" x14ac:dyDescent="0.25">
      <c r="A52" t="s">
        <v>46</v>
      </c>
      <c r="B52" s="15"/>
      <c r="C52" s="15"/>
      <c r="D52" s="15">
        <v>16661.75</v>
      </c>
      <c r="E52" s="15"/>
      <c r="F52" s="15">
        <v>5233.9799999999996</v>
      </c>
      <c r="G52" s="15">
        <v>2451.8200000000002</v>
      </c>
      <c r="H52" s="15"/>
      <c r="I52" s="15">
        <f>SUM(B52:H52)</f>
        <v>24347.55</v>
      </c>
      <c r="L52" s="26"/>
      <c r="M52" s="26"/>
      <c r="N52" s="68"/>
      <c r="O52" s="39"/>
      <c r="P52" s="39"/>
      <c r="Q52" s="26"/>
      <c r="R52" s="26"/>
      <c r="S52" s="26"/>
      <c r="U52" s="15">
        <f>SUM(D52:F52)</f>
        <v>21895.73</v>
      </c>
      <c r="V52" s="26"/>
      <c r="X52" s="15">
        <f>SUM(B53:D53)</f>
        <v>39984.71</v>
      </c>
      <c r="Y52" s="26"/>
    </row>
    <row r="53" spans="1:25" x14ac:dyDescent="0.25">
      <c r="A53" t="s">
        <v>47</v>
      </c>
      <c r="B53" s="16">
        <f>SUM(B51:B52)</f>
        <v>22773.29</v>
      </c>
      <c r="C53" s="16">
        <f>SUM(C51:C52)</f>
        <v>549.66999999999996</v>
      </c>
      <c r="D53" s="16">
        <f>SUM(D51:D52)</f>
        <v>16661.75</v>
      </c>
      <c r="E53" s="16">
        <f t="shared" ref="E53:I53" si="66">SUM(E51:E52)</f>
        <v>996.11999999999989</v>
      </c>
      <c r="F53" s="16">
        <f t="shared" si="66"/>
        <v>5233.9799999999996</v>
      </c>
      <c r="G53" s="16">
        <f t="shared" si="66"/>
        <v>4165.63</v>
      </c>
      <c r="H53" s="16">
        <f t="shared" si="66"/>
        <v>369.15999999999997</v>
      </c>
      <c r="I53" s="16">
        <f t="shared" si="66"/>
        <v>50749.599999999999</v>
      </c>
      <c r="L53" s="26"/>
      <c r="M53" s="26"/>
      <c r="N53" s="68"/>
      <c r="O53" s="26"/>
      <c r="P53" s="26"/>
      <c r="Q53" s="26"/>
      <c r="R53" s="26"/>
      <c r="S53" s="26"/>
      <c r="U53" s="16">
        <f t="shared" ref="U53" si="67">SUM(U51:U52)</f>
        <v>21895.73</v>
      </c>
      <c r="V53" s="26"/>
      <c r="X53" s="16">
        <f t="shared" ref="X53" si="68">SUM(X51:X52)</f>
        <v>39984.71</v>
      </c>
      <c r="Y53" s="26"/>
    </row>
    <row r="54" spans="1:25" x14ac:dyDescent="0.25">
      <c r="B54" s="12"/>
      <c r="C54" s="12"/>
      <c r="D54" s="12"/>
      <c r="G54" s="17"/>
      <c r="N54" s="67"/>
      <c r="T54" s="31"/>
    </row>
    <row r="55" spans="1:25" s="31" customFormat="1" x14ac:dyDescent="0.25">
      <c r="A55" s="31" t="s">
        <v>104</v>
      </c>
      <c r="B55" s="26"/>
      <c r="C55" s="26"/>
      <c r="D55" s="26"/>
      <c r="L55" s="30">
        <f>L38+L46</f>
        <v>93.767711627286303</v>
      </c>
      <c r="M55" s="30">
        <f>M38+M46</f>
        <v>95.025991015785152</v>
      </c>
      <c r="N55" s="69">
        <f t="shared" ref="N55:S55" si="69">N38+N46</f>
        <v>95.515138869396381</v>
      </c>
      <c r="O55" s="30">
        <f t="shared" si="69"/>
        <v>94.838602959332107</v>
      </c>
      <c r="P55" s="30">
        <f t="shared" si="69"/>
        <v>98.607941371434791</v>
      </c>
      <c r="Q55" s="30">
        <f t="shared" si="69"/>
        <v>27.359084794809014</v>
      </c>
      <c r="R55" s="30">
        <f t="shared" si="69"/>
        <v>17.138602474753192</v>
      </c>
      <c r="S55" s="30">
        <f t="shared" si="69"/>
        <v>88.866886125326445</v>
      </c>
      <c r="V55" s="30">
        <f t="shared" ref="V55" si="70">V38+V46</f>
        <v>96.25444586850621</v>
      </c>
      <c r="Y55" s="30">
        <f t="shared" ref="Y55" si="71">Y38+Y46</f>
        <v>94.513167434836319</v>
      </c>
    </row>
    <row r="56" spans="1:25" s="31" customFormat="1" x14ac:dyDescent="0.25">
      <c r="N56" s="70"/>
    </row>
    <row r="57" spans="1:25" x14ac:dyDescent="0.25">
      <c r="I57" s="17"/>
      <c r="L57" s="17"/>
      <c r="M57" s="17"/>
      <c r="N57" s="62"/>
      <c r="O57" s="17"/>
      <c r="P57" s="17"/>
      <c r="Q57" s="17"/>
    </row>
    <row r="58" spans="1:25" x14ac:dyDescent="0.25">
      <c r="B58" s="49"/>
      <c r="C58" s="49"/>
      <c r="D58" s="50"/>
      <c r="E58" s="51"/>
      <c r="F58" s="51"/>
      <c r="G58" s="31"/>
      <c r="L58" s="17"/>
      <c r="M58" s="17"/>
      <c r="N58" s="17"/>
      <c r="O58" s="17"/>
      <c r="P58" s="17"/>
    </row>
    <row r="59" spans="1:25" x14ac:dyDescent="0.25">
      <c r="B59" s="31"/>
      <c r="C59" s="31"/>
      <c r="D59" s="31"/>
      <c r="E59" s="31"/>
      <c r="F59" s="31"/>
      <c r="G59" s="31"/>
      <c r="L59" s="17"/>
      <c r="M59" s="17"/>
      <c r="N59" s="17"/>
      <c r="O59" s="17"/>
      <c r="P59" s="17"/>
    </row>
    <row r="60" spans="1:25" x14ac:dyDescent="0.25">
      <c r="B60" s="55"/>
      <c r="C60" s="55"/>
      <c r="D60" s="53"/>
      <c r="E60" s="52"/>
      <c r="F60" s="31"/>
      <c r="G60" s="31"/>
      <c r="L60" s="54"/>
      <c r="M60" s="54"/>
      <c r="N60" s="40"/>
      <c r="O60" s="17"/>
      <c r="P60" s="17"/>
    </row>
    <row r="61" spans="1:25" x14ac:dyDescent="0.25">
      <c r="B61" s="19"/>
      <c r="C61" s="19"/>
      <c r="D61" s="47"/>
      <c r="E61" s="47"/>
      <c r="L61" s="17"/>
      <c r="M61" s="17"/>
      <c r="N61" s="48"/>
      <c r="P61" s="17"/>
      <c r="S61" s="17"/>
    </row>
    <row r="62" spans="1:25" x14ac:dyDescent="0.25">
      <c r="B62" s="19"/>
      <c r="C62" s="19"/>
      <c r="E62" s="40"/>
      <c r="L62" s="17"/>
      <c r="M62" s="17"/>
      <c r="N62" s="48"/>
      <c r="P62" s="17"/>
    </row>
    <row r="63" spans="1:25" x14ac:dyDescent="0.25">
      <c r="B63" s="19"/>
      <c r="C63" s="19"/>
      <c r="D63" s="19"/>
      <c r="E63" s="19"/>
      <c r="F63" s="19"/>
      <c r="N63" s="48"/>
      <c r="P63" s="48"/>
    </row>
    <row r="64" spans="1:25" x14ac:dyDescent="0.25">
      <c r="B64" s="19"/>
      <c r="C64" s="19"/>
      <c r="D64" s="40"/>
      <c r="E64" s="40"/>
      <c r="F64" s="20"/>
      <c r="L64" s="17"/>
      <c r="M64" s="17"/>
      <c r="N64" s="17"/>
    </row>
    <row r="65" spans="2:6" x14ac:dyDescent="0.25">
      <c r="B65" s="19"/>
      <c r="C65" s="19"/>
      <c r="D65" s="19"/>
      <c r="E65" s="19"/>
      <c r="F65" s="40"/>
    </row>
    <row r="66" spans="2:6" x14ac:dyDescent="0.25">
      <c r="B66" s="19"/>
      <c r="C66" s="19"/>
      <c r="D66" s="19"/>
      <c r="E66" s="19"/>
      <c r="F66" s="15"/>
    </row>
    <row r="67" spans="2:6" x14ac:dyDescent="0.25">
      <c r="B67" s="19"/>
      <c r="C67" s="19"/>
      <c r="F67" s="15"/>
    </row>
    <row r="68" spans="2:6" x14ac:dyDescent="0.25">
      <c r="B68" s="19"/>
      <c r="C68" s="19"/>
      <c r="F68" s="40"/>
    </row>
    <row r="69" spans="2:6" x14ac:dyDescent="0.25">
      <c r="B69" s="19"/>
      <c r="C69" s="19"/>
    </row>
    <row r="70" spans="2:6" x14ac:dyDescent="0.25">
      <c r="B70" s="40"/>
      <c r="C70" s="40"/>
    </row>
    <row r="71" spans="2:6" x14ac:dyDescent="0.25">
      <c r="B71" s="19"/>
      <c r="C71" s="19"/>
    </row>
    <row r="72" spans="2:6" x14ac:dyDescent="0.25">
      <c r="B72" s="19"/>
      <c r="C72" s="19"/>
    </row>
    <row r="73" spans="2:6" x14ac:dyDescent="0.25">
      <c r="B73" s="19"/>
      <c r="C73" s="19"/>
    </row>
    <row r="74" spans="2:6" x14ac:dyDescent="0.25">
      <c r="B74" s="19"/>
      <c r="C74" s="19"/>
    </row>
    <row r="75" spans="2:6" x14ac:dyDescent="0.25">
      <c r="B75" s="19"/>
      <c r="C75" s="19"/>
    </row>
    <row r="76" spans="2:6" x14ac:dyDescent="0.25">
      <c r="B76" s="19"/>
      <c r="C76" s="19"/>
    </row>
    <row r="77" spans="2:6" x14ac:dyDescent="0.25">
      <c r="B77" s="19"/>
      <c r="C77" s="19"/>
    </row>
    <row r="78" spans="2:6" x14ac:dyDescent="0.25">
      <c r="B78" s="19"/>
      <c r="C78" s="19"/>
    </row>
  </sheetData>
  <mergeCells count="5">
    <mergeCell ref="U2:U4"/>
    <mergeCell ref="X2:X4"/>
    <mergeCell ref="N3:S3"/>
    <mergeCell ref="V3:V4"/>
    <mergeCell ref="Y3:Y4"/>
  </mergeCells>
  <pageMargins left="0.25" right="0.25" top="0.5" bottom="0.5" header="0.3" footer="0.3"/>
  <pageSetup scale="46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8"/>
  <sheetViews>
    <sheetView workbookViewId="0">
      <pane xSplit="1" ySplit="4" topLeftCell="B17" activePane="bottomRight" state="frozen"/>
      <selection pane="topRight" activeCell="B1" sqref="B1"/>
      <selection pane="bottomLeft" activeCell="A5" sqref="A5"/>
      <selection pane="bottomRight" activeCell="I6" sqref="I6"/>
    </sheetView>
  </sheetViews>
  <sheetFormatPr defaultRowHeight="15" x14ac:dyDescent="0.25"/>
  <cols>
    <col min="1" max="1" width="32.140625" customWidth="1"/>
    <col min="2" max="9" width="12.7109375" customWidth="1"/>
    <col min="10" max="10" width="3.85546875" customWidth="1"/>
    <col min="11" max="11" width="9.140625" hidden="1" customWidth="1"/>
    <col min="12" max="13" width="11.7109375" customWidth="1"/>
    <col min="14" max="19" width="12.7109375" customWidth="1"/>
    <col min="20" max="20" width="4.7109375" customWidth="1"/>
    <col min="21" max="21" width="11.5703125" customWidth="1"/>
    <col min="22" max="22" width="9.28515625" customWidth="1"/>
    <col min="23" max="23" width="3.140625" customWidth="1"/>
    <col min="24" max="24" width="14.28515625" customWidth="1"/>
    <col min="25" max="25" width="9.28515625" customWidth="1"/>
  </cols>
  <sheetData>
    <row r="1" spans="1:25" ht="18.75" x14ac:dyDescent="0.3">
      <c r="A1" s="22" t="s">
        <v>31</v>
      </c>
    </row>
    <row r="2" spans="1:25" ht="18.75" x14ac:dyDescent="0.3">
      <c r="A2" s="22" t="s">
        <v>106</v>
      </c>
      <c r="U2" s="71" t="s">
        <v>97</v>
      </c>
      <c r="X2" s="71" t="s">
        <v>105</v>
      </c>
    </row>
    <row r="3" spans="1:25" ht="21" customHeight="1" x14ac:dyDescent="0.3">
      <c r="A3" s="9"/>
      <c r="N3" s="73" t="s">
        <v>51</v>
      </c>
      <c r="O3" s="73"/>
      <c r="P3" s="73"/>
      <c r="Q3" s="73"/>
      <c r="R3" s="73"/>
      <c r="S3" s="73"/>
      <c r="U3" s="71"/>
      <c r="V3" s="71" t="s">
        <v>96</v>
      </c>
      <c r="X3" s="71"/>
      <c r="Y3" s="71" t="s">
        <v>96</v>
      </c>
    </row>
    <row r="4" spans="1:25" ht="15.75" x14ac:dyDescent="0.25">
      <c r="B4" s="23" t="s">
        <v>102</v>
      </c>
      <c r="C4" s="23" t="s">
        <v>103</v>
      </c>
      <c r="D4" s="23" t="s">
        <v>95</v>
      </c>
      <c r="E4" s="23" t="s">
        <v>99</v>
      </c>
      <c r="F4" s="23" t="s">
        <v>100</v>
      </c>
      <c r="G4" s="23" t="s">
        <v>32</v>
      </c>
      <c r="H4" s="23" t="s">
        <v>33</v>
      </c>
      <c r="I4" s="23" t="s">
        <v>34</v>
      </c>
      <c r="L4" s="23" t="s">
        <v>102</v>
      </c>
      <c r="M4" s="23" t="s">
        <v>103</v>
      </c>
      <c r="N4" s="23" t="s">
        <v>95</v>
      </c>
      <c r="O4" s="23" t="s">
        <v>101</v>
      </c>
      <c r="P4" s="23" t="s">
        <v>100</v>
      </c>
      <c r="Q4" s="23" t="s">
        <v>32</v>
      </c>
      <c r="R4" s="23" t="s">
        <v>33</v>
      </c>
      <c r="S4" s="23" t="s">
        <v>34</v>
      </c>
      <c r="U4" s="72"/>
      <c r="V4" s="72"/>
      <c r="X4" s="72"/>
      <c r="Y4" s="72"/>
    </row>
    <row r="5" spans="1:25" x14ac:dyDescent="0.25">
      <c r="B5" s="11"/>
      <c r="C5" s="11"/>
      <c r="D5" s="11"/>
      <c r="E5" s="11"/>
      <c r="F5" s="11"/>
      <c r="G5" s="11"/>
      <c r="H5" s="11"/>
      <c r="I5" s="11"/>
      <c r="L5" s="11"/>
      <c r="M5" s="11"/>
      <c r="N5" s="11"/>
      <c r="O5" s="11"/>
      <c r="P5" s="11"/>
      <c r="Q5" s="11"/>
      <c r="R5" s="11"/>
      <c r="S5" s="11"/>
    </row>
    <row r="6" spans="1:25" x14ac:dyDescent="0.25">
      <c r="A6" t="s">
        <v>0</v>
      </c>
      <c r="B6" s="12"/>
      <c r="C6" s="12"/>
      <c r="D6" s="12"/>
      <c r="E6" s="12"/>
      <c r="F6" s="12"/>
      <c r="G6" s="12"/>
      <c r="H6" s="12"/>
      <c r="I6" s="12"/>
      <c r="J6" s="12"/>
      <c r="L6" s="12"/>
      <c r="M6" s="12"/>
      <c r="N6" s="17"/>
      <c r="O6" s="12"/>
      <c r="P6" s="12"/>
      <c r="Q6" s="12"/>
      <c r="R6" s="12"/>
      <c r="S6" s="12"/>
    </row>
    <row r="7" spans="1:25" x14ac:dyDescent="0.25">
      <c r="A7" s="1" t="s">
        <v>29</v>
      </c>
      <c r="B7" s="12">
        <v>9625216.9205999989</v>
      </c>
      <c r="C7" s="12">
        <v>338853.89440000005</v>
      </c>
      <c r="D7" s="12">
        <v>7273651.1850000005</v>
      </c>
      <c r="E7" s="12">
        <v>483691.58999999997</v>
      </c>
      <c r="F7" s="12">
        <v>4128447.41</v>
      </c>
      <c r="G7" s="12">
        <v>1963869</v>
      </c>
      <c r="H7" s="12">
        <v>306868</v>
      </c>
      <c r="I7" s="12">
        <f>SUM(B7:H7)</f>
        <v>24120598</v>
      </c>
      <c r="J7" s="12"/>
      <c r="L7" s="17">
        <f t="shared" ref="L7:S8" si="0">B7/B$52</f>
        <v>104.38706350353696</v>
      </c>
      <c r="M7" s="17">
        <f t="shared" si="0"/>
        <v>114.04</v>
      </c>
      <c r="N7" s="17">
        <f t="shared" si="0"/>
        <v>104.38500000000001</v>
      </c>
      <c r="O7" s="17">
        <f t="shared" si="0"/>
        <v>119.874</v>
      </c>
      <c r="P7" s="17">
        <f t="shared" si="0"/>
        <v>98.627473422680907</v>
      </c>
      <c r="Q7" s="17">
        <f t="shared" si="0"/>
        <v>177.26049282426212</v>
      </c>
      <c r="R7" s="17">
        <f t="shared" si="0"/>
        <v>162.36402116402115</v>
      </c>
      <c r="S7" s="17">
        <f t="shared" si="0"/>
        <v>107.81487857605643</v>
      </c>
      <c r="U7" s="12">
        <f>D7+F7</f>
        <v>11402098.595000001</v>
      </c>
      <c r="V7" s="17">
        <f>U7/$U$52</f>
        <v>102.2243015510131</v>
      </c>
      <c r="X7" s="12">
        <f>SUM(B7:D7)</f>
        <v>17237722</v>
      </c>
      <c r="Y7" s="17">
        <f>X7/$X$52</f>
        <v>104.56017204968963</v>
      </c>
    </row>
    <row r="8" spans="1:25" x14ac:dyDescent="0.25">
      <c r="A8" s="1" t="s">
        <v>30</v>
      </c>
      <c r="B8" s="12">
        <v>8321672</v>
      </c>
      <c r="C8" s="12">
        <v>230558</v>
      </c>
      <c r="D8" s="12"/>
      <c r="E8" s="12">
        <v>282255</v>
      </c>
      <c r="F8" s="12"/>
      <c r="G8" s="12">
        <v>241965</v>
      </c>
      <c r="H8" s="12">
        <v>21913</v>
      </c>
      <c r="I8" s="12">
        <f>SUM(B8:H8)</f>
        <v>9098363</v>
      </c>
      <c r="J8" s="12"/>
      <c r="L8" s="17">
        <f t="shared" si="0"/>
        <v>90.249904047404641</v>
      </c>
      <c r="M8" s="17">
        <f t="shared" si="0"/>
        <v>77.593425232889984</v>
      </c>
      <c r="N8" s="17">
        <f t="shared" si="0"/>
        <v>0</v>
      </c>
      <c r="O8" s="17">
        <f t="shared" si="0"/>
        <v>69.951672862453535</v>
      </c>
      <c r="P8" s="17">
        <f t="shared" si="0"/>
        <v>0</v>
      </c>
      <c r="Q8" s="17">
        <f t="shared" si="0"/>
        <v>21.839967506092609</v>
      </c>
      <c r="R8" s="17">
        <f t="shared" si="0"/>
        <v>11.594179894179895</v>
      </c>
      <c r="S8" s="17">
        <f t="shared" si="0"/>
        <v>40.668100437886515</v>
      </c>
      <c r="U8" s="12">
        <f>D8+F8</f>
        <v>0</v>
      </c>
      <c r="V8" s="17">
        <f>U8/$U$52</f>
        <v>0</v>
      </c>
      <c r="X8" s="12">
        <f>SUM(B8:D8)</f>
        <v>8552230</v>
      </c>
      <c r="Y8" s="17">
        <f>X8/$X$52</f>
        <v>51.875917259166677</v>
      </c>
    </row>
    <row r="9" spans="1:25" x14ac:dyDescent="0.25">
      <c r="A9" s="2" t="s">
        <v>1</v>
      </c>
      <c r="B9" s="13">
        <f>SUM(B7:B8)</f>
        <v>17946888.920599997</v>
      </c>
      <c r="C9" s="13">
        <f>SUM(C7:C8)</f>
        <v>569411.89440000011</v>
      </c>
      <c r="D9" s="13">
        <f>SUM(D7:D8)</f>
        <v>7273651.1850000005</v>
      </c>
      <c r="E9" s="13">
        <f t="shared" ref="E9" si="1">SUM(E7:E8)</f>
        <v>765946.59</v>
      </c>
      <c r="F9" s="13">
        <f t="shared" ref="F9:I9" si="2">SUM(F7:F8)</f>
        <v>4128447.41</v>
      </c>
      <c r="G9" s="13">
        <f t="shared" si="2"/>
        <v>2205834</v>
      </c>
      <c r="H9" s="13">
        <f t="shared" si="2"/>
        <v>328781</v>
      </c>
      <c r="I9" s="13">
        <f t="shared" si="2"/>
        <v>33218961</v>
      </c>
      <c r="J9" s="12"/>
      <c r="L9" s="24">
        <f>SUM(L7:L8)</f>
        <v>194.63696755094162</v>
      </c>
      <c r="M9" s="24">
        <f>SUM(M7:M8)</f>
        <v>191.63342523288998</v>
      </c>
      <c r="N9" s="24">
        <f>SUM(N7:N8)</f>
        <v>104.38500000000001</v>
      </c>
      <c r="O9" s="24">
        <f t="shared" ref="O9" si="3">SUM(O7:O8)</f>
        <v>189.82567286245353</v>
      </c>
      <c r="P9" s="24">
        <f t="shared" ref="P9:S9" si="4">SUM(P7:P8)</f>
        <v>98.627473422680907</v>
      </c>
      <c r="Q9" s="24">
        <f t="shared" si="4"/>
        <v>199.10046033035474</v>
      </c>
      <c r="R9" s="24">
        <f t="shared" si="4"/>
        <v>173.95820105820104</v>
      </c>
      <c r="S9" s="24">
        <f t="shared" si="4"/>
        <v>148.48297901394295</v>
      </c>
      <c r="U9" s="13">
        <f t="shared" ref="U9" si="5">SUM(U7:U8)</f>
        <v>11402098.595000001</v>
      </c>
      <c r="V9" s="24">
        <f>SUM(V7:V8)</f>
        <v>102.2243015510131</v>
      </c>
      <c r="X9" s="13">
        <f t="shared" ref="X9" si="6">SUM(X7:X8)</f>
        <v>25789952</v>
      </c>
      <c r="Y9" s="24">
        <f>SUM(Y7:Y8)</f>
        <v>156.43608930885631</v>
      </c>
    </row>
    <row r="10" spans="1:25" x14ac:dyDescent="0.25">
      <c r="A10" s="1"/>
      <c r="B10" s="12"/>
      <c r="C10" s="12"/>
      <c r="D10" s="12"/>
      <c r="E10" s="12"/>
      <c r="F10" s="12"/>
      <c r="G10" s="12"/>
      <c r="H10" s="12"/>
      <c r="I10" s="12"/>
      <c r="J10" s="12"/>
      <c r="L10" s="12"/>
      <c r="M10" s="12"/>
      <c r="N10" s="12"/>
      <c r="O10" s="12"/>
      <c r="P10" s="12"/>
      <c r="Q10" s="12"/>
      <c r="R10" s="12"/>
      <c r="S10" s="12"/>
      <c r="U10" s="12"/>
      <c r="V10" s="12"/>
      <c r="X10" s="12"/>
      <c r="Y10" s="12"/>
    </row>
    <row r="11" spans="1:25" x14ac:dyDescent="0.25">
      <c r="A11" s="1" t="s">
        <v>2</v>
      </c>
      <c r="B11" s="12"/>
      <c r="C11" s="12"/>
      <c r="D11" s="12">
        <v>4914244</v>
      </c>
      <c r="E11" s="12"/>
      <c r="F11" s="12">
        <f>458+2951928</f>
        <v>2952386</v>
      </c>
      <c r="G11" s="12">
        <v>100961</v>
      </c>
      <c r="H11" s="12">
        <v>0</v>
      </c>
      <c r="I11" s="12">
        <f>SUM(B11:H11)</f>
        <v>7967591</v>
      </c>
      <c r="J11" s="12"/>
      <c r="L11" s="17">
        <f t="shared" ref="L11:S11" si="7">B11/B$52</f>
        <v>0</v>
      </c>
      <c r="M11" s="17">
        <f t="shared" si="7"/>
        <v>0</v>
      </c>
      <c r="N11" s="17">
        <f t="shared" si="7"/>
        <v>70.52487765675005</v>
      </c>
      <c r="O11" s="17">
        <f t="shared" si="7"/>
        <v>0</v>
      </c>
      <c r="P11" s="17">
        <f t="shared" si="7"/>
        <v>70.531689720251322</v>
      </c>
      <c r="Q11" s="17">
        <f t="shared" si="7"/>
        <v>9.1128260673345967</v>
      </c>
      <c r="R11" s="17">
        <f t="shared" si="7"/>
        <v>0</v>
      </c>
      <c r="S11" s="17">
        <f t="shared" si="7"/>
        <v>35.6137462350096</v>
      </c>
      <c r="U11" s="12">
        <f>D11+F11</f>
        <v>7866630</v>
      </c>
      <c r="V11" s="17">
        <f>U11/$U$52</f>
        <v>70.527434104357184</v>
      </c>
      <c r="X11" s="12">
        <f>SUM(B11:D11)</f>
        <v>4914244</v>
      </c>
      <c r="Y11" s="17">
        <f>X11/$X$52</f>
        <v>29.80870663386699</v>
      </c>
    </row>
    <row r="12" spans="1:25" x14ac:dyDescent="0.25">
      <c r="A12" s="1"/>
      <c r="B12" s="12"/>
      <c r="C12" s="12"/>
      <c r="D12" s="12"/>
      <c r="E12" s="12"/>
      <c r="F12" s="12"/>
      <c r="G12" s="12"/>
      <c r="H12" s="12"/>
      <c r="I12" s="12"/>
      <c r="J12" s="12"/>
      <c r="L12" s="12"/>
      <c r="M12" s="12"/>
      <c r="N12" s="12"/>
      <c r="O12" s="12"/>
      <c r="P12" s="12"/>
      <c r="Q12" s="12"/>
      <c r="R12" s="12"/>
      <c r="S12" s="12"/>
      <c r="U12" s="12"/>
      <c r="V12" s="12"/>
      <c r="X12" s="12"/>
      <c r="Y12" s="12"/>
    </row>
    <row r="13" spans="1:25" x14ac:dyDescent="0.25">
      <c r="A13" s="3" t="s">
        <v>3</v>
      </c>
      <c r="B13" s="13">
        <f>B11+B9</f>
        <v>17946888.920599997</v>
      </c>
      <c r="C13" s="13">
        <f>C11+C9</f>
        <v>569411.89440000011</v>
      </c>
      <c r="D13" s="13">
        <f>D11+D9</f>
        <v>12187895.185000001</v>
      </c>
      <c r="E13" s="13">
        <f t="shared" ref="E13" si="8">E11+E9</f>
        <v>765946.59</v>
      </c>
      <c r="F13" s="13">
        <f t="shared" ref="F13:I13" si="9">F11+F9</f>
        <v>7080833.4100000001</v>
      </c>
      <c r="G13" s="13">
        <f t="shared" si="9"/>
        <v>2306795</v>
      </c>
      <c r="H13" s="13">
        <f t="shared" ref="H13" si="10">H11+H9</f>
        <v>328781</v>
      </c>
      <c r="I13" s="13">
        <f t="shared" si="9"/>
        <v>41186552</v>
      </c>
      <c r="J13" s="12"/>
      <c r="L13" s="24">
        <f>L11+L9</f>
        <v>194.63696755094162</v>
      </c>
      <c r="M13" s="24">
        <f>M11+M9</f>
        <v>191.63342523288998</v>
      </c>
      <c r="N13" s="24">
        <f>N11+N9</f>
        <v>174.90987765675004</v>
      </c>
      <c r="O13" s="24">
        <f t="shared" ref="O13" si="11">O11+O9</f>
        <v>189.82567286245353</v>
      </c>
      <c r="P13" s="24">
        <f t="shared" ref="P13:S13" si="12">P11+P9</f>
        <v>169.15916314293224</v>
      </c>
      <c r="Q13" s="24">
        <f t="shared" si="12"/>
        <v>208.21328639768933</v>
      </c>
      <c r="R13" s="24">
        <f t="shared" si="12"/>
        <v>173.95820105820104</v>
      </c>
      <c r="S13" s="24">
        <f t="shared" si="12"/>
        <v>184.09672524895257</v>
      </c>
      <c r="U13" s="13">
        <f t="shared" ref="U13" si="13">U11+U9</f>
        <v>19268728.594999999</v>
      </c>
      <c r="V13" s="24">
        <f>V11+V9</f>
        <v>172.75173565537028</v>
      </c>
      <c r="X13" s="13">
        <f t="shared" ref="X13" si="14">X11+X9</f>
        <v>30704196</v>
      </c>
      <c r="Y13" s="24">
        <f>Y11+Y9</f>
        <v>186.2447959427233</v>
      </c>
    </row>
    <row r="14" spans="1:25" x14ac:dyDescent="0.25">
      <c r="A14" s="1"/>
      <c r="B14" s="12"/>
      <c r="C14" s="12"/>
      <c r="D14" s="12"/>
      <c r="E14" s="12"/>
      <c r="F14" s="12"/>
      <c r="G14" s="12"/>
      <c r="H14" s="12"/>
      <c r="I14" s="12"/>
      <c r="J14" s="12"/>
      <c r="L14" s="12"/>
      <c r="M14" s="12"/>
      <c r="N14" s="12"/>
      <c r="O14" s="12"/>
      <c r="P14" s="12"/>
      <c r="Q14" s="12"/>
      <c r="R14" s="12"/>
      <c r="S14" s="12"/>
      <c r="U14" s="12"/>
      <c r="V14" s="12"/>
      <c r="X14" s="12"/>
      <c r="Y14" s="12"/>
    </row>
    <row r="15" spans="1:25" x14ac:dyDescent="0.25">
      <c r="A15" s="1" t="s">
        <v>4</v>
      </c>
      <c r="B15" s="17"/>
      <c r="C15" s="17"/>
      <c r="D15" s="17"/>
      <c r="E15" s="17"/>
      <c r="F15" s="17"/>
      <c r="G15" s="17"/>
      <c r="H15" s="17"/>
      <c r="I15" s="12"/>
      <c r="J15" s="12"/>
      <c r="L15" s="12"/>
      <c r="M15" s="12"/>
      <c r="N15" s="12"/>
      <c r="O15" s="12"/>
      <c r="P15" s="12"/>
      <c r="Q15" s="12"/>
      <c r="R15" s="12"/>
      <c r="S15" s="12"/>
      <c r="U15" s="12"/>
      <c r="V15" s="12"/>
      <c r="X15" s="12"/>
      <c r="Y15" s="12"/>
    </row>
    <row r="16" spans="1:25" x14ac:dyDescent="0.25">
      <c r="A16" s="2" t="s">
        <v>36</v>
      </c>
      <c r="B16" s="12"/>
      <c r="C16" s="12"/>
      <c r="D16" s="12"/>
      <c r="E16" s="12"/>
      <c r="F16" s="12"/>
      <c r="G16" s="12"/>
      <c r="H16" s="12"/>
      <c r="I16" s="12">
        <f t="shared" ref="I16:I21" si="15">SUM(B16:H16)</f>
        <v>0</v>
      </c>
      <c r="J16" s="12"/>
      <c r="L16" s="17">
        <f t="shared" ref="L16:S21" si="16">B16/B$52</f>
        <v>0</v>
      </c>
      <c r="M16" s="17">
        <f t="shared" si="16"/>
        <v>0</v>
      </c>
      <c r="N16" s="17">
        <f t="shared" si="16"/>
        <v>0</v>
      </c>
      <c r="O16" s="17">
        <f t="shared" si="16"/>
        <v>0</v>
      </c>
      <c r="P16" s="17">
        <f t="shared" si="16"/>
        <v>0</v>
      </c>
      <c r="Q16" s="17">
        <f t="shared" si="16"/>
        <v>0</v>
      </c>
      <c r="R16" s="17">
        <f t="shared" si="16"/>
        <v>0</v>
      </c>
      <c r="S16" s="17">
        <f t="shared" si="16"/>
        <v>0</v>
      </c>
      <c r="U16" s="12">
        <f t="shared" ref="U16:U21" si="17">D16+F16</f>
        <v>0</v>
      </c>
      <c r="V16" s="17">
        <f t="shared" ref="V16:V21" si="18">U16/$U$52</f>
        <v>0</v>
      </c>
      <c r="X16" s="12">
        <f t="shared" ref="X16:X21" si="19">SUM(B16:D16)</f>
        <v>0</v>
      </c>
      <c r="Y16" s="17">
        <f t="shared" ref="Y16:Y21" si="20">X16/$X$52</f>
        <v>0</v>
      </c>
    </row>
    <row r="17" spans="1:25" x14ac:dyDescent="0.25">
      <c r="A17" s="2" t="s">
        <v>5</v>
      </c>
      <c r="B17" s="12"/>
      <c r="C17" s="12">
        <f>C52*0.02*49.61</f>
        <v>2948.1833920000004</v>
      </c>
      <c r="D17" s="12">
        <f>D52*0.03*49.61</f>
        <v>103706.23229999999</v>
      </c>
      <c r="E17" s="12">
        <f>E52*0.03*49.61</f>
        <v>6005.2905000000001</v>
      </c>
      <c r="F17" s="12">
        <f>363321-E17-D17-C17</f>
        <v>250661.29380800002</v>
      </c>
      <c r="G17" s="12"/>
      <c r="H17" s="12"/>
      <c r="I17" s="12">
        <f t="shared" si="15"/>
        <v>363321</v>
      </c>
      <c r="J17" s="12"/>
      <c r="K17" s="12"/>
      <c r="L17" s="17">
        <f t="shared" si="16"/>
        <v>0</v>
      </c>
      <c r="M17" s="17">
        <f t="shared" si="16"/>
        <v>0.99220000000000008</v>
      </c>
      <c r="N17" s="17">
        <f t="shared" si="16"/>
        <v>1.4882999999999997</v>
      </c>
      <c r="O17" s="17">
        <f t="shared" si="16"/>
        <v>1.4883</v>
      </c>
      <c r="P17" s="17">
        <f t="shared" si="16"/>
        <v>5.9882293845529038</v>
      </c>
      <c r="Q17" s="17">
        <f t="shared" si="16"/>
        <v>0</v>
      </c>
      <c r="R17" s="17">
        <f t="shared" si="16"/>
        <v>0</v>
      </c>
      <c r="S17" s="17">
        <f t="shared" si="16"/>
        <v>1.6239816898043489</v>
      </c>
      <c r="U17" s="12">
        <f t="shared" si="17"/>
        <v>354367.52610800002</v>
      </c>
      <c r="V17" s="17">
        <f t="shared" si="18"/>
        <v>3.1770443438049134</v>
      </c>
      <c r="X17" s="12">
        <f t="shared" si="19"/>
        <v>106654.415692</v>
      </c>
      <c r="Y17" s="17">
        <f t="shared" si="20"/>
        <v>0.64694186706425805</v>
      </c>
    </row>
    <row r="18" spans="1:25" x14ac:dyDescent="0.25">
      <c r="A18" s="2" t="s">
        <v>6</v>
      </c>
      <c r="B18" s="12">
        <v>8008040</v>
      </c>
      <c r="C18" s="12">
        <f>-5865+299972</f>
        <v>294107</v>
      </c>
      <c r="D18" s="12">
        <v>4436320</v>
      </c>
      <c r="E18" s="12">
        <v>373822</v>
      </c>
      <c r="F18" s="12">
        <f>3221627+1287</f>
        <v>3222914</v>
      </c>
      <c r="G18" s="12">
        <f>911653+391823</f>
        <v>1303476</v>
      </c>
      <c r="H18" s="12">
        <v>250965</v>
      </c>
      <c r="I18" s="12">
        <f t="shared" si="15"/>
        <v>17889644</v>
      </c>
      <c r="J18" s="12"/>
      <c r="K18" s="12"/>
      <c r="L18" s="17">
        <f t="shared" si="16"/>
        <v>86.848513328544826</v>
      </c>
      <c r="M18" s="17">
        <f t="shared" si="16"/>
        <v>98.980601475418666</v>
      </c>
      <c r="N18" s="17">
        <f t="shared" si="16"/>
        <v>63.6661356754352</v>
      </c>
      <c r="O18" s="17">
        <f t="shared" si="16"/>
        <v>92.644857496902105</v>
      </c>
      <c r="P18" s="17">
        <f t="shared" si="16"/>
        <v>76.994529252968292</v>
      </c>
      <c r="Q18" s="17">
        <f t="shared" si="16"/>
        <v>117.65285675602492</v>
      </c>
      <c r="R18" s="17">
        <f t="shared" si="16"/>
        <v>132.78571428571428</v>
      </c>
      <c r="S18" s="17">
        <f t="shared" si="16"/>
        <v>79.963597736211867</v>
      </c>
      <c r="U18" s="12">
        <f t="shared" si="17"/>
        <v>7659234</v>
      </c>
      <c r="V18" s="17">
        <f t="shared" si="18"/>
        <v>68.668047337278111</v>
      </c>
      <c r="X18" s="12">
        <f t="shared" si="19"/>
        <v>12738467</v>
      </c>
      <c r="Y18" s="17">
        <f t="shared" si="20"/>
        <v>77.268696012692033</v>
      </c>
    </row>
    <row r="19" spans="1:25" x14ac:dyDescent="0.25">
      <c r="A19" s="2" t="s">
        <v>7</v>
      </c>
      <c r="B19" s="12"/>
      <c r="C19" s="12"/>
      <c r="D19" s="12"/>
      <c r="E19" s="12"/>
      <c r="F19" s="12"/>
      <c r="G19" s="12"/>
      <c r="H19" s="12"/>
      <c r="I19" s="12">
        <f t="shared" si="15"/>
        <v>0</v>
      </c>
      <c r="J19" s="12"/>
      <c r="L19" s="17">
        <f t="shared" si="16"/>
        <v>0</v>
      </c>
      <c r="M19" s="17">
        <f t="shared" si="16"/>
        <v>0</v>
      </c>
      <c r="N19" s="17">
        <f t="shared" si="16"/>
        <v>0</v>
      </c>
      <c r="O19" s="17">
        <f t="shared" si="16"/>
        <v>0</v>
      </c>
      <c r="P19" s="17">
        <f t="shared" si="16"/>
        <v>0</v>
      </c>
      <c r="Q19" s="17">
        <f t="shared" si="16"/>
        <v>0</v>
      </c>
      <c r="R19" s="17">
        <f t="shared" si="16"/>
        <v>0</v>
      </c>
      <c r="S19" s="17">
        <f t="shared" si="16"/>
        <v>0</v>
      </c>
      <c r="U19" s="12">
        <f t="shared" si="17"/>
        <v>0</v>
      </c>
      <c r="V19" s="17">
        <f t="shared" si="18"/>
        <v>0</v>
      </c>
      <c r="X19" s="12">
        <f t="shared" si="19"/>
        <v>0</v>
      </c>
      <c r="Y19" s="17">
        <f t="shared" si="20"/>
        <v>0</v>
      </c>
    </row>
    <row r="20" spans="1:25" x14ac:dyDescent="0.25">
      <c r="A20" s="2" t="s">
        <v>8</v>
      </c>
      <c r="B20" s="12">
        <f>66797/$I$52*B52</f>
        <v>27530.330836548073</v>
      </c>
      <c r="C20" s="12">
        <f t="shared" ref="C20:H20" si="21">66797/$I$52*C52</f>
        <v>887.16185003420537</v>
      </c>
      <c r="D20" s="12">
        <f t="shared" si="21"/>
        <v>20804.724056402949</v>
      </c>
      <c r="E20" s="12">
        <f t="shared" si="21"/>
        <v>1204.7338810807234</v>
      </c>
      <c r="F20" s="12">
        <f t="shared" si="21"/>
        <v>12497.882410943745</v>
      </c>
      <c r="G20" s="12">
        <f t="shared" si="21"/>
        <v>3307.8678236662545</v>
      </c>
      <c r="H20" s="12">
        <f t="shared" si="21"/>
        <v>564.29914132405634</v>
      </c>
      <c r="I20" s="12">
        <f t="shared" si="15"/>
        <v>66797</v>
      </c>
      <c r="J20" s="12"/>
      <c r="L20" s="17">
        <f t="shared" si="16"/>
        <v>0.29857097424553247</v>
      </c>
      <c r="M20" s="17">
        <f t="shared" si="16"/>
        <v>0.29857097424553247</v>
      </c>
      <c r="N20" s="17">
        <f t="shared" si="16"/>
        <v>0.29857097424553247</v>
      </c>
      <c r="O20" s="17">
        <f t="shared" si="16"/>
        <v>0.29857097424553247</v>
      </c>
      <c r="P20" s="17">
        <f t="shared" si="16"/>
        <v>0.29857097424553247</v>
      </c>
      <c r="Q20" s="17">
        <f t="shared" si="16"/>
        <v>0.29857097424553247</v>
      </c>
      <c r="R20" s="17">
        <f t="shared" si="16"/>
        <v>0.29857097424553247</v>
      </c>
      <c r="S20" s="17">
        <f t="shared" si="16"/>
        <v>0.29857097424553247</v>
      </c>
      <c r="U20" s="12">
        <f t="shared" si="17"/>
        <v>33302.60646734669</v>
      </c>
      <c r="V20" s="17">
        <f t="shared" si="18"/>
        <v>0.29857097424553247</v>
      </c>
      <c r="X20" s="12">
        <f t="shared" si="19"/>
        <v>49222.216742985227</v>
      </c>
      <c r="Y20" s="17">
        <f t="shared" si="20"/>
        <v>0.29857097424553247</v>
      </c>
    </row>
    <row r="21" spans="1:25" x14ac:dyDescent="0.25">
      <c r="A21" s="2" t="s">
        <v>9</v>
      </c>
      <c r="B21" s="12"/>
      <c r="C21" s="12"/>
      <c r="D21" s="12"/>
      <c r="E21" s="12"/>
      <c r="F21" s="12"/>
      <c r="G21" s="12"/>
      <c r="H21" s="12"/>
      <c r="I21" s="12">
        <f t="shared" si="15"/>
        <v>0</v>
      </c>
      <c r="J21" s="12"/>
      <c r="L21" s="17">
        <f t="shared" si="16"/>
        <v>0</v>
      </c>
      <c r="M21" s="17">
        <f t="shared" si="16"/>
        <v>0</v>
      </c>
      <c r="N21" s="17">
        <f t="shared" si="16"/>
        <v>0</v>
      </c>
      <c r="O21" s="17">
        <f t="shared" si="16"/>
        <v>0</v>
      </c>
      <c r="P21" s="17">
        <f t="shared" si="16"/>
        <v>0</v>
      </c>
      <c r="Q21" s="17">
        <f t="shared" si="16"/>
        <v>0</v>
      </c>
      <c r="R21" s="17">
        <f t="shared" si="16"/>
        <v>0</v>
      </c>
      <c r="S21" s="17">
        <f t="shared" si="16"/>
        <v>0</v>
      </c>
      <c r="U21" s="12">
        <f t="shared" si="17"/>
        <v>0</v>
      </c>
      <c r="V21" s="17">
        <f t="shared" si="18"/>
        <v>0</v>
      </c>
      <c r="X21" s="12">
        <f t="shared" si="19"/>
        <v>0</v>
      </c>
      <c r="Y21" s="17">
        <f t="shared" si="20"/>
        <v>0</v>
      </c>
    </row>
    <row r="22" spans="1:25" x14ac:dyDescent="0.25">
      <c r="A22" s="3" t="s">
        <v>10</v>
      </c>
      <c r="B22" s="13">
        <f t="shared" ref="B22:I22" si="22">SUM(B16:B21)</f>
        <v>8035570.3308365485</v>
      </c>
      <c r="C22" s="13">
        <f t="shared" si="22"/>
        <v>297942.34524203418</v>
      </c>
      <c r="D22" s="13">
        <f t="shared" si="22"/>
        <v>4560830.9563564034</v>
      </c>
      <c r="E22" s="13">
        <f t="shared" ref="E22" si="23">SUM(E16:E21)</f>
        <v>381032.0243810807</v>
      </c>
      <c r="F22" s="13">
        <f t="shared" si="22"/>
        <v>3486073.1762189441</v>
      </c>
      <c r="G22" s="13">
        <f t="shared" si="22"/>
        <v>1306783.8678236662</v>
      </c>
      <c r="H22" s="13">
        <f t="shared" si="22"/>
        <v>251529.29914132407</v>
      </c>
      <c r="I22" s="13">
        <f t="shared" si="22"/>
        <v>18319762</v>
      </c>
      <c r="J22" s="12"/>
      <c r="L22" s="24">
        <f t="shared" ref="L22:S22" si="24">SUM(L16:L21)</f>
        <v>87.147084302790361</v>
      </c>
      <c r="M22" s="24">
        <f t="shared" ref="M22" si="25">SUM(M16:M21)</f>
        <v>100.2713724496642</v>
      </c>
      <c r="N22" s="24">
        <f t="shared" si="24"/>
        <v>65.453006649680731</v>
      </c>
      <c r="O22" s="24">
        <f t="shared" ref="O22" si="26">SUM(O16:O21)</f>
        <v>94.431728471147636</v>
      </c>
      <c r="P22" s="24">
        <f t="shared" si="24"/>
        <v>83.281329611766736</v>
      </c>
      <c r="Q22" s="24">
        <f t="shared" si="24"/>
        <v>117.95142773027045</v>
      </c>
      <c r="R22" s="24">
        <f t="shared" si="24"/>
        <v>133.08428525995981</v>
      </c>
      <c r="S22" s="24">
        <f t="shared" si="24"/>
        <v>81.886150400261755</v>
      </c>
      <c r="U22" s="13">
        <f>SUM(U16:U21)</f>
        <v>8046904.1325753471</v>
      </c>
      <c r="V22" s="24">
        <f>SUM(V16:V21)</f>
        <v>72.143662655328555</v>
      </c>
      <c r="X22" s="13">
        <f>SUM(X16:X21)</f>
        <v>12894343.632434985</v>
      </c>
      <c r="Y22" s="24">
        <f>SUM(Y16:Y21)</f>
        <v>78.214208854001825</v>
      </c>
    </row>
    <row r="23" spans="1:25" x14ac:dyDescent="0.25">
      <c r="A23" s="1"/>
      <c r="B23" s="12"/>
      <c r="C23" s="12"/>
      <c r="D23" s="12"/>
      <c r="E23" s="12"/>
      <c r="F23" s="12"/>
      <c r="G23" s="12"/>
      <c r="H23" s="12"/>
      <c r="I23" s="12"/>
      <c r="J23" s="12"/>
      <c r="L23" s="12"/>
      <c r="M23" s="12"/>
      <c r="N23" s="12"/>
      <c r="O23" s="12"/>
      <c r="P23" s="12"/>
      <c r="Q23" s="12"/>
      <c r="R23" s="12"/>
      <c r="S23" s="12"/>
      <c r="U23" s="12"/>
      <c r="V23" s="12"/>
      <c r="X23" s="12"/>
      <c r="Y23" s="12"/>
    </row>
    <row r="24" spans="1:25" x14ac:dyDescent="0.25">
      <c r="A24" s="3" t="s">
        <v>11</v>
      </c>
      <c r="B24" s="12">
        <f t="shared" ref="B24:I24" si="27">B13-B22</f>
        <v>9911318.5897634476</v>
      </c>
      <c r="C24" s="12">
        <f t="shared" si="27"/>
        <v>271469.54915796593</v>
      </c>
      <c r="D24" s="12">
        <f t="shared" si="27"/>
        <v>7627064.2286435971</v>
      </c>
      <c r="E24" s="12">
        <f t="shared" ref="E24" si="28">E13-E22</f>
        <v>384914.56561891927</v>
      </c>
      <c r="F24" s="12">
        <f t="shared" si="27"/>
        <v>3594760.233781056</v>
      </c>
      <c r="G24" s="12">
        <f t="shared" si="27"/>
        <v>1000011.1321763338</v>
      </c>
      <c r="H24" s="12">
        <f t="shared" si="27"/>
        <v>77251.700858675933</v>
      </c>
      <c r="I24" s="12">
        <f t="shared" si="27"/>
        <v>22866790</v>
      </c>
      <c r="J24" s="12"/>
      <c r="L24" s="17">
        <f t="shared" ref="L24:S24" si="29">L13-L22</f>
        <v>107.48988324815126</v>
      </c>
      <c r="M24" s="17">
        <f t="shared" ref="M24" si="30">M13-M22</f>
        <v>91.362052783225778</v>
      </c>
      <c r="N24" s="17">
        <f t="shared" si="29"/>
        <v>109.45687100706931</v>
      </c>
      <c r="O24" s="17">
        <f t="shared" ref="O24" si="31">O13-O22</f>
        <v>95.393944391305894</v>
      </c>
      <c r="P24" s="17">
        <f t="shared" si="29"/>
        <v>85.877833531165507</v>
      </c>
      <c r="Q24" s="17">
        <f t="shared" si="29"/>
        <v>90.261858667418878</v>
      </c>
      <c r="R24" s="17">
        <f t="shared" si="29"/>
        <v>40.873915798241228</v>
      </c>
      <c r="S24" s="17">
        <f t="shared" si="29"/>
        <v>102.21057484869081</v>
      </c>
      <c r="U24" s="12">
        <f>U13-U22</f>
        <v>11221824.462424651</v>
      </c>
      <c r="V24" s="17">
        <f>V13-V22</f>
        <v>100.60807300004173</v>
      </c>
      <c r="X24" s="12">
        <f>X13-X22</f>
        <v>17809852.367565013</v>
      </c>
      <c r="Y24" s="17">
        <f>Y13-Y22</f>
        <v>108.03058708872148</v>
      </c>
    </row>
    <row r="25" spans="1:25" x14ac:dyDescent="0.25">
      <c r="A25" s="1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U25" s="12"/>
      <c r="V25" s="12"/>
      <c r="X25" s="12"/>
      <c r="Y25" s="12"/>
    </row>
    <row r="26" spans="1:25" x14ac:dyDescent="0.25">
      <c r="A26" s="2" t="s">
        <v>12</v>
      </c>
      <c r="B26" s="12">
        <f>B52*38.00497</f>
        <v>3504323.8887403002</v>
      </c>
      <c r="C26" s="12">
        <f t="shared" ref="C26:F26" si="32">C52*38.00497</f>
        <v>112926.4476592</v>
      </c>
      <c r="D26" s="12">
        <f t="shared" si="32"/>
        <v>2648224.3145699999</v>
      </c>
      <c r="E26" s="12">
        <f t="shared" si="32"/>
        <v>153350.05395</v>
      </c>
      <c r="F26" s="12">
        <f t="shared" si="32"/>
        <v>1590850.03923</v>
      </c>
      <c r="G26" s="12">
        <v>105060</v>
      </c>
      <c r="H26" s="12">
        <f>Q26*0.5*$H$52</f>
        <v>8961.2510154346055</v>
      </c>
      <c r="I26" s="12">
        <f t="shared" ref="I26:I32" si="33">SUM(B26:H26)</f>
        <v>8123695.9951649345</v>
      </c>
      <c r="J26" s="12"/>
      <c r="L26" s="17">
        <f t="shared" ref="L26:M32" si="34">B26/B$52</f>
        <v>38.00497</v>
      </c>
      <c r="M26" s="17">
        <f t="shared" si="34"/>
        <v>38.00497</v>
      </c>
      <c r="N26" s="17">
        <f t="shared" ref="N26:N32" si="35">D26/D$52</f>
        <v>38.00497</v>
      </c>
      <c r="O26" s="17">
        <f t="shared" ref="O26:P32" si="36">E26/E$52</f>
        <v>38.00497</v>
      </c>
      <c r="P26" s="17">
        <f t="shared" si="36"/>
        <v>38.00497</v>
      </c>
      <c r="Q26" s="17">
        <f t="shared" ref="Q26:Q32" si="37">G26/G$52</f>
        <v>9.4828053073382073</v>
      </c>
      <c r="R26" s="17">
        <f t="shared" ref="R26:R32" si="38">H26/H$52</f>
        <v>4.7414026536691036</v>
      </c>
      <c r="S26" s="17">
        <f t="shared" ref="S26:S32" si="39">I26/I$52</f>
        <v>36.311508417308033</v>
      </c>
      <c r="U26" s="12">
        <f t="shared" ref="U26:U32" si="40">D26+F26</f>
        <v>4239074.3537999997</v>
      </c>
      <c r="V26" s="17">
        <f t="shared" ref="V26:V32" si="41">U26/$U$52</f>
        <v>38.00497</v>
      </c>
      <c r="X26" s="12">
        <f t="shared" ref="X26:X32" si="42">SUM(B26:D26)</f>
        <v>6265474.6509694997</v>
      </c>
      <c r="Y26" s="17">
        <f t="shared" ref="Y26:Y32" si="43">X26/$X$52</f>
        <v>38.00497</v>
      </c>
    </row>
    <row r="27" spans="1:25" x14ac:dyDescent="0.25">
      <c r="A27" s="2" t="s">
        <v>13</v>
      </c>
      <c r="B27" s="12">
        <f>B52*1.93566</f>
        <v>178481.38226340001</v>
      </c>
      <c r="C27" s="12">
        <f t="shared" ref="C27:F27" si="44">C52*1.93566</f>
        <v>5751.5426975999999</v>
      </c>
      <c r="D27" s="12">
        <f t="shared" si="44"/>
        <v>134878.72446</v>
      </c>
      <c r="E27" s="12">
        <f t="shared" si="44"/>
        <v>7810.3881000000001</v>
      </c>
      <c r="F27" s="12">
        <f t="shared" si="44"/>
        <v>81024.791939999996</v>
      </c>
      <c r="G27" s="12"/>
      <c r="H27" s="12">
        <f t="shared" ref="H27:H31" si="45">Q27*0.5*$H$52</f>
        <v>0</v>
      </c>
      <c r="I27" s="12">
        <f t="shared" si="33"/>
        <v>407946.82946100004</v>
      </c>
      <c r="J27" s="12"/>
      <c r="L27" s="17">
        <f t="shared" si="34"/>
        <v>1.9356599999999999</v>
      </c>
      <c r="M27" s="17">
        <f t="shared" si="34"/>
        <v>1.9356599999999999</v>
      </c>
      <c r="N27" s="17">
        <f t="shared" si="35"/>
        <v>1.9356599999999999</v>
      </c>
      <c r="O27" s="17">
        <f t="shared" si="36"/>
        <v>1.9356599999999999</v>
      </c>
      <c r="P27" s="17">
        <f t="shared" si="36"/>
        <v>1.9356599999999999</v>
      </c>
      <c r="Q27" s="17">
        <f t="shared" si="37"/>
        <v>0</v>
      </c>
      <c r="R27" s="17">
        <f t="shared" si="38"/>
        <v>0</v>
      </c>
      <c r="S27" s="17">
        <f t="shared" si="39"/>
        <v>1.8234513872261757</v>
      </c>
      <c r="U27" s="12">
        <f t="shared" si="40"/>
        <v>215903.51639999999</v>
      </c>
      <c r="V27" s="17">
        <f t="shared" si="41"/>
        <v>1.9356599999999999</v>
      </c>
      <c r="X27" s="12">
        <f t="shared" si="42"/>
        <v>319111.64942100004</v>
      </c>
      <c r="Y27" s="17">
        <f t="shared" si="43"/>
        <v>1.9356600000000002</v>
      </c>
    </row>
    <row r="28" spans="1:25" x14ac:dyDescent="0.25">
      <c r="A28" s="2" t="s">
        <v>14</v>
      </c>
      <c r="B28" s="12">
        <f>B52*2.738126</f>
        <v>252474.35670074</v>
      </c>
      <c r="C28" s="12">
        <f t="shared" ref="C28:F28" si="46">C52*2.738126</f>
        <v>8135.9580713599998</v>
      </c>
      <c r="D28" s="12">
        <f t="shared" si="46"/>
        <v>190795.35780599999</v>
      </c>
      <c r="E28" s="12">
        <f t="shared" si="46"/>
        <v>11048.338409999998</v>
      </c>
      <c r="F28" s="12">
        <f t="shared" si="46"/>
        <v>114615.21623399999</v>
      </c>
      <c r="G28" s="12">
        <f>G52*1.25</f>
        <v>13848.75</v>
      </c>
      <c r="H28" s="12">
        <f t="shared" si="45"/>
        <v>1181.25</v>
      </c>
      <c r="I28" s="12">
        <f t="shared" si="33"/>
        <v>592099.22722210002</v>
      </c>
      <c r="J28" s="12"/>
      <c r="L28" s="17">
        <f t="shared" si="34"/>
        <v>2.7381259999999998</v>
      </c>
      <c r="M28" s="17">
        <f t="shared" si="34"/>
        <v>2.7381259999999998</v>
      </c>
      <c r="N28" s="17">
        <f t="shared" si="35"/>
        <v>2.7381259999999998</v>
      </c>
      <c r="O28" s="17">
        <f t="shared" si="36"/>
        <v>2.7381259999999998</v>
      </c>
      <c r="P28" s="17">
        <f t="shared" si="36"/>
        <v>2.7381259999999998</v>
      </c>
      <c r="Q28" s="17">
        <f t="shared" si="37"/>
        <v>1.25</v>
      </c>
      <c r="R28" s="17">
        <f t="shared" si="38"/>
        <v>0.625</v>
      </c>
      <c r="S28" s="17">
        <f t="shared" si="39"/>
        <v>2.6465805817885428</v>
      </c>
      <c r="U28" s="12">
        <f t="shared" si="40"/>
        <v>305410.57403999998</v>
      </c>
      <c r="V28" s="17">
        <f t="shared" si="41"/>
        <v>2.7381259999999998</v>
      </c>
      <c r="X28" s="12">
        <f t="shared" si="42"/>
        <v>451405.6725781</v>
      </c>
      <c r="Y28" s="17">
        <f t="shared" si="43"/>
        <v>2.7381259999999998</v>
      </c>
    </row>
    <row r="29" spans="1:25" x14ac:dyDescent="0.25">
      <c r="A29" s="2" t="s">
        <v>15</v>
      </c>
      <c r="B29" s="12">
        <f>B52*12.24419</f>
        <v>1128999.9048881</v>
      </c>
      <c r="C29" s="12">
        <f t="shared" ref="C29:F29" si="47">C52*12.24419</f>
        <v>36381.8963984</v>
      </c>
      <c r="D29" s="12">
        <f t="shared" si="47"/>
        <v>853187.40338999999</v>
      </c>
      <c r="E29" s="12">
        <f t="shared" si="47"/>
        <v>49405.306649999999</v>
      </c>
      <c r="F29" s="12">
        <f t="shared" si="47"/>
        <v>512529.54920999997</v>
      </c>
      <c r="G29" s="12">
        <v>33250</v>
      </c>
      <c r="H29" s="12">
        <f t="shared" si="45"/>
        <v>2836.1088545897646</v>
      </c>
      <c r="I29" s="12">
        <f t="shared" si="33"/>
        <v>2616590.1693910901</v>
      </c>
      <c r="J29" s="12"/>
      <c r="L29" s="17">
        <f t="shared" si="34"/>
        <v>12.24419</v>
      </c>
      <c r="M29" s="17">
        <f t="shared" si="34"/>
        <v>12.24419</v>
      </c>
      <c r="N29" s="17">
        <f t="shared" si="35"/>
        <v>12.24419</v>
      </c>
      <c r="O29" s="17">
        <f t="shared" si="36"/>
        <v>12.24419</v>
      </c>
      <c r="P29" s="17">
        <f t="shared" si="36"/>
        <v>12.24419</v>
      </c>
      <c r="Q29" s="17">
        <f t="shared" si="37"/>
        <v>3.0011733911002798</v>
      </c>
      <c r="R29" s="17">
        <f t="shared" si="38"/>
        <v>1.5005866955501401</v>
      </c>
      <c r="S29" s="17">
        <f t="shared" si="39"/>
        <v>11.695703041699186</v>
      </c>
      <c r="U29" s="12">
        <f t="shared" si="40"/>
        <v>1365716.9526</v>
      </c>
      <c r="V29" s="17">
        <f t="shared" si="41"/>
        <v>12.24419</v>
      </c>
      <c r="X29" s="12">
        <f t="shared" si="42"/>
        <v>2018569.2046765001</v>
      </c>
      <c r="Y29" s="17">
        <f t="shared" si="43"/>
        <v>12.24419</v>
      </c>
    </row>
    <row r="30" spans="1:25" x14ac:dyDescent="0.25">
      <c r="A30" s="2" t="s">
        <v>16</v>
      </c>
      <c r="B30" s="12">
        <f>B52*2.372026</f>
        <v>218717.37766174</v>
      </c>
      <c r="C30" s="12">
        <f t="shared" ref="C30:F30" si="48">C52*2.372026</f>
        <v>7048.14317536</v>
      </c>
      <c r="D30" s="12">
        <f t="shared" si="48"/>
        <v>165285.143706</v>
      </c>
      <c r="E30" s="12">
        <f t="shared" si="48"/>
        <v>9571.1249100000005</v>
      </c>
      <c r="F30" s="12">
        <f t="shared" si="48"/>
        <v>99290.636333999995</v>
      </c>
      <c r="G30" s="12">
        <v>2557</v>
      </c>
      <c r="H30" s="12">
        <f t="shared" si="45"/>
        <v>218.10316815597074</v>
      </c>
      <c r="I30" s="12">
        <f t="shared" si="33"/>
        <v>502687.52895525598</v>
      </c>
      <c r="J30" s="12"/>
      <c r="L30" s="17">
        <f t="shared" si="34"/>
        <v>2.372026</v>
      </c>
      <c r="M30" s="17">
        <f t="shared" si="34"/>
        <v>2.372026</v>
      </c>
      <c r="N30" s="17">
        <f t="shared" si="35"/>
        <v>2.372026</v>
      </c>
      <c r="O30" s="17">
        <f t="shared" si="36"/>
        <v>2.372026</v>
      </c>
      <c r="P30" s="17">
        <f t="shared" si="36"/>
        <v>2.372026</v>
      </c>
      <c r="Q30" s="17">
        <f t="shared" si="37"/>
        <v>0.23079700333965159</v>
      </c>
      <c r="R30" s="17">
        <f t="shared" si="38"/>
        <v>0.11539850166982579</v>
      </c>
      <c r="S30" s="17">
        <f t="shared" si="39"/>
        <v>2.2469258389036946</v>
      </c>
      <c r="U30" s="12">
        <f t="shared" si="40"/>
        <v>264575.78003999998</v>
      </c>
      <c r="V30" s="17">
        <f t="shared" si="41"/>
        <v>2.372026</v>
      </c>
      <c r="X30" s="12">
        <f t="shared" si="42"/>
        <v>391050.66454309999</v>
      </c>
      <c r="Y30" s="17">
        <f t="shared" si="43"/>
        <v>2.372026</v>
      </c>
    </row>
    <row r="31" spans="1:25" x14ac:dyDescent="0.25">
      <c r="A31" s="2" t="s">
        <v>17</v>
      </c>
      <c r="B31" s="12">
        <f>B52*5.23499</f>
        <v>482702.67058010004</v>
      </c>
      <c r="C31" s="12">
        <f t="shared" ref="C31:F31" si="49">C52*5.23499</f>
        <v>15555.0398864</v>
      </c>
      <c r="D31" s="12">
        <f t="shared" si="49"/>
        <v>364779.33818999998</v>
      </c>
      <c r="E31" s="12">
        <f t="shared" si="49"/>
        <v>21123.184649999999</v>
      </c>
      <c r="F31" s="12">
        <f t="shared" si="49"/>
        <v>219131.44641</v>
      </c>
      <c r="G31" s="12">
        <v>14949</v>
      </c>
      <c r="H31" s="12">
        <f t="shared" si="45"/>
        <v>1275.097481722177</v>
      </c>
      <c r="I31" s="12">
        <f t="shared" si="33"/>
        <v>1119515.7771982222</v>
      </c>
      <c r="J31" s="12"/>
      <c r="L31" s="17">
        <f t="shared" si="34"/>
        <v>5.2349899999999998</v>
      </c>
      <c r="M31" s="17">
        <f t="shared" si="34"/>
        <v>5.2349899999999998</v>
      </c>
      <c r="N31" s="17">
        <f t="shared" si="35"/>
        <v>5.2349899999999998</v>
      </c>
      <c r="O31" s="17">
        <f t="shared" si="36"/>
        <v>5.2349899999999998</v>
      </c>
      <c r="P31" s="17">
        <f t="shared" si="36"/>
        <v>5.2349899999999998</v>
      </c>
      <c r="Q31" s="17">
        <f t="shared" si="37"/>
        <v>1.3493095044679122</v>
      </c>
      <c r="R31" s="17">
        <f t="shared" si="38"/>
        <v>0.6746547522339561</v>
      </c>
      <c r="S31" s="17">
        <f t="shared" si="39"/>
        <v>5.0040408443690234</v>
      </c>
      <c r="U31" s="12">
        <f t="shared" si="40"/>
        <v>583910.78460000001</v>
      </c>
      <c r="V31" s="17">
        <f t="shared" si="41"/>
        <v>5.2349899999999998</v>
      </c>
      <c r="X31" s="12">
        <f t="shared" si="42"/>
        <v>863037.04865649994</v>
      </c>
      <c r="Y31" s="17">
        <f t="shared" si="43"/>
        <v>5.2349899999999998</v>
      </c>
    </row>
    <row r="32" spans="1:25" x14ac:dyDescent="0.25">
      <c r="A32" s="2" t="s">
        <v>18</v>
      </c>
      <c r="B32" s="12">
        <f>B8*0.015+B7*0.00484*0.675</f>
        <v>156270.6636796002</v>
      </c>
      <c r="C32" s="12">
        <f>59*13.27+C8*0.015+C7*0.00484*0.675</f>
        <v>5348.3356730047999</v>
      </c>
      <c r="D32" s="12">
        <f>2090*13.27+D7*0.00484*0.675+D11*0.015</f>
        <v>125210.978421395</v>
      </c>
      <c r="E32" s="12">
        <f>121*13.27+E8*0.015+E7*0.00484*0.68</f>
        <v>7431.4207610080002</v>
      </c>
      <c r="F32" s="12">
        <f>5053*13.27+F7*0.00484*0.675+F11*0.015+6667</f>
        <v>131493.73768846999</v>
      </c>
      <c r="G32" s="12">
        <f>G8*0.015+G7*0.00484*0.675</f>
        <v>10045.435023</v>
      </c>
      <c r="H32" s="12">
        <f>H8*0.015+H7*0.00484*0.675</f>
        <v>1331.2327560000001</v>
      </c>
      <c r="I32" s="12">
        <f t="shared" si="33"/>
        <v>437131.80400247802</v>
      </c>
      <c r="J32" s="12"/>
      <c r="K32" s="12">
        <v>134455.51</v>
      </c>
      <c r="L32" s="17">
        <f t="shared" si="34"/>
        <v>1.6947810971771249</v>
      </c>
      <c r="M32" s="17">
        <f t="shared" si="34"/>
        <v>1.7999621967734638</v>
      </c>
      <c r="N32" s="17">
        <f t="shared" si="35"/>
        <v>1.7969170709575781</v>
      </c>
      <c r="O32" s="17">
        <f t="shared" si="36"/>
        <v>1.8417399655534077</v>
      </c>
      <c r="P32" s="17">
        <f t="shared" si="36"/>
        <v>3.1413492364478364</v>
      </c>
      <c r="Q32" s="17">
        <f t="shared" si="37"/>
        <v>0.90670954264825343</v>
      </c>
      <c r="R32" s="17">
        <f t="shared" si="38"/>
        <v>0.70435595555555564</v>
      </c>
      <c r="S32" s="17">
        <f t="shared" si="39"/>
        <v>1.9539031482660449</v>
      </c>
      <c r="U32" s="12">
        <f t="shared" si="40"/>
        <v>256704.716109865</v>
      </c>
      <c r="V32" s="17">
        <f t="shared" si="41"/>
        <v>2.3014588139668728</v>
      </c>
      <c r="X32" s="12">
        <f t="shared" si="42"/>
        <v>286829.97777400003</v>
      </c>
      <c r="Y32" s="17">
        <f t="shared" si="43"/>
        <v>1.7398465890712296</v>
      </c>
    </row>
    <row r="33" spans="1:25" x14ac:dyDescent="0.25">
      <c r="A33" s="4" t="s">
        <v>19</v>
      </c>
      <c r="B33" s="13">
        <f>SUM(B26:B32)</f>
        <v>5921970.244513981</v>
      </c>
      <c r="C33" s="13">
        <f>SUM(C26:C32)</f>
        <v>191147.36356132478</v>
      </c>
      <c r="D33" s="13">
        <f>SUM(D26:D32)</f>
        <v>4482361.2605433948</v>
      </c>
      <c r="E33" s="13">
        <f t="shared" ref="E33" si="50">SUM(E26:E32)</f>
        <v>259739.81743100804</v>
      </c>
      <c r="F33" s="13">
        <f t="shared" ref="F33:I33" si="51">SUM(F26:F32)</f>
        <v>2748935.4170464701</v>
      </c>
      <c r="G33" s="13">
        <f t="shared" si="51"/>
        <v>179710.185023</v>
      </c>
      <c r="H33" s="13">
        <f t="shared" si="51"/>
        <v>15803.043275902519</v>
      </c>
      <c r="I33" s="13">
        <f t="shared" si="51"/>
        <v>13799667.331395082</v>
      </c>
      <c r="J33" s="12"/>
      <c r="L33" s="24">
        <f>SUM(L26:L32)</f>
        <v>64.224743097177125</v>
      </c>
      <c r="M33" s="24">
        <f>SUM(M26:M32)</f>
        <v>64.329924196773462</v>
      </c>
      <c r="N33" s="24">
        <f>SUM(N26:N32)</f>
        <v>64.326879070957574</v>
      </c>
      <c r="O33" s="24">
        <f t="shared" ref="O33" si="52">SUM(O26:O32)</f>
        <v>64.371701965553399</v>
      </c>
      <c r="P33" s="24">
        <f t="shared" ref="P33:S33" si="53">SUM(P26:P32)</f>
        <v>65.671311236447835</v>
      </c>
      <c r="Q33" s="24">
        <f t="shared" si="53"/>
        <v>16.220794748894306</v>
      </c>
      <c r="R33" s="24">
        <f t="shared" si="53"/>
        <v>8.3613985586785819</v>
      </c>
      <c r="S33" s="24">
        <f t="shared" si="53"/>
        <v>61.682113259560694</v>
      </c>
      <c r="U33" s="13">
        <f t="shared" ref="U33" si="54">SUM(U26:U32)</f>
        <v>7231296.6775898654</v>
      </c>
      <c r="V33" s="24">
        <f>SUM(V26:V32)</f>
        <v>64.831420813966872</v>
      </c>
      <c r="X33" s="13">
        <f t="shared" ref="X33" si="55">SUM(X26:X32)</f>
        <v>10595478.868618699</v>
      </c>
      <c r="Y33" s="24">
        <f>SUM(Y26:Y32)</f>
        <v>64.269808589071232</v>
      </c>
    </row>
    <row r="34" spans="1:25" x14ac:dyDescent="0.25">
      <c r="A34" s="1"/>
      <c r="B34" s="12"/>
      <c r="C34" s="12"/>
      <c r="D34" s="12"/>
      <c r="E34" s="12"/>
      <c r="F34" s="12"/>
      <c r="G34" s="12"/>
      <c r="H34" s="12"/>
      <c r="I34" s="12"/>
      <c r="J34" s="12"/>
      <c r="L34" s="12"/>
      <c r="M34" s="12"/>
      <c r="N34" s="12"/>
      <c r="O34" s="12"/>
      <c r="P34" s="12"/>
      <c r="Q34" s="12"/>
      <c r="R34" s="12"/>
      <c r="S34" s="12"/>
      <c r="U34" s="12"/>
      <c r="V34" s="12"/>
      <c r="X34" s="12"/>
      <c r="Y34" s="12"/>
    </row>
    <row r="35" spans="1:25" x14ac:dyDescent="0.25">
      <c r="A35" s="2" t="s">
        <v>20</v>
      </c>
      <c r="B35" s="12">
        <f>B52*5.90752</f>
        <v>544714.63756479998</v>
      </c>
      <c r="C35" s="12">
        <f t="shared" ref="C35:F35" si="56">C52*5.90752</f>
        <v>17553.368627200001</v>
      </c>
      <c r="D35" s="12">
        <f t="shared" si="56"/>
        <v>411641.90111999999</v>
      </c>
      <c r="E35" s="12">
        <f t="shared" si="56"/>
        <v>23836.843199999999</v>
      </c>
      <c r="F35" s="12">
        <f t="shared" si="56"/>
        <v>247282.87967999998</v>
      </c>
      <c r="G35" s="12">
        <v>8161</v>
      </c>
      <c r="H35" s="12">
        <f t="shared" ref="H35" si="57">Q35*0.5*$H$52</f>
        <v>696.10479285134033</v>
      </c>
      <c r="I35" s="12">
        <f>SUM(B35:H35)</f>
        <v>1253886.7349848512</v>
      </c>
      <c r="J35" s="12"/>
      <c r="L35" s="17">
        <f>B35/B$52</f>
        <v>5.9075199999999999</v>
      </c>
      <c r="M35" s="17">
        <f>C35/C$52</f>
        <v>5.9075199999999999</v>
      </c>
      <c r="N35" s="17">
        <f>D35/D$52</f>
        <v>5.9075199999999999</v>
      </c>
      <c r="O35" s="17">
        <f>E35/E$52</f>
        <v>5.9075199999999999</v>
      </c>
      <c r="P35" s="17">
        <f>F35/F$52</f>
        <v>5.9075199999999999</v>
      </c>
      <c r="Q35" s="17">
        <f t="shared" ref="Q35" si="58">G35/G$52</f>
        <v>0.73661882841411674</v>
      </c>
      <c r="R35" s="17">
        <f t="shared" ref="R35" si="59">H35/H$52</f>
        <v>0.36830941420705837</v>
      </c>
      <c r="S35" s="17">
        <f t="shared" ref="S35" si="60">I35/I$52</f>
        <v>5.6046556590561973</v>
      </c>
      <c r="U35" s="12">
        <f>D35+F35</f>
        <v>658924.78079999995</v>
      </c>
      <c r="V35" s="17">
        <f>U35/$U$52</f>
        <v>5.9075199999999999</v>
      </c>
      <c r="X35" s="12">
        <f>SUM(B35:D35)</f>
        <v>973909.90731199994</v>
      </c>
      <c r="Y35" s="17">
        <f>X35/$X$52</f>
        <v>5.907519999999999</v>
      </c>
    </row>
    <row r="36" spans="1:25" x14ac:dyDescent="0.25">
      <c r="A36" s="1"/>
      <c r="B36" s="12"/>
      <c r="C36" s="12"/>
      <c r="D36" s="12"/>
      <c r="E36" s="12"/>
      <c r="F36" s="12"/>
      <c r="G36" s="12"/>
      <c r="H36" s="12"/>
      <c r="I36" s="12"/>
      <c r="J36" s="12"/>
      <c r="L36" s="12"/>
      <c r="M36" s="12"/>
      <c r="N36" s="12"/>
      <c r="O36" s="12"/>
      <c r="P36" s="12"/>
      <c r="Q36" s="12"/>
      <c r="R36" s="12"/>
      <c r="S36" s="12"/>
      <c r="U36" s="12"/>
      <c r="V36" s="12"/>
      <c r="X36" s="12"/>
      <c r="Y36" s="12"/>
    </row>
    <row r="37" spans="1:25" x14ac:dyDescent="0.25">
      <c r="A37" s="5" t="s">
        <v>21</v>
      </c>
      <c r="B37" s="13">
        <f>B35+B33</f>
        <v>6466684.8820787808</v>
      </c>
      <c r="C37" s="13">
        <f>C35+C33</f>
        <v>208700.73218852477</v>
      </c>
      <c r="D37" s="13">
        <f>D35+D33</f>
        <v>4894003.1616633944</v>
      </c>
      <c r="E37" s="13">
        <f t="shared" ref="E37" si="61">E35+E33</f>
        <v>283576.66063100804</v>
      </c>
      <c r="F37" s="13">
        <f t="shared" ref="F37:I37" si="62">F35+F33</f>
        <v>2996218.2967264699</v>
      </c>
      <c r="G37" s="13">
        <f t="shared" si="62"/>
        <v>187871.185023</v>
      </c>
      <c r="H37" s="13">
        <f t="shared" ref="H37" si="63">H35+H33</f>
        <v>16499.148068753861</v>
      </c>
      <c r="I37" s="13">
        <f t="shared" si="62"/>
        <v>15053554.066379933</v>
      </c>
      <c r="J37" s="12"/>
      <c r="K37" s="12">
        <f>I37/1000-7735</f>
        <v>7318.5540663799329</v>
      </c>
      <c r="L37" s="24">
        <f>L35+L33</f>
        <v>70.13226309717713</v>
      </c>
      <c r="M37" s="24">
        <f>M35+M33</f>
        <v>70.237444196773467</v>
      </c>
      <c r="N37" s="24">
        <f>N35+N33</f>
        <v>70.234399070957579</v>
      </c>
      <c r="O37" s="24">
        <f t="shared" ref="O37" si="64">O35+O33</f>
        <v>70.279221965553404</v>
      </c>
      <c r="P37" s="24">
        <f t="shared" ref="P37:S37" si="65">P35+P33</f>
        <v>71.57883123644784</v>
      </c>
      <c r="Q37" s="24">
        <f t="shared" si="65"/>
        <v>16.957413577308422</v>
      </c>
      <c r="R37" s="24">
        <f t="shared" si="65"/>
        <v>8.7297079728856399</v>
      </c>
      <c r="S37" s="24">
        <f t="shared" si="65"/>
        <v>67.286768918616886</v>
      </c>
      <c r="U37" s="13">
        <f t="shared" ref="U37" si="66">U35+U33</f>
        <v>7890221.4583898652</v>
      </c>
      <c r="V37" s="24">
        <f>V35+V33</f>
        <v>70.738940813966877</v>
      </c>
      <c r="X37" s="13">
        <f t="shared" ref="X37" si="67">X35+X33</f>
        <v>11569388.775930699</v>
      </c>
      <c r="Y37" s="24">
        <f>Y35+Y33</f>
        <v>70.177328589071237</v>
      </c>
    </row>
    <row r="38" spans="1:25" x14ac:dyDescent="0.25">
      <c r="A38" s="1"/>
      <c r="B38" s="12"/>
      <c r="C38" s="12"/>
      <c r="D38" s="12"/>
      <c r="E38" s="12"/>
      <c r="F38" s="12"/>
      <c r="G38" s="12"/>
      <c r="H38" s="12"/>
      <c r="I38" s="12"/>
      <c r="J38" s="12"/>
      <c r="L38" s="12"/>
      <c r="M38" s="12"/>
      <c r="N38" s="12"/>
      <c r="O38" s="12"/>
      <c r="P38" s="12"/>
      <c r="Q38" s="12"/>
      <c r="R38" s="12"/>
      <c r="S38" s="12"/>
      <c r="U38" s="12"/>
      <c r="V38" s="12"/>
      <c r="X38" s="12"/>
      <c r="Y38" s="12"/>
    </row>
    <row r="39" spans="1:25" x14ac:dyDescent="0.25">
      <c r="A39" s="6" t="s">
        <v>22</v>
      </c>
      <c r="B39" s="13">
        <f>B24-B37</f>
        <v>3444633.7076846668</v>
      </c>
      <c r="C39" s="13">
        <f>C24-C37</f>
        <v>62768.816969441163</v>
      </c>
      <c r="D39" s="13">
        <f>D24-D37</f>
        <v>2733061.0669802027</v>
      </c>
      <c r="E39" s="13">
        <f t="shared" ref="E39" si="68">E24-E37</f>
        <v>101337.90498791123</v>
      </c>
      <c r="F39" s="13">
        <f t="shared" ref="F39:I39" si="69">F24-F37</f>
        <v>598541.93705458613</v>
      </c>
      <c r="G39" s="13">
        <f t="shared" si="69"/>
        <v>812139.94715333381</v>
      </c>
      <c r="H39" s="13">
        <f t="shared" ref="H39" si="70">H24-H37</f>
        <v>60752.552789922076</v>
      </c>
      <c r="I39" s="13">
        <f t="shared" si="69"/>
        <v>7813235.9336200673</v>
      </c>
      <c r="J39" s="12"/>
      <c r="L39" s="24">
        <f>L24-L37</f>
        <v>37.357620150974128</v>
      </c>
      <c r="M39" s="24">
        <f>M24-M37</f>
        <v>21.124608586452311</v>
      </c>
      <c r="N39" s="24">
        <f>N24-N37</f>
        <v>39.222471936111731</v>
      </c>
      <c r="O39" s="24">
        <f t="shared" ref="O39" si="71">O24-O37</f>
        <v>25.11472242575249</v>
      </c>
      <c r="P39" s="24">
        <f t="shared" ref="P39:S39" si="72">P24-P37</f>
        <v>14.299002294717667</v>
      </c>
      <c r="Q39" s="24">
        <f t="shared" si="72"/>
        <v>73.304445090110448</v>
      </c>
      <c r="R39" s="24">
        <f t="shared" si="72"/>
        <v>32.144207825355586</v>
      </c>
      <c r="S39" s="24">
        <f t="shared" si="72"/>
        <v>34.923805930073925</v>
      </c>
      <c r="U39" s="13">
        <f t="shared" ref="U39" si="73">U24-U37</f>
        <v>3331603.0040347856</v>
      </c>
      <c r="V39" s="24">
        <f>V24-V37</f>
        <v>29.86913218607485</v>
      </c>
      <c r="X39" s="13">
        <f t="shared" ref="X39" si="74">X24-X37</f>
        <v>6240463.5916343145</v>
      </c>
      <c r="Y39" s="24">
        <f>Y24-Y37</f>
        <v>37.853258499650238</v>
      </c>
    </row>
    <row r="40" spans="1:25" x14ac:dyDescent="0.25">
      <c r="A40" s="1"/>
      <c r="B40" s="12"/>
      <c r="C40" s="12"/>
      <c r="D40" s="12"/>
      <c r="E40" s="12"/>
      <c r="F40" s="12"/>
      <c r="G40" s="12"/>
      <c r="H40" s="12"/>
      <c r="I40" s="12"/>
      <c r="J40" s="12"/>
      <c r="L40" s="12"/>
      <c r="M40" s="12"/>
      <c r="N40" s="12"/>
      <c r="O40" s="12"/>
      <c r="P40" s="12"/>
      <c r="Q40" s="12"/>
      <c r="R40" s="12"/>
      <c r="S40" s="12"/>
      <c r="U40" s="12"/>
      <c r="V40" s="12"/>
      <c r="X40" s="12"/>
      <c r="Y40" s="12"/>
    </row>
    <row r="41" spans="1:25" x14ac:dyDescent="0.25">
      <c r="A41" s="2" t="s">
        <v>23</v>
      </c>
      <c r="B41" s="12">
        <f>378029/$I$52*B$52</f>
        <v>155804.35402502253</v>
      </c>
      <c r="C41" s="12">
        <f t="shared" ref="C41:H41" si="75">378029/$I$52*C$52</f>
        <v>5020.777984139716</v>
      </c>
      <c r="D41" s="12">
        <f t="shared" si="75"/>
        <v>117741.65052798703</v>
      </c>
      <c r="E41" s="12">
        <f t="shared" si="75"/>
        <v>6818.0359047721422</v>
      </c>
      <c r="F41" s="12">
        <f t="shared" si="75"/>
        <v>70730.152400955907</v>
      </c>
      <c r="G41" s="12">
        <f t="shared" si="75"/>
        <v>18720.451000984031</v>
      </c>
      <c r="H41" s="12">
        <f t="shared" si="75"/>
        <v>3193.5781561386243</v>
      </c>
      <c r="I41" s="12">
        <f t="shared" ref="I41:I44" si="76">SUM(B41:H41)</f>
        <v>378028.99999999994</v>
      </c>
      <c r="J41" s="12"/>
      <c r="K41" s="12">
        <f>300249-10210</f>
        <v>290039</v>
      </c>
      <c r="L41" s="17">
        <f t="shared" ref="L41:M44" si="77">B41/B$52</f>
        <v>1.6897238921368383</v>
      </c>
      <c r="M41" s="17">
        <f t="shared" si="77"/>
        <v>1.6897238921368383</v>
      </c>
      <c r="N41" s="17">
        <f t="shared" ref="N41:N44" si="78">D41/D$52</f>
        <v>1.6897238921368383</v>
      </c>
      <c r="O41" s="17">
        <f t="shared" ref="O41:P44" si="79">E41/E$52</f>
        <v>1.6897238921368383</v>
      </c>
      <c r="P41" s="17">
        <f t="shared" si="79"/>
        <v>1.689723892136838</v>
      </c>
      <c r="Q41" s="17">
        <f t="shared" ref="Q41:Q44" si="80">G41/G$52</f>
        <v>1.6897238921368383</v>
      </c>
      <c r="R41" s="17">
        <f t="shared" ref="R41:R44" si="81">H41/H$52</f>
        <v>1.6897238921368383</v>
      </c>
      <c r="S41" s="17">
        <f t="shared" ref="S41:S44" si="82">I41/I$52</f>
        <v>1.689723892136838</v>
      </c>
      <c r="U41" s="12">
        <f t="shared" ref="U41:U44" si="83">D41+F41</f>
        <v>188471.80292894295</v>
      </c>
      <c r="V41" s="17">
        <f>U41/$U$52</f>
        <v>1.6897238921368385</v>
      </c>
      <c r="X41" s="12">
        <f>SUM(B41:D41)</f>
        <v>278566.78253714927</v>
      </c>
      <c r="Y41" s="17">
        <f>X41/$X$52</f>
        <v>1.6897238921368383</v>
      </c>
    </row>
    <row r="42" spans="1:25" x14ac:dyDescent="0.25">
      <c r="A42" s="2" t="s">
        <v>24</v>
      </c>
      <c r="B42" s="12">
        <f>(5807)/$I$52*B$52</f>
        <v>2393.3504673538432</v>
      </c>
      <c r="C42" s="12">
        <f t="shared" ref="C42:H42" si="84">(5807)/$I$52*C$52</f>
        <v>77.125452687225931</v>
      </c>
      <c r="D42" s="12">
        <f t="shared" si="84"/>
        <v>1808.6595594941678</v>
      </c>
      <c r="E42" s="12">
        <f t="shared" si="84"/>
        <v>104.73359054202676</v>
      </c>
      <c r="F42" s="12">
        <f t="shared" si="84"/>
        <v>1086.503932217769</v>
      </c>
      <c r="G42" s="12">
        <f t="shared" si="84"/>
        <v>287.56962815740138</v>
      </c>
      <c r="H42" s="12">
        <f t="shared" si="84"/>
        <v>49.057369547566438</v>
      </c>
      <c r="I42" s="12">
        <f t="shared" si="76"/>
        <v>5807</v>
      </c>
      <c r="J42" s="12"/>
      <c r="K42" s="12">
        <f>1017811-K41-K43-K44</f>
        <v>120012</v>
      </c>
      <c r="L42" s="17">
        <f t="shared" si="77"/>
        <v>2.595628018389759E-2</v>
      </c>
      <c r="M42" s="17">
        <f t="shared" si="77"/>
        <v>2.5956280183897586E-2</v>
      </c>
      <c r="N42" s="17">
        <f t="shared" si="78"/>
        <v>2.5956280183897586E-2</v>
      </c>
      <c r="O42" s="17">
        <f t="shared" si="79"/>
        <v>2.5956280183897586E-2</v>
      </c>
      <c r="P42" s="17">
        <f t="shared" si="79"/>
        <v>2.5956280183897586E-2</v>
      </c>
      <c r="Q42" s="17">
        <f t="shared" si="80"/>
        <v>2.595628018389759E-2</v>
      </c>
      <c r="R42" s="17">
        <f t="shared" si="81"/>
        <v>2.5956280183897586E-2</v>
      </c>
      <c r="S42" s="17">
        <f t="shared" si="82"/>
        <v>2.5956280183897586E-2</v>
      </c>
      <c r="U42" s="12">
        <f t="shared" si="83"/>
        <v>2895.1634917119368</v>
      </c>
      <c r="V42" s="17">
        <f>U42/$U$52</f>
        <v>2.5956280183897586E-2</v>
      </c>
      <c r="X42" s="12">
        <f>SUM(B42:D42)</f>
        <v>4279.1354795352363</v>
      </c>
      <c r="Y42" s="17">
        <f>X42/$X$52</f>
        <v>2.5956280183897583E-2</v>
      </c>
    </row>
    <row r="43" spans="1:25" x14ac:dyDescent="0.25">
      <c r="A43" s="2" t="s">
        <v>25</v>
      </c>
      <c r="B43" s="12">
        <f>-3776/$I$52*B$52</f>
        <v>-1556.2754201357172</v>
      </c>
      <c r="C43" s="12">
        <f t="shared" ref="C43:H43" si="85">-3776/$I$52*C$52</f>
        <v>-50.150802367309304</v>
      </c>
      <c r="D43" s="12">
        <f t="shared" si="85"/>
        <v>-1176.0803335026651</v>
      </c>
      <c r="E43" s="12">
        <f t="shared" si="85"/>
        <v>-68.102985687393328</v>
      </c>
      <c r="F43" s="12">
        <f t="shared" si="85"/>
        <v>-706.4988544953153</v>
      </c>
      <c r="G43" s="12">
        <f t="shared" si="85"/>
        <v>-186.99206404724427</v>
      </c>
      <c r="H43" s="12">
        <f t="shared" si="85"/>
        <v>-31.899539764355236</v>
      </c>
      <c r="I43" s="12">
        <f t="shared" si="76"/>
        <v>-3776</v>
      </c>
      <c r="J43" s="12"/>
      <c r="K43" s="12">
        <v>12665</v>
      </c>
      <c r="L43" s="17">
        <f t="shared" si="77"/>
        <v>-1.6878063367383723E-2</v>
      </c>
      <c r="M43" s="17">
        <f t="shared" si="77"/>
        <v>-1.6878063367383723E-2</v>
      </c>
      <c r="N43" s="17">
        <f t="shared" si="78"/>
        <v>-1.6878063367383723E-2</v>
      </c>
      <c r="O43" s="17">
        <f t="shared" si="79"/>
        <v>-1.6878063367383723E-2</v>
      </c>
      <c r="P43" s="17">
        <f t="shared" si="79"/>
        <v>-1.6878063367383723E-2</v>
      </c>
      <c r="Q43" s="17">
        <f t="shared" si="80"/>
        <v>-1.6878063367383723E-2</v>
      </c>
      <c r="R43" s="17">
        <f t="shared" si="81"/>
        <v>-1.6878063367383723E-2</v>
      </c>
      <c r="S43" s="17">
        <f t="shared" si="82"/>
        <v>-1.6878063367383723E-2</v>
      </c>
      <c r="U43" s="12">
        <f t="shared" si="83"/>
        <v>-1882.5791879979804</v>
      </c>
      <c r="V43" s="17">
        <f>U43/$U$52</f>
        <v>-1.6878063367383723E-2</v>
      </c>
      <c r="X43" s="12">
        <f>SUM(B43:D43)</f>
        <v>-2782.5065560056919</v>
      </c>
      <c r="Y43" s="17">
        <f>X43/$X$52</f>
        <v>-1.6878063367383723E-2</v>
      </c>
    </row>
    <row r="44" spans="1:25" x14ac:dyDescent="0.25">
      <c r="A44" s="2" t="s">
        <v>26</v>
      </c>
      <c r="B44" s="12">
        <f>1221082/$I$52*B$52</f>
        <v>503267.98267218278</v>
      </c>
      <c r="C44" s="12">
        <f t="shared" ref="C44:H44" si="86">1221082/$I$52*C$52</f>
        <v>16217.754781853491</v>
      </c>
      <c r="D44" s="12">
        <f t="shared" si="86"/>
        <v>380320.5841615735</v>
      </c>
      <c r="E44" s="12">
        <f t="shared" si="86"/>
        <v>22023.127640130726</v>
      </c>
      <c r="F44" s="12">
        <f t="shared" si="86"/>
        <v>228467.4349165383</v>
      </c>
      <c r="G44" s="12">
        <f t="shared" si="86"/>
        <v>60469.45009293886</v>
      </c>
      <c r="H44" s="12">
        <f t="shared" si="86"/>
        <v>10315.665734782422</v>
      </c>
      <c r="I44" s="12">
        <f t="shared" si="76"/>
        <v>1221082.0000000002</v>
      </c>
      <c r="J44" s="12"/>
      <c r="K44" s="12">
        <f>665668-70573</f>
        <v>595095</v>
      </c>
      <c r="L44" s="17">
        <f t="shared" si="77"/>
        <v>5.4580241982975775</v>
      </c>
      <c r="M44" s="17">
        <f t="shared" si="77"/>
        <v>5.4580241982975775</v>
      </c>
      <c r="N44" s="17">
        <f t="shared" si="78"/>
        <v>5.4580241982975775</v>
      </c>
      <c r="O44" s="17">
        <f t="shared" si="79"/>
        <v>5.4580241982975775</v>
      </c>
      <c r="P44" s="17">
        <f t="shared" si="79"/>
        <v>5.4580241982975775</v>
      </c>
      <c r="Q44" s="17">
        <f t="shared" si="80"/>
        <v>5.4580241982975775</v>
      </c>
      <c r="R44" s="17">
        <f t="shared" si="81"/>
        <v>5.4580241982975775</v>
      </c>
      <c r="S44" s="17">
        <f t="shared" si="82"/>
        <v>5.4580241982975783</v>
      </c>
      <c r="U44" s="12">
        <f t="shared" si="83"/>
        <v>608788.01907811174</v>
      </c>
      <c r="V44" s="17">
        <f>U44/$U$52</f>
        <v>5.4580241982975775</v>
      </c>
      <c r="X44" s="12">
        <f>SUM(B44:D44)</f>
        <v>899806.32161560981</v>
      </c>
      <c r="Y44" s="17">
        <f>X44/$X$52</f>
        <v>5.4580241982975775</v>
      </c>
    </row>
    <row r="45" spans="1:25" x14ac:dyDescent="0.25">
      <c r="A45" s="7" t="s">
        <v>27</v>
      </c>
      <c r="B45" s="13">
        <f>SUM(B41:B44)</f>
        <v>659909.41174442344</v>
      </c>
      <c r="C45" s="13">
        <f>SUM(C41:C44)</f>
        <v>21265.507416313125</v>
      </c>
      <c r="D45" s="13">
        <f>SUM(D41:D44)</f>
        <v>498694.81391555199</v>
      </c>
      <c r="E45" s="13">
        <f t="shared" ref="E45" si="87">SUM(E41:E44)</f>
        <v>28877.794149757501</v>
      </c>
      <c r="F45" s="13">
        <f t="shared" ref="F45:I45" si="88">SUM(F41:F44)</f>
        <v>299577.59239521669</v>
      </c>
      <c r="G45" s="13">
        <f t="shared" si="88"/>
        <v>79290.47865803304</v>
      </c>
      <c r="H45" s="13">
        <f t="shared" si="88"/>
        <v>13526.401720704258</v>
      </c>
      <c r="I45" s="13">
        <f t="shared" si="88"/>
        <v>1601142.0000000002</v>
      </c>
      <c r="J45" s="12"/>
      <c r="L45" s="24">
        <f>SUM(L41:L44)</f>
        <v>7.1568263072509293</v>
      </c>
      <c r="M45" s="24">
        <f>SUM(M41:M44)</f>
        <v>7.1568263072509293</v>
      </c>
      <c r="N45" s="24">
        <f>SUM(N41:N44)</f>
        <v>7.1568263072509293</v>
      </c>
      <c r="O45" s="24">
        <f t="shared" ref="O45" si="89">SUM(O41:O44)</f>
        <v>7.1568263072509293</v>
      </c>
      <c r="P45" s="24">
        <f t="shared" ref="P45:S45" si="90">SUM(P41:P44)</f>
        <v>7.1568263072509293</v>
      </c>
      <c r="Q45" s="24">
        <f t="shared" si="90"/>
        <v>7.1568263072509293</v>
      </c>
      <c r="R45" s="24">
        <f t="shared" si="90"/>
        <v>7.1568263072509293</v>
      </c>
      <c r="S45" s="24">
        <f t="shared" si="90"/>
        <v>7.1568263072509302</v>
      </c>
      <c r="U45" s="13">
        <f t="shared" ref="U45" si="91">SUM(U41:U44)</f>
        <v>798272.40631076868</v>
      </c>
      <c r="V45" s="24">
        <f>SUM(V41:V44)</f>
        <v>7.1568263072509293</v>
      </c>
      <c r="X45" s="13">
        <f t="shared" ref="X45" si="92">SUM(X41:X44)</f>
        <v>1179869.7330762886</v>
      </c>
      <c r="Y45" s="24">
        <f>SUM(Y41:Y44)</f>
        <v>7.1568263072509293</v>
      </c>
    </row>
    <row r="46" spans="1:25" x14ac:dyDescent="0.25">
      <c r="B46" s="12"/>
      <c r="C46" s="12"/>
      <c r="D46" s="12"/>
      <c r="E46" s="12"/>
      <c r="F46" s="12"/>
      <c r="G46" s="12"/>
      <c r="H46" s="12"/>
      <c r="I46" s="12"/>
      <c r="J46" s="12"/>
      <c r="L46" s="12"/>
      <c r="M46" s="12"/>
      <c r="N46" s="12"/>
      <c r="O46" s="12"/>
      <c r="P46" s="12"/>
      <c r="Q46" s="12"/>
      <c r="R46" s="12"/>
      <c r="S46" s="12"/>
      <c r="U46" s="12"/>
      <c r="V46" s="12"/>
      <c r="X46" s="12"/>
      <c r="Y46" s="12"/>
    </row>
    <row r="47" spans="1:25" ht="15.75" thickBot="1" x14ac:dyDescent="0.3">
      <c r="A47" s="8" t="s">
        <v>28</v>
      </c>
      <c r="B47" s="14">
        <f>B39-B45</f>
        <v>2784724.2959402436</v>
      </c>
      <c r="C47" s="14">
        <f>C39-C45</f>
        <v>41503.309553128041</v>
      </c>
      <c r="D47" s="14">
        <f>D39-D45</f>
        <v>2234366.2530646506</v>
      </c>
      <c r="E47" s="14">
        <f t="shared" ref="E47" si="93">E39-E45</f>
        <v>72460.11083815372</v>
      </c>
      <c r="F47" s="14">
        <f t="shared" ref="F47:I47" si="94">F39-F45</f>
        <v>298964.34465936944</v>
      </c>
      <c r="G47" s="14">
        <f t="shared" si="94"/>
        <v>732849.46849530074</v>
      </c>
      <c r="H47" s="14">
        <f t="shared" si="94"/>
        <v>47226.15106921782</v>
      </c>
      <c r="I47" s="14">
        <f t="shared" si="94"/>
        <v>6212093.9336200673</v>
      </c>
      <c r="J47" s="12"/>
      <c r="L47" s="25">
        <f>L39-L45</f>
        <v>30.200793843723197</v>
      </c>
      <c r="M47" s="25">
        <f>M39-M45</f>
        <v>13.967782279201382</v>
      </c>
      <c r="N47" s="25">
        <f>N39-N45</f>
        <v>32.0656456288608</v>
      </c>
      <c r="O47" s="25">
        <f t="shared" ref="O47" si="95">O39-O45</f>
        <v>17.957896118501559</v>
      </c>
      <c r="P47" s="25">
        <f t="shared" ref="P47:S47" si="96">P39-P45</f>
        <v>7.1421759874667377</v>
      </c>
      <c r="Q47" s="25">
        <f t="shared" si="96"/>
        <v>66.147618782859524</v>
      </c>
      <c r="R47" s="25">
        <f t="shared" si="96"/>
        <v>24.987381518104655</v>
      </c>
      <c r="S47" s="25">
        <f t="shared" si="96"/>
        <v>27.766979622822994</v>
      </c>
      <c r="U47" s="14">
        <f t="shared" ref="U47" si="97">U39-U45</f>
        <v>2533330.5977240168</v>
      </c>
      <c r="V47" s="25">
        <f>V39-V45</f>
        <v>22.712305878823919</v>
      </c>
      <c r="X47" s="14">
        <f t="shared" ref="X47" si="98">X39-X45</f>
        <v>5060593.8585580261</v>
      </c>
      <c r="Y47" s="25">
        <f>Y39-Y45</f>
        <v>30.696432192399307</v>
      </c>
    </row>
    <row r="48" spans="1:25" ht="15.75" thickTop="1" x14ac:dyDescent="0.25">
      <c r="L48" s="18">
        <f>L47/L13</f>
        <v>0.15516473681094961</v>
      </c>
      <c r="M48" s="18">
        <f>M47/M13</f>
        <v>7.2888027035087913E-2</v>
      </c>
      <c r="N48" s="18">
        <f>N47/N13</f>
        <v>0.18332667118884888</v>
      </c>
      <c r="O48" s="18">
        <f t="shared" ref="O48" si="99">O47/O13</f>
        <v>9.46020411660215E-2</v>
      </c>
      <c r="P48" s="18">
        <f t="shared" ref="P48:S48" si="100">P47/P13</f>
        <v>4.222163230632623E-2</v>
      </c>
      <c r="Q48" s="18">
        <f t="shared" si="100"/>
        <v>0.31769163211091606</v>
      </c>
      <c r="R48" s="18">
        <f t="shared" si="100"/>
        <v>0.14364014669101258</v>
      </c>
      <c r="S48" s="18">
        <f t="shared" si="100"/>
        <v>0.15082821047073991</v>
      </c>
      <c r="V48" s="18">
        <f>V47/V13</f>
        <v>0.13147367690784684</v>
      </c>
      <c r="Y48" s="18">
        <f>Y47/Y13</f>
        <v>0.16481766396221625</v>
      </c>
    </row>
    <row r="49" spans="1:25" x14ac:dyDescent="0.25">
      <c r="A49" t="s">
        <v>35</v>
      </c>
    </row>
    <row r="50" spans="1:25" x14ac:dyDescent="0.25">
      <c r="A50" t="s">
        <v>45</v>
      </c>
      <c r="B50" s="15">
        <v>92206.99</v>
      </c>
      <c r="C50" s="15">
        <v>2971.36</v>
      </c>
      <c r="D50" s="15"/>
      <c r="E50" s="15">
        <v>4035</v>
      </c>
      <c r="F50" s="15"/>
      <c r="G50" s="15">
        <v>7020</v>
      </c>
      <c r="H50" s="15">
        <v>1890</v>
      </c>
      <c r="I50" s="15">
        <f>SUM(B50:H50)</f>
        <v>108123.35</v>
      </c>
      <c r="L50" s="26"/>
      <c r="M50" s="26"/>
      <c r="N50" s="26"/>
      <c r="O50" s="26"/>
      <c r="P50" s="26"/>
      <c r="Q50" s="26"/>
      <c r="R50" s="26"/>
      <c r="S50" s="26"/>
      <c r="U50" s="15"/>
      <c r="V50" s="26"/>
      <c r="X50" s="15"/>
      <c r="Y50" s="26"/>
    </row>
    <row r="51" spans="1:25" x14ac:dyDescent="0.25">
      <c r="A51" t="s">
        <v>46</v>
      </c>
      <c r="B51" s="15"/>
      <c r="C51" s="15"/>
      <c r="D51" s="15">
        <v>69681</v>
      </c>
      <c r="E51" s="15"/>
      <c r="F51" s="15">
        <f>45894-E50</f>
        <v>41859</v>
      </c>
      <c r="G51" s="15">
        <f>11079-G50</f>
        <v>4059</v>
      </c>
      <c r="H51" s="15"/>
      <c r="I51" s="15">
        <f>SUM(B51:H51)</f>
        <v>115599</v>
      </c>
      <c r="L51" s="26"/>
      <c r="M51" s="26"/>
      <c r="N51" s="26"/>
      <c r="O51" s="39"/>
      <c r="P51" s="39"/>
      <c r="Q51" s="26"/>
      <c r="R51" s="26"/>
      <c r="S51" s="26"/>
      <c r="U51" s="15">
        <f>SUM(D51:F51)</f>
        <v>111540</v>
      </c>
      <c r="V51" s="26"/>
      <c r="X51" s="15">
        <f>SUM(B52:D52)</f>
        <v>164859.35</v>
      </c>
      <c r="Y51" s="26"/>
    </row>
    <row r="52" spans="1:25" x14ac:dyDescent="0.25">
      <c r="A52" t="s">
        <v>47</v>
      </c>
      <c r="B52" s="16">
        <f>SUM(B50:B51)</f>
        <v>92206.99</v>
      </c>
      <c r="C52" s="16">
        <f>SUM(C50:C51)</f>
        <v>2971.36</v>
      </c>
      <c r="D52" s="16">
        <f>SUM(D50:D51)</f>
        <v>69681</v>
      </c>
      <c r="E52" s="16">
        <f t="shared" ref="E52" si="101">SUM(E50:E51)</f>
        <v>4035</v>
      </c>
      <c r="F52" s="16">
        <f t="shared" ref="F52:I52" si="102">SUM(F50:F51)</f>
        <v>41859</v>
      </c>
      <c r="G52" s="16">
        <f t="shared" si="102"/>
        <v>11079</v>
      </c>
      <c r="H52" s="16">
        <f t="shared" si="102"/>
        <v>1890</v>
      </c>
      <c r="I52" s="16">
        <f t="shared" si="102"/>
        <v>223722.35</v>
      </c>
      <c r="L52" s="26"/>
      <c r="M52" s="26"/>
      <c r="N52" s="26"/>
      <c r="O52" s="26"/>
      <c r="P52" s="26"/>
      <c r="Q52" s="26"/>
      <c r="R52" s="26"/>
      <c r="S52" s="26"/>
      <c r="U52" s="16">
        <f t="shared" ref="U52" si="103">SUM(U50:U51)</f>
        <v>111540</v>
      </c>
      <c r="V52" s="26"/>
      <c r="X52" s="16">
        <f t="shared" ref="X52" si="104">SUM(X50:X51)</f>
        <v>164859.35</v>
      </c>
      <c r="Y52" s="26"/>
    </row>
    <row r="53" spans="1:25" x14ac:dyDescent="0.25">
      <c r="B53" s="12"/>
      <c r="C53" s="12"/>
      <c r="D53" s="12"/>
      <c r="G53" s="17"/>
      <c r="T53" s="31"/>
    </row>
    <row r="54" spans="1:25" s="31" customFormat="1" x14ac:dyDescent="0.25">
      <c r="A54" s="31" t="s">
        <v>104</v>
      </c>
      <c r="B54" s="26"/>
      <c r="C54" s="26"/>
      <c r="D54" s="26"/>
      <c r="L54" s="30">
        <f>L37+L45</f>
        <v>77.289089404428054</v>
      </c>
      <c r="M54" s="30">
        <f>M37+M45</f>
        <v>77.394270504024391</v>
      </c>
      <c r="N54" s="30">
        <f t="shared" ref="N54:S54" si="105">N37+N45</f>
        <v>77.391225378208503</v>
      </c>
      <c r="O54" s="30">
        <f t="shared" ref="O54" si="106">O37+O45</f>
        <v>77.436048272804328</v>
      </c>
      <c r="P54" s="30">
        <f t="shared" si="105"/>
        <v>78.735657543698764</v>
      </c>
      <c r="Q54" s="30">
        <f t="shared" si="105"/>
        <v>24.114239884559353</v>
      </c>
      <c r="R54" s="30">
        <f t="shared" si="105"/>
        <v>15.886534280136569</v>
      </c>
      <c r="S54" s="30">
        <f t="shared" si="105"/>
        <v>74.44359522586781</v>
      </c>
      <c r="V54" s="30">
        <f t="shared" ref="V54" si="107">V37+V45</f>
        <v>77.895767121217801</v>
      </c>
      <c r="Y54" s="30">
        <f t="shared" ref="Y54" si="108">Y37+Y45</f>
        <v>77.334154896322161</v>
      </c>
    </row>
    <row r="55" spans="1:25" s="31" customFormat="1" ht="15.75" thickBot="1" x14ac:dyDescent="0.3"/>
    <row r="56" spans="1:25" s="31" customFormat="1" ht="15.75" thickBot="1" x14ac:dyDescent="0.3">
      <c r="A56" s="41" t="s">
        <v>98</v>
      </c>
      <c r="B56" s="42"/>
      <c r="C56" s="42"/>
      <c r="D56" s="42"/>
      <c r="E56" s="43"/>
      <c r="F56" s="43"/>
      <c r="G56" s="43"/>
      <c r="H56" s="43"/>
      <c r="I56" s="43"/>
      <c r="J56" s="43"/>
      <c r="K56" s="43"/>
      <c r="L56" s="44">
        <f>L7-L16-L17-L20-L19-L21-L32</f>
        <v>102.3937114321143</v>
      </c>
      <c r="M56" s="44">
        <f>M7-M16-M17-M20-M19-M21-M32</f>
        <v>110.94926682898101</v>
      </c>
      <c r="N56" s="44">
        <f t="shared" ref="N56:S56" si="109">N7-N16-N17-N20-N19-N21-N32</f>
        <v>100.8012119547969</v>
      </c>
      <c r="O56" s="44">
        <f t="shared" ref="O56" si="110">O7-O16-O17-O20-O19-O21-O32</f>
        <v>116.24538906020106</v>
      </c>
      <c r="P56" s="44">
        <f t="shared" si="109"/>
        <v>89.199323827434625</v>
      </c>
      <c r="Q56" s="44">
        <f t="shared" si="109"/>
        <v>176.05521230736832</v>
      </c>
      <c r="R56" s="44">
        <f t="shared" si="109"/>
        <v>161.36109423422008</v>
      </c>
      <c r="S56" s="45">
        <f t="shared" si="109"/>
        <v>103.93842276374049</v>
      </c>
      <c r="V56" s="46">
        <f t="shared" ref="V56" si="111">V7-V16-V17-V20-V19-V21-V32</f>
        <v>96.44722741899578</v>
      </c>
      <c r="Y56" s="46">
        <f t="shared" ref="Y56" si="112">Y7-Y16-Y17-Y20-Y19-Y21-Y32</f>
        <v>101.8748126193086</v>
      </c>
    </row>
    <row r="57" spans="1:25" x14ac:dyDescent="0.25">
      <c r="I57" s="17"/>
      <c r="L57" s="17"/>
      <c r="M57" s="17"/>
      <c r="N57" s="17"/>
      <c r="O57" s="17"/>
      <c r="P57" s="17"/>
      <c r="Q57" s="17"/>
    </row>
    <row r="58" spans="1:25" x14ac:dyDescent="0.25">
      <c r="B58" s="49"/>
      <c r="C58" s="49"/>
      <c r="D58" s="50"/>
      <c r="E58" s="51"/>
      <c r="F58" s="51"/>
      <c r="G58" s="31"/>
      <c r="L58" s="17"/>
      <c r="M58" s="17"/>
      <c r="N58" s="17"/>
      <c r="O58" s="17"/>
      <c r="P58" s="17"/>
    </row>
    <row r="59" spans="1:25" x14ac:dyDescent="0.25">
      <c r="B59" s="31"/>
      <c r="C59" s="31"/>
      <c r="D59" s="31"/>
      <c r="E59" s="31"/>
      <c r="F59" s="31"/>
      <c r="G59" s="31"/>
      <c r="L59" s="17"/>
      <c r="M59" s="17"/>
      <c r="N59" s="17"/>
      <c r="O59" s="17"/>
      <c r="P59" s="17"/>
    </row>
    <row r="60" spans="1:25" x14ac:dyDescent="0.25">
      <c r="B60" s="55"/>
      <c r="C60" s="55"/>
      <c r="D60" s="53"/>
      <c r="E60" s="52"/>
      <c r="F60" s="31"/>
      <c r="G60" s="31"/>
      <c r="L60" s="54"/>
      <c r="M60" s="54"/>
      <c r="N60" s="40"/>
      <c r="O60" s="17"/>
      <c r="P60" s="17"/>
    </row>
    <row r="61" spans="1:25" x14ac:dyDescent="0.25">
      <c r="B61" s="19"/>
      <c r="C61" s="19"/>
      <c r="D61" s="47"/>
      <c r="E61" s="47"/>
      <c r="L61" s="17"/>
      <c r="M61" s="17"/>
      <c r="N61" s="48"/>
      <c r="P61" s="17"/>
      <c r="S61" s="17"/>
    </row>
    <row r="62" spans="1:25" x14ac:dyDescent="0.25">
      <c r="B62" s="19"/>
      <c r="C62" s="19"/>
      <c r="E62" s="40"/>
      <c r="L62" s="17"/>
      <c r="M62" s="17"/>
      <c r="N62" s="48"/>
      <c r="P62" s="17"/>
    </row>
    <row r="63" spans="1:25" x14ac:dyDescent="0.25">
      <c r="B63" s="19"/>
      <c r="C63" s="19"/>
      <c r="D63" s="19"/>
      <c r="E63" s="19"/>
      <c r="F63" s="19"/>
      <c r="N63" s="48"/>
      <c r="P63" s="48"/>
    </row>
    <row r="64" spans="1:25" x14ac:dyDescent="0.25">
      <c r="B64" s="19"/>
      <c r="C64" s="19"/>
      <c r="D64" s="40"/>
      <c r="E64" s="40"/>
      <c r="F64" s="20"/>
      <c r="L64" s="17"/>
      <c r="M64" s="17"/>
      <c r="N64" s="17"/>
    </row>
    <row r="65" spans="2:6" x14ac:dyDescent="0.25">
      <c r="B65" s="19"/>
      <c r="C65" s="19"/>
      <c r="D65" s="19"/>
      <c r="E65" s="19"/>
      <c r="F65" s="40"/>
    </row>
    <row r="66" spans="2:6" x14ac:dyDescent="0.25">
      <c r="B66" s="19"/>
      <c r="C66" s="19"/>
      <c r="D66" s="19"/>
      <c r="E66" s="19"/>
      <c r="F66" s="15"/>
    </row>
    <row r="67" spans="2:6" x14ac:dyDescent="0.25">
      <c r="B67" s="19"/>
      <c r="C67" s="19"/>
      <c r="F67" s="15"/>
    </row>
    <row r="68" spans="2:6" x14ac:dyDescent="0.25">
      <c r="B68" s="19"/>
      <c r="C68" s="19"/>
      <c r="F68" s="40"/>
    </row>
    <row r="69" spans="2:6" x14ac:dyDescent="0.25">
      <c r="B69" s="19"/>
      <c r="C69" s="19"/>
    </row>
    <row r="70" spans="2:6" x14ac:dyDescent="0.25">
      <c r="B70" s="40"/>
      <c r="C70" s="40"/>
    </row>
    <row r="71" spans="2:6" x14ac:dyDescent="0.25">
      <c r="B71" s="19"/>
      <c r="C71" s="19"/>
    </row>
    <row r="72" spans="2:6" x14ac:dyDescent="0.25">
      <c r="B72" s="19"/>
      <c r="C72" s="19"/>
    </row>
    <row r="73" spans="2:6" x14ac:dyDescent="0.25">
      <c r="B73" s="19"/>
      <c r="C73" s="19"/>
    </row>
    <row r="74" spans="2:6" x14ac:dyDescent="0.25">
      <c r="B74" s="19"/>
      <c r="C74" s="19"/>
    </row>
    <row r="75" spans="2:6" x14ac:dyDescent="0.25">
      <c r="B75" s="19"/>
      <c r="C75" s="19"/>
    </row>
    <row r="76" spans="2:6" x14ac:dyDescent="0.25">
      <c r="B76" s="19"/>
      <c r="C76" s="19"/>
    </row>
    <row r="77" spans="2:6" x14ac:dyDescent="0.25">
      <c r="B77" s="19"/>
      <c r="C77" s="19"/>
    </row>
    <row r="78" spans="2:6" x14ac:dyDescent="0.25">
      <c r="B78" s="19"/>
      <c r="C78" s="19"/>
    </row>
  </sheetData>
  <mergeCells count="5">
    <mergeCell ref="N3:S3"/>
    <mergeCell ref="U2:U4"/>
    <mergeCell ref="V3:V4"/>
    <mergeCell ref="X2:X4"/>
    <mergeCell ref="Y3:Y4"/>
  </mergeCells>
  <pageMargins left="0.25" right="0.25" top="0.5" bottom="0.5" header="0.3" footer="0.3"/>
  <pageSetup scale="46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8"/>
  <sheetViews>
    <sheetView workbookViewId="0">
      <pane xSplit="1" ySplit="4" topLeftCell="B14" activePane="bottomRight" state="frozen"/>
      <selection pane="topRight" activeCell="B1" sqref="B1"/>
      <selection pane="bottomLeft" activeCell="A5" sqref="A5"/>
      <selection pane="bottomRight" activeCell="B42" sqref="B42:H42"/>
    </sheetView>
  </sheetViews>
  <sheetFormatPr defaultRowHeight="15" x14ac:dyDescent="0.25"/>
  <cols>
    <col min="1" max="1" width="32.140625" customWidth="1"/>
    <col min="2" max="9" width="12.7109375" customWidth="1"/>
    <col min="10" max="10" width="3.85546875" customWidth="1"/>
    <col min="11" max="11" width="9.140625" hidden="1" customWidth="1"/>
    <col min="12" max="13" width="11.7109375" customWidth="1"/>
    <col min="14" max="19" width="12.7109375" customWidth="1"/>
    <col min="20" max="20" width="4.7109375" customWidth="1"/>
    <col min="21" max="21" width="11.5703125" customWidth="1"/>
    <col min="22" max="22" width="9.28515625" customWidth="1"/>
    <col min="23" max="23" width="3.140625" customWidth="1"/>
    <col min="24" max="24" width="14.28515625" customWidth="1"/>
    <col min="25" max="25" width="9.28515625" customWidth="1"/>
  </cols>
  <sheetData>
    <row r="1" spans="1:25" ht="18.75" x14ac:dyDescent="0.3">
      <c r="A1" s="22" t="s">
        <v>31</v>
      </c>
    </row>
    <row r="2" spans="1:25" ht="18.75" x14ac:dyDescent="0.3">
      <c r="A2" s="22" t="s">
        <v>107</v>
      </c>
      <c r="U2" s="71" t="s">
        <v>97</v>
      </c>
      <c r="X2" s="71" t="s">
        <v>105</v>
      </c>
    </row>
    <row r="3" spans="1:25" ht="21" customHeight="1" x14ac:dyDescent="0.3">
      <c r="A3" s="9"/>
      <c r="N3" s="73" t="s">
        <v>51</v>
      </c>
      <c r="O3" s="73"/>
      <c r="P3" s="73"/>
      <c r="Q3" s="73"/>
      <c r="R3" s="73"/>
      <c r="S3" s="73"/>
      <c r="U3" s="71"/>
      <c r="V3" s="71" t="s">
        <v>96</v>
      </c>
      <c r="X3" s="71"/>
      <c r="Y3" s="71" t="s">
        <v>96</v>
      </c>
    </row>
    <row r="4" spans="1:25" ht="15.75" x14ac:dyDescent="0.25">
      <c r="B4" s="23" t="s">
        <v>102</v>
      </c>
      <c r="C4" s="23" t="s">
        <v>103</v>
      </c>
      <c r="D4" s="23" t="s">
        <v>95</v>
      </c>
      <c r="E4" s="23" t="s">
        <v>99</v>
      </c>
      <c r="F4" s="23" t="s">
        <v>100</v>
      </c>
      <c r="G4" s="23" t="s">
        <v>32</v>
      </c>
      <c r="H4" s="23" t="s">
        <v>33</v>
      </c>
      <c r="I4" s="23" t="s">
        <v>34</v>
      </c>
      <c r="L4" s="23" t="s">
        <v>102</v>
      </c>
      <c r="M4" s="23" t="s">
        <v>103</v>
      </c>
      <c r="N4" s="23" t="s">
        <v>95</v>
      </c>
      <c r="O4" s="23" t="s">
        <v>101</v>
      </c>
      <c r="P4" s="23" t="s">
        <v>100</v>
      </c>
      <c r="Q4" s="23" t="s">
        <v>32</v>
      </c>
      <c r="R4" s="23" t="s">
        <v>33</v>
      </c>
      <c r="S4" s="23" t="s">
        <v>34</v>
      </c>
      <c r="U4" s="72"/>
      <c r="V4" s="72"/>
      <c r="X4" s="72"/>
      <c r="Y4" s="72"/>
    </row>
    <row r="5" spans="1:25" x14ac:dyDescent="0.25">
      <c r="B5" s="11"/>
      <c r="C5" s="11"/>
      <c r="D5" s="11"/>
      <c r="E5" s="11"/>
      <c r="F5" s="11"/>
      <c r="G5" s="11"/>
      <c r="H5" s="11"/>
      <c r="I5" s="56"/>
      <c r="L5" s="11"/>
      <c r="M5" s="11"/>
      <c r="N5" s="11"/>
      <c r="O5" s="11"/>
      <c r="P5" s="11"/>
      <c r="Q5" s="11"/>
      <c r="R5" s="11"/>
      <c r="S5" s="11"/>
    </row>
    <row r="6" spans="1:25" x14ac:dyDescent="0.25">
      <c r="A6" t="s">
        <v>0</v>
      </c>
      <c r="B6" s="12"/>
      <c r="C6" s="12"/>
      <c r="D6" s="12"/>
      <c r="E6" s="12"/>
      <c r="F6" s="12"/>
      <c r="G6" s="12"/>
      <c r="H6" s="12"/>
      <c r="I6" s="12"/>
      <c r="J6" s="12"/>
      <c r="L6" s="12"/>
      <c r="M6" s="12"/>
      <c r="N6" s="17"/>
      <c r="O6" s="12"/>
      <c r="P6" s="12"/>
      <c r="Q6" s="12"/>
      <c r="R6" s="12"/>
      <c r="S6" s="12"/>
    </row>
    <row r="7" spans="1:25" x14ac:dyDescent="0.25">
      <c r="A7" s="1" t="s">
        <v>29</v>
      </c>
      <c r="B7" s="12">
        <f>14277217-C7-D7+52240</f>
        <v>8008096.9799999995</v>
      </c>
      <c r="C7" s="12">
        <f>96.23*C52</f>
        <v>268674.16000000003</v>
      </c>
      <c r="D7" s="12">
        <f>86.06*D52</f>
        <v>6052685.8600000003</v>
      </c>
      <c r="E7" s="12">
        <f>368730.382</f>
        <v>368730.38199999998</v>
      </c>
      <c r="F7" s="12">
        <f>1260604.618</f>
        <v>1260604.618</v>
      </c>
      <c r="G7" s="12">
        <v>2838745</v>
      </c>
      <c r="H7" s="12">
        <v>299499</v>
      </c>
      <c r="I7" s="12">
        <f>SUM(B7:H7)</f>
        <v>19097036</v>
      </c>
      <c r="J7" s="12"/>
      <c r="L7" s="17">
        <f t="shared" ref="L7:S8" si="0">B7/B$52</f>
        <v>86.073399901115664</v>
      </c>
      <c r="M7" s="17">
        <f t="shared" si="0"/>
        <v>96.230000000000018</v>
      </c>
      <c r="N7" s="17">
        <f t="shared" si="0"/>
        <v>86.06</v>
      </c>
      <c r="O7" s="17">
        <f t="shared" si="0"/>
        <v>111.97399999999999</v>
      </c>
      <c r="P7" s="17">
        <f t="shared" si="0"/>
        <v>67.894900522432266</v>
      </c>
      <c r="Q7" s="17">
        <f t="shared" si="0"/>
        <v>157.88348164627365</v>
      </c>
      <c r="R7" s="17">
        <f t="shared" si="0"/>
        <v>186.95318352059925</v>
      </c>
      <c r="S7" s="17">
        <f t="shared" si="0"/>
        <v>91.98824679797498</v>
      </c>
      <c r="U7" s="12">
        <f>D7+F7</f>
        <v>7313290.4780000001</v>
      </c>
      <c r="V7" s="17">
        <f>U7/$U$52</f>
        <v>82.266085603725614</v>
      </c>
      <c r="X7" s="12">
        <f>SUM(B7:D7)</f>
        <v>14329457</v>
      </c>
      <c r="Y7" s="17">
        <f>X7/$X$52</f>
        <v>86.238389273054452</v>
      </c>
    </row>
    <row r="8" spans="1:25" x14ac:dyDescent="0.25">
      <c r="A8" s="1" t="s">
        <v>30</v>
      </c>
      <c r="B8" s="12">
        <f>8740462-C8-D8</f>
        <v>8514282</v>
      </c>
      <c r="C8" s="12">
        <v>226180</v>
      </c>
      <c r="D8" s="12"/>
      <c r="E8" s="12">
        <v>277632</v>
      </c>
      <c r="F8" s="12"/>
      <c r="G8" s="12">
        <v>209700</v>
      </c>
      <c r="H8" s="12">
        <v>17119</v>
      </c>
      <c r="I8" s="12">
        <f>SUM(B8:H8)</f>
        <v>9244913</v>
      </c>
      <c r="J8" s="12"/>
      <c r="L8" s="17">
        <f t="shared" si="0"/>
        <v>91.514026526795504</v>
      </c>
      <c r="M8" s="17">
        <f t="shared" si="0"/>
        <v>81.010028653295123</v>
      </c>
      <c r="N8" s="17">
        <f t="shared" si="0"/>
        <v>0</v>
      </c>
      <c r="O8" s="17">
        <f t="shared" si="0"/>
        <v>84.309747950197391</v>
      </c>
      <c r="P8" s="17">
        <f t="shared" si="0"/>
        <v>0</v>
      </c>
      <c r="Q8" s="17">
        <f t="shared" si="0"/>
        <v>11.662958843159066</v>
      </c>
      <c r="R8" s="17">
        <f t="shared" si="0"/>
        <v>10.68601747815231</v>
      </c>
      <c r="S8" s="17">
        <f t="shared" si="0"/>
        <v>44.53169270193591</v>
      </c>
      <c r="U8" s="12">
        <f>D8+F8</f>
        <v>0</v>
      </c>
      <c r="V8" s="17">
        <f>U8/$U$52</f>
        <v>0</v>
      </c>
      <c r="X8" s="12">
        <f>SUM(B8:D8)</f>
        <v>8740462</v>
      </c>
      <c r="Y8" s="17">
        <f>X8/$X$52</f>
        <v>52.60236758324757</v>
      </c>
    </row>
    <row r="9" spans="1:25" x14ac:dyDescent="0.25">
      <c r="A9" s="2" t="s">
        <v>1</v>
      </c>
      <c r="B9" s="13">
        <f>SUM(B7:B8)</f>
        <v>16522378.98</v>
      </c>
      <c r="C9" s="13">
        <f>SUM(C7:C8)</f>
        <v>494854.16000000003</v>
      </c>
      <c r="D9" s="13">
        <f>SUM(D7:D8)</f>
        <v>6052685.8600000003</v>
      </c>
      <c r="E9" s="13">
        <f t="shared" ref="E9:I9" si="1">SUM(E7:E8)</f>
        <v>646362.38199999998</v>
      </c>
      <c r="F9" s="13">
        <f t="shared" si="1"/>
        <v>1260604.618</v>
      </c>
      <c r="G9" s="13">
        <f t="shared" si="1"/>
        <v>3048445</v>
      </c>
      <c r="H9" s="13">
        <f t="shared" si="1"/>
        <v>316618</v>
      </c>
      <c r="I9" s="13">
        <f t="shared" si="1"/>
        <v>28341949</v>
      </c>
      <c r="J9" s="12"/>
      <c r="L9" s="24">
        <f>SUM(L7:L8)</f>
        <v>177.58742642791117</v>
      </c>
      <c r="M9" s="24">
        <f>SUM(M7:M8)</f>
        <v>177.24002865329516</v>
      </c>
      <c r="N9" s="24">
        <f>SUM(N7:N8)</f>
        <v>86.06</v>
      </c>
      <c r="O9" s="24">
        <f t="shared" ref="O9:S9" si="2">SUM(O7:O8)</f>
        <v>196.28374795019738</v>
      </c>
      <c r="P9" s="24">
        <f t="shared" si="2"/>
        <v>67.894900522432266</v>
      </c>
      <c r="Q9" s="24">
        <f t="shared" si="2"/>
        <v>169.54644048943271</v>
      </c>
      <c r="R9" s="24">
        <f t="shared" si="2"/>
        <v>197.63920099875156</v>
      </c>
      <c r="S9" s="24">
        <f t="shared" si="2"/>
        <v>136.51993949991089</v>
      </c>
      <c r="U9" s="13">
        <f t="shared" ref="U9" si="3">SUM(U7:U8)</f>
        <v>7313290.4780000001</v>
      </c>
      <c r="V9" s="24">
        <f>SUM(V7:V8)</f>
        <v>82.266085603725614</v>
      </c>
      <c r="X9" s="13">
        <f t="shared" ref="X9" si="4">SUM(X7:X8)</f>
        <v>23069919</v>
      </c>
      <c r="Y9" s="24">
        <f>SUM(Y7:Y8)</f>
        <v>138.84075685630202</v>
      </c>
    </row>
    <row r="10" spans="1:25" x14ac:dyDescent="0.25">
      <c r="A10" s="1"/>
      <c r="B10" s="12"/>
      <c r="C10" s="12"/>
      <c r="D10" s="12"/>
      <c r="E10" s="12"/>
      <c r="F10" s="12"/>
      <c r="G10" s="12"/>
      <c r="H10" s="12"/>
      <c r="I10" s="12"/>
      <c r="J10" s="12"/>
      <c r="L10" s="12"/>
      <c r="M10" s="12"/>
      <c r="N10" s="12"/>
      <c r="O10" s="12"/>
      <c r="P10" s="12"/>
      <c r="Q10" s="12"/>
      <c r="R10" s="12"/>
      <c r="S10" s="12"/>
      <c r="U10" s="12"/>
      <c r="V10" s="12"/>
      <c r="X10" s="12"/>
      <c r="Y10" s="12"/>
    </row>
    <row r="11" spans="1:25" x14ac:dyDescent="0.25">
      <c r="A11" s="1" t="s">
        <v>2</v>
      </c>
      <c r="B11" s="12"/>
      <c r="C11" s="12"/>
      <c r="D11" s="12">
        <v>5165108</v>
      </c>
      <c r="E11" s="12"/>
      <c r="F11" s="12">
        <v>1363561</v>
      </c>
      <c r="G11" s="12">
        <v>351030</v>
      </c>
      <c r="H11" s="12">
        <v>0</v>
      </c>
      <c r="I11" s="12">
        <f>SUM(B11:H11)</f>
        <v>6879699</v>
      </c>
      <c r="J11" s="12"/>
      <c r="L11" s="17">
        <f t="shared" ref="L11:S11" si="5">B11/B$52</f>
        <v>0</v>
      </c>
      <c r="M11" s="17">
        <f t="shared" si="5"/>
        <v>0</v>
      </c>
      <c r="N11" s="17">
        <f t="shared" si="5"/>
        <v>73.439990900172049</v>
      </c>
      <c r="O11" s="17">
        <f t="shared" si="5"/>
        <v>0</v>
      </c>
      <c r="P11" s="17">
        <f t="shared" si="5"/>
        <v>73.440028006678517</v>
      </c>
      <c r="Q11" s="17">
        <f t="shared" si="5"/>
        <v>19.523359288097886</v>
      </c>
      <c r="R11" s="17">
        <f t="shared" si="5"/>
        <v>0</v>
      </c>
      <c r="S11" s="17">
        <f t="shared" si="5"/>
        <v>33.138726318983828</v>
      </c>
      <c r="U11" s="12">
        <f>D11+F11</f>
        <v>6528669</v>
      </c>
      <c r="V11" s="17">
        <f>U11/$U$52</f>
        <v>73.439998650138364</v>
      </c>
      <c r="X11" s="12">
        <f>SUM(B11:D11)</f>
        <v>5165108</v>
      </c>
      <c r="Y11" s="17">
        <f>X11/$X$52</f>
        <v>31.084959767935917</v>
      </c>
    </row>
    <row r="12" spans="1:25" x14ac:dyDescent="0.25">
      <c r="A12" s="1"/>
      <c r="B12" s="12"/>
      <c r="C12" s="12"/>
      <c r="D12" s="12"/>
      <c r="E12" s="12"/>
      <c r="F12" s="12"/>
      <c r="G12" s="12"/>
      <c r="H12" s="12"/>
      <c r="I12" s="12"/>
      <c r="J12" s="12"/>
      <c r="L12" s="12"/>
      <c r="M12" s="12"/>
      <c r="N12" s="12"/>
      <c r="O12" s="12"/>
      <c r="P12" s="12"/>
      <c r="Q12" s="12"/>
      <c r="R12" s="12"/>
      <c r="S12" s="12"/>
      <c r="U12" s="12"/>
      <c r="V12" s="12"/>
      <c r="X12" s="12"/>
      <c r="Y12" s="12"/>
    </row>
    <row r="13" spans="1:25" x14ac:dyDescent="0.25">
      <c r="A13" s="3" t="s">
        <v>3</v>
      </c>
      <c r="B13" s="13">
        <f>B11+B9</f>
        <v>16522378.98</v>
      </c>
      <c r="C13" s="13">
        <f>C11+C9</f>
        <v>494854.16000000003</v>
      </c>
      <c r="D13" s="13">
        <f>D11+D9</f>
        <v>11217793.859999999</v>
      </c>
      <c r="E13" s="13">
        <f t="shared" ref="E13:I13" si="6">E11+E9</f>
        <v>646362.38199999998</v>
      </c>
      <c r="F13" s="13">
        <f t="shared" si="6"/>
        <v>2624165.6179999998</v>
      </c>
      <c r="G13" s="13">
        <f t="shared" si="6"/>
        <v>3399475</v>
      </c>
      <c r="H13" s="13">
        <f t="shared" si="6"/>
        <v>316618</v>
      </c>
      <c r="I13" s="13">
        <f t="shared" si="6"/>
        <v>35221648</v>
      </c>
      <c r="J13" s="12"/>
      <c r="L13" s="24">
        <f>L11+L9</f>
        <v>177.58742642791117</v>
      </c>
      <c r="M13" s="24">
        <f>M11+M9</f>
        <v>177.24002865329516</v>
      </c>
      <c r="N13" s="24">
        <f>N11+N9</f>
        <v>159.49999090017207</v>
      </c>
      <c r="O13" s="24">
        <f t="shared" ref="O13:S13" si="7">O11+O9</f>
        <v>196.28374795019738</v>
      </c>
      <c r="P13" s="24">
        <f t="shared" si="7"/>
        <v>141.33492852911078</v>
      </c>
      <c r="Q13" s="24">
        <f t="shared" si="7"/>
        <v>189.06979977753059</v>
      </c>
      <c r="R13" s="24">
        <f t="shared" si="7"/>
        <v>197.63920099875156</v>
      </c>
      <c r="S13" s="24">
        <f t="shared" si="7"/>
        <v>169.65866581889472</v>
      </c>
      <c r="U13" s="13">
        <f t="shared" ref="U13" si="8">U11+U9</f>
        <v>13841959.478</v>
      </c>
      <c r="V13" s="24">
        <f>V11+V9</f>
        <v>155.70608425386399</v>
      </c>
      <c r="X13" s="13">
        <f t="shared" ref="X13" si="9">X11+X9</f>
        <v>28235027</v>
      </c>
      <c r="Y13" s="24">
        <f>Y11+Y9</f>
        <v>169.92571662423794</v>
      </c>
    </row>
    <row r="14" spans="1:25" x14ac:dyDescent="0.25">
      <c r="A14" s="1"/>
      <c r="B14" s="12"/>
      <c r="C14" s="12"/>
      <c r="D14" s="12"/>
      <c r="E14" s="12"/>
      <c r="F14" s="12"/>
      <c r="G14" s="12"/>
      <c r="H14" s="12"/>
      <c r="I14" s="12"/>
      <c r="J14" s="12"/>
      <c r="L14" s="12"/>
      <c r="M14" s="12"/>
      <c r="N14" s="12"/>
      <c r="O14" s="12"/>
      <c r="P14" s="12"/>
      <c r="Q14" s="12"/>
      <c r="R14" s="12"/>
      <c r="S14" s="12"/>
      <c r="U14" s="12"/>
      <c r="V14" s="12"/>
      <c r="X14" s="12"/>
      <c r="Y14" s="12"/>
    </row>
    <row r="15" spans="1:25" x14ac:dyDescent="0.25">
      <c r="A15" s="1" t="s">
        <v>4</v>
      </c>
      <c r="B15" s="17"/>
      <c r="C15" s="17"/>
      <c r="D15" s="17"/>
      <c r="E15" s="17"/>
      <c r="F15" s="17"/>
      <c r="G15" s="17"/>
      <c r="H15" s="17"/>
      <c r="I15" s="12"/>
      <c r="J15" s="12"/>
      <c r="L15" s="12"/>
      <c r="M15" s="12"/>
      <c r="N15" s="12"/>
      <c r="O15" s="12"/>
      <c r="P15" s="12"/>
      <c r="Q15" s="12"/>
      <c r="R15" s="12"/>
      <c r="S15" s="12"/>
      <c r="U15" s="12"/>
      <c r="V15" s="12"/>
      <c r="X15" s="12"/>
      <c r="Y15" s="12"/>
    </row>
    <row r="16" spans="1:25" x14ac:dyDescent="0.25">
      <c r="A16" s="2" t="s">
        <v>36</v>
      </c>
      <c r="B16" s="12"/>
      <c r="C16" s="12"/>
      <c r="D16" s="12"/>
      <c r="E16" s="12"/>
      <c r="F16" s="12"/>
      <c r="G16" s="12"/>
      <c r="H16" s="12"/>
      <c r="I16" s="12">
        <f t="shared" ref="I16:I21" si="10">SUM(B16:H16)</f>
        <v>0</v>
      </c>
      <c r="J16" s="12"/>
      <c r="L16" s="17">
        <f t="shared" ref="L16:S21" si="11">B16/B$52</f>
        <v>0</v>
      </c>
      <c r="M16" s="17">
        <f t="shared" si="11"/>
        <v>0</v>
      </c>
      <c r="N16" s="17">
        <f t="shared" si="11"/>
        <v>0</v>
      </c>
      <c r="O16" s="17">
        <f t="shared" si="11"/>
        <v>0</v>
      </c>
      <c r="P16" s="17">
        <f t="shared" si="11"/>
        <v>0</v>
      </c>
      <c r="Q16" s="17">
        <f t="shared" si="11"/>
        <v>0</v>
      </c>
      <c r="R16" s="17">
        <f t="shared" si="11"/>
        <v>0</v>
      </c>
      <c r="S16" s="17">
        <f t="shared" si="11"/>
        <v>0</v>
      </c>
      <c r="U16" s="12">
        <f t="shared" ref="U16:U21" si="12">D16+F16</f>
        <v>0</v>
      </c>
      <c r="V16" s="17">
        <f t="shared" ref="V16:V21" si="13">U16/$U$52</f>
        <v>0</v>
      </c>
      <c r="X16" s="12">
        <f t="shared" ref="X16:X21" si="14">SUM(B16:D16)</f>
        <v>0</v>
      </c>
      <c r="Y16" s="17">
        <f t="shared" ref="Y16:Y21" si="15">X16/$X$52</f>
        <v>0</v>
      </c>
    </row>
    <row r="17" spans="1:25" x14ac:dyDescent="0.25">
      <c r="A17" s="2" t="s">
        <v>5</v>
      </c>
      <c r="B17" s="12"/>
      <c r="C17" s="12">
        <f>C52*0.02*49.61</f>
        <v>2770.2224000000001</v>
      </c>
      <c r="D17" s="12">
        <f>D52*0.03*50.61</f>
        <v>106783.55729999999</v>
      </c>
      <c r="E17" s="12">
        <f>E52*0.03*49.61</f>
        <v>4900.9718999999996</v>
      </c>
      <c r="F17" s="12">
        <f>445098-E17-D17-C17</f>
        <v>330643.24839999998</v>
      </c>
      <c r="G17" s="12"/>
      <c r="H17" s="12"/>
      <c r="I17" s="12">
        <f t="shared" si="10"/>
        <v>445098</v>
      </c>
      <c r="J17" s="12"/>
      <c r="K17" s="12"/>
      <c r="L17" s="17">
        <f t="shared" si="11"/>
        <v>0</v>
      </c>
      <c r="M17" s="17">
        <f t="shared" si="11"/>
        <v>0.99220000000000008</v>
      </c>
      <c r="N17" s="17">
        <f t="shared" si="11"/>
        <v>1.5182999999999998</v>
      </c>
      <c r="O17" s="17">
        <f t="shared" si="11"/>
        <v>1.4883</v>
      </c>
      <c r="P17" s="17">
        <f t="shared" si="11"/>
        <v>17.808113771745568</v>
      </c>
      <c r="Q17" s="17">
        <f t="shared" si="11"/>
        <v>0</v>
      </c>
      <c r="R17" s="17">
        <f t="shared" si="11"/>
        <v>0</v>
      </c>
      <c r="S17" s="17">
        <f t="shared" si="11"/>
        <v>2.1439863585786334</v>
      </c>
      <c r="U17" s="12">
        <f t="shared" si="12"/>
        <v>437426.80569999997</v>
      </c>
      <c r="V17" s="17">
        <f t="shared" si="13"/>
        <v>4.9205472080361758</v>
      </c>
      <c r="X17" s="12">
        <f t="shared" si="14"/>
        <v>109553.77969999998</v>
      </c>
      <c r="Y17" s="17">
        <f t="shared" si="15"/>
        <v>0.65932306437732069</v>
      </c>
    </row>
    <row r="18" spans="1:25" x14ac:dyDescent="0.25">
      <c r="A18" s="2" t="s">
        <v>6</v>
      </c>
      <c r="B18" s="12">
        <v>7741558</v>
      </c>
      <c r="C18" s="12">
        <v>238285</v>
      </c>
      <c r="D18" s="12">
        <v>3760600</v>
      </c>
      <c r="E18" s="12">
        <v>420038</v>
      </c>
      <c r="F18" s="12">
        <v>1134447</v>
      </c>
      <c r="G18" s="12">
        <f>873622+1079531</f>
        <v>1953153</v>
      </c>
      <c r="H18" s="12">
        <v>263857</v>
      </c>
      <c r="I18" s="12">
        <f t="shared" si="10"/>
        <v>15511938</v>
      </c>
      <c r="J18" s="12"/>
      <c r="K18" s="12"/>
      <c r="L18" s="17">
        <f t="shared" si="11"/>
        <v>83.208559943249</v>
      </c>
      <c r="M18" s="17">
        <f t="shared" si="11"/>
        <v>85.345630372492835</v>
      </c>
      <c r="N18" s="17">
        <f t="shared" si="11"/>
        <v>53.470020332428092</v>
      </c>
      <c r="O18" s="17">
        <f t="shared" si="11"/>
        <v>127.5548132402065</v>
      </c>
      <c r="P18" s="17">
        <f t="shared" si="11"/>
        <v>61.100177734690583</v>
      </c>
      <c r="Q18" s="17">
        <f t="shared" si="11"/>
        <v>108.62919911012236</v>
      </c>
      <c r="R18" s="17">
        <f t="shared" si="11"/>
        <v>164.70474406991261</v>
      </c>
      <c r="S18" s="17">
        <f t="shared" si="11"/>
        <v>74.71923816129825</v>
      </c>
      <c r="U18" s="12">
        <f t="shared" si="12"/>
        <v>4895047</v>
      </c>
      <c r="V18" s="17">
        <f t="shared" si="13"/>
        <v>55.063634727440437</v>
      </c>
      <c r="X18" s="12">
        <f t="shared" si="14"/>
        <v>11740443</v>
      </c>
      <c r="Y18" s="17">
        <f t="shared" si="15"/>
        <v>70.657031433368843</v>
      </c>
    </row>
    <row r="19" spans="1:25" x14ac:dyDescent="0.25">
      <c r="A19" s="2" t="s">
        <v>7</v>
      </c>
      <c r="B19" s="12"/>
      <c r="C19" s="12"/>
      <c r="D19" s="12"/>
      <c r="E19" s="12"/>
      <c r="F19" s="12"/>
      <c r="G19" s="12"/>
      <c r="H19" s="12"/>
      <c r="I19" s="12">
        <f t="shared" si="10"/>
        <v>0</v>
      </c>
      <c r="J19" s="12"/>
      <c r="L19" s="17">
        <f t="shared" si="11"/>
        <v>0</v>
      </c>
      <c r="M19" s="17">
        <f t="shared" si="11"/>
        <v>0</v>
      </c>
      <c r="N19" s="17">
        <f t="shared" si="11"/>
        <v>0</v>
      </c>
      <c r="O19" s="17">
        <f t="shared" si="11"/>
        <v>0</v>
      </c>
      <c r="P19" s="17">
        <f t="shared" si="11"/>
        <v>0</v>
      </c>
      <c r="Q19" s="17">
        <f t="shared" si="11"/>
        <v>0</v>
      </c>
      <c r="R19" s="17">
        <f t="shared" si="11"/>
        <v>0</v>
      </c>
      <c r="S19" s="17">
        <f t="shared" si="11"/>
        <v>0</v>
      </c>
      <c r="U19" s="12">
        <f t="shared" si="12"/>
        <v>0</v>
      </c>
      <c r="V19" s="17">
        <f t="shared" si="13"/>
        <v>0</v>
      </c>
      <c r="X19" s="12">
        <f t="shared" si="14"/>
        <v>0</v>
      </c>
      <c r="Y19" s="17">
        <f t="shared" si="15"/>
        <v>0</v>
      </c>
    </row>
    <row r="20" spans="1:25" x14ac:dyDescent="0.25">
      <c r="A20" s="2" t="s">
        <v>8</v>
      </c>
      <c r="B20" s="12">
        <f>76416/$I$52*B52</f>
        <v>34246.093784771896</v>
      </c>
      <c r="C20" s="12">
        <f t="shared" ref="C20:H20" si="16">76416/$I$52*C52</f>
        <v>1027.6993685062355</v>
      </c>
      <c r="D20" s="12">
        <f t="shared" si="16"/>
        <v>25887.938497998581</v>
      </c>
      <c r="E20" s="12">
        <f t="shared" si="16"/>
        <v>1212.1110388578199</v>
      </c>
      <c r="F20" s="12">
        <f t="shared" si="16"/>
        <v>6834.2744179997399</v>
      </c>
      <c r="G20" s="12">
        <f t="shared" si="16"/>
        <v>6618.2072513402982</v>
      </c>
      <c r="H20" s="12">
        <f t="shared" si="16"/>
        <v>589.67564052542593</v>
      </c>
      <c r="I20" s="12">
        <f t="shared" si="10"/>
        <v>76416</v>
      </c>
      <c r="J20" s="12"/>
      <c r="L20" s="17">
        <f t="shared" si="11"/>
        <v>0.36808716637042815</v>
      </c>
      <c r="M20" s="17">
        <f t="shared" si="11"/>
        <v>0.36808716637042821</v>
      </c>
      <c r="N20" s="17">
        <f t="shared" si="11"/>
        <v>0.36808716637042815</v>
      </c>
      <c r="O20" s="17">
        <f t="shared" si="11"/>
        <v>0.36808716637042815</v>
      </c>
      <c r="P20" s="17">
        <f t="shared" si="11"/>
        <v>0.36808716637042815</v>
      </c>
      <c r="Q20" s="17">
        <f t="shared" si="11"/>
        <v>0.36808716637042815</v>
      </c>
      <c r="R20" s="17">
        <f t="shared" si="11"/>
        <v>0.36808716637042815</v>
      </c>
      <c r="S20" s="17">
        <f t="shared" si="11"/>
        <v>0.36808716637042815</v>
      </c>
      <c r="U20" s="12">
        <f t="shared" si="12"/>
        <v>32722.21291599832</v>
      </c>
      <c r="V20" s="17">
        <f t="shared" si="13"/>
        <v>0.36808716637042815</v>
      </c>
      <c r="X20" s="12">
        <f t="shared" si="14"/>
        <v>61161.731651276714</v>
      </c>
      <c r="Y20" s="17">
        <f t="shared" si="15"/>
        <v>0.36808716637042815</v>
      </c>
    </row>
    <row r="21" spans="1:25" x14ac:dyDescent="0.25">
      <c r="A21" s="2" t="s">
        <v>9</v>
      </c>
      <c r="B21" s="12"/>
      <c r="C21" s="12"/>
      <c r="D21" s="12"/>
      <c r="E21" s="12"/>
      <c r="F21" s="12"/>
      <c r="G21" s="12"/>
      <c r="H21" s="12"/>
      <c r="I21" s="12">
        <f t="shared" si="10"/>
        <v>0</v>
      </c>
      <c r="J21" s="12"/>
      <c r="L21" s="17">
        <f t="shared" si="11"/>
        <v>0</v>
      </c>
      <c r="M21" s="17">
        <f t="shared" si="11"/>
        <v>0</v>
      </c>
      <c r="N21" s="17">
        <f t="shared" si="11"/>
        <v>0</v>
      </c>
      <c r="O21" s="17">
        <f t="shared" si="11"/>
        <v>0</v>
      </c>
      <c r="P21" s="17">
        <f t="shared" si="11"/>
        <v>0</v>
      </c>
      <c r="Q21" s="17">
        <f t="shared" si="11"/>
        <v>0</v>
      </c>
      <c r="R21" s="17">
        <f t="shared" si="11"/>
        <v>0</v>
      </c>
      <c r="S21" s="17">
        <f t="shared" si="11"/>
        <v>0</v>
      </c>
      <c r="U21" s="12">
        <f t="shared" si="12"/>
        <v>0</v>
      </c>
      <c r="V21" s="17">
        <f t="shared" si="13"/>
        <v>0</v>
      </c>
      <c r="X21" s="12">
        <f t="shared" si="14"/>
        <v>0</v>
      </c>
      <c r="Y21" s="17">
        <f t="shared" si="15"/>
        <v>0</v>
      </c>
    </row>
    <row r="22" spans="1:25" x14ac:dyDescent="0.25">
      <c r="A22" s="3" t="s">
        <v>10</v>
      </c>
      <c r="B22" s="13">
        <f t="shared" ref="B22:I22" si="17">SUM(B16:B21)</f>
        <v>7775804.0937847719</v>
      </c>
      <c r="C22" s="13">
        <f t="shared" si="17"/>
        <v>242082.92176850623</v>
      </c>
      <c r="D22" s="13">
        <f t="shared" si="17"/>
        <v>3893271.4957979987</v>
      </c>
      <c r="E22" s="13">
        <f t="shared" ref="E22" si="18">SUM(E16:E21)</f>
        <v>426151.08293885784</v>
      </c>
      <c r="F22" s="13">
        <f t="shared" si="17"/>
        <v>1471924.5228179996</v>
      </c>
      <c r="G22" s="13">
        <f t="shared" si="17"/>
        <v>1959771.2072513404</v>
      </c>
      <c r="H22" s="13">
        <f t="shared" si="17"/>
        <v>264446.67564052541</v>
      </c>
      <c r="I22" s="13">
        <f t="shared" si="17"/>
        <v>16033452</v>
      </c>
      <c r="J22" s="12"/>
      <c r="L22" s="24">
        <f t="shared" ref="L22:S22" si="19">SUM(L16:L21)</f>
        <v>83.576647109619429</v>
      </c>
      <c r="M22" s="24">
        <f t="shared" si="19"/>
        <v>86.705917538863261</v>
      </c>
      <c r="N22" s="24">
        <f t="shared" si="19"/>
        <v>55.356407498798518</v>
      </c>
      <c r="O22" s="24">
        <f t="shared" si="19"/>
        <v>129.41120040657694</v>
      </c>
      <c r="P22" s="24">
        <f t="shared" si="19"/>
        <v>79.276378672806572</v>
      </c>
      <c r="Q22" s="24">
        <f t="shared" si="19"/>
        <v>108.99728627649279</v>
      </c>
      <c r="R22" s="24">
        <f t="shared" si="19"/>
        <v>165.07283123628304</v>
      </c>
      <c r="S22" s="24">
        <f t="shared" si="19"/>
        <v>77.231311686247309</v>
      </c>
      <c r="U22" s="13">
        <f>SUM(U16:U21)</f>
        <v>5365196.0186159983</v>
      </c>
      <c r="V22" s="24">
        <f>SUM(V16:V21)</f>
        <v>60.352269101847043</v>
      </c>
      <c r="X22" s="13">
        <f>SUM(X16:X21)</f>
        <v>11911158.511351276</v>
      </c>
      <c r="Y22" s="24">
        <f>SUM(Y16:Y21)</f>
        <v>71.684441664116591</v>
      </c>
    </row>
    <row r="23" spans="1:25" x14ac:dyDescent="0.25">
      <c r="A23" s="1"/>
      <c r="B23" s="12"/>
      <c r="C23" s="12"/>
      <c r="D23" s="12"/>
      <c r="E23" s="12"/>
      <c r="F23" s="12"/>
      <c r="G23" s="12"/>
      <c r="H23" s="12"/>
      <c r="I23" s="12"/>
      <c r="J23" s="12"/>
      <c r="L23" s="12"/>
      <c r="M23" s="12"/>
      <c r="N23" s="12"/>
      <c r="O23" s="12"/>
      <c r="P23" s="12"/>
      <c r="Q23" s="12"/>
      <c r="R23" s="12"/>
      <c r="S23" s="12"/>
      <c r="U23" s="12"/>
      <c r="V23" s="12"/>
      <c r="X23" s="12"/>
      <c r="Y23" s="12"/>
    </row>
    <row r="24" spans="1:25" x14ac:dyDescent="0.25">
      <c r="A24" s="3" t="s">
        <v>11</v>
      </c>
      <c r="B24" s="12">
        <f t="shared" ref="B24:I24" si="20">B13-B22</f>
        <v>8746574.8862152286</v>
      </c>
      <c r="C24" s="12">
        <f t="shared" si="20"/>
        <v>252771.2382314938</v>
      </c>
      <c r="D24" s="12">
        <f t="shared" si="20"/>
        <v>7324522.3642020002</v>
      </c>
      <c r="E24" s="12">
        <f t="shared" si="20"/>
        <v>220211.29906114214</v>
      </c>
      <c r="F24" s="12">
        <f t="shared" si="20"/>
        <v>1152241.0951820002</v>
      </c>
      <c r="G24" s="12">
        <f t="shared" si="20"/>
        <v>1439703.7927486596</v>
      </c>
      <c r="H24" s="12">
        <f t="shared" si="20"/>
        <v>52171.324359474587</v>
      </c>
      <c r="I24" s="12">
        <f t="shared" si="20"/>
        <v>19188196</v>
      </c>
      <c r="J24" s="12"/>
      <c r="L24" s="17">
        <f t="shared" ref="L24:S24" si="21">L13-L22</f>
        <v>94.010779318291739</v>
      </c>
      <c r="M24" s="17">
        <f t="shared" si="21"/>
        <v>90.534111114431894</v>
      </c>
      <c r="N24" s="17">
        <f t="shared" si="21"/>
        <v>104.14358340137355</v>
      </c>
      <c r="O24" s="17">
        <f t="shared" si="21"/>
        <v>66.872547543620442</v>
      </c>
      <c r="P24" s="17">
        <f t="shared" si="21"/>
        <v>62.058549856304211</v>
      </c>
      <c r="Q24" s="17">
        <f t="shared" si="21"/>
        <v>80.072513501037804</v>
      </c>
      <c r="R24" s="17">
        <f t="shared" si="21"/>
        <v>32.566369762468526</v>
      </c>
      <c r="S24" s="17">
        <f t="shared" si="21"/>
        <v>92.427354132647409</v>
      </c>
      <c r="U24" s="12">
        <f>U13-U22</f>
        <v>8476763.4593840018</v>
      </c>
      <c r="V24" s="17">
        <f>V13-V22</f>
        <v>95.353815152016949</v>
      </c>
      <c r="X24" s="12">
        <f>X13-X22</f>
        <v>16323868.488648724</v>
      </c>
      <c r="Y24" s="17">
        <f>Y13-Y22</f>
        <v>98.241274960121345</v>
      </c>
    </row>
    <row r="25" spans="1:25" x14ac:dyDescent="0.25">
      <c r="A25" s="1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U25" s="12"/>
      <c r="V25" s="12"/>
      <c r="X25" s="12"/>
      <c r="Y25" s="12"/>
    </row>
    <row r="26" spans="1:25" x14ac:dyDescent="0.25">
      <c r="A26" s="2" t="s">
        <v>12</v>
      </c>
      <c r="B26" s="12">
        <f>B52*40.962706</f>
        <v>3811088.2408279995</v>
      </c>
      <c r="C26" s="12">
        <f t="shared" ref="C26:F26" si="22">C52*40.962706</f>
        <v>114367.87515199999</v>
      </c>
      <c r="D26" s="12">
        <f t="shared" si="22"/>
        <v>2880948.0756859998</v>
      </c>
      <c r="E26" s="12">
        <f t="shared" si="22"/>
        <v>134890.19085799999</v>
      </c>
      <c r="F26" s="12">
        <f t="shared" si="22"/>
        <v>760554.56230199989</v>
      </c>
      <c r="G26" s="12">
        <f>'2017 Actual'!Q26*1.1*$G$52</f>
        <v>187550.92336853509</v>
      </c>
      <c r="H26" s="12">
        <f>Q26*0.5*$H$52</f>
        <v>8355.2997562956953</v>
      </c>
      <c r="I26" s="12">
        <f t="shared" ref="I26:I32" si="23">SUM(B26:H26)</f>
        <v>7897755.1679508304</v>
      </c>
      <c r="J26" s="12"/>
      <c r="L26" s="17">
        <f t="shared" ref="L26:S32" si="24">B26/B$52</f>
        <v>40.962705999999997</v>
      </c>
      <c r="M26" s="17">
        <f t="shared" si="24"/>
        <v>40.962705999999997</v>
      </c>
      <c r="N26" s="17">
        <f t="shared" si="24"/>
        <v>40.962705999999997</v>
      </c>
      <c r="O26" s="17">
        <f t="shared" si="24"/>
        <v>40.962705999999997</v>
      </c>
      <c r="P26" s="17">
        <f t="shared" si="24"/>
        <v>40.962705999999997</v>
      </c>
      <c r="Q26" s="17">
        <f t="shared" si="24"/>
        <v>10.431085838072029</v>
      </c>
      <c r="R26" s="17">
        <f t="shared" si="24"/>
        <v>5.2155429190360145</v>
      </c>
      <c r="S26" s="17">
        <f t="shared" si="24"/>
        <v>38.042586898796408</v>
      </c>
      <c r="U26" s="12">
        <f t="shared" ref="U26:U32" si="25">D26+F26</f>
        <v>3641502.6379879997</v>
      </c>
      <c r="V26" s="17">
        <f t="shared" ref="V26:V32" si="26">U26/$U$52</f>
        <v>40.962705999999997</v>
      </c>
      <c r="X26" s="12">
        <f t="shared" ref="X26:X32" si="27">SUM(B26:D26)</f>
        <v>6806404.1916659996</v>
      </c>
      <c r="Y26" s="17">
        <f t="shared" ref="Y26:Y32" si="28">X26/$X$52</f>
        <v>40.962705999999997</v>
      </c>
    </row>
    <row r="27" spans="1:25" x14ac:dyDescent="0.25">
      <c r="A27" s="2" t="s">
        <v>13</v>
      </c>
      <c r="B27" s="12">
        <f>B52*2.43645</f>
        <v>226682.43509999997</v>
      </c>
      <c r="C27" s="12">
        <f t="shared" ref="C27:F27" si="29">C52*2.43645</f>
        <v>6802.5683999999992</v>
      </c>
      <c r="D27" s="12">
        <f t="shared" si="29"/>
        <v>171357.96494999999</v>
      </c>
      <c r="E27" s="12">
        <f t="shared" si="29"/>
        <v>8023.2298499999997</v>
      </c>
      <c r="F27" s="12">
        <f t="shared" si="29"/>
        <v>45237.567149999995</v>
      </c>
      <c r="G27" s="12">
        <f>'2017 Actual'!Q27*1.1*$G$52</f>
        <v>0</v>
      </c>
      <c r="H27" s="12">
        <f t="shared" ref="H27:H31" si="30">Q27*0.5*$H$52</f>
        <v>0</v>
      </c>
      <c r="I27" s="12">
        <f t="shared" si="23"/>
        <v>458103.76544999995</v>
      </c>
      <c r="J27" s="12"/>
      <c r="L27" s="17">
        <f t="shared" si="24"/>
        <v>2.4364499999999998</v>
      </c>
      <c r="M27" s="17">
        <f t="shared" si="24"/>
        <v>2.4364499999999998</v>
      </c>
      <c r="N27" s="17">
        <f t="shared" si="24"/>
        <v>2.4364499999999998</v>
      </c>
      <c r="O27" s="17">
        <f t="shared" si="24"/>
        <v>2.4364499999999998</v>
      </c>
      <c r="P27" s="17">
        <f t="shared" si="24"/>
        <v>2.4364499999999998</v>
      </c>
      <c r="Q27" s="17">
        <f t="shared" si="24"/>
        <v>0</v>
      </c>
      <c r="R27" s="17">
        <f t="shared" si="24"/>
        <v>0</v>
      </c>
      <c r="S27" s="17">
        <f t="shared" si="24"/>
        <v>2.2066336490802154</v>
      </c>
      <c r="U27" s="12">
        <f t="shared" si="25"/>
        <v>216595.53209999998</v>
      </c>
      <c r="V27" s="17">
        <f t="shared" si="26"/>
        <v>2.4364499999999998</v>
      </c>
      <c r="X27" s="12">
        <f t="shared" si="27"/>
        <v>404842.96844999993</v>
      </c>
      <c r="Y27" s="17">
        <f t="shared" si="28"/>
        <v>2.4364499999999998</v>
      </c>
    </row>
    <row r="28" spans="1:25" x14ac:dyDescent="0.25">
      <c r="A28" s="2" t="s">
        <v>14</v>
      </c>
      <c r="B28" s="12">
        <f>B52*2.5895458</f>
        <v>240926.16214039997</v>
      </c>
      <c r="C28" s="12">
        <f t="shared" ref="C28:F28" si="31">C52*2.5895458</f>
        <v>7230.0118735999995</v>
      </c>
      <c r="D28" s="12">
        <f t="shared" si="31"/>
        <v>182125.34565979999</v>
      </c>
      <c r="E28" s="12">
        <f t="shared" si="31"/>
        <v>8527.3743193999999</v>
      </c>
      <c r="F28" s="12">
        <f t="shared" si="31"/>
        <v>48080.096868599998</v>
      </c>
      <c r="G28" s="12">
        <f>'2017 Actual'!Q28*1.1*$G$52</f>
        <v>24722.5</v>
      </c>
      <c r="H28" s="12">
        <f t="shared" si="30"/>
        <v>1101.375</v>
      </c>
      <c r="I28" s="12">
        <f t="shared" si="23"/>
        <v>512712.86586179998</v>
      </c>
      <c r="J28" s="12"/>
      <c r="L28" s="17">
        <f t="shared" si="24"/>
        <v>2.5895457999999998</v>
      </c>
      <c r="M28" s="17">
        <f t="shared" si="24"/>
        <v>2.5895457999999998</v>
      </c>
      <c r="N28" s="17">
        <f t="shared" si="24"/>
        <v>2.5895457999999998</v>
      </c>
      <c r="O28" s="17">
        <f t="shared" si="24"/>
        <v>2.5895457999999998</v>
      </c>
      <c r="P28" s="17">
        <f t="shared" si="24"/>
        <v>2.5895457999999998</v>
      </c>
      <c r="Q28" s="17">
        <f t="shared" si="24"/>
        <v>1.375</v>
      </c>
      <c r="R28" s="17">
        <f t="shared" si="24"/>
        <v>0.6875</v>
      </c>
      <c r="S28" s="17">
        <f t="shared" si="24"/>
        <v>2.4696794644672764</v>
      </c>
      <c r="U28" s="12">
        <f t="shared" si="25"/>
        <v>230205.44252839999</v>
      </c>
      <c r="V28" s="17">
        <f t="shared" si="26"/>
        <v>2.5895457999999998</v>
      </c>
      <c r="X28" s="12">
        <f t="shared" si="27"/>
        <v>430281.51967379998</v>
      </c>
      <c r="Y28" s="17">
        <f t="shared" si="28"/>
        <v>2.5895457999999998</v>
      </c>
    </row>
    <row r="29" spans="1:25" x14ac:dyDescent="0.25">
      <c r="A29" s="2" t="s">
        <v>15</v>
      </c>
      <c r="B29" s="12">
        <f>B52*14.743365</f>
        <v>1371693.1928700001</v>
      </c>
      <c r="C29" s="12">
        <f t="shared" ref="C29:F29" si="32">C52*14.743365</f>
        <v>41163.475080000004</v>
      </c>
      <c r="D29" s="12">
        <f t="shared" si="32"/>
        <v>1036915.603815</v>
      </c>
      <c r="E29" s="12">
        <f t="shared" si="32"/>
        <v>48549.900945000001</v>
      </c>
      <c r="F29" s="12">
        <f t="shared" si="32"/>
        <v>273740.05795500003</v>
      </c>
      <c r="G29" s="12">
        <f>'2017 Actual'!Q29*1.1*$G$52</f>
        <v>59357.207329181336</v>
      </c>
      <c r="H29" s="12">
        <f t="shared" si="30"/>
        <v>2644.3338748984565</v>
      </c>
      <c r="I29" s="12">
        <f t="shared" si="23"/>
        <v>2834063.7718690801</v>
      </c>
      <c r="J29" s="12"/>
      <c r="L29" s="17">
        <f t="shared" si="24"/>
        <v>14.743365000000001</v>
      </c>
      <c r="M29" s="17">
        <f t="shared" si="24"/>
        <v>14.743365000000001</v>
      </c>
      <c r="N29" s="17">
        <f t="shared" si="24"/>
        <v>14.743365000000001</v>
      </c>
      <c r="O29" s="17">
        <f t="shared" si="24"/>
        <v>14.743365000000001</v>
      </c>
      <c r="P29" s="17">
        <f t="shared" si="24"/>
        <v>14.743365000000001</v>
      </c>
      <c r="Q29" s="17">
        <f t="shared" si="24"/>
        <v>3.3012907302103081</v>
      </c>
      <c r="R29" s="17">
        <f t="shared" si="24"/>
        <v>1.6506453651051538</v>
      </c>
      <c r="S29" s="17">
        <f t="shared" si="24"/>
        <v>13.651362320723111</v>
      </c>
      <c r="U29" s="12">
        <f t="shared" si="25"/>
        <v>1310655.6617700001</v>
      </c>
      <c r="V29" s="17">
        <f t="shared" si="26"/>
        <v>14.743365000000001</v>
      </c>
      <c r="X29" s="12">
        <f t="shared" si="27"/>
        <v>2449772.2717650002</v>
      </c>
      <c r="Y29" s="17">
        <f t="shared" si="28"/>
        <v>14.743365000000001</v>
      </c>
    </row>
    <row r="30" spans="1:25" x14ac:dyDescent="0.25">
      <c r="A30" s="2" t="s">
        <v>16</v>
      </c>
      <c r="B30" s="12">
        <f>B52*2.9379803</f>
        <v>273343.81115139998</v>
      </c>
      <c r="C30" s="12">
        <f t="shared" ref="C30:F30" si="33">C52*2.9379803</f>
        <v>8202.8409976000003</v>
      </c>
      <c r="D30" s="12">
        <f t="shared" si="33"/>
        <v>206631.09247929999</v>
      </c>
      <c r="E30" s="12">
        <f t="shared" si="33"/>
        <v>9674.7691278999991</v>
      </c>
      <c r="F30" s="12">
        <f t="shared" si="33"/>
        <v>54549.480230100002</v>
      </c>
      <c r="G30" s="12">
        <f>'2017 Actual'!Q30*1.1*$G$52</f>
        <v>4564.7031320516289</v>
      </c>
      <c r="H30" s="12">
        <f t="shared" si="30"/>
        <v>203.35523964256703</v>
      </c>
      <c r="I30" s="12">
        <f t="shared" si="23"/>
        <v>557170.05235799414</v>
      </c>
      <c r="J30" s="12"/>
      <c r="L30" s="17">
        <f t="shared" si="24"/>
        <v>2.9379802999999995</v>
      </c>
      <c r="M30" s="17">
        <f t="shared" si="24"/>
        <v>2.9379803</v>
      </c>
      <c r="N30" s="17">
        <f t="shared" si="24"/>
        <v>2.9379803</v>
      </c>
      <c r="O30" s="17">
        <f t="shared" si="24"/>
        <v>2.9379802999999995</v>
      </c>
      <c r="P30" s="17">
        <f t="shared" si="24"/>
        <v>2.9379803</v>
      </c>
      <c r="Q30" s="17">
        <f t="shared" si="24"/>
        <v>0.25387670367361675</v>
      </c>
      <c r="R30" s="17">
        <f t="shared" si="24"/>
        <v>0.12693835183680838</v>
      </c>
      <c r="S30" s="17">
        <f t="shared" si="24"/>
        <v>2.6838246670712569</v>
      </c>
      <c r="U30" s="12">
        <f t="shared" si="25"/>
        <v>261180.57270939997</v>
      </c>
      <c r="V30" s="17">
        <f t="shared" si="26"/>
        <v>2.9379802999999995</v>
      </c>
      <c r="X30" s="12">
        <f t="shared" si="27"/>
        <v>488177.74462829996</v>
      </c>
      <c r="Y30" s="17">
        <f t="shared" si="28"/>
        <v>2.9379802999999995</v>
      </c>
    </row>
    <row r="31" spans="1:25" x14ac:dyDescent="0.25">
      <c r="A31" s="2" t="s">
        <v>17</v>
      </c>
      <c r="B31" s="12">
        <f>B52*5.9103185</f>
        <v>549884.21260299999</v>
      </c>
      <c r="C31" s="12">
        <f t="shared" ref="C31:F31" si="34">C52*5.9103185</f>
        <v>16501.609251999998</v>
      </c>
      <c r="D31" s="12">
        <f t="shared" si="34"/>
        <v>415678.61042350001</v>
      </c>
      <c r="E31" s="12">
        <f t="shared" si="34"/>
        <v>19462.678820500001</v>
      </c>
      <c r="F31" s="12">
        <f t="shared" si="34"/>
        <v>109736.88358949999</v>
      </c>
      <c r="G31" s="12">
        <f>'2017 Actual'!Q31*1.1*$G$52</f>
        <v>26686.643379366367</v>
      </c>
      <c r="H31" s="12">
        <f t="shared" si="30"/>
        <v>1188.8766043866774</v>
      </c>
      <c r="I31" s="12">
        <f t="shared" si="23"/>
        <v>1139139.5146722528</v>
      </c>
      <c r="J31" s="12"/>
      <c r="L31" s="17">
        <f t="shared" si="24"/>
        <v>5.9103184999999998</v>
      </c>
      <c r="M31" s="17">
        <f t="shared" si="24"/>
        <v>5.9103184999999998</v>
      </c>
      <c r="N31" s="17">
        <f t="shared" si="24"/>
        <v>5.9103184999999998</v>
      </c>
      <c r="O31" s="17">
        <f t="shared" si="24"/>
        <v>5.9103185000000007</v>
      </c>
      <c r="P31" s="17">
        <f t="shared" si="24"/>
        <v>5.9103184999999998</v>
      </c>
      <c r="Q31" s="17">
        <f t="shared" si="24"/>
        <v>1.4842404549147035</v>
      </c>
      <c r="R31" s="17">
        <f t="shared" si="24"/>
        <v>0.74212022745735173</v>
      </c>
      <c r="S31" s="17">
        <f t="shared" si="24"/>
        <v>5.4871052666495803</v>
      </c>
      <c r="U31" s="12">
        <f t="shared" si="25"/>
        <v>525415.49401300005</v>
      </c>
      <c r="V31" s="17">
        <f t="shared" si="26"/>
        <v>5.9103185000000007</v>
      </c>
      <c r="X31" s="12">
        <f t="shared" si="27"/>
        <v>982064.43227849994</v>
      </c>
      <c r="Y31" s="17">
        <f t="shared" si="28"/>
        <v>5.9103184999999998</v>
      </c>
    </row>
    <row r="32" spans="1:25" x14ac:dyDescent="0.25">
      <c r="A32" s="2" t="s">
        <v>18</v>
      </c>
      <c r="B32" s="12">
        <f>B8*0.015+B7*0.00484*0.675</f>
        <v>153876.68283365999</v>
      </c>
      <c r="C32" s="12">
        <f>59*13.27+C8*0.015+C7*0.00484*0.675</f>
        <v>5053.3884807200002</v>
      </c>
      <c r="D32" s="12">
        <f>2118*13.27+D7*0.00484*0.675+D11*0.015</f>
        <v>125356.60470462</v>
      </c>
      <c r="E32" s="12">
        <f>97*13.27+E8*0.015+E7*0.00484*0.68</f>
        <v>6665.2354332384002</v>
      </c>
      <c r="F32" s="12">
        <f>6559*13.27+F7*0.00484*0.675+F11*0.015-18796-191-4-5</f>
        <v>92613.740287005989</v>
      </c>
      <c r="G32" s="12">
        <f>G8*0.015+G7*0.00484*0.675</f>
        <v>12419.679915000001</v>
      </c>
      <c r="H32" s="12">
        <f>H8*0.015+H7*0.00484*0.675</f>
        <v>1235.2482329999998</v>
      </c>
      <c r="I32" s="12">
        <f t="shared" si="23"/>
        <v>397220.57988724433</v>
      </c>
      <c r="J32" s="12"/>
      <c r="K32" s="12">
        <v>134455.51</v>
      </c>
      <c r="L32" s="17">
        <f t="shared" si="24"/>
        <v>1.6539121953788773</v>
      </c>
      <c r="M32" s="17">
        <f t="shared" si="24"/>
        <v>1.8099528942406877</v>
      </c>
      <c r="N32" s="17">
        <f t="shared" si="24"/>
        <v>1.7823805250120146</v>
      </c>
      <c r="O32" s="17">
        <f t="shared" si="24"/>
        <v>2.0240617774790159</v>
      </c>
      <c r="P32" s="17">
        <f t="shared" si="24"/>
        <v>4.9880831737494473</v>
      </c>
      <c r="Q32" s="17">
        <f t="shared" si="24"/>
        <v>0.69074971718576195</v>
      </c>
      <c r="R32" s="17">
        <f t="shared" si="24"/>
        <v>0.77106631273408233</v>
      </c>
      <c r="S32" s="17">
        <f t="shared" si="24"/>
        <v>1.9133662802909608</v>
      </c>
      <c r="U32" s="12">
        <f t="shared" si="25"/>
        <v>217970.34499162599</v>
      </c>
      <c r="V32" s="17">
        <f t="shared" si="26"/>
        <v>2.4519150598621566</v>
      </c>
      <c r="X32" s="12">
        <f t="shared" si="27"/>
        <v>284286.67601900001</v>
      </c>
      <c r="Y32" s="17">
        <f t="shared" si="28"/>
        <v>1.7109109599665384</v>
      </c>
    </row>
    <row r="33" spans="1:25" x14ac:dyDescent="0.25">
      <c r="A33" s="4" t="s">
        <v>19</v>
      </c>
      <c r="B33" s="13">
        <f>SUM(B26:B32)</f>
        <v>6627494.7375264606</v>
      </c>
      <c r="C33" s="13">
        <f>SUM(C26:C32)</f>
        <v>199321.76923591999</v>
      </c>
      <c r="D33" s="13">
        <f>SUM(D26:D32)</f>
        <v>5019013.2977182195</v>
      </c>
      <c r="E33" s="13">
        <f t="shared" ref="E33:I33" si="35">SUM(E26:E32)</f>
        <v>235793.37935403839</v>
      </c>
      <c r="F33" s="13">
        <f t="shared" si="35"/>
        <v>1384512.388382206</v>
      </c>
      <c r="G33" s="13">
        <f t="shared" si="35"/>
        <v>315301.65712413442</v>
      </c>
      <c r="H33" s="13">
        <f t="shared" si="35"/>
        <v>14728.488708223398</v>
      </c>
      <c r="I33" s="13">
        <f t="shared" si="35"/>
        <v>13796165.718049202</v>
      </c>
      <c r="J33" s="12"/>
      <c r="L33" s="24">
        <f>SUM(L26:L32)</f>
        <v>71.234277795378873</v>
      </c>
      <c r="M33" s="24">
        <f>SUM(M26:M32)</f>
        <v>71.390318494240688</v>
      </c>
      <c r="N33" s="24">
        <f>SUM(N26:N32)</f>
        <v>71.362746125012009</v>
      </c>
      <c r="O33" s="24">
        <f t="shared" ref="O33:S33" si="36">SUM(O26:O32)</f>
        <v>71.604427377479013</v>
      </c>
      <c r="P33" s="24">
        <f t="shared" si="36"/>
        <v>74.568448773749438</v>
      </c>
      <c r="Q33" s="24">
        <f t="shared" si="36"/>
        <v>17.536243444056421</v>
      </c>
      <c r="R33" s="24">
        <f t="shared" si="36"/>
        <v>9.1938131761694102</v>
      </c>
      <c r="S33" s="24">
        <f t="shared" si="36"/>
        <v>66.454558547078804</v>
      </c>
      <c r="U33" s="13">
        <f t="shared" ref="U33" si="37">SUM(U26:U32)</f>
        <v>6403525.6861004271</v>
      </c>
      <c r="V33" s="24">
        <f>SUM(V26:V32)</f>
        <v>72.032280659862153</v>
      </c>
      <c r="X33" s="13">
        <f t="shared" ref="X33" si="38">SUM(X26:X32)</f>
        <v>11845829.804480599</v>
      </c>
      <c r="Y33" s="24">
        <f>SUM(Y26:Y32)</f>
        <v>71.291276559966533</v>
      </c>
    </row>
    <row r="34" spans="1:25" x14ac:dyDescent="0.25">
      <c r="A34" s="1"/>
      <c r="B34" s="12"/>
      <c r="C34" s="12"/>
      <c r="D34" s="12"/>
      <c r="E34" s="12"/>
      <c r="F34" s="12"/>
      <c r="G34" s="12"/>
      <c r="H34" s="12"/>
      <c r="I34" s="12"/>
      <c r="J34" s="12"/>
      <c r="L34" s="12"/>
      <c r="M34" s="12"/>
      <c r="N34" s="12"/>
      <c r="O34" s="12"/>
      <c r="P34" s="12"/>
      <c r="Q34" s="12"/>
      <c r="R34" s="12"/>
      <c r="S34" s="12"/>
      <c r="U34" s="12"/>
      <c r="V34" s="12"/>
      <c r="X34" s="12"/>
      <c r="Y34" s="12"/>
    </row>
    <row r="35" spans="1:25" x14ac:dyDescent="0.25">
      <c r="A35" s="2" t="s">
        <v>20</v>
      </c>
      <c r="B35" s="12">
        <f>B52*7.576712</f>
        <v>704922.13105600001</v>
      </c>
      <c r="C35" s="12">
        <f t="shared" ref="C35:F35" si="39">C52*7.576712</f>
        <v>21154.179904000001</v>
      </c>
      <c r="D35" s="12">
        <f t="shared" si="39"/>
        <v>532877.73167200002</v>
      </c>
      <c r="E35" s="12">
        <f t="shared" si="39"/>
        <v>24950.112615999999</v>
      </c>
      <c r="F35" s="12">
        <f t="shared" si="39"/>
        <v>140676.81170399999</v>
      </c>
      <c r="G35" s="12">
        <f>'2017 Actual'!Q35*1.1*$G$52</f>
        <v>14568.847188374402</v>
      </c>
      <c r="H35" s="12">
        <f t="shared" ref="H35" si="40">Q35*0.5*$H$52</f>
        <v>649.03484971567832</v>
      </c>
      <c r="I35" s="12">
        <f>SUM(B35:H35)</f>
        <v>1439798.8489900902</v>
      </c>
      <c r="J35" s="12"/>
      <c r="L35" s="17">
        <f>B35/B$52</f>
        <v>7.5767120000000006</v>
      </c>
      <c r="M35" s="17">
        <f>C35/C$52</f>
        <v>7.5767120000000006</v>
      </c>
      <c r="N35" s="17">
        <f>D35/D$52</f>
        <v>7.5767120000000006</v>
      </c>
      <c r="O35" s="17">
        <f>E35/E$52</f>
        <v>7.5767119999999997</v>
      </c>
      <c r="P35" s="17">
        <f>F35/F$52</f>
        <v>7.5767119999999997</v>
      </c>
      <c r="Q35" s="17">
        <f t="shared" ref="Q35:S35" si="41">G35/G$52</f>
        <v>0.81028071125552847</v>
      </c>
      <c r="R35" s="17">
        <f t="shared" si="41"/>
        <v>0.40514035562776424</v>
      </c>
      <c r="S35" s="17">
        <f t="shared" si="41"/>
        <v>6.9353470276927123</v>
      </c>
      <c r="U35" s="12">
        <f>D35+F35</f>
        <v>673554.54337600002</v>
      </c>
      <c r="V35" s="17">
        <f>U35/$U$52</f>
        <v>7.5767120000000006</v>
      </c>
      <c r="X35" s="12">
        <f>SUM(B35:D35)</f>
        <v>1258954.0426320001</v>
      </c>
      <c r="Y35" s="17">
        <f>X35/$X$52</f>
        <v>7.5767120000000006</v>
      </c>
    </row>
    <row r="36" spans="1:25" x14ac:dyDescent="0.25">
      <c r="A36" s="1"/>
      <c r="B36" s="12"/>
      <c r="C36" s="12"/>
      <c r="D36" s="12"/>
      <c r="E36" s="12"/>
      <c r="F36" s="12"/>
      <c r="G36" s="12"/>
      <c r="H36" s="12"/>
      <c r="I36" s="12"/>
      <c r="J36" s="12"/>
      <c r="L36" s="12"/>
      <c r="M36" s="12"/>
      <c r="N36" s="12"/>
      <c r="O36" s="12"/>
      <c r="P36" s="12"/>
      <c r="Q36" s="12"/>
      <c r="R36" s="12"/>
      <c r="S36" s="12"/>
      <c r="U36" s="12"/>
      <c r="V36" s="12"/>
      <c r="X36" s="12"/>
      <c r="Y36" s="12"/>
    </row>
    <row r="37" spans="1:25" x14ac:dyDescent="0.25">
      <c r="A37" s="5" t="s">
        <v>21</v>
      </c>
      <c r="B37" s="13">
        <f>B35+B33</f>
        <v>7332416.868582461</v>
      </c>
      <c r="C37" s="13">
        <f>C35+C33</f>
        <v>220475.94913991998</v>
      </c>
      <c r="D37" s="13">
        <f>D35+D33</f>
        <v>5551891.0293902196</v>
      </c>
      <c r="E37" s="13">
        <f t="shared" ref="E37:I37" si="42">E35+E33</f>
        <v>260743.49197003839</v>
      </c>
      <c r="F37" s="13">
        <f t="shared" si="42"/>
        <v>1525189.200086206</v>
      </c>
      <c r="G37" s="13">
        <f t="shared" si="42"/>
        <v>329870.5043125088</v>
      </c>
      <c r="H37" s="13">
        <f t="shared" si="42"/>
        <v>15377.523557939076</v>
      </c>
      <c r="I37" s="13">
        <f t="shared" si="42"/>
        <v>15235964.567039292</v>
      </c>
      <c r="J37" s="12"/>
      <c r="K37" s="12">
        <f>I37/1000-7735</f>
        <v>7500.9645670392929</v>
      </c>
      <c r="L37" s="24">
        <f>L35+L33</f>
        <v>78.810989795378873</v>
      </c>
      <c r="M37" s="24">
        <f>M35+M33</f>
        <v>78.967030494240689</v>
      </c>
      <c r="N37" s="24">
        <f>N35+N33</f>
        <v>78.93945812501201</v>
      </c>
      <c r="O37" s="24">
        <f t="shared" ref="O37:S37" si="43">O35+O33</f>
        <v>79.181139377479013</v>
      </c>
      <c r="P37" s="24">
        <f t="shared" si="43"/>
        <v>82.145160773749438</v>
      </c>
      <c r="Q37" s="24">
        <f t="shared" si="43"/>
        <v>18.34652415531195</v>
      </c>
      <c r="R37" s="24">
        <f t="shared" si="43"/>
        <v>9.598953531797175</v>
      </c>
      <c r="S37" s="24">
        <f t="shared" si="43"/>
        <v>73.389905574771518</v>
      </c>
      <c r="U37" s="13">
        <f t="shared" ref="U37" si="44">U35+U33</f>
        <v>7077080.2294764267</v>
      </c>
      <c r="V37" s="24">
        <f>V35+V33</f>
        <v>79.608992659862153</v>
      </c>
      <c r="X37" s="13">
        <f t="shared" ref="X37" si="45">X35+X33</f>
        <v>13104783.8471126</v>
      </c>
      <c r="Y37" s="24">
        <f>Y35+Y33</f>
        <v>78.867988559966534</v>
      </c>
    </row>
    <row r="38" spans="1:25" x14ac:dyDescent="0.25">
      <c r="A38" s="1"/>
      <c r="B38" s="12"/>
      <c r="C38" s="12"/>
      <c r="D38" s="12"/>
      <c r="E38" s="12"/>
      <c r="F38" s="12"/>
      <c r="G38" s="12"/>
      <c r="H38" s="12"/>
      <c r="I38" s="12"/>
      <c r="J38" s="12"/>
      <c r="L38" s="12"/>
      <c r="M38" s="12"/>
      <c r="N38" s="12"/>
      <c r="O38" s="12"/>
      <c r="P38" s="12"/>
      <c r="Q38" s="12"/>
      <c r="R38" s="12"/>
      <c r="S38" s="12"/>
      <c r="U38" s="12"/>
      <c r="V38" s="12"/>
      <c r="X38" s="12"/>
      <c r="Y38" s="12"/>
    </row>
    <row r="39" spans="1:25" x14ac:dyDescent="0.25">
      <c r="A39" s="6" t="s">
        <v>22</v>
      </c>
      <c r="B39" s="13">
        <f>B24-B37</f>
        <v>1414158.0176327676</v>
      </c>
      <c r="C39" s="13">
        <f>C24-C37</f>
        <v>32295.289091573824</v>
      </c>
      <c r="D39" s="13">
        <f>D24-D37</f>
        <v>1772631.3348117806</v>
      </c>
      <c r="E39" s="13">
        <f t="shared" ref="E39:I39" si="46">E24-E37</f>
        <v>-40532.19290889625</v>
      </c>
      <c r="F39" s="13">
        <f t="shared" si="46"/>
        <v>-372948.10490420577</v>
      </c>
      <c r="G39" s="13">
        <f t="shared" si="46"/>
        <v>1109833.2884361509</v>
      </c>
      <c r="H39" s="13">
        <f t="shared" si="46"/>
        <v>36793.800801535515</v>
      </c>
      <c r="I39" s="13">
        <f t="shared" si="46"/>
        <v>3952231.4329607077</v>
      </c>
      <c r="J39" s="12"/>
      <c r="L39" s="24">
        <f>L24-L37</f>
        <v>15.199789522912866</v>
      </c>
      <c r="M39" s="24">
        <f>M24-M37</f>
        <v>11.567080620191206</v>
      </c>
      <c r="N39" s="24">
        <f>N24-N37</f>
        <v>25.204125276361538</v>
      </c>
      <c r="O39" s="24">
        <f t="shared" ref="O39:S39" si="47">O24-O37</f>
        <v>-12.308591833858571</v>
      </c>
      <c r="P39" s="24">
        <f t="shared" si="47"/>
        <v>-20.086610917445228</v>
      </c>
      <c r="Q39" s="24">
        <f t="shared" si="47"/>
        <v>61.72598934572585</v>
      </c>
      <c r="R39" s="24">
        <f t="shared" si="47"/>
        <v>22.967416230671351</v>
      </c>
      <c r="S39" s="24">
        <f t="shared" si="47"/>
        <v>19.037448557875891</v>
      </c>
      <c r="U39" s="13">
        <f t="shared" ref="U39" si="48">U24-U37</f>
        <v>1399683.2299075751</v>
      </c>
      <c r="V39" s="24">
        <f>V24-V37</f>
        <v>15.744822492154796</v>
      </c>
      <c r="X39" s="13">
        <f t="shared" ref="X39" si="49">X24-X37</f>
        <v>3219084.6415361241</v>
      </c>
      <c r="Y39" s="24">
        <f>Y24-Y37</f>
        <v>19.373286400154811</v>
      </c>
    </row>
    <row r="40" spans="1:25" x14ac:dyDescent="0.25">
      <c r="A40" s="1"/>
      <c r="B40" s="12"/>
      <c r="C40" s="12"/>
      <c r="D40" s="12"/>
      <c r="E40" s="12"/>
      <c r="F40" s="12"/>
      <c r="G40" s="12"/>
      <c r="H40" s="12"/>
      <c r="I40" s="12"/>
      <c r="J40" s="12"/>
      <c r="L40" s="12"/>
      <c r="M40" s="12"/>
      <c r="N40" s="12"/>
      <c r="O40" s="12"/>
      <c r="P40" s="12"/>
      <c r="Q40" s="12"/>
      <c r="R40" s="12"/>
      <c r="S40" s="12"/>
      <c r="U40" s="12"/>
      <c r="V40" s="12"/>
      <c r="X40" s="12"/>
      <c r="Y40" s="12"/>
    </row>
    <row r="41" spans="1:25" x14ac:dyDescent="0.25">
      <c r="A41" s="2" t="s">
        <v>23</v>
      </c>
      <c r="B41" s="12">
        <f>423004/$I$52*B$52</f>
        <v>189570.70057754466</v>
      </c>
      <c r="C41" s="12">
        <f t="shared" ref="C41:H41" si="50">423004/$I$52*C$52</f>
        <v>5688.8733207130927</v>
      </c>
      <c r="D41" s="12">
        <f t="shared" si="50"/>
        <v>143303.77848104315</v>
      </c>
      <c r="E41" s="12">
        <f t="shared" si="50"/>
        <v>6709.6919216003625</v>
      </c>
      <c r="F41" s="12">
        <f t="shared" si="50"/>
        <v>37831.415095157587</v>
      </c>
      <c r="G41" s="12">
        <f t="shared" si="50"/>
        <v>36635.36615559506</v>
      </c>
      <c r="H41" s="12">
        <f t="shared" si="50"/>
        <v>3264.1744483461225</v>
      </c>
      <c r="I41" s="12">
        <f t="shared" ref="I41:I44" si="51">SUM(B41:H41)</f>
        <v>423004</v>
      </c>
      <c r="J41" s="12"/>
      <c r="K41" s="12">
        <f>300249-10210</f>
        <v>290039</v>
      </c>
      <c r="L41" s="17">
        <f t="shared" ref="L41:S44" si="52">B41/B$52</f>
        <v>2.0375620776193024</v>
      </c>
      <c r="M41" s="17">
        <f t="shared" si="52"/>
        <v>2.0375620776193024</v>
      </c>
      <c r="N41" s="17">
        <f t="shared" si="52"/>
        <v>2.0375620776193024</v>
      </c>
      <c r="O41" s="17">
        <f t="shared" si="52"/>
        <v>2.0375620776193024</v>
      </c>
      <c r="P41" s="17">
        <f t="shared" si="52"/>
        <v>2.0375620776193024</v>
      </c>
      <c r="Q41" s="17">
        <f t="shared" si="52"/>
        <v>2.0375620776193024</v>
      </c>
      <c r="R41" s="17">
        <f t="shared" si="52"/>
        <v>2.0375620776193024</v>
      </c>
      <c r="S41" s="17">
        <f t="shared" si="52"/>
        <v>2.0375620776193024</v>
      </c>
      <c r="U41" s="12">
        <f t="shared" ref="U41:U44" si="53">D41+F41</f>
        <v>181135.19357620075</v>
      </c>
      <c r="V41" s="17">
        <f>U41/$U$52</f>
        <v>2.0375620776193024</v>
      </c>
      <c r="X41" s="12">
        <f>SUM(B41:D41)</f>
        <v>338563.35237930086</v>
      </c>
      <c r="Y41" s="17">
        <f>X41/$X$52</f>
        <v>2.037562077619302</v>
      </c>
    </row>
    <row r="42" spans="1:25" x14ac:dyDescent="0.25">
      <c r="A42" s="2" t="s">
        <v>24</v>
      </c>
      <c r="B42" s="12">
        <f>(25852)/$I$52*B$52</f>
        <v>11585.662904678642</v>
      </c>
      <c r="C42" s="12">
        <f t="shared" ref="C42:H42" si="54">(25852)/$I$52*C$52</f>
        <v>347.676979619755</v>
      </c>
      <c r="D42" s="12">
        <f t="shared" si="54"/>
        <v>8758.0478702138225</v>
      </c>
      <c r="E42" s="12">
        <f t="shared" si="54"/>
        <v>410.06457517473257</v>
      </c>
      <c r="F42" s="12">
        <f t="shared" si="54"/>
        <v>2312.0768196991376</v>
      </c>
      <c r="G42" s="12">
        <f t="shared" si="54"/>
        <v>2238.9799762045827</v>
      </c>
      <c r="H42" s="12">
        <f t="shared" si="54"/>
        <v>199.49087440932936</v>
      </c>
      <c r="I42" s="12">
        <f t="shared" si="51"/>
        <v>25852.000000000004</v>
      </c>
      <c r="J42" s="12"/>
      <c r="K42" s="12">
        <f>1017811-K41-K43-K44</f>
        <v>120012</v>
      </c>
      <c r="L42" s="17">
        <f t="shared" si="52"/>
        <v>0.12452613883229048</v>
      </c>
      <c r="M42" s="17">
        <f t="shared" si="52"/>
        <v>0.12452613883229047</v>
      </c>
      <c r="N42" s="17">
        <f t="shared" si="52"/>
        <v>0.12452613883229049</v>
      </c>
      <c r="O42" s="17">
        <f t="shared" si="52"/>
        <v>0.12452613883229048</v>
      </c>
      <c r="P42" s="17">
        <f t="shared" si="52"/>
        <v>0.12452613883229049</v>
      </c>
      <c r="Q42" s="17">
        <f t="shared" si="52"/>
        <v>0.12452613883229048</v>
      </c>
      <c r="R42" s="17">
        <f t="shared" si="52"/>
        <v>0.12452613883229049</v>
      </c>
      <c r="S42" s="17">
        <f t="shared" si="52"/>
        <v>0.12452613883229049</v>
      </c>
      <c r="U42" s="12">
        <f t="shared" si="53"/>
        <v>11070.12468991296</v>
      </c>
      <c r="V42" s="17">
        <f>U42/$U$52</f>
        <v>0.12452613883229049</v>
      </c>
      <c r="X42" s="12">
        <f>SUM(B42:D42)</f>
        <v>20691.38775451222</v>
      </c>
      <c r="Y42" s="17">
        <f>X42/$X$52</f>
        <v>0.12452613883229048</v>
      </c>
    </row>
    <row r="43" spans="1:25" x14ac:dyDescent="0.25">
      <c r="A43" s="2" t="s">
        <v>25</v>
      </c>
      <c r="B43" s="12">
        <f>6000/$I$52*B$52</f>
        <v>2688.9206803369893</v>
      </c>
      <c r="C43" s="12">
        <f t="shared" ref="C43:H43" si="55">6000/$I$52*C$52</f>
        <v>80.692475542260951</v>
      </c>
      <c r="D43" s="12">
        <f t="shared" si="55"/>
        <v>2032.6584875941101</v>
      </c>
      <c r="E43" s="12">
        <f t="shared" si="55"/>
        <v>95.172035086198179</v>
      </c>
      <c r="F43" s="12">
        <f t="shared" si="55"/>
        <v>536.61074261932629</v>
      </c>
      <c r="G43" s="12">
        <f t="shared" si="55"/>
        <v>519.64566986026216</v>
      </c>
      <c r="H43" s="12">
        <f t="shared" si="55"/>
        <v>46.299908960853166</v>
      </c>
      <c r="I43" s="12">
        <f t="shared" si="51"/>
        <v>6000</v>
      </c>
      <c r="J43" s="12"/>
      <c r="K43" s="12">
        <v>12665</v>
      </c>
      <c r="L43" s="17">
        <f t="shared" si="52"/>
        <v>2.8901316454964524E-2</v>
      </c>
      <c r="M43" s="17">
        <f t="shared" si="52"/>
        <v>2.8901316454964524E-2</v>
      </c>
      <c r="N43" s="17">
        <f t="shared" si="52"/>
        <v>2.8901316454964524E-2</v>
      </c>
      <c r="O43" s="17">
        <f t="shared" si="52"/>
        <v>2.8901316454964524E-2</v>
      </c>
      <c r="P43" s="17">
        <f t="shared" si="52"/>
        <v>2.8901316454964521E-2</v>
      </c>
      <c r="Q43" s="17">
        <f t="shared" si="52"/>
        <v>2.8901316454964524E-2</v>
      </c>
      <c r="R43" s="17">
        <f t="shared" si="52"/>
        <v>2.8901316454964524E-2</v>
      </c>
      <c r="S43" s="17">
        <f t="shared" si="52"/>
        <v>2.8901316454964524E-2</v>
      </c>
      <c r="U43" s="12">
        <f t="shared" si="53"/>
        <v>2569.2692302134365</v>
      </c>
      <c r="V43" s="17">
        <f>U43/$U$52</f>
        <v>2.8901316454964528E-2</v>
      </c>
      <c r="X43" s="12">
        <f>SUM(B43:D43)</f>
        <v>4802.2716434733602</v>
      </c>
      <c r="Y43" s="17">
        <f>X43/$X$52</f>
        <v>2.8901316454964524E-2</v>
      </c>
    </row>
    <row r="44" spans="1:25" x14ac:dyDescent="0.25">
      <c r="A44" s="2" t="s">
        <v>26</v>
      </c>
      <c r="B44" s="12">
        <f>1009087/$I$52*B$52</f>
        <v>452225.81709320191</v>
      </c>
      <c r="C44" s="12">
        <f t="shared" ref="C44:H44" si="56">1009087/$I$52*C$52</f>
        <v>13570.954677918911</v>
      </c>
      <c r="D44" s="12">
        <f t="shared" si="56"/>
        <v>341854.87587847956</v>
      </c>
      <c r="E44" s="12">
        <f t="shared" si="56"/>
        <v>16006.143894837744</v>
      </c>
      <c r="F44" s="12">
        <f t="shared" si="56"/>
        <v>90247.820739584684</v>
      </c>
      <c r="G44" s="12">
        <f t="shared" si="56"/>
        <v>87394.615010380381</v>
      </c>
      <c r="H44" s="12">
        <f t="shared" si="56"/>
        <v>7786.7727055967398</v>
      </c>
      <c r="I44" s="12">
        <f t="shared" si="51"/>
        <v>1009087</v>
      </c>
      <c r="J44" s="12"/>
      <c r="K44" s="12">
        <f>665668-70573</f>
        <v>595095</v>
      </c>
      <c r="L44" s="17">
        <f t="shared" si="52"/>
        <v>4.8606571195984642</v>
      </c>
      <c r="M44" s="17">
        <f t="shared" si="52"/>
        <v>4.8606571195984642</v>
      </c>
      <c r="N44" s="17">
        <f t="shared" si="52"/>
        <v>4.8606571195984642</v>
      </c>
      <c r="O44" s="17">
        <f t="shared" si="52"/>
        <v>4.8606571195984642</v>
      </c>
      <c r="P44" s="17">
        <f t="shared" si="52"/>
        <v>4.8606571195984642</v>
      </c>
      <c r="Q44" s="17">
        <f t="shared" si="52"/>
        <v>4.8606571195984642</v>
      </c>
      <c r="R44" s="17">
        <f t="shared" si="52"/>
        <v>4.8606571195984642</v>
      </c>
      <c r="S44" s="17">
        <f t="shared" si="52"/>
        <v>4.8606571195984642</v>
      </c>
      <c r="U44" s="12">
        <f t="shared" si="53"/>
        <v>432102.69661806425</v>
      </c>
      <c r="V44" s="17">
        <f>U44/$U$52</f>
        <v>4.8606571195984642</v>
      </c>
      <c r="X44" s="12">
        <f>SUM(B44:D44)</f>
        <v>807651.6476496004</v>
      </c>
      <c r="Y44" s="17">
        <f>X44/$X$52</f>
        <v>4.8606571195984642</v>
      </c>
    </row>
    <row r="45" spans="1:25" x14ac:dyDescent="0.25">
      <c r="A45" s="7" t="s">
        <v>27</v>
      </c>
      <c r="B45" s="13">
        <f>SUM(B41:B44)</f>
        <v>656071.10125576216</v>
      </c>
      <c r="C45" s="13">
        <f>SUM(C41:C44)</f>
        <v>19688.197453794019</v>
      </c>
      <c r="D45" s="13">
        <f>SUM(D41:D44)</f>
        <v>495949.36071733065</v>
      </c>
      <c r="E45" s="13">
        <f t="shared" ref="E45:I45" si="57">SUM(E41:E44)</f>
        <v>23221.072426699036</v>
      </c>
      <c r="F45" s="13">
        <f t="shared" si="57"/>
        <v>130927.92339706075</v>
      </c>
      <c r="G45" s="13">
        <f t="shared" si="57"/>
        <v>126788.60681204029</v>
      </c>
      <c r="H45" s="13">
        <f t="shared" si="57"/>
        <v>11296.737937313046</v>
      </c>
      <c r="I45" s="13">
        <f t="shared" si="57"/>
        <v>1463943</v>
      </c>
      <c r="J45" s="12"/>
      <c r="L45" s="24">
        <f>SUM(L41:L44)</f>
        <v>7.0516466525050223</v>
      </c>
      <c r="M45" s="24">
        <f>SUM(M41:M44)</f>
        <v>7.0516466525050223</v>
      </c>
      <c r="N45" s="24">
        <f>SUM(N41:N44)</f>
        <v>7.0516466525050223</v>
      </c>
      <c r="O45" s="24">
        <f t="shared" ref="O45:S45" si="58">SUM(O41:O44)</f>
        <v>7.0516466525050223</v>
      </c>
      <c r="P45" s="24">
        <f t="shared" si="58"/>
        <v>7.0516466525050214</v>
      </c>
      <c r="Q45" s="24">
        <f t="shared" si="58"/>
        <v>7.0516466525050223</v>
      </c>
      <c r="R45" s="24">
        <f t="shared" si="58"/>
        <v>7.0516466525050223</v>
      </c>
      <c r="S45" s="24">
        <f t="shared" si="58"/>
        <v>7.0516466525050223</v>
      </c>
      <c r="U45" s="13">
        <f t="shared" ref="U45" si="59">SUM(U41:U44)</f>
        <v>626877.28411439131</v>
      </c>
      <c r="V45" s="24">
        <f>SUM(V41:V44)</f>
        <v>7.0516466525050223</v>
      </c>
      <c r="X45" s="13">
        <f t="shared" ref="X45" si="60">SUM(X41:X44)</f>
        <v>1171708.6594268868</v>
      </c>
      <c r="Y45" s="24">
        <f>SUM(Y41:Y44)</f>
        <v>7.0516466525050214</v>
      </c>
    </row>
    <row r="46" spans="1:25" x14ac:dyDescent="0.25">
      <c r="B46" s="12"/>
      <c r="C46" s="12"/>
      <c r="D46" s="12"/>
      <c r="E46" s="12"/>
      <c r="F46" s="12"/>
      <c r="G46" s="12"/>
      <c r="H46" s="12"/>
      <c r="I46" s="12"/>
      <c r="J46" s="12"/>
      <c r="L46" s="12"/>
      <c r="M46" s="12"/>
      <c r="N46" s="12"/>
      <c r="O46" s="12"/>
      <c r="P46" s="12"/>
      <c r="Q46" s="12"/>
      <c r="R46" s="12"/>
      <c r="S46" s="12"/>
      <c r="U46" s="12"/>
      <c r="V46" s="12"/>
      <c r="X46" s="12"/>
      <c r="Y46" s="12"/>
    </row>
    <row r="47" spans="1:25" ht="15.75" thickBot="1" x14ac:dyDescent="0.3">
      <c r="A47" s="8" t="s">
        <v>28</v>
      </c>
      <c r="B47" s="14">
        <f>B39-B45</f>
        <v>758086.9163770054</v>
      </c>
      <c r="C47" s="14">
        <f>C39-C45</f>
        <v>12607.091637779806</v>
      </c>
      <c r="D47" s="14">
        <f>D39-D45</f>
        <v>1276681.97409445</v>
      </c>
      <c r="E47" s="14">
        <f t="shared" ref="E47:I47" si="61">E39-E45</f>
        <v>-63753.265335595286</v>
      </c>
      <c r="F47" s="14">
        <f t="shared" si="61"/>
        <v>-503876.02830126649</v>
      </c>
      <c r="G47" s="14">
        <f t="shared" si="61"/>
        <v>983044.68162411056</v>
      </c>
      <c r="H47" s="14">
        <f t="shared" si="61"/>
        <v>25497.062864222469</v>
      </c>
      <c r="I47" s="14">
        <f t="shared" si="61"/>
        <v>2488288.4329607077</v>
      </c>
      <c r="J47" s="12"/>
      <c r="L47" s="25">
        <f>L39-L45</f>
        <v>8.1481428704078436</v>
      </c>
      <c r="M47" s="25">
        <f>M39-M45</f>
        <v>4.5154339676861834</v>
      </c>
      <c r="N47" s="25">
        <f>N39-N45</f>
        <v>18.152478623856517</v>
      </c>
      <c r="O47" s="25">
        <f t="shared" ref="O47:S47" si="62">O39-O45</f>
        <v>-19.360238486363592</v>
      </c>
      <c r="P47" s="25">
        <f t="shared" si="62"/>
        <v>-27.138257569950248</v>
      </c>
      <c r="Q47" s="25">
        <f t="shared" si="62"/>
        <v>54.674342693220829</v>
      </c>
      <c r="R47" s="25">
        <f t="shared" si="62"/>
        <v>15.915769578166328</v>
      </c>
      <c r="S47" s="25">
        <f t="shared" si="62"/>
        <v>11.985801905370868</v>
      </c>
      <c r="U47" s="14">
        <f t="shared" ref="U47" si="63">U39-U45</f>
        <v>772805.94579318375</v>
      </c>
      <c r="V47" s="25">
        <f>V39-V45</f>
        <v>8.6931758396497738</v>
      </c>
      <c r="X47" s="14">
        <f t="shared" ref="X47" si="64">X39-X45</f>
        <v>2047375.9821092372</v>
      </c>
      <c r="Y47" s="25">
        <f>Y39-Y45</f>
        <v>12.32163974764979</v>
      </c>
    </row>
    <row r="48" spans="1:25" ht="15.75" thickTop="1" x14ac:dyDescent="0.25">
      <c r="L48" s="18">
        <f>L47/L13</f>
        <v>4.588243117378276E-2</v>
      </c>
      <c r="M48" s="18">
        <f>M47/M13</f>
        <v>2.5476378005551824E-2</v>
      </c>
      <c r="N48" s="18">
        <f>N47/N13</f>
        <v>0.11380864990279403</v>
      </c>
      <c r="O48" s="18">
        <f t="shared" ref="O48:S48" si="65">O47/O13</f>
        <v>-9.863393525212194E-2</v>
      </c>
      <c r="P48" s="18">
        <f t="shared" si="65"/>
        <v>-0.19201380615804803</v>
      </c>
      <c r="Q48" s="18">
        <f t="shared" si="65"/>
        <v>0.28917544080309771</v>
      </c>
      <c r="R48" s="18">
        <f t="shared" si="65"/>
        <v>8.0529416723693723E-2</v>
      </c>
      <c r="S48" s="18">
        <f t="shared" si="65"/>
        <v>7.0646564662752528E-2</v>
      </c>
      <c r="V48" s="18">
        <f>V47/V13</f>
        <v>5.5830675347768526E-2</v>
      </c>
      <c r="Y48" s="18">
        <f>Y47/Y13</f>
        <v>7.2511918692666266E-2</v>
      </c>
    </row>
    <row r="49" spans="1:25" x14ac:dyDescent="0.25">
      <c r="A49" t="s">
        <v>35</v>
      </c>
    </row>
    <row r="50" spans="1:25" x14ac:dyDescent="0.25">
      <c r="A50" t="s">
        <v>45</v>
      </c>
      <c r="B50" s="15">
        <f>95830-C50</f>
        <v>93038</v>
      </c>
      <c r="C50" s="15">
        <v>2792</v>
      </c>
      <c r="D50" s="15"/>
      <c r="E50" s="15">
        <v>3293</v>
      </c>
      <c r="F50" s="15"/>
      <c r="G50" s="15">
        <v>6279</v>
      </c>
      <c r="H50" s="15">
        <v>1602</v>
      </c>
      <c r="I50" s="15">
        <f>SUM(B50:H50)</f>
        <v>107004</v>
      </c>
      <c r="L50" s="26"/>
      <c r="M50" s="26"/>
      <c r="N50" s="26"/>
      <c r="O50" s="26"/>
      <c r="P50" s="26"/>
      <c r="Q50" s="26"/>
      <c r="R50" s="26"/>
      <c r="S50" s="26"/>
      <c r="U50" s="15"/>
      <c r="V50" s="26"/>
      <c r="X50" s="15"/>
      <c r="Y50" s="26"/>
    </row>
    <row r="51" spans="1:25" x14ac:dyDescent="0.25">
      <c r="A51" t="s">
        <v>46</v>
      </c>
      <c r="B51" s="15"/>
      <c r="C51" s="15"/>
      <c r="D51" s="15">
        <v>70331</v>
      </c>
      <c r="E51" s="15"/>
      <c r="F51" s="15">
        <v>18567</v>
      </c>
      <c r="G51" s="15">
        <f>17980-G50</f>
        <v>11701</v>
      </c>
      <c r="H51" s="15"/>
      <c r="I51" s="15">
        <f>SUM(B51:H51)</f>
        <v>100599</v>
      </c>
      <c r="L51" s="26"/>
      <c r="M51" s="26"/>
      <c r="N51" s="26"/>
      <c r="O51" s="39"/>
      <c r="P51" s="39"/>
      <c r="Q51" s="26"/>
      <c r="R51" s="26"/>
      <c r="S51" s="26"/>
      <c r="U51" s="15">
        <f>SUM(D51:F51)</f>
        <v>88898</v>
      </c>
      <c r="V51" s="26"/>
      <c r="X51" s="15">
        <f>SUM(B52:D52)</f>
        <v>166161</v>
      </c>
      <c r="Y51" s="26"/>
    </row>
    <row r="52" spans="1:25" x14ac:dyDescent="0.25">
      <c r="A52" t="s">
        <v>47</v>
      </c>
      <c r="B52" s="16">
        <f>SUM(B50:B51)</f>
        <v>93038</v>
      </c>
      <c r="C52" s="16">
        <f>SUM(C50:C51)</f>
        <v>2792</v>
      </c>
      <c r="D52" s="16">
        <f>SUM(D50:D51)</f>
        <v>70331</v>
      </c>
      <c r="E52" s="16">
        <f t="shared" ref="E52:I52" si="66">SUM(E50:E51)</f>
        <v>3293</v>
      </c>
      <c r="F52" s="16">
        <f t="shared" si="66"/>
        <v>18567</v>
      </c>
      <c r="G52" s="16">
        <f t="shared" si="66"/>
        <v>17980</v>
      </c>
      <c r="H52" s="16">
        <f t="shared" si="66"/>
        <v>1602</v>
      </c>
      <c r="I52" s="16">
        <f t="shared" si="66"/>
        <v>207603</v>
      </c>
      <c r="L52" s="26"/>
      <c r="M52" s="26"/>
      <c r="N52" s="26"/>
      <c r="O52" s="26"/>
      <c r="P52" s="26"/>
      <c r="Q52" s="26"/>
      <c r="R52" s="26"/>
      <c r="S52" s="26"/>
      <c r="U52" s="16">
        <f t="shared" ref="U52" si="67">SUM(U50:U51)</f>
        <v>88898</v>
      </c>
      <c r="V52" s="26"/>
      <c r="X52" s="16">
        <f t="shared" ref="X52" si="68">SUM(X50:X51)</f>
        <v>166161</v>
      </c>
      <c r="Y52" s="26"/>
    </row>
    <row r="53" spans="1:25" x14ac:dyDescent="0.25">
      <c r="B53" s="12"/>
      <c r="C53" s="12"/>
      <c r="D53" s="12"/>
      <c r="G53" s="17"/>
      <c r="T53" s="31"/>
    </row>
    <row r="54" spans="1:25" s="31" customFormat="1" x14ac:dyDescent="0.25">
      <c r="A54" s="31" t="s">
        <v>104</v>
      </c>
      <c r="B54" s="26"/>
      <c r="C54" s="26"/>
      <c r="D54" s="26"/>
      <c r="L54" s="30">
        <f>L37+L45</f>
        <v>85.862636447883901</v>
      </c>
      <c r="M54" s="30">
        <f>M37+M45</f>
        <v>86.018677146745716</v>
      </c>
      <c r="N54" s="30">
        <f t="shared" ref="N54:S54" si="69">N37+N45</f>
        <v>85.991104777517037</v>
      </c>
      <c r="O54" s="30">
        <f t="shared" si="69"/>
        <v>86.232786029984041</v>
      </c>
      <c r="P54" s="30">
        <f t="shared" si="69"/>
        <v>89.196807426254466</v>
      </c>
      <c r="Q54" s="30">
        <f t="shared" si="69"/>
        <v>25.398170807816975</v>
      </c>
      <c r="R54" s="30">
        <f t="shared" si="69"/>
        <v>16.650600184302199</v>
      </c>
      <c r="S54" s="30">
        <f t="shared" si="69"/>
        <v>80.441552227276546</v>
      </c>
      <c r="V54" s="30">
        <f t="shared" ref="V54" si="70">V37+V45</f>
        <v>86.660639312367181</v>
      </c>
      <c r="Y54" s="30">
        <f t="shared" ref="Y54" si="71">Y37+Y45</f>
        <v>85.919635212471562</v>
      </c>
    </row>
    <row r="55" spans="1:25" s="31" customFormat="1" ht="15.75" thickBot="1" x14ac:dyDescent="0.3"/>
    <row r="56" spans="1:25" s="31" customFormat="1" ht="15.75" thickBot="1" x14ac:dyDescent="0.3">
      <c r="A56" s="41" t="s">
        <v>98</v>
      </c>
      <c r="B56" s="42"/>
      <c r="C56" s="42"/>
      <c r="D56" s="42"/>
      <c r="E56" s="43"/>
      <c r="F56" s="43"/>
      <c r="G56" s="43"/>
      <c r="H56" s="43"/>
      <c r="I56" s="43"/>
      <c r="J56" s="43"/>
      <c r="K56" s="43"/>
      <c r="L56" s="44">
        <f>L7-L16-L17-L20-L19-L21-L32</f>
        <v>84.051400539366355</v>
      </c>
      <c r="M56" s="44">
        <f>M7-M16-M17-M20-M19-M21-M32</f>
        <v>93.059759939388897</v>
      </c>
      <c r="N56" s="44">
        <f t="shared" ref="N56:S56" si="72">N7-N16-N17-N20-N19-N21-N32</f>
        <v>82.39123230861756</v>
      </c>
      <c r="O56" s="44">
        <f t="shared" si="72"/>
        <v>108.09355105615055</v>
      </c>
      <c r="P56" s="44">
        <f t="shared" si="72"/>
        <v>44.730616410566824</v>
      </c>
      <c r="Q56" s="44">
        <f t="shared" si="72"/>
        <v>156.82464476271747</v>
      </c>
      <c r="R56" s="44">
        <f t="shared" si="72"/>
        <v>185.81403004149473</v>
      </c>
      <c r="S56" s="45">
        <f t="shared" si="72"/>
        <v>87.562806992734963</v>
      </c>
      <c r="V56" s="46">
        <f t="shared" ref="V56" si="73">V7-V16-V17-V20-V19-V21-V32</f>
        <v>74.525536169456842</v>
      </c>
      <c r="Y56" s="46">
        <f t="shared" ref="Y56" si="74">Y7-Y16-Y17-Y20-Y19-Y21-Y32</f>
        <v>83.500068082340164</v>
      </c>
    </row>
    <row r="57" spans="1:25" x14ac:dyDescent="0.25">
      <c r="I57" s="17"/>
      <c r="L57" s="17"/>
      <c r="M57" s="17"/>
      <c r="N57" s="17"/>
      <c r="O57" s="17"/>
      <c r="P57" s="17"/>
      <c r="Q57" s="17"/>
    </row>
    <row r="58" spans="1:25" x14ac:dyDescent="0.25">
      <c r="B58" s="49"/>
      <c r="C58" s="49"/>
      <c r="D58" s="50"/>
      <c r="E58" s="51"/>
      <c r="F58" s="51"/>
      <c r="G58" s="31"/>
      <c r="L58" s="17"/>
      <c r="M58" s="17"/>
      <c r="N58" s="17"/>
      <c r="O58" s="17"/>
      <c r="P58" s="17"/>
    </row>
    <row r="59" spans="1:25" x14ac:dyDescent="0.25">
      <c r="B59" s="31"/>
      <c r="C59" s="31"/>
      <c r="D59" s="31"/>
      <c r="E59" s="31"/>
      <c r="F59" s="31"/>
      <c r="G59" s="31"/>
      <c r="L59" s="17"/>
      <c r="M59" s="17"/>
      <c r="N59" s="17"/>
      <c r="O59" s="17"/>
      <c r="P59" s="17"/>
    </row>
    <row r="60" spans="1:25" x14ac:dyDescent="0.25">
      <c r="B60" s="55"/>
      <c r="C60" s="55"/>
      <c r="D60" s="53"/>
      <c r="E60" s="52"/>
      <c r="F60" s="31"/>
      <c r="G60" s="31"/>
      <c r="L60" s="54"/>
      <c r="M60" s="54"/>
      <c r="N60" s="40"/>
      <c r="O60" s="17"/>
      <c r="P60" s="17"/>
    </row>
    <row r="61" spans="1:25" x14ac:dyDescent="0.25">
      <c r="B61" s="19"/>
      <c r="C61" s="19"/>
      <c r="D61" s="47"/>
      <c r="E61" s="47"/>
      <c r="L61" s="17"/>
      <c r="M61" s="17"/>
      <c r="N61" s="48"/>
      <c r="P61" s="17"/>
      <c r="S61" s="17"/>
    </row>
    <row r="62" spans="1:25" x14ac:dyDescent="0.25">
      <c r="B62" s="19"/>
      <c r="C62" s="19"/>
      <c r="E62" s="40"/>
      <c r="L62" s="17"/>
      <c r="M62" s="17"/>
      <c r="N62" s="48"/>
      <c r="P62" s="17"/>
    </row>
    <row r="63" spans="1:25" x14ac:dyDescent="0.25">
      <c r="B63" s="19"/>
      <c r="C63" s="19"/>
      <c r="D63" s="19"/>
      <c r="E63" s="19"/>
      <c r="F63" s="19"/>
      <c r="N63" s="48"/>
      <c r="P63" s="48"/>
    </row>
    <row r="64" spans="1:25" x14ac:dyDescent="0.25">
      <c r="B64" s="19"/>
      <c r="C64" s="19"/>
      <c r="D64" s="40"/>
      <c r="E64" s="40"/>
      <c r="F64" s="20"/>
      <c r="L64" s="17"/>
      <c r="M64" s="17"/>
      <c r="N64" s="17"/>
    </row>
    <row r="65" spans="2:6" x14ac:dyDescent="0.25">
      <c r="B65" s="19"/>
      <c r="C65" s="19"/>
      <c r="D65" s="19"/>
      <c r="E65" s="19"/>
      <c r="F65" s="40"/>
    </row>
    <row r="66" spans="2:6" x14ac:dyDescent="0.25">
      <c r="B66" s="19"/>
      <c r="C66" s="19"/>
      <c r="D66" s="19"/>
      <c r="E66" s="19"/>
      <c r="F66" s="15"/>
    </row>
    <row r="67" spans="2:6" x14ac:dyDescent="0.25">
      <c r="B67" s="19"/>
      <c r="C67" s="19"/>
      <c r="F67" s="15"/>
    </row>
    <row r="68" spans="2:6" x14ac:dyDescent="0.25">
      <c r="B68" s="19"/>
      <c r="C68" s="19"/>
      <c r="F68" s="40"/>
    </row>
    <row r="69" spans="2:6" x14ac:dyDescent="0.25">
      <c r="B69" s="19"/>
      <c r="C69" s="19"/>
    </row>
    <row r="70" spans="2:6" x14ac:dyDescent="0.25">
      <c r="B70" s="40"/>
      <c r="C70" s="40"/>
    </row>
    <row r="71" spans="2:6" x14ac:dyDescent="0.25">
      <c r="B71" s="19"/>
      <c r="C71" s="19"/>
    </row>
    <row r="72" spans="2:6" x14ac:dyDescent="0.25">
      <c r="B72" s="19"/>
      <c r="C72" s="19"/>
    </row>
    <row r="73" spans="2:6" x14ac:dyDescent="0.25">
      <c r="B73" s="19"/>
      <c r="C73" s="19"/>
    </row>
    <row r="74" spans="2:6" x14ac:dyDescent="0.25">
      <c r="B74" s="19"/>
      <c r="C74" s="19"/>
    </row>
    <row r="75" spans="2:6" x14ac:dyDescent="0.25">
      <c r="B75" s="19"/>
      <c r="C75" s="19"/>
    </row>
    <row r="76" spans="2:6" x14ac:dyDescent="0.25">
      <c r="B76" s="19"/>
      <c r="C76" s="19"/>
    </row>
    <row r="77" spans="2:6" x14ac:dyDescent="0.25">
      <c r="B77" s="19"/>
      <c r="C77" s="19"/>
    </row>
    <row r="78" spans="2:6" x14ac:dyDescent="0.25">
      <c r="B78" s="19"/>
      <c r="C78" s="19"/>
    </row>
  </sheetData>
  <mergeCells count="5">
    <mergeCell ref="U2:U4"/>
    <mergeCell ref="X2:X4"/>
    <mergeCell ref="N3:S3"/>
    <mergeCell ref="V3:V4"/>
    <mergeCell ref="Y3:Y4"/>
  </mergeCells>
  <pageMargins left="0.25" right="0.25" top="0.5" bottom="0.5" header="0.3" footer="0.3"/>
  <pageSetup scale="46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C29" sqref="C29"/>
    </sheetView>
  </sheetViews>
  <sheetFormatPr defaultRowHeight="15" x14ac:dyDescent="0.25"/>
  <cols>
    <col min="1" max="1" width="32.140625" customWidth="1"/>
    <col min="2" max="2" width="2.5703125" customWidth="1"/>
    <col min="3" max="3" width="16.85546875" customWidth="1"/>
    <col min="4" max="5" width="14.140625" customWidth="1"/>
    <col min="6" max="6" width="14.42578125" customWidth="1"/>
  </cols>
  <sheetData>
    <row r="1" spans="1:6" ht="15.75" x14ac:dyDescent="0.25">
      <c r="A1" s="27" t="s">
        <v>31</v>
      </c>
    </row>
    <row r="2" spans="1:6" ht="15.75" x14ac:dyDescent="0.25">
      <c r="A2" s="27" t="s">
        <v>88</v>
      </c>
    </row>
    <row r="3" spans="1:6" ht="15.75" x14ac:dyDescent="0.25">
      <c r="A3" s="27" t="s">
        <v>38</v>
      </c>
    </row>
    <row r="5" spans="1:6" x14ac:dyDescent="0.25">
      <c r="C5" s="10" t="s">
        <v>40</v>
      </c>
      <c r="D5" s="10" t="s">
        <v>39</v>
      </c>
      <c r="E5" s="10" t="s">
        <v>37</v>
      </c>
      <c r="F5" s="10" t="s">
        <v>34</v>
      </c>
    </row>
    <row r="6" spans="1:6" x14ac:dyDescent="0.25">
      <c r="A6" s="1"/>
    </row>
    <row r="7" spans="1:6" x14ac:dyDescent="0.25">
      <c r="A7" s="1" t="s">
        <v>59</v>
      </c>
      <c r="C7" s="12">
        <f>'2017 Actual'!I20</f>
        <v>66797</v>
      </c>
      <c r="F7" s="12">
        <f>'2017 Actual'!I20</f>
        <v>66797</v>
      </c>
    </row>
    <row r="8" spans="1:6" x14ac:dyDescent="0.25">
      <c r="A8" s="1" t="s">
        <v>60</v>
      </c>
      <c r="C8" s="13">
        <f>SUM(C7)</f>
        <v>66797</v>
      </c>
      <c r="D8" s="13">
        <f t="shared" ref="D8:F8" si="0">SUM(D7)</f>
        <v>0</v>
      </c>
      <c r="E8" s="13">
        <f t="shared" si="0"/>
        <v>0</v>
      </c>
      <c r="F8" s="13">
        <f t="shared" si="0"/>
        <v>66797</v>
      </c>
    </row>
    <row r="9" spans="1:6" x14ac:dyDescent="0.25">
      <c r="A9" s="1"/>
      <c r="C9" s="12"/>
      <c r="F9" s="12"/>
    </row>
    <row r="10" spans="1:6" x14ac:dyDescent="0.25">
      <c r="A10" s="2" t="s">
        <v>12</v>
      </c>
      <c r="C10" s="12">
        <v>2642033</v>
      </c>
      <c r="D10" s="12">
        <f>F10-C10</f>
        <v>5481662.9951649345</v>
      </c>
      <c r="E10" s="12"/>
      <c r="F10" s="12">
        <f>'2017 Actual'!I26</f>
        <v>8123695.9951649345</v>
      </c>
    </row>
    <row r="11" spans="1:6" x14ac:dyDescent="0.25">
      <c r="A11" s="2" t="s">
        <v>13</v>
      </c>
      <c r="C11" s="12">
        <v>230921</v>
      </c>
      <c r="D11" s="12">
        <f t="shared" ref="D11:D16" si="1">F11-C11</f>
        <v>177025.82946100004</v>
      </c>
      <c r="E11" s="12"/>
      <c r="F11" s="12">
        <f>'2017 Actual'!I27</f>
        <v>407946.82946100004</v>
      </c>
    </row>
    <row r="12" spans="1:6" x14ac:dyDescent="0.25">
      <c r="A12" s="2" t="s">
        <v>14</v>
      </c>
      <c r="C12" s="12">
        <v>100040</v>
      </c>
      <c r="D12" s="12">
        <f t="shared" si="1"/>
        <v>492059.22722210002</v>
      </c>
      <c r="E12" s="12"/>
      <c r="F12" s="12">
        <f>'2017 Actual'!I28</f>
        <v>592099.22722210002</v>
      </c>
    </row>
    <row r="13" spans="1:6" x14ac:dyDescent="0.25">
      <c r="A13" s="2" t="s">
        <v>15</v>
      </c>
      <c r="C13" s="12">
        <v>1066552</v>
      </c>
      <c r="D13" s="12">
        <f t="shared" si="1"/>
        <v>1550038.1693910901</v>
      </c>
      <c r="E13" s="12"/>
      <c r="F13" s="12">
        <f>'2017 Actual'!I29</f>
        <v>2616590.1693910901</v>
      </c>
    </row>
    <row r="14" spans="1:6" x14ac:dyDescent="0.25">
      <c r="A14" s="2" t="s">
        <v>16</v>
      </c>
      <c r="C14" s="12">
        <v>194900</v>
      </c>
      <c r="D14" s="12">
        <f t="shared" si="1"/>
        <v>307787.52895525598</v>
      </c>
      <c r="E14" s="12"/>
      <c r="F14" s="12">
        <f>'2017 Actual'!I30</f>
        <v>502687.52895525598</v>
      </c>
    </row>
    <row r="15" spans="1:6" x14ac:dyDescent="0.25">
      <c r="A15" s="2" t="s">
        <v>17</v>
      </c>
      <c r="C15" s="12">
        <v>425073</v>
      </c>
      <c r="D15" s="12">
        <f t="shared" si="1"/>
        <v>694442.77719822223</v>
      </c>
      <c r="E15" s="12"/>
      <c r="F15" s="12">
        <f>'2017 Actual'!I31</f>
        <v>1119515.7771982222</v>
      </c>
    </row>
    <row r="16" spans="1:6" x14ac:dyDescent="0.25">
      <c r="A16" s="2" t="s">
        <v>18</v>
      </c>
      <c r="C16" s="12">
        <v>134365</v>
      </c>
      <c r="D16" s="12">
        <f t="shared" si="1"/>
        <v>302766.80400247802</v>
      </c>
      <c r="E16" s="12"/>
      <c r="F16" s="12">
        <f>'2017 Actual'!I32</f>
        <v>437131.80400247802</v>
      </c>
    </row>
    <row r="17" spans="1:6" x14ac:dyDescent="0.25">
      <c r="A17" s="4" t="s">
        <v>19</v>
      </c>
      <c r="C17" s="13">
        <f>SUM(C10:C16)</f>
        <v>4793884</v>
      </c>
      <c r="D17" s="13">
        <f t="shared" ref="D17:F17" si="2">SUM(D10:D16)</f>
        <v>9005783.3313950803</v>
      </c>
      <c r="E17" s="13">
        <f t="shared" si="2"/>
        <v>0</v>
      </c>
      <c r="F17" s="13">
        <f t="shared" si="2"/>
        <v>13799667.331395082</v>
      </c>
    </row>
    <row r="18" spans="1:6" x14ac:dyDescent="0.25">
      <c r="A18" s="1"/>
    </row>
    <row r="19" spans="1:6" x14ac:dyDescent="0.25">
      <c r="A19" s="2" t="s">
        <v>20</v>
      </c>
      <c r="C19" s="12">
        <v>583807</v>
      </c>
      <c r="D19" s="12">
        <v>132392</v>
      </c>
      <c r="E19" s="12"/>
      <c r="F19" s="12">
        <f>SUM(C19:D19)</f>
        <v>716199</v>
      </c>
    </row>
    <row r="20" spans="1:6" x14ac:dyDescent="0.25">
      <c r="A20" s="2" t="s">
        <v>43</v>
      </c>
      <c r="C20" s="12">
        <f>F20-D20</f>
        <v>430150.18798788096</v>
      </c>
      <c r="D20" s="12">
        <f>IF(D29=0,0,F20*0.2)</f>
        <v>107537.54699697025</v>
      </c>
      <c r="E20" s="12"/>
      <c r="F20" s="12">
        <f>'2017 Actual'!I35-F19</f>
        <v>537687.73498485121</v>
      </c>
    </row>
    <row r="21" spans="1:6" x14ac:dyDescent="0.25">
      <c r="A21" s="2" t="s">
        <v>44</v>
      </c>
      <c r="C21" s="13">
        <f>SUM(C19:C20)</f>
        <v>1013957.187987881</v>
      </c>
      <c r="D21" s="13">
        <f t="shared" ref="D21:F21" si="3">SUM(D19:D20)</f>
        <v>239929.54699697025</v>
      </c>
      <c r="E21" s="13"/>
      <c r="F21" s="13">
        <f t="shared" si="3"/>
        <v>1253886.7349848512</v>
      </c>
    </row>
    <row r="22" spans="1:6" x14ac:dyDescent="0.25">
      <c r="A22" s="1"/>
    </row>
    <row r="23" spans="1:6" x14ac:dyDescent="0.25">
      <c r="A23" s="5" t="s">
        <v>21</v>
      </c>
      <c r="C23" s="12">
        <f>C17+C21</f>
        <v>5807841.1879878808</v>
      </c>
      <c r="D23" s="12">
        <f t="shared" ref="D23:F23" si="4">D17+D21</f>
        <v>9245712.87839205</v>
      </c>
      <c r="E23" s="12"/>
      <c r="F23" s="12">
        <f t="shared" si="4"/>
        <v>15053554.066379933</v>
      </c>
    </row>
    <row r="24" spans="1:6" x14ac:dyDescent="0.25">
      <c r="A24" s="1"/>
    </row>
    <row r="25" spans="1:6" x14ac:dyDescent="0.25">
      <c r="A25" s="1" t="s">
        <v>37</v>
      </c>
      <c r="E25" s="12">
        <f>'2017 Actual'!I45</f>
        <v>1601142.0000000002</v>
      </c>
      <c r="F25" s="12">
        <f>SUM(C25:E25)</f>
        <v>1601142.0000000002</v>
      </c>
    </row>
    <row r="26" spans="1:6" x14ac:dyDescent="0.25">
      <c r="A26" s="1"/>
    </row>
    <row r="27" spans="1:6" ht="15.75" thickBot="1" x14ac:dyDescent="0.3">
      <c r="A27" s="1" t="s">
        <v>49</v>
      </c>
      <c r="C27" s="14">
        <f>C23+C25+C8</f>
        <v>5874638.1879878808</v>
      </c>
      <c r="D27" s="14">
        <f t="shared" ref="D27:F27" si="5">D23+D25+D8</f>
        <v>9245712.87839205</v>
      </c>
      <c r="E27" s="14">
        <f t="shared" si="5"/>
        <v>1601142.0000000002</v>
      </c>
      <c r="F27" s="14">
        <f t="shared" si="5"/>
        <v>16721493.066379933</v>
      </c>
    </row>
    <row r="28" spans="1:6" ht="15.75" thickTop="1" x14ac:dyDescent="0.25">
      <c r="A28" s="1"/>
    </row>
    <row r="29" spans="1:6" x14ac:dyDescent="0.25">
      <c r="A29" t="s">
        <v>42</v>
      </c>
      <c r="C29" s="15">
        <f>'2017 Actual'!D52+'2017 Actual'!F52</f>
        <v>111540</v>
      </c>
      <c r="D29" s="15">
        <f>'2017 Actual'!D52+'2017 Actual'!F52+'2017 Actual'!G52</f>
        <v>122619</v>
      </c>
      <c r="E29" s="15"/>
      <c r="F29" s="15">
        <f>'2017 Actual'!I52</f>
        <v>223722.35</v>
      </c>
    </row>
    <row r="31" spans="1:6" x14ac:dyDescent="0.25">
      <c r="A31" t="s">
        <v>48</v>
      </c>
      <c r="C31" s="17">
        <f>C23/C29</f>
        <v>52.069582104965761</v>
      </c>
      <c r="D31" s="17">
        <f t="shared" ref="D31" si="6">D23/D29</f>
        <v>75.401959552696155</v>
      </c>
      <c r="E31" s="17"/>
      <c r="F31" s="17">
        <f>F27/F29</f>
        <v>74.74216620011336</v>
      </c>
    </row>
  </sheetData>
  <pageMargins left="0.25" right="0.2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6"/>
  <sheetViews>
    <sheetView topLeftCell="A31" workbookViewId="0">
      <selection activeCell="B32" sqref="B32"/>
    </sheetView>
  </sheetViews>
  <sheetFormatPr defaultRowHeight="15" x14ac:dyDescent="0.25"/>
  <cols>
    <col min="1" max="1" width="32.140625" customWidth="1"/>
    <col min="2" max="2" width="11.85546875" customWidth="1"/>
    <col min="3" max="3" width="3.7109375" customWidth="1"/>
    <col min="4" max="4" width="12.28515625" customWidth="1"/>
    <col min="5" max="5" width="11.7109375" customWidth="1"/>
    <col min="7" max="7" width="10.85546875" bestFit="1" customWidth="1"/>
  </cols>
  <sheetData>
    <row r="1" spans="1:7" ht="18.75" x14ac:dyDescent="0.3">
      <c r="A1" s="22" t="s">
        <v>31</v>
      </c>
    </row>
    <row r="2" spans="1:7" ht="18.75" x14ac:dyDescent="0.3">
      <c r="A2" s="22" t="s">
        <v>88</v>
      </c>
    </row>
    <row r="3" spans="1:7" x14ac:dyDescent="0.25">
      <c r="A3" t="s">
        <v>52</v>
      </c>
    </row>
    <row r="5" spans="1:7" ht="30" x14ac:dyDescent="0.25">
      <c r="B5" s="28" t="s">
        <v>53</v>
      </c>
      <c r="D5" s="10" t="s">
        <v>54</v>
      </c>
      <c r="E5" s="10" t="s">
        <v>55</v>
      </c>
      <c r="G5" s="36" t="s">
        <v>93</v>
      </c>
    </row>
    <row r="6" spans="1:7" x14ac:dyDescent="0.25">
      <c r="A6" t="s">
        <v>0</v>
      </c>
    </row>
    <row r="7" spans="1:7" x14ac:dyDescent="0.25">
      <c r="A7" s="1" t="s">
        <v>29</v>
      </c>
      <c r="B7" s="12">
        <f>'2017 Actual'!D7</f>
        <v>7273651.1850000005</v>
      </c>
      <c r="D7" s="12">
        <f>B7/B52*D52</f>
        <v>0</v>
      </c>
      <c r="E7" s="12">
        <f>B7-D7</f>
        <v>7273651.1850000005</v>
      </c>
      <c r="G7" s="17">
        <f>E7/E52</f>
        <v>104.38500000000001</v>
      </c>
    </row>
    <row r="8" spans="1:7" x14ac:dyDescent="0.25">
      <c r="A8" s="1" t="s">
        <v>30</v>
      </c>
      <c r="B8" s="12">
        <f>'2017 Actual'!D8</f>
        <v>0</v>
      </c>
      <c r="D8" s="12">
        <f>B8</f>
        <v>0</v>
      </c>
      <c r="E8" s="12"/>
      <c r="G8" s="17">
        <f>IF(E8=0,0,E8/$E$52)</f>
        <v>0</v>
      </c>
    </row>
    <row r="9" spans="1:7" x14ac:dyDescent="0.25">
      <c r="A9" s="2" t="s">
        <v>1</v>
      </c>
      <c r="B9" s="13">
        <f>SUM(B7:B8)</f>
        <v>7273651.1850000005</v>
      </c>
      <c r="D9" s="13">
        <f>SUM(D7:D8)</f>
        <v>0</v>
      </c>
      <c r="E9" s="13">
        <f>SUM(E7:E8)</f>
        <v>7273651.1850000005</v>
      </c>
      <c r="G9" s="24">
        <f>IF(E9=0,0,E9/$E$52)</f>
        <v>104.38500000000001</v>
      </c>
    </row>
    <row r="10" spans="1:7" x14ac:dyDescent="0.25">
      <c r="A10" s="1"/>
      <c r="B10" s="12"/>
      <c r="D10" s="12"/>
      <c r="E10" s="12"/>
    </row>
    <row r="11" spans="1:7" x14ac:dyDescent="0.25">
      <c r="A11" s="1" t="s">
        <v>2</v>
      </c>
      <c r="B11" s="12">
        <f>'2017 Actual'!D11</f>
        <v>4914244</v>
      </c>
      <c r="D11" s="12"/>
      <c r="E11" s="12">
        <f>B11</f>
        <v>4914244</v>
      </c>
      <c r="G11" s="17">
        <f>IF(E11=0,0,E11/$E$52)</f>
        <v>70.52487765675005</v>
      </c>
    </row>
    <row r="12" spans="1:7" x14ac:dyDescent="0.25">
      <c r="A12" s="1"/>
      <c r="B12" s="12"/>
      <c r="D12" s="12"/>
      <c r="E12" s="12"/>
    </row>
    <row r="13" spans="1:7" x14ac:dyDescent="0.25">
      <c r="A13" s="3" t="s">
        <v>3</v>
      </c>
      <c r="B13" s="13">
        <f>B11+B9</f>
        <v>12187895.185000001</v>
      </c>
      <c r="D13" s="13">
        <f>D11+D9</f>
        <v>0</v>
      </c>
      <c r="E13" s="13">
        <f>E11+E9</f>
        <v>12187895.185000001</v>
      </c>
      <c r="G13" s="24">
        <f>IF(E13=0,0,E13/$E$52)</f>
        <v>174.90987765675004</v>
      </c>
    </row>
    <row r="14" spans="1:7" x14ac:dyDescent="0.25">
      <c r="A14" s="1"/>
      <c r="B14" s="12"/>
      <c r="D14" s="12"/>
      <c r="E14" s="12"/>
    </row>
    <row r="15" spans="1:7" x14ac:dyDescent="0.25">
      <c r="A15" s="1" t="s">
        <v>4</v>
      </c>
      <c r="B15" s="12"/>
      <c r="D15" s="12"/>
      <c r="E15" s="12"/>
    </row>
    <row r="16" spans="1:7" x14ac:dyDescent="0.25">
      <c r="A16" s="2" t="s">
        <v>36</v>
      </c>
      <c r="B16" s="12">
        <f>'2017 Actual'!D16</f>
        <v>0</v>
      </c>
      <c r="D16" s="12">
        <f>$B16/$B$52*$D$52</f>
        <v>0</v>
      </c>
      <c r="E16" s="12">
        <f>B16-D16</f>
        <v>0</v>
      </c>
      <c r="G16" s="17">
        <f t="shared" ref="G16:G22" si="0">IF(E16=0,0,E16/$E$52)</f>
        <v>0</v>
      </c>
    </row>
    <row r="17" spans="1:7" x14ac:dyDescent="0.25">
      <c r="A17" s="2" t="s">
        <v>5</v>
      </c>
      <c r="B17" s="12">
        <f>'2017 Actual'!D17</f>
        <v>103706.23229999999</v>
      </c>
      <c r="D17" s="12"/>
      <c r="E17" s="12">
        <f t="shared" ref="E17:E21" si="1">B17-D17</f>
        <v>103706.23229999999</v>
      </c>
      <c r="G17" s="17">
        <f t="shared" si="0"/>
        <v>1.4882999999999997</v>
      </c>
    </row>
    <row r="18" spans="1:7" x14ac:dyDescent="0.25">
      <c r="A18" s="2" t="s">
        <v>6</v>
      </c>
      <c r="B18" s="12">
        <f>'2017 Actual'!D18</f>
        <v>4436320</v>
      </c>
      <c r="D18" s="12">
        <v>959254</v>
      </c>
      <c r="E18" s="12">
        <f>B18-D18</f>
        <v>3477066</v>
      </c>
      <c r="G18" s="17">
        <f t="shared" si="0"/>
        <v>49.899771817281611</v>
      </c>
    </row>
    <row r="19" spans="1:7" x14ac:dyDescent="0.25">
      <c r="A19" s="2" t="s">
        <v>7</v>
      </c>
      <c r="B19" s="12">
        <f>'2017 Actual'!D19</f>
        <v>0</v>
      </c>
      <c r="D19" s="12">
        <f t="shared" ref="D19:D21" si="2">$B19/$B$52*$D$52</f>
        <v>0</v>
      </c>
      <c r="E19" s="12">
        <f t="shared" si="1"/>
        <v>0</v>
      </c>
      <c r="G19" s="17">
        <f t="shared" si="0"/>
        <v>0</v>
      </c>
    </row>
    <row r="20" spans="1:7" x14ac:dyDescent="0.25">
      <c r="A20" s="2" t="s">
        <v>8</v>
      </c>
      <c r="B20" s="12">
        <f>'2017 Actual'!D20</f>
        <v>20804.724056402949</v>
      </c>
      <c r="D20" s="12">
        <f t="shared" si="2"/>
        <v>0</v>
      </c>
      <c r="E20" s="12">
        <f t="shared" si="1"/>
        <v>20804.724056402949</v>
      </c>
      <c r="G20" s="17">
        <f t="shared" si="0"/>
        <v>0.29857097424553247</v>
      </c>
    </row>
    <row r="21" spans="1:7" x14ac:dyDescent="0.25">
      <c r="A21" s="2" t="s">
        <v>9</v>
      </c>
      <c r="B21" s="12">
        <f>'2017 Actual'!D21</f>
        <v>0</v>
      </c>
      <c r="D21" s="12">
        <f t="shared" si="2"/>
        <v>0</v>
      </c>
      <c r="E21" s="12">
        <f t="shared" si="1"/>
        <v>0</v>
      </c>
      <c r="G21" s="17">
        <f t="shared" si="0"/>
        <v>0</v>
      </c>
    </row>
    <row r="22" spans="1:7" x14ac:dyDescent="0.25">
      <c r="A22" s="3" t="s">
        <v>10</v>
      </c>
      <c r="B22" s="13">
        <f>SUM(B16:B21)</f>
        <v>4560830.9563564034</v>
      </c>
      <c r="D22" s="13">
        <f>SUM(D16:D21)</f>
        <v>959254</v>
      </c>
      <c r="E22" s="13">
        <f>SUM(E16:E21)</f>
        <v>3601576.956356403</v>
      </c>
      <c r="G22" s="24">
        <f t="shared" si="0"/>
        <v>51.686642791527142</v>
      </c>
    </row>
    <row r="23" spans="1:7" x14ac:dyDescent="0.25">
      <c r="A23" s="1"/>
      <c r="B23" s="12"/>
      <c r="D23" s="12"/>
      <c r="E23" s="12"/>
    </row>
    <row r="24" spans="1:7" x14ac:dyDescent="0.25">
      <c r="A24" s="3" t="s">
        <v>11</v>
      </c>
      <c r="B24" s="12">
        <f>B13-B22</f>
        <v>7627064.2286435971</v>
      </c>
      <c r="D24" s="12">
        <f>D13-D22</f>
        <v>-959254</v>
      </c>
      <c r="E24" s="12">
        <f>E13-E22</f>
        <v>8586318.228643598</v>
      </c>
      <c r="G24" s="17">
        <f>IF(E24=0,0,E24/$E$52)</f>
        <v>123.22323486522292</v>
      </c>
    </row>
    <row r="25" spans="1:7" x14ac:dyDescent="0.25">
      <c r="A25" s="1"/>
      <c r="B25" s="12"/>
      <c r="D25" s="12"/>
      <c r="E25" s="12"/>
    </row>
    <row r="26" spans="1:7" x14ac:dyDescent="0.25">
      <c r="A26" s="2" t="s">
        <v>12</v>
      </c>
      <c r="B26" s="12">
        <f>'2017 Actual'!D26</f>
        <v>2648224.3145699999</v>
      </c>
      <c r="D26" s="12">
        <f t="shared" ref="D26:D32" si="3">$B26/$B$52*$D$52</f>
        <v>0</v>
      </c>
      <c r="E26" s="12">
        <f>B26-D26</f>
        <v>2648224.3145699999</v>
      </c>
      <c r="G26" s="17">
        <f t="shared" ref="G26:G33" si="4">IF(E26=0,0,E26/$E$52)</f>
        <v>38.00497</v>
      </c>
    </row>
    <row r="27" spans="1:7" x14ac:dyDescent="0.25">
      <c r="A27" s="2" t="s">
        <v>13</v>
      </c>
      <c r="B27" s="12">
        <f>'2017 Actual'!D27</f>
        <v>134878.72446</v>
      </c>
      <c r="D27" s="12">
        <f t="shared" si="3"/>
        <v>0</v>
      </c>
      <c r="E27" s="12">
        <f t="shared" ref="E27:E32" si="5">B27-D27</f>
        <v>134878.72446</v>
      </c>
      <c r="G27" s="17">
        <f t="shared" si="4"/>
        <v>1.9356599999999999</v>
      </c>
    </row>
    <row r="28" spans="1:7" x14ac:dyDescent="0.25">
      <c r="A28" s="2" t="s">
        <v>14</v>
      </c>
      <c r="B28" s="12">
        <f>'2017 Actual'!D28</f>
        <v>190795.35780599999</v>
      </c>
      <c r="D28" s="12">
        <f t="shared" si="3"/>
        <v>0</v>
      </c>
      <c r="E28" s="12">
        <f t="shared" si="5"/>
        <v>190795.35780599999</v>
      </c>
      <c r="G28" s="17">
        <f t="shared" si="4"/>
        <v>2.7381259999999998</v>
      </c>
    </row>
    <row r="29" spans="1:7" x14ac:dyDescent="0.25">
      <c r="A29" s="2" t="s">
        <v>15</v>
      </c>
      <c r="B29" s="12">
        <f>'2017 Actual'!D29</f>
        <v>853187.40338999999</v>
      </c>
      <c r="D29" s="12">
        <f t="shared" si="3"/>
        <v>0</v>
      </c>
      <c r="E29" s="12">
        <f t="shared" si="5"/>
        <v>853187.40338999999</v>
      </c>
      <c r="G29" s="17">
        <f t="shared" si="4"/>
        <v>12.24419</v>
      </c>
    </row>
    <row r="30" spans="1:7" x14ac:dyDescent="0.25">
      <c r="A30" s="2" t="s">
        <v>16</v>
      </c>
      <c r="B30" s="12">
        <f>'2017 Actual'!D30</f>
        <v>165285.143706</v>
      </c>
      <c r="D30" s="12">
        <f t="shared" si="3"/>
        <v>0</v>
      </c>
      <c r="E30" s="12">
        <f t="shared" si="5"/>
        <v>165285.143706</v>
      </c>
      <c r="G30" s="17">
        <f t="shared" si="4"/>
        <v>2.372026</v>
      </c>
    </row>
    <row r="31" spans="1:7" x14ac:dyDescent="0.25">
      <c r="A31" s="2" t="s">
        <v>17</v>
      </c>
      <c r="B31" s="12">
        <f>'2017 Actual'!D31</f>
        <v>364779.33818999998</v>
      </c>
      <c r="D31" s="12">
        <f t="shared" si="3"/>
        <v>0</v>
      </c>
      <c r="E31" s="12">
        <f t="shared" si="5"/>
        <v>364779.33818999998</v>
      </c>
      <c r="G31" s="17">
        <f t="shared" si="4"/>
        <v>5.2349899999999998</v>
      </c>
    </row>
    <row r="32" spans="1:7" x14ac:dyDescent="0.25">
      <c r="A32" s="2" t="s">
        <v>18</v>
      </c>
      <c r="B32" s="12">
        <f>'2017 Actual'!D32</f>
        <v>125210.978421395</v>
      </c>
      <c r="D32" s="12">
        <f t="shared" si="3"/>
        <v>0</v>
      </c>
      <c r="E32" s="12">
        <f t="shared" si="5"/>
        <v>125210.978421395</v>
      </c>
      <c r="G32" s="17">
        <f t="shared" si="4"/>
        <v>1.7969170709575781</v>
      </c>
    </row>
    <row r="33" spans="1:7" x14ac:dyDescent="0.25">
      <c r="A33" s="4" t="s">
        <v>19</v>
      </c>
      <c r="B33" s="13">
        <f>SUM(B26:B32)</f>
        <v>4482361.2605433948</v>
      </c>
      <c r="D33" s="13">
        <f>SUM(D26:D32)</f>
        <v>0</v>
      </c>
      <c r="E33" s="13">
        <f>SUM(E26:E32)</f>
        <v>4482361.2605433948</v>
      </c>
      <c r="G33" s="24">
        <f t="shared" si="4"/>
        <v>64.326879070957574</v>
      </c>
    </row>
    <row r="34" spans="1:7" x14ac:dyDescent="0.25">
      <c r="A34" s="1"/>
      <c r="B34" s="12"/>
      <c r="D34" s="12"/>
      <c r="E34" s="12"/>
    </row>
    <row r="35" spans="1:7" x14ac:dyDescent="0.25">
      <c r="A35" s="2" t="s">
        <v>20</v>
      </c>
      <c r="B35" s="12">
        <f>'2017 Actual'!D35</f>
        <v>411641.90111999999</v>
      </c>
      <c r="D35" s="12">
        <f>$B35/$B$52*$D$52</f>
        <v>0</v>
      </c>
      <c r="E35" s="12">
        <f>B35-D35</f>
        <v>411641.90111999999</v>
      </c>
      <c r="G35" s="17">
        <f>IF(E35=0,0,E35/$E$52)</f>
        <v>5.9075199999999999</v>
      </c>
    </row>
    <row r="36" spans="1:7" x14ac:dyDescent="0.25">
      <c r="A36" s="1"/>
      <c r="B36" s="12"/>
      <c r="D36" s="12"/>
      <c r="E36" s="12"/>
    </row>
    <row r="37" spans="1:7" x14ac:dyDescent="0.25">
      <c r="A37" s="5" t="s">
        <v>21</v>
      </c>
      <c r="B37" s="13">
        <f>B35+B33</f>
        <v>4894003.1616633944</v>
      </c>
      <c r="D37" s="13">
        <f>D35+D33</f>
        <v>0</v>
      </c>
      <c r="E37" s="13">
        <f>E35+E33</f>
        <v>4894003.1616633944</v>
      </c>
      <c r="G37" s="24">
        <f>IF(E37=0,0,E37/$E$52)</f>
        <v>70.234399070957565</v>
      </c>
    </row>
    <row r="38" spans="1:7" x14ac:dyDescent="0.25">
      <c r="A38" s="1"/>
      <c r="B38" s="12"/>
      <c r="D38" s="12"/>
      <c r="E38" s="12"/>
    </row>
    <row r="39" spans="1:7" x14ac:dyDescent="0.25">
      <c r="A39" s="6" t="s">
        <v>22</v>
      </c>
      <c r="B39" s="13">
        <f>B24-B37</f>
        <v>2733061.0669802027</v>
      </c>
      <c r="D39" s="13">
        <f>D24-D37</f>
        <v>-959254</v>
      </c>
      <c r="E39" s="13">
        <f>E24-E37</f>
        <v>3692315.0669802036</v>
      </c>
      <c r="G39" s="24">
        <f>IF(E39=0,0,E39/$E$52)</f>
        <v>52.988835794265349</v>
      </c>
    </row>
    <row r="40" spans="1:7" x14ac:dyDescent="0.25">
      <c r="A40" s="1"/>
      <c r="B40" s="12"/>
      <c r="D40" s="12"/>
      <c r="E40" s="12"/>
    </row>
    <row r="41" spans="1:7" x14ac:dyDescent="0.25">
      <c r="A41" s="2" t="s">
        <v>23</v>
      </c>
      <c r="B41" s="12">
        <f>'2017 Actual'!D41</f>
        <v>117741.65052798703</v>
      </c>
      <c r="D41" s="12">
        <f t="shared" ref="D41:D44" si="6">$B41/$B$52*$D$52</f>
        <v>0</v>
      </c>
      <c r="E41" s="12">
        <f t="shared" ref="E41:E44" si="7">B41-D41</f>
        <v>117741.65052798703</v>
      </c>
      <c r="G41" s="17">
        <f>IF(E41=0,0,E41/$E$52)</f>
        <v>1.6897238921368383</v>
      </c>
    </row>
    <row r="42" spans="1:7" x14ac:dyDescent="0.25">
      <c r="A42" s="2" t="s">
        <v>24</v>
      </c>
      <c r="B42" s="12">
        <f>'2017 Actual'!D42</f>
        <v>1808.6595594941678</v>
      </c>
      <c r="D42" s="12">
        <f t="shared" si="6"/>
        <v>0</v>
      </c>
      <c r="E42" s="12">
        <f t="shared" si="7"/>
        <v>1808.6595594941678</v>
      </c>
      <c r="G42" s="17">
        <f>IF(E42=0,0,E42/$E$52)</f>
        <v>2.5956280183897586E-2</v>
      </c>
    </row>
    <row r="43" spans="1:7" x14ac:dyDescent="0.25">
      <c r="A43" s="2" t="s">
        <v>25</v>
      </c>
      <c r="B43" s="12">
        <f>'2017 Actual'!D43</f>
        <v>-1176.0803335026651</v>
      </c>
      <c r="D43" s="12">
        <f t="shared" si="6"/>
        <v>0</v>
      </c>
      <c r="E43" s="12">
        <f t="shared" si="7"/>
        <v>-1176.0803335026651</v>
      </c>
      <c r="G43" s="17">
        <f>IF(E43=0,0,E43/$E$52)</f>
        <v>-1.6878063367383723E-2</v>
      </c>
    </row>
    <row r="44" spans="1:7" x14ac:dyDescent="0.25">
      <c r="A44" s="2" t="s">
        <v>26</v>
      </c>
      <c r="B44" s="12">
        <f>'2017 Actual'!D44</f>
        <v>380320.5841615735</v>
      </c>
      <c r="D44" s="12">
        <f t="shared" si="6"/>
        <v>0</v>
      </c>
      <c r="E44" s="12">
        <f t="shared" si="7"/>
        <v>380320.5841615735</v>
      </c>
      <c r="G44" s="17">
        <f>IF(E44=0,0,E44/$E$52)</f>
        <v>5.4580241982975775</v>
      </c>
    </row>
    <row r="45" spans="1:7" x14ac:dyDescent="0.25">
      <c r="A45" s="7" t="s">
        <v>27</v>
      </c>
      <c r="B45" s="13">
        <f>SUM(B41:B44)</f>
        <v>498694.81391555199</v>
      </c>
      <c r="D45" s="13">
        <f>SUM(D41:D44)</f>
        <v>0</v>
      </c>
      <c r="E45" s="13">
        <f>SUM(E41:E44)</f>
        <v>498694.81391555199</v>
      </c>
      <c r="G45" s="24">
        <f>IF(E45=0,0,E45/$E$52)</f>
        <v>7.1568263072509293</v>
      </c>
    </row>
    <row r="46" spans="1:7" x14ac:dyDescent="0.25">
      <c r="B46" s="12"/>
      <c r="D46" s="12"/>
      <c r="E46" s="12"/>
    </row>
    <row r="47" spans="1:7" ht="15.75" thickBot="1" x14ac:dyDescent="0.3">
      <c r="A47" s="8" t="s">
        <v>28</v>
      </c>
      <c r="B47" s="14">
        <f>B39-B45</f>
        <v>2234366.2530646506</v>
      </c>
      <c r="D47" s="14">
        <f>D39-D45</f>
        <v>-959254</v>
      </c>
      <c r="E47" s="14">
        <f>E39-E45</f>
        <v>3193620.2530646515</v>
      </c>
      <c r="G47" s="25">
        <f>IF(E47=0,0,E47/$E$52)</f>
        <v>45.832009487014417</v>
      </c>
    </row>
    <row r="48" spans="1:7" ht="15.75" thickTop="1" x14ac:dyDescent="0.25">
      <c r="E48" s="12"/>
    </row>
    <row r="49" spans="1:7" x14ac:dyDescent="0.25">
      <c r="A49" t="s">
        <v>35</v>
      </c>
      <c r="E49" s="12"/>
    </row>
    <row r="50" spans="1:7" x14ac:dyDescent="0.25">
      <c r="A50" t="s">
        <v>45</v>
      </c>
      <c r="B50" s="19">
        <f>'2017 Actual'!D50</f>
        <v>0</v>
      </c>
      <c r="D50" s="20">
        <f>B50</f>
        <v>0</v>
      </c>
    </row>
    <row r="51" spans="1:7" x14ac:dyDescent="0.25">
      <c r="A51" t="s">
        <v>46</v>
      </c>
      <c r="B51" s="19">
        <f>'2017 Actual'!D51</f>
        <v>69681</v>
      </c>
      <c r="E51" s="20">
        <f>B51</f>
        <v>69681</v>
      </c>
    </row>
    <row r="52" spans="1:7" x14ac:dyDescent="0.25">
      <c r="A52" t="s">
        <v>47</v>
      </c>
      <c r="B52" s="29">
        <f>SUM(B50:B51)</f>
        <v>69681</v>
      </c>
      <c r="D52" s="29">
        <f>SUM(D50:D51)</f>
        <v>0</v>
      </c>
      <c r="E52" s="29">
        <f>SUM(E50:E51)</f>
        <v>69681</v>
      </c>
    </row>
    <row r="53" spans="1:7" ht="8.25" customHeight="1" x14ac:dyDescent="0.25"/>
    <row r="54" spans="1:7" x14ac:dyDescent="0.25">
      <c r="A54" t="s">
        <v>61</v>
      </c>
      <c r="B54" s="17">
        <f>B7/B52</f>
        <v>104.38500000000001</v>
      </c>
      <c r="D54" s="17" t="e">
        <f>D7/D52</f>
        <v>#DIV/0!</v>
      </c>
      <c r="E54" s="17">
        <f>E7/E52</f>
        <v>104.38500000000001</v>
      </c>
      <c r="F54" s="17"/>
    </row>
    <row r="55" spans="1:7" x14ac:dyDescent="0.25">
      <c r="A55" t="s">
        <v>62</v>
      </c>
      <c r="B55" s="17">
        <f>(B8+B11)/B52</f>
        <v>70.52487765675005</v>
      </c>
      <c r="D55" s="17" t="e">
        <f>(D8+D11)/D52</f>
        <v>#DIV/0!</v>
      </c>
      <c r="E55" s="17">
        <f>(E8+E11)/E52</f>
        <v>70.52487765675005</v>
      </c>
      <c r="F55" s="17"/>
    </row>
    <row r="56" spans="1:7" x14ac:dyDescent="0.25">
      <c r="A56" t="s">
        <v>3</v>
      </c>
      <c r="B56" s="24">
        <f>+B55+B54</f>
        <v>174.90987765675004</v>
      </c>
      <c r="D56" s="24" t="e">
        <f>+D55+D54</f>
        <v>#DIV/0!</v>
      </c>
      <c r="E56" s="24">
        <f>+E55+E54</f>
        <v>174.90987765675004</v>
      </c>
      <c r="F56" s="17"/>
    </row>
    <row r="57" spans="1:7" ht="6" customHeight="1" x14ac:dyDescent="0.25">
      <c r="B57" s="30"/>
      <c r="D57" s="17"/>
      <c r="E57" s="17"/>
      <c r="F57" s="17"/>
    </row>
    <row r="58" spans="1:7" x14ac:dyDescent="0.25">
      <c r="A58" t="s">
        <v>57</v>
      </c>
      <c r="B58" s="17">
        <f>B24/B52</f>
        <v>109.45687100706932</v>
      </c>
      <c r="D58" s="17" t="e">
        <f>D24/D52</f>
        <v>#DIV/0!</v>
      </c>
      <c r="E58" s="17">
        <f>E24/E52</f>
        <v>123.22323486522292</v>
      </c>
      <c r="F58" s="17"/>
    </row>
    <row r="59" spans="1:7" x14ac:dyDescent="0.25">
      <c r="A59" t="s">
        <v>58</v>
      </c>
      <c r="B59" s="17">
        <f>B37/B52</f>
        <v>70.234399070957565</v>
      </c>
      <c r="D59" s="17" t="e">
        <f>D37/D52</f>
        <v>#DIV/0!</v>
      </c>
      <c r="E59" s="17">
        <f>E37/E52</f>
        <v>70.234399070957565</v>
      </c>
    </row>
    <row r="60" spans="1:7" x14ac:dyDescent="0.25">
      <c r="A60" t="s">
        <v>22</v>
      </c>
      <c r="B60" s="24">
        <f>B58-B59</f>
        <v>39.222471936111759</v>
      </c>
      <c r="D60" s="24" t="e">
        <f>D58-D59</f>
        <v>#DIV/0!</v>
      </c>
      <c r="E60" s="24">
        <f>E58-E59</f>
        <v>52.988835794265356</v>
      </c>
    </row>
    <row r="61" spans="1:7" x14ac:dyDescent="0.25">
      <c r="A61" t="s">
        <v>37</v>
      </c>
      <c r="B61" s="17">
        <f>B45/B52</f>
        <v>7.1568263072509293</v>
      </c>
      <c r="D61" s="17" t="e">
        <f>D45/D52</f>
        <v>#DIV/0!</v>
      </c>
      <c r="E61" s="17">
        <f>E45/E52</f>
        <v>7.1568263072509293</v>
      </c>
    </row>
    <row r="62" spans="1:7" x14ac:dyDescent="0.25">
      <c r="A62" t="s">
        <v>56</v>
      </c>
      <c r="B62" s="24">
        <f>B47/B52</f>
        <v>32.065645628860814</v>
      </c>
      <c r="D62" s="24" t="e">
        <f>D47/D52</f>
        <v>#DIV/0!</v>
      </c>
      <c r="E62" s="24">
        <f>E47/E52</f>
        <v>45.832009487014417</v>
      </c>
    </row>
    <row r="64" spans="1:7" x14ac:dyDescent="0.25">
      <c r="A64" t="s">
        <v>94</v>
      </c>
      <c r="E64" s="12"/>
      <c r="G64" s="17">
        <f>G47+G18-G11</f>
        <v>25.206903647545971</v>
      </c>
    </row>
    <row r="65" spans="5:5" x14ac:dyDescent="0.25">
      <c r="E65" s="12"/>
    </row>
    <row r="66" spans="5:5" x14ac:dyDescent="0.25">
      <c r="E66" s="17"/>
    </row>
  </sheetData>
  <pageMargins left="0.7" right="0.7" top="0.75" bottom="0.75" header="0.3" footer="0.3"/>
  <pageSetup scale="7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9"/>
  <sheetViews>
    <sheetView workbookViewId="0">
      <selection activeCell="E35" sqref="E35"/>
    </sheetView>
  </sheetViews>
  <sheetFormatPr defaultRowHeight="15" x14ac:dyDescent="0.25"/>
  <cols>
    <col min="1" max="1" width="3.7109375" customWidth="1"/>
    <col min="2" max="2" width="2.85546875" customWidth="1"/>
    <col min="3" max="3" width="2.42578125" customWidth="1"/>
    <col min="4" max="4" width="12.140625" customWidth="1"/>
    <col min="5" max="5" width="10.5703125" bestFit="1" customWidth="1"/>
    <col min="6" max="6" width="13.5703125" bestFit="1" customWidth="1"/>
    <col min="7" max="7" width="2.5703125" customWidth="1"/>
    <col min="8" max="8" width="10.85546875" customWidth="1"/>
    <col min="9" max="9" width="3.5703125" customWidth="1"/>
    <col min="10" max="10" width="11.28515625" customWidth="1"/>
    <col min="12" max="12" width="11.140625" customWidth="1"/>
    <col min="13" max="13" width="3.28515625" customWidth="1"/>
    <col min="14" max="14" width="11.140625" customWidth="1"/>
    <col min="15" max="15" width="3.140625" customWidth="1"/>
    <col min="16" max="16" width="10.85546875" customWidth="1"/>
    <col min="17" max="17" width="4.140625" customWidth="1"/>
    <col min="18" max="18" width="11.7109375" customWidth="1"/>
    <col min="20" max="20" width="11.5703125" bestFit="1" customWidth="1"/>
  </cols>
  <sheetData>
    <row r="1" spans="1:18" x14ac:dyDescent="0.25">
      <c r="A1" t="s">
        <v>64</v>
      </c>
    </row>
    <row r="3" spans="1:18" x14ac:dyDescent="0.25">
      <c r="A3" t="s">
        <v>62</v>
      </c>
    </row>
    <row r="4" spans="1:18" x14ac:dyDescent="0.25">
      <c r="B4" t="s">
        <v>84</v>
      </c>
      <c r="F4" s="32" t="e">
        <f>'2017 Actual'!#REF!</f>
        <v>#REF!</v>
      </c>
    </row>
    <row r="5" spans="1:18" x14ac:dyDescent="0.25">
      <c r="B5" t="s">
        <v>52</v>
      </c>
      <c r="F5" s="32" t="e">
        <f>'2017 Actual'!#REF!</f>
        <v>#REF!</v>
      </c>
    </row>
    <row r="6" spans="1:18" x14ac:dyDescent="0.25">
      <c r="B6" t="s">
        <v>50</v>
      </c>
      <c r="F6" s="32" t="e">
        <f>'2017 Actual'!#REF!</f>
        <v>#REF!</v>
      </c>
    </row>
    <row r="8" spans="1:18" x14ac:dyDescent="0.25">
      <c r="A8" t="s">
        <v>66</v>
      </c>
    </row>
    <row r="9" spans="1:18" x14ac:dyDescent="0.25">
      <c r="B9" t="s">
        <v>80</v>
      </c>
    </row>
    <row r="10" spans="1:18" x14ac:dyDescent="0.25">
      <c r="B10" t="s">
        <v>81</v>
      </c>
    </row>
    <row r="12" spans="1:18" x14ac:dyDescent="0.25">
      <c r="A12" s="9" t="s">
        <v>67</v>
      </c>
    </row>
    <row r="13" spans="1:18" ht="45" x14ac:dyDescent="0.25">
      <c r="B13" s="9" t="s">
        <v>68</v>
      </c>
      <c r="F13" s="36" t="s">
        <v>74</v>
      </c>
      <c r="H13" s="36" t="s">
        <v>75</v>
      </c>
      <c r="I13" s="36"/>
      <c r="J13" s="10" t="s">
        <v>76</v>
      </c>
      <c r="L13" s="36" t="s">
        <v>77</v>
      </c>
      <c r="N13" s="36" t="s">
        <v>78</v>
      </c>
      <c r="O13" s="36"/>
      <c r="P13" s="10" t="s">
        <v>76</v>
      </c>
      <c r="R13" s="36" t="s">
        <v>79</v>
      </c>
    </row>
    <row r="14" spans="1:18" x14ac:dyDescent="0.25">
      <c r="C14" s="9" t="s">
        <v>52</v>
      </c>
      <c r="D14" s="9"/>
      <c r="E14" s="10" t="s">
        <v>41</v>
      </c>
    </row>
    <row r="15" spans="1:18" x14ac:dyDescent="0.25">
      <c r="D15" t="s">
        <v>70</v>
      </c>
      <c r="E15" s="19">
        <v>17895.13</v>
      </c>
      <c r="F15" s="34" t="e">
        <f>E15*$F$5</f>
        <v>#REF!</v>
      </c>
      <c r="H15" s="34" t="e">
        <f>E15*'2017 Actual'!#REF!</f>
        <v>#REF!</v>
      </c>
      <c r="I15" s="34"/>
      <c r="J15" s="34" t="e">
        <f>F15-H15</f>
        <v>#REF!</v>
      </c>
      <c r="L15" s="34" t="e">
        <f>'2017 Actual'!#REF!*E15</f>
        <v>#REF!</v>
      </c>
      <c r="N15" s="34">
        <f>E15*58.22</f>
        <v>1041854.4686</v>
      </c>
      <c r="P15" s="34" t="e">
        <f>L15-N15</f>
        <v>#REF!</v>
      </c>
      <c r="R15" s="34" t="e">
        <f>J15-P15</f>
        <v>#REF!</v>
      </c>
    </row>
    <row r="16" spans="1:18" x14ac:dyDescent="0.25">
      <c r="D16" t="s">
        <v>71</v>
      </c>
      <c r="E16" s="19">
        <v>11023.859999999999</v>
      </c>
      <c r="F16" s="34" t="e">
        <f t="shared" ref="F16:F19" si="0">E16*$F$5</f>
        <v>#REF!</v>
      </c>
      <c r="H16" s="34" t="e">
        <f>E16*'2017 Actual'!#REF!</f>
        <v>#REF!</v>
      </c>
      <c r="I16" s="34"/>
      <c r="J16" s="34" t="e">
        <f t="shared" ref="J16:J19" si="1">F16-H16</f>
        <v>#REF!</v>
      </c>
      <c r="L16" s="34" t="e">
        <f>'2017 Actual'!#REF!*E16</f>
        <v>#REF!</v>
      </c>
      <c r="N16" s="34">
        <f t="shared" ref="N16:N19" si="2">E16*58.22</f>
        <v>641809.12919999997</v>
      </c>
      <c r="P16" s="34" t="e">
        <f t="shared" ref="P16:P19" si="3">L16-N16</f>
        <v>#REF!</v>
      </c>
      <c r="R16" s="34" t="e">
        <f t="shared" ref="R16:R19" si="4">J16-P16</f>
        <v>#REF!</v>
      </c>
    </row>
    <row r="17" spans="3:19" x14ac:dyDescent="0.25">
      <c r="D17" t="s">
        <v>72</v>
      </c>
      <c r="E17" s="19">
        <v>2834.84</v>
      </c>
      <c r="F17" s="34" t="e">
        <f t="shared" si="0"/>
        <v>#REF!</v>
      </c>
      <c r="H17" s="34" t="e">
        <f>E17*'2017 Actual'!#REF!</f>
        <v>#REF!</v>
      </c>
      <c r="I17" s="34"/>
      <c r="J17" s="34" t="e">
        <f t="shared" si="1"/>
        <v>#REF!</v>
      </c>
      <c r="L17" s="34" t="e">
        <f>'2017 Actual'!#REF!*E17</f>
        <v>#REF!</v>
      </c>
      <c r="N17" s="34">
        <f t="shared" si="2"/>
        <v>165044.3848</v>
      </c>
      <c r="P17" s="34" t="e">
        <f t="shared" si="3"/>
        <v>#REF!</v>
      </c>
      <c r="R17" s="34" t="e">
        <f t="shared" si="4"/>
        <v>#REF!</v>
      </c>
    </row>
    <row r="18" spans="3:19" x14ac:dyDescent="0.25">
      <c r="D18" t="s">
        <v>73</v>
      </c>
      <c r="E18" s="19">
        <v>8086.78</v>
      </c>
      <c r="F18" s="34" t="e">
        <f t="shared" si="0"/>
        <v>#REF!</v>
      </c>
      <c r="H18" s="34" t="e">
        <f>E18*'2017 Actual'!#REF!</f>
        <v>#REF!</v>
      </c>
      <c r="I18" s="34"/>
      <c r="J18" s="34" t="e">
        <f t="shared" si="1"/>
        <v>#REF!</v>
      </c>
      <c r="L18" s="34" t="e">
        <f>'2017 Actual'!#REF!*E18</f>
        <v>#REF!</v>
      </c>
      <c r="N18" s="34">
        <f t="shared" si="2"/>
        <v>470812.33159999998</v>
      </c>
      <c r="P18" s="34" t="e">
        <f t="shared" si="3"/>
        <v>#REF!</v>
      </c>
      <c r="R18" s="34" t="e">
        <f t="shared" si="4"/>
        <v>#REF!</v>
      </c>
    </row>
    <row r="19" spans="3:19" x14ac:dyDescent="0.25">
      <c r="D19" t="s">
        <v>69</v>
      </c>
      <c r="E19" s="19">
        <v>845.53</v>
      </c>
      <c r="F19" s="34" t="e">
        <f t="shared" si="0"/>
        <v>#REF!</v>
      </c>
      <c r="H19" s="34" t="e">
        <f>E19*'2017 Actual'!#REF!</f>
        <v>#REF!</v>
      </c>
      <c r="I19" s="37"/>
      <c r="J19" s="34" t="e">
        <f t="shared" si="1"/>
        <v>#REF!</v>
      </c>
      <c r="L19" s="34" t="e">
        <f>'2017 Actual'!#REF!*E19</f>
        <v>#REF!</v>
      </c>
      <c r="N19" s="34">
        <f t="shared" si="2"/>
        <v>49226.756600000001</v>
      </c>
      <c r="P19" s="34" t="e">
        <f t="shared" si="3"/>
        <v>#REF!</v>
      </c>
      <c r="R19" s="34" t="e">
        <f t="shared" si="4"/>
        <v>#REF!</v>
      </c>
    </row>
    <row r="20" spans="3:19" x14ac:dyDescent="0.25">
      <c r="E20" s="21">
        <f>SUM(E15:E19)</f>
        <v>40686.14</v>
      </c>
      <c r="F20" s="35" t="e">
        <f>SUM(F15:F19)</f>
        <v>#REF!</v>
      </c>
      <c r="H20" s="35" t="e">
        <f>SUM(H15:H19)</f>
        <v>#REF!</v>
      </c>
      <c r="I20" s="37"/>
      <c r="J20" s="35" t="e">
        <f>SUM(J15:J19)</f>
        <v>#REF!</v>
      </c>
      <c r="L20" s="35" t="e">
        <f>SUM(L15:L19)</f>
        <v>#REF!</v>
      </c>
      <c r="N20" s="35">
        <f>SUM(N15:N19)</f>
        <v>2368747.0708000003</v>
      </c>
      <c r="P20" s="35" t="e">
        <f>SUM(P15:P19)</f>
        <v>#REF!</v>
      </c>
      <c r="R20" s="35" t="e">
        <f>SUM(R15:R19)</f>
        <v>#REF!</v>
      </c>
    </row>
    <row r="21" spans="3:19" x14ac:dyDescent="0.25">
      <c r="S21" s="18"/>
    </row>
    <row r="22" spans="3:19" x14ac:dyDescent="0.25">
      <c r="C22" s="9" t="s">
        <v>65</v>
      </c>
      <c r="D22" s="9"/>
      <c r="E22" s="10" t="s">
        <v>41</v>
      </c>
      <c r="H22" s="33"/>
    </row>
    <row r="23" spans="3:19" x14ac:dyDescent="0.25">
      <c r="C23" s="9"/>
      <c r="D23" t="s">
        <v>82</v>
      </c>
      <c r="E23" s="19">
        <v>8500.5999999999985</v>
      </c>
      <c r="F23" s="34" t="e">
        <f>E23*$F$4</f>
        <v>#REF!</v>
      </c>
      <c r="H23" s="34" t="e">
        <f>E23*'2017 Actual'!#REF!</f>
        <v>#REF!</v>
      </c>
      <c r="I23" s="34"/>
      <c r="J23" s="34" t="e">
        <f>F23-H23</f>
        <v>#REF!</v>
      </c>
      <c r="L23" s="34" t="e">
        <f>E23*'2017 Actual'!#REF!</f>
        <v>#REF!</v>
      </c>
      <c r="N23" s="34">
        <f>E23*66.07</f>
        <v>561634.64199999988</v>
      </c>
      <c r="P23" s="34" t="e">
        <f>L23-N23</f>
        <v>#REF!</v>
      </c>
      <c r="R23" s="34" t="e">
        <f>J23-P23</f>
        <v>#REF!</v>
      </c>
      <c r="S23" s="38"/>
    </row>
    <row r="24" spans="3:19" x14ac:dyDescent="0.25">
      <c r="D24" t="s">
        <v>70</v>
      </c>
      <c r="E24" s="19">
        <v>8611.27</v>
      </c>
      <c r="F24" s="34" t="e">
        <f t="shared" ref="F24:F28" si="5">E24*$F$4</f>
        <v>#REF!</v>
      </c>
      <c r="H24" s="34" t="e">
        <f>E24*'2017 Actual'!#REF!</f>
        <v>#REF!</v>
      </c>
      <c r="I24" s="34"/>
      <c r="J24" s="34" t="e">
        <f>F24-H24</f>
        <v>#REF!</v>
      </c>
      <c r="L24" s="34" t="e">
        <f>E24*'2017 Actual'!#REF!</f>
        <v>#REF!</v>
      </c>
      <c r="N24" s="34">
        <f t="shared" ref="N24:N27" si="6">E24*66.07</f>
        <v>568946.60889999999</v>
      </c>
      <c r="P24" s="34" t="e">
        <f>L24-N24</f>
        <v>#REF!</v>
      </c>
      <c r="R24" s="34" t="e">
        <f>J24-P24</f>
        <v>#REF!</v>
      </c>
      <c r="S24" s="38"/>
    </row>
    <row r="25" spans="3:19" x14ac:dyDescent="0.25">
      <c r="D25" t="s">
        <v>71</v>
      </c>
      <c r="E25" s="19">
        <v>3192.5299999999997</v>
      </c>
      <c r="F25" s="34" t="e">
        <f t="shared" si="5"/>
        <v>#REF!</v>
      </c>
      <c r="H25" s="34" t="e">
        <f>E25*'2017 Actual'!#REF!</f>
        <v>#REF!</v>
      </c>
      <c r="I25" s="34"/>
      <c r="J25" s="34" t="e">
        <f t="shared" ref="J25:J28" si="7">F25-H25</f>
        <v>#REF!</v>
      </c>
      <c r="L25" s="34" t="e">
        <f>E25*'2017 Actual'!#REF!</f>
        <v>#REF!</v>
      </c>
      <c r="N25" s="34">
        <f t="shared" si="6"/>
        <v>210930.45709999997</v>
      </c>
      <c r="P25" s="34" t="e">
        <f t="shared" ref="P25:P28" si="8">L25-N25</f>
        <v>#REF!</v>
      </c>
      <c r="R25" s="34" t="e">
        <f t="shared" ref="R25:R28" si="9">J25-P25</f>
        <v>#REF!</v>
      </c>
      <c r="S25" s="38"/>
    </row>
    <row r="26" spans="3:19" x14ac:dyDescent="0.25">
      <c r="D26" t="s">
        <v>72</v>
      </c>
      <c r="E26" s="19">
        <v>1264.6499999999999</v>
      </c>
      <c r="F26" s="34" t="e">
        <f t="shared" si="5"/>
        <v>#REF!</v>
      </c>
      <c r="H26" s="34" t="e">
        <f>E26*'2017 Actual'!#REF!</f>
        <v>#REF!</v>
      </c>
      <c r="I26" s="34"/>
      <c r="J26" s="34" t="e">
        <f t="shared" si="7"/>
        <v>#REF!</v>
      </c>
      <c r="L26" s="34" t="e">
        <f>E26*'2017 Actual'!#REF!</f>
        <v>#REF!</v>
      </c>
      <c r="N26" s="34">
        <f t="shared" si="6"/>
        <v>83555.425499999983</v>
      </c>
      <c r="P26" s="34" t="e">
        <f t="shared" si="8"/>
        <v>#REF!</v>
      </c>
      <c r="R26" s="34" t="e">
        <f t="shared" si="9"/>
        <v>#REF!</v>
      </c>
      <c r="S26" s="38"/>
    </row>
    <row r="27" spans="3:19" x14ac:dyDescent="0.25">
      <c r="D27" t="s">
        <v>73</v>
      </c>
      <c r="E27" s="19">
        <v>1733.8999999999999</v>
      </c>
      <c r="F27" s="34" t="e">
        <f t="shared" si="5"/>
        <v>#REF!</v>
      </c>
      <c r="H27" s="34" t="e">
        <f>E27*'2017 Actual'!#REF!</f>
        <v>#REF!</v>
      </c>
      <c r="I27" s="34"/>
      <c r="J27" s="34" t="e">
        <f t="shared" si="7"/>
        <v>#REF!</v>
      </c>
      <c r="L27" s="34" t="e">
        <f>E27*'2017 Actual'!#REF!</f>
        <v>#REF!</v>
      </c>
      <c r="N27" s="34">
        <f t="shared" si="6"/>
        <v>114558.77299999997</v>
      </c>
      <c r="P27" s="34" t="e">
        <f t="shared" si="8"/>
        <v>#REF!</v>
      </c>
      <c r="R27" s="34" t="e">
        <f t="shared" si="9"/>
        <v>#REF!</v>
      </c>
      <c r="S27" s="38"/>
    </row>
    <row r="28" spans="3:19" x14ac:dyDescent="0.25">
      <c r="D28" t="s">
        <v>69</v>
      </c>
      <c r="E28" s="19"/>
      <c r="F28" s="34" t="e">
        <f t="shared" si="5"/>
        <v>#REF!</v>
      </c>
      <c r="H28" s="34" t="e">
        <f>E28*'2017 Actual'!#REF!</f>
        <v>#REF!</v>
      </c>
      <c r="I28" s="37"/>
      <c r="J28" s="34" t="e">
        <f t="shared" si="7"/>
        <v>#REF!</v>
      </c>
      <c r="L28" s="34" t="e">
        <f>E28*'2017 Actual'!#REF!</f>
        <v>#REF!</v>
      </c>
      <c r="N28" s="34">
        <f t="shared" ref="N28" si="10">E28*66.71</f>
        <v>0</v>
      </c>
      <c r="P28" s="34" t="e">
        <f t="shared" si="8"/>
        <v>#REF!</v>
      </c>
      <c r="R28" s="34" t="e">
        <f t="shared" si="9"/>
        <v>#REF!</v>
      </c>
    </row>
    <row r="29" spans="3:19" x14ac:dyDescent="0.25">
      <c r="E29" s="21">
        <f>SUM(E23:E28)</f>
        <v>23302.95</v>
      </c>
      <c r="F29" s="35" t="e">
        <f>SUM(F23:F28)</f>
        <v>#REF!</v>
      </c>
      <c r="H29" s="35" t="e">
        <f>SUM(H23:H28)</f>
        <v>#REF!</v>
      </c>
      <c r="I29" s="37"/>
      <c r="J29" s="35" t="e">
        <f>SUM(J23:J28)</f>
        <v>#REF!</v>
      </c>
      <c r="L29" s="35" t="e">
        <f>SUM(L23:L28)</f>
        <v>#REF!</v>
      </c>
      <c r="N29" s="35">
        <f>SUM(N23:N28)</f>
        <v>1539625.9064999998</v>
      </c>
      <c r="P29" s="35" t="e">
        <f>SUM(P23:P28)</f>
        <v>#REF!</v>
      </c>
      <c r="R29" s="35" t="e">
        <f>SUM(R23:R28)</f>
        <v>#REF!</v>
      </c>
    </row>
    <row r="30" spans="3:19" x14ac:dyDescent="0.25">
      <c r="J30" s="33"/>
    </row>
    <row r="31" spans="3:19" x14ac:dyDescent="0.25">
      <c r="C31" s="9" t="s">
        <v>83</v>
      </c>
      <c r="D31" s="9"/>
      <c r="E31" s="10" t="s">
        <v>41</v>
      </c>
    </row>
    <row r="32" spans="3:19" x14ac:dyDescent="0.25">
      <c r="C32" s="9"/>
      <c r="D32" t="s">
        <v>82</v>
      </c>
      <c r="E32" s="19">
        <f>1226.69-E41</f>
        <v>997.48</v>
      </c>
      <c r="F32" s="34" t="e">
        <f>E32*$F$4</f>
        <v>#REF!</v>
      </c>
      <c r="H32" s="34" t="e">
        <f>E32*'2017 Actual'!#REF!</f>
        <v>#REF!</v>
      </c>
      <c r="I32" s="34"/>
      <c r="J32" s="34" t="e">
        <f>F32-H32</f>
        <v>#REF!</v>
      </c>
      <c r="L32" s="34" t="e">
        <f>E32*'2017 Actual'!#REF!</f>
        <v>#REF!</v>
      </c>
      <c r="N32" s="34">
        <f>E32*66.07</f>
        <v>65903.503599999996</v>
      </c>
      <c r="P32" s="34" t="e">
        <f>L32-N32</f>
        <v>#REF!</v>
      </c>
      <c r="R32" s="34" t="e">
        <f>J32-P32</f>
        <v>#REF!</v>
      </c>
    </row>
    <row r="33" spans="3:20" x14ac:dyDescent="0.25">
      <c r="D33" t="s">
        <v>70</v>
      </c>
      <c r="E33" s="19">
        <f>1535.84-E42</f>
        <v>827.68</v>
      </c>
      <c r="F33" s="34" t="e">
        <f t="shared" ref="F33:F37" si="11">E33*$F$4</f>
        <v>#REF!</v>
      </c>
      <c r="H33" s="34" t="e">
        <f>E33*'2017 Actual'!#REF!</f>
        <v>#REF!</v>
      </c>
      <c r="I33" s="34"/>
      <c r="J33" s="34" t="e">
        <f>F33-H33</f>
        <v>#REF!</v>
      </c>
      <c r="L33" s="34" t="e">
        <f>E33*'2017 Actual'!#REF!</f>
        <v>#REF!</v>
      </c>
      <c r="N33" s="34">
        <f t="shared" ref="N33:N36" si="12">E33*66.07</f>
        <v>54684.817599999988</v>
      </c>
      <c r="P33" s="34" t="e">
        <f>L33-N33</f>
        <v>#REF!</v>
      </c>
      <c r="R33" s="34" t="e">
        <f>J33-P33</f>
        <v>#REF!</v>
      </c>
    </row>
    <row r="34" spans="3:20" x14ac:dyDescent="0.25">
      <c r="D34" t="s">
        <v>71</v>
      </c>
      <c r="E34" s="19">
        <f>346.15-E43</f>
        <v>215.21999999999997</v>
      </c>
      <c r="F34" s="34" t="e">
        <f t="shared" si="11"/>
        <v>#REF!</v>
      </c>
      <c r="H34" s="34" t="e">
        <f>E34*'2017 Actual'!#REF!</f>
        <v>#REF!</v>
      </c>
      <c r="I34" s="34"/>
      <c r="J34" s="34" t="e">
        <f t="shared" ref="J34:J37" si="13">F34-H34</f>
        <v>#REF!</v>
      </c>
      <c r="L34" s="34" t="e">
        <f>E34*'2017 Actual'!#REF!</f>
        <v>#REF!</v>
      </c>
      <c r="N34" s="34">
        <f t="shared" si="12"/>
        <v>14219.585399999996</v>
      </c>
      <c r="P34" s="34" t="e">
        <f t="shared" ref="P34:P37" si="14">L34-N34</f>
        <v>#REF!</v>
      </c>
      <c r="R34" s="34" t="e">
        <f t="shared" ref="R34:R37" si="15">J34-P34</f>
        <v>#REF!</v>
      </c>
    </row>
    <row r="35" spans="3:20" x14ac:dyDescent="0.25">
      <c r="D35" t="s">
        <v>72</v>
      </c>
      <c r="E35" s="19">
        <f>588.23-E44</f>
        <v>482.96000000000004</v>
      </c>
      <c r="F35" s="34" t="e">
        <f t="shared" si="11"/>
        <v>#REF!</v>
      </c>
      <c r="H35" s="34" t="e">
        <f>E35*'2017 Actual'!#REF!</f>
        <v>#REF!</v>
      </c>
      <c r="I35" s="34"/>
      <c r="J35" s="34" t="e">
        <f t="shared" si="13"/>
        <v>#REF!</v>
      </c>
      <c r="L35" s="34" t="e">
        <f>E35*'2017 Actual'!#REF!</f>
        <v>#REF!</v>
      </c>
      <c r="N35" s="34">
        <f t="shared" si="12"/>
        <v>31909.1672</v>
      </c>
      <c r="P35" s="34" t="e">
        <f t="shared" si="14"/>
        <v>#REF!</v>
      </c>
      <c r="R35" s="34" t="e">
        <f t="shared" si="15"/>
        <v>#REF!</v>
      </c>
    </row>
    <row r="36" spans="3:20" x14ac:dyDescent="0.25">
      <c r="D36" t="s">
        <v>73</v>
      </c>
      <c r="E36" s="19">
        <f>68.53-E45</f>
        <v>54.660000000000004</v>
      </c>
      <c r="F36" s="34" t="e">
        <f t="shared" si="11"/>
        <v>#REF!</v>
      </c>
      <c r="H36" s="34" t="e">
        <f>E36*'2017 Actual'!#REF!</f>
        <v>#REF!</v>
      </c>
      <c r="I36" s="34"/>
      <c r="J36" s="34" t="e">
        <f t="shared" si="13"/>
        <v>#REF!</v>
      </c>
      <c r="L36" s="34" t="e">
        <f>E36*'2017 Actual'!#REF!</f>
        <v>#REF!</v>
      </c>
      <c r="N36" s="34">
        <f t="shared" si="12"/>
        <v>3611.3861999999999</v>
      </c>
      <c r="P36" s="34" t="e">
        <f t="shared" si="14"/>
        <v>#REF!</v>
      </c>
      <c r="R36" s="34" t="e">
        <f t="shared" si="15"/>
        <v>#REF!</v>
      </c>
    </row>
    <row r="37" spans="3:20" x14ac:dyDescent="0.25">
      <c r="D37" t="s">
        <v>69</v>
      </c>
      <c r="E37" s="19"/>
      <c r="F37" s="34" t="e">
        <f t="shared" si="11"/>
        <v>#REF!</v>
      </c>
      <c r="H37" s="34" t="e">
        <f>E37*'2017 Actual'!#REF!</f>
        <v>#REF!</v>
      </c>
      <c r="I37" s="37"/>
      <c r="J37" s="34" t="e">
        <f t="shared" si="13"/>
        <v>#REF!</v>
      </c>
      <c r="L37" s="34" t="e">
        <f>E37*'2017 Actual'!#REF!</f>
        <v>#REF!</v>
      </c>
      <c r="N37" s="34">
        <f t="shared" ref="N37" si="16">E37*66.71</f>
        <v>0</v>
      </c>
      <c r="P37" s="34" t="e">
        <f t="shared" si="14"/>
        <v>#REF!</v>
      </c>
      <c r="R37" s="34" t="e">
        <f t="shared" si="15"/>
        <v>#REF!</v>
      </c>
    </row>
    <row r="38" spans="3:20" x14ac:dyDescent="0.25">
      <c r="E38" s="21">
        <f>SUM(E32:E37)</f>
        <v>2578</v>
      </c>
      <c r="F38" s="35" t="e">
        <f>SUM(F32:F37)</f>
        <v>#REF!</v>
      </c>
      <c r="H38" s="35" t="e">
        <f>SUM(H32:H37)</f>
        <v>#REF!</v>
      </c>
      <c r="I38" s="37"/>
      <c r="J38" s="35" t="e">
        <f>SUM(J32:J37)</f>
        <v>#REF!</v>
      </c>
      <c r="L38" s="35" t="e">
        <f>SUM(L32:L37)</f>
        <v>#REF!</v>
      </c>
      <c r="N38" s="35">
        <f>SUM(N32:N37)</f>
        <v>170328.46</v>
      </c>
      <c r="P38" s="35" t="e">
        <f>SUM(P32:P37)</f>
        <v>#REF!</v>
      </c>
      <c r="R38" s="35" t="e">
        <f>SUM(R32:R37)</f>
        <v>#REF!</v>
      </c>
    </row>
    <row r="40" spans="3:20" x14ac:dyDescent="0.25">
      <c r="C40" s="9" t="s">
        <v>89</v>
      </c>
      <c r="D40" s="9"/>
      <c r="E40" s="10" t="s">
        <v>41</v>
      </c>
    </row>
    <row r="41" spans="3:20" x14ac:dyDescent="0.25">
      <c r="C41" s="9"/>
      <c r="D41" t="s">
        <v>82</v>
      </c>
      <c r="E41" s="19">
        <v>229.21</v>
      </c>
      <c r="F41" s="34" t="e">
        <f>E41*$F$6</f>
        <v>#REF!</v>
      </c>
      <c r="H41" s="34" t="e">
        <f>E41*'2017 Actual'!#REF!</f>
        <v>#REF!</v>
      </c>
      <c r="I41" s="34"/>
      <c r="J41" s="34" t="e">
        <f>F41-H41</f>
        <v>#REF!</v>
      </c>
      <c r="L41" s="34" t="e">
        <f>E41*'2017 Actual'!#REF!</f>
        <v>#REF!</v>
      </c>
      <c r="N41" s="34">
        <f>E41*86.18</f>
        <v>19753.317800000001</v>
      </c>
      <c r="P41" s="34" t="e">
        <f>L41-N41</f>
        <v>#REF!</v>
      </c>
      <c r="R41" s="34" t="e">
        <f>J41-P41</f>
        <v>#REF!</v>
      </c>
    </row>
    <row r="42" spans="3:20" x14ac:dyDescent="0.25">
      <c r="D42" t="s">
        <v>70</v>
      </c>
      <c r="E42" s="19">
        <v>708.16</v>
      </c>
      <c r="F42" s="34" t="e">
        <f t="shared" ref="F42:F45" si="17">E42*$F$6</f>
        <v>#REF!</v>
      </c>
      <c r="H42" s="34" t="e">
        <f>E42*'2017 Actual'!#REF!</f>
        <v>#REF!</v>
      </c>
      <c r="I42" s="34"/>
      <c r="J42" s="34" t="e">
        <f>F42-H42</f>
        <v>#REF!</v>
      </c>
      <c r="L42" s="34" t="e">
        <f>E42*'2017 Actual'!#REF!</f>
        <v>#REF!</v>
      </c>
      <c r="N42" s="34">
        <f t="shared" ref="N42:N45" si="18">E42*86.18</f>
        <v>61029.228800000004</v>
      </c>
      <c r="P42" s="34" t="e">
        <f>L42-N42</f>
        <v>#REF!</v>
      </c>
      <c r="R42" s="34" t="e">
        <f>J42-P42</f>
        <v>#REF!</v>
      </c>
    </row>
    <row r="43" spans="3:20" x14ac:dyDescent="0.25">
      <c r="D43" t="s">
        <v>71</v>
      </c>
      <c r="E43" s="19">
        <v>130.93</v>
      </c>
      <c r="F43" s="34" t="e">
        <f t="shared" si="17"/>
        <v>#REF!</v>
      </c>
      <c r="H43" s="34" t="e">
        <f>E43*'2017 Actual'!#REF!</f>
        <v>#REF!</v>
      </c>
      <c r="I43" s="34"/>
      <c r="J43" s="34" t="e">
        <f t="shared" ref="J43:J46" si="19">F43-H43</f>
        <v>#REF!</v>
      </c>
      <c r="L43" s="34" t="e">
        <f>E43*'2017 Actual'!#REF!</f>
        <v>#REF!</v>
      </c>
      <c r="N43" s="34">
        <f t="shared" si="18"/>
        <v>11283.547400000001</v>
      </c>
      <c r="P43" s="34" t="e">
        <f t="shared" ref="P43:P46" si="20">L43-N43</f>
        <v>#REF!</v>
      </c>
      <c r="R43" s="34" t="e">
        <f t="shared" ref="R43:R46" si="21">J43-P43</f>
        <v>#REF!</v>
      </c>
    </row>
    <row r="44" spans="3:20" x14ac:dyDescent="0.25">
      <c r="D44" t="s">
        <v>72</v>
      </c>
      <c r="E44" s="19">
        <v>105.27000000000001</v>
      </c>
      <c r="F44" s="34" t="e">
        <f t="shared" si="17"/>
        <v>#REF!</v>
      </c>
      <c r="H44" s="34" t="e">
        <f>E44*'2017 Actual'!#REF!</f>
        <v>#REF!</v>
      </c>
      <c r="I44" s="34"/>
      <c r="J44" s="34" t="e">
        <f t="shared" si="19"/>
        <v>#REF!</v>
      </c>
      <c r="L44" s="34" t="e">
        <f>E44*'2017 Actual'!#REF!</f>
        <v>#REF!</v>
      </c>
      <c r="N44" s="34">
        <f t="shared" si="18"/>
        <v>9072.1686000000009</v>
      </c>
      <c r="P44" s="34" t="e">
        <f t="shared" si="20"/>
        <v>#REF!</v>
      </c>
      <c r="R44" s="34" t="e">
        <f t="shared" si="21"/>
        <v>#REF!</v>
      </c>
    </row>
    <row r="45" spans="3:20" x14ac:dyDescent="0.25">
      <c r="D45" t="s">
        <v>73</v>
      </c>
      <c r="E45" s="19">
        <v>13.87</v>
      </c>
      <c r="F45" s="34" t="e">
        <f t="shared" si="17"/>
        <v>#REF!</v>
      </c>
      <c r="H45" s="34" t="e">
        <f>E45*'2017 Actual'!#REF!</f>
        <v>#REF!</v>
      </c>
      <c r="I45" s="34"/>
      <c r="J45" s="34" t="e">
        <f t="shared" si="19"/>
        <v>#REF!</v>
      </c>
      <c r="L45" s="34" t="e">
        <f>E45*'2017 Actual'!#REF!</f>
        <v>#REF!</v>
      </c>
      <c r="N45" s="34">
        <f t="shared" si="18"/>
        <v>1195.3166000000001</v>
      </c>
      <c r="P45" s="34" t="e">
        <f t="shared" si="20"/>
        <v>#REF!</v>
      </c>
      <c r="R45" s="34" t="e">
        <f t="shared" si="21"/>
        <v>#REF!</v>
      </c>
    </row>
    <row r="46" spans="3:20" x14ac:dyDescent="0.25">
      <c r="D46" t="s">
        <v>69</v>
      </c>
      <c r="E46" s="19"/>
      <c r="F46" s="34" t="e">
        <f t="shared" ref="F46" si="22">E46*$F$4</f>
        <v>#REF!</v>
      </c>
      <c r="H46" s="34" t="e">
        <f>E46*'2017 Actual'!#REF!</f>
        <v>#REF!</v>
      </c>
      <c r="I46" s="37"/>
      <c r="J46" s="34" t="e">
        <f t="shared" si="19"/>
        <v>#REF!</v>
      </c>
      <c r="L46" s="34" t="e">
        <f>E46*'2017 Actual'!#REF!</f>
        <v>#REF!</v>
      </c>
      <c r="N46" s="34">
        <v>0</v>
      </c>
      <c r="P46" s="34" t="e">
        <f t="shared" si="20"/>
        <v>#REF!</v>
      </c>
      <c r="R46" s="34" t="e">
        <f t="shared" si="21"/>
        <v>#REF!</v>
      </c>
    </row>
    <row r="47" spans="3:20" x14ac:dyDescent="0.25">
      <c r="E47" s="21">
        <f>SUM(E41:E46)</f>
        <v>1187.4399999999998</v>
      </c>
      <c r="F47" s="35" t="e">
        <f>SUM(F41:F46)</f>
        <v>#REF!</v>
      </c>
      <c r="H47" s="35" t="e">
        <f>SUM(H41:H46)</f>
        <v>#REF!</v>
      </c>
      <c r="I47" s="37"/>
      <c r="J47" s="35" t="e">
        <f>SUM(J41:J46)</f>
        <v>#REF!</v>
      </c>
      <c r="L47" s="35" t="e">
        <f>SUM(L41:L46)</f>
        <v>#REF!</v>
      </c>
      <c r="N47" s="35">
        <f>SUM(N41:N46)</f>
        <v>102333.57920000001</v>
      </c>
      <c r="P47" s="35" t="e">
        <f>SUM(P41:P46)</f>
        <v>#REF!</v>
      </c>
      <c r="R47" s="35" t="e">
        <f>SUM(R41:R46)</f>
        <v>#REF!</v>
      </c>
      <c r="T47" s="33"/>
    </row>
    <row r="49" spans="1:18" x14ac:dyDescent="0.25">
      <c r="A49" t="s">
        <v>91</v>
      </c>
      <c r="E49" s="19"/>
      <c r="R49" s="19">
        <v>-183099</v>
      </c>
    </row>
    <row r="52" spans="1:18" x14ac:dyDescent="0.25">
      <c r="B52" s="9" t="s">
        <v>63</v>
      </c>
      <c r="E52" s="20">
        <f>E38+E29+E20+E47</f>
        <v>67754.53</v>
      </c>
      <c r="F52" s="34" t="e">
        <f>F38+F29+F20+F47</f>
        <v>#REF!</v>
      </c>
      <c r="H52" s="34" t="e">
        <f>H38+H29+H20+H47</f>
        <v>#REF!</v>
      </c>
      <c r="J52" s="34" t="e">
        <f>F52-H52</f>
        <v>#REF!</v>
      </c>
      <c r="L52" s="34" t="e">
        <f>L38+L29+L20+L47</f>
        <v>#REF!</v>
      </c>
      <c r="N52" s="34">
        <f>N38+N29+N20+N47</f>
        <v>4181035.0165000004</v>
      </c>
      <c r="P52" s="34" t="e">
        <f>L52-N52</f>
        <v>#REF!</v>
      </c>
      <c r="R52" s="34" t="e">
        <f>J52-P52</f>
        <v>#REF!</v>
      </c>
    </row>
    <row r="54" spans="1:18" x14ac:dyDescent="0.25">
      <c r="B54" t="s">
        <v>85</v>
      </c>
      <c r="R54" s="34" t="e">
        <f>R16+R17+R25+R26+R34+R35+R23+R32+R41+R43+R44</f>
        <v>#REF!</v>
      </c>
    </row>
    <row r="55" spans="1:18" x14ac:dyDescent="0.25">
      <c r="B55" t="s">
        <v>86</v>
      </c>
      <c r="R55" s="34" t="e">
        <f>R15+R18+R24+R27+R33+R36+R42+R45</f>
        <v>#REF!</v>
      </c>
    </row>
    <row r="56" spans="1:18" x14ac:dyDescent="0.25">
      <c r="B56" t="s">
        <v>87</v>
      </c>
      <c r="R56" s="34" t="e">
        <f>R19</f>
        <v>#REF!</v>
      </c>
    </row>
    <row r="57" spans="1:18" x14ac:dyDescent="0.25">
      <c r="B57" t="s">
        <v>90</v>
      </c>
      <c r="R57" s="35" t="e">
        <f>SUM(R54:R56)</f>
        <v>#REF!</v>
      </c>
    </row>
    <row r="59" spans="1:18" x14ac:dyDescent="0.25">
      <c r="A59" t="s">
        <v>92</v>
      </c>
      <c r="R59" s="20" t="e">
        <f>R49+R57</f>
        <v>#REF!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756A9592786D548BF59BBD9F0010EE0" ma:contentTypeVersion="76" ma:contentTypeDescription="" ma:contentTypeScope="" ma:versionID="7fc20362c36c9e634d63a8be43d94ca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2018-05-14T07:00:00+00:00</OpenedDate>
    <SignificantOrder xmlns="dc463f71-b30c-4ab2-9473-d307f9d35888">false</SignificantOrder>
    <Date1 xmlns="dc463f71-b30c-4ab2-9473-d307f9d35888">2018-05-14T07:00:00+00:00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FIORITO ENTERPRISES INC &amp; RABANCO COMPANIES</CaseCompanyNames>
    <Nickname xmlns="http://schemas.microsoft.com/sharepoint/v3" xsi:nil="true"/>
    <DocketNumber xmlns="dc463f71-b30c-4ab2-9473-d307f9d35888">180440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68BA55A-7A7E-422E-98E4-67D7AD3EFF1A}"/>
</file>

<file path=customXml/itemProps2.xml><?xml version="1.0" encoding="utf-8"?>
<ds:datastoreItem xmlns:ds="http://schemas.openxmlformats.org/officeDocument/2006/customXml" ds:itemID="{533030F9-227C-4815-9028-DCB2EAF6B60C}"/>
</file>

<file path=customXml/itemProps3.xml><?xml version="1.0" encoding="utf-8"?>
<ds:datastoreItem xmlns:ds="http://schemas.openxmlformats.org/officeDocument/2006/customXml" ds:itemID="{F23FC3BE-0F60-433D-B035-7A6CEBC4AC05}"/>
</file>

<file path=customXml/itemProps4.xml><?xml version="1.0" encoding="utf-8"?>
<ds:datastoreItem xmlns:ds="http://schemas.openxmlformats.org/officeDocument/2006/customXml" ds:itemID="{E733C5B0-3F01-4965-B8DC-9D8BE66D68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2018 Q1 Actual</vt:lpstr>
      <vt:lpstr>2017 Actual</vt:lpstr>
      <vt:lpstr>2018 Budget</vt:lpstr>
      <vt:lpstr>Costs</vt:lpstr>
      <vt:lpstr>Residential</vt:lpstr>
      <vt:lpstr>Summary</vt:lpstr>
    </vt:vector>
  </TitlesOfParts>
  <Company>Republic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Sichmeller, Jeff</dc:creator>
  <cp:lastModifiedBy>Cramer, Diane</cp:lastModifiedBy>
  <cp:lastPrinted>2018-01-10T00:05:57Z</cp:lastPrinted>
  <dcterms:created xsi:type="dcterms:W3CDTF">2012-11-15T14:19:09Z</dcterms:created>
  <dcterms:modified xsi:type="dcterms:W3CDTF">2018-05-14T22:14:55Z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0x0101006E56B4D1795A2E4DB2F0B01679ED314A000756A9592786D548BF59BBD9F0010EE0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