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externalLinks/externalLink20.xml" ContentType="application/vnd.openxmlformats-officedocument.spreadsheetml.externalLink+xml"/>
  <Override PartName="/xl/externalLinks/externalLink2.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14.xml" ContentType="application/vnd.openxmlformats-officedocument.spreadsheetml.externalLink+xml"/>
  <Override PartName="/xl/comments2.xml" ContentType="application/vnd.openxmlformats-officedocument.spreadsheetml.comments+xml"/>
  <Override PartName="/xl/externalLinks/externalLink13.xml" ContentType="application/vnd.openxmlformats-officedocument.spreadsheetml.externalLink+xml"/>
  <Override PartName="/xl/comments3.xml" ContentType="application/vnd.openxmlformats-officedocument.spreadsheetml.comments+xml"/>
  <Override PartName="/xl/externalLinks/externalLink18.xml" ContentType="application/vnd.openxmlformats-officedocument.spreadsheetml.externalLink+xml"/>
  <Override PartName="/xl/externalLinks/externalLink17.xml" ContentType="application/vnd.openxmlformats-officedocument.spreadsheetml.externalLink+xml"/>
  <Override PartName="/xl/externalLinks/externalLink16.xml" ContentType="application/vnd.openxmlformats-officedocument.spreadsheetml.externalLink+xml"/>
  <Override PartName="/xl/externalLinks/externalLink15.xml" ContentType="application/vnd.openxmlformats-officedocument.spreadsheetml.externalLink+xml"/>
  <Override PartName="/xl/comments1.xml" ContentType="application/vnd.openxmlformats-officedocument.spreadsheetml.comments+xml"/>
  <Override PartName="/xl/externalLinks/externalLink12.xml" ContentType="application/vnd.openxmlformats-officedocument.spreadsheetml.externalLink+xml"/>
  <Override PartName="/xl/comments4.xml" ContentType="application/vnd.openxmlformats-officedocument.spreadsheetml.comments+xml"/>
  <Override PartName="/xl/externalLinks/externalLink8.xml" ContentType="application/vnd.openxmlformats-officedocument.spreadsheetml.externalLink+xml"/>
  <Override PartName="/xl/comments8.xml" ContentType="application/vnd.openxmlformats-officedocument.spreadsheetml.comments+xml"/>
  <Override PartName="/xl/externalLinks/externalLink7.xml" ContentType="application/vnd.openxmlformats-officedocument.spreadsheetml.externalLink+xml"/>
  <Override PartName="/xl/comments9.xml" ContentType="application/vnd.openxmlformats-officedocument.spreadsheetml.comments+xml"/>
  <Override PartName="/xl/comments7.xml" ContentType="application/vnd.openxmlformats-officedocument.spreadsheetml.comments+xml"/>
  <Override PartName="/xl/externalLinks/externalLink9.xml" ContentType="application/vnd.openxmlformats-officedocument.spreadsheetml.externalLink+xml"/>
  <Override PartName="/xl/externalLinks/externalLink11.xml" ContentType="application/vnd.openxmlformats-officedocument.spreadsheetml.externalLink+xml"/>
  <Override PartName="/xl/comments5.xml" ContentType="application/vnd.openxmlformats-officedocument.spreadsheetml.comments+xml"/>
  <Override PartName="/xl/externalLinks/externalLink10.xml" ContentType="application/vnd.openxmlformats-officedocument.spreadsheetml.externalLink+xml"/>
  <Override PartName="/xl/comments6.xml" ContentType="application/vnd.openxmlformats-officedocument.spreadsheetml.comments+xml"/>
  <Override PartName="/xl/externalLinks/externalLink19.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795" windowHeight="12075"/>
  </bookViews>
  <sheets>
    <sheet name="Revenue Summary" sheetId="1" r:id="rId1"/>
    <sheet name="Customer Count Summary" sheetId="2" r:id="rId2"/>
    <sheet name="2010_IS210" sheetId="3" r:id="rId3"/>
    <sheet name="Clark Co" sheetId="4" r:id="rId4"/>
    <sheet name="UTC Non-REg" sheetId="5" r:id="rId5"/>
    <sheet name="Camas Non-Reg" sheetId="6" r:id="rId6"/>
    <sheet name="Ridgefield Non-Reg" sheetId="7" r:id="rId7"/>
    <sheet name="Vancouver Non-Reg" sheetId="8" r:id="rId8"/>
    <sheet name="Washougal Non-Reg" sheetId="9" r:id="rId9"/>
    <sheet name="West Van Non-Reg" sheetId="10" r:id="rId10"/>
    <sheet name="Shred Non-Reg" sheetId="11"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___________CYA1">[1]Hidden!$N$11</definedName>
    <definedName name="_____________CYA10">[1]Hidden!$E$11</definedName>
    <definedName name="_____________CYA11">[1]Hidden!$P$11</definedName>
    <definedName name="_____________CYA2">[1]Hidden!$M$11</definedName>
    <definedName name="_____________CYA3">[1]Hidden!$L$11</definedName>
    <definedName name="_____________CYA4">[1]Hidden!$K$11</definedName>
    <definedName name="_____________CYA5">[1]Hidden!$J$11</definedName>
    <definedName name="_____________CYA6">[1]Hidden!$I$11</definedName>
    <definedName name="_____________CYA7">[1]Hidden!$H$11</definedName>
    <definedName name="_____________CYA8">[1]Hidden!$G$11</definedName>
    <definedName name="_____________CYA9">[1]Hidden!$F$11</definedName>
    <definedName name="_____________LYA12">[1]Hidden!$O$11</definedName>
    <definedName name="____________CYA1">[1]Hidden!$N$11</definedName>
    <definedName name="____________CYA10">[1]Hidden!$E$11</definedName>
    <definedName name="____________CYA11">[1]Hidden!$P$11</definedName>
    <definedName name="____________CYA2">[1]Hidden!$M$11</definedName>
    <definedName name="____________CYA3">[1]Hidden!$L$11</definedName>
    <definedName name="____________CYA4">[1]Hidden!$K$11</definedName>
    <definedName name="____________CYA5">[1]Hidden!$J$11</definedName>
    <definedName name="____________CYA6">[1]Hidden!$I$11</definedName>
    <definedName name="____________CYA7">[1]Hidden!$H$11</definedName>
    <definedName name="____________CYA8">[1]Hidden!$G$11</definedName>
    <definedName name="____________CYA9">[1]Hidden!$F$11</definedName>
    <definedName name="____________LYA12">[1]Hidden!$O$11</definedName>
    <definedName name="___________CYA1">[1]Hidden!$N$11</definedName>
    <definedName name="___________CYA10">[1]Hidden!$E$11</definedName>
    <definedName name="___________CYA11">[1]Hidden!$P$11</definedName>
    <definedName name="___________CYA2">[1]Hidden!$M$11</definedName>
    <definedName name="___________CYA3">[1]Hidden!$L$11</definedName>
    <definedName name="___________CYA4">[1]Hidden!$K$11</definedName>
    <definedName name="___________CYA5">[1]Hidden!$J$11</definedName>
    <definedName name="___________CYA6">[1]Hidden!$I$11</definedName>
    <definedName name="___________CYA7">[1]Hidden!$H$11</definedName>
    <definedName name="___________CYA8">[1]Hidden!$G$11</definedName>
    <definedName name="___________CYA9">[1]Hidden!$F$11</definedName>
    <definedName name="___________LYA12">[1]Hidden!$O$11</definedName>
    <definedName name="__________CYA1">[1]Hidden!$N$11</definedName>
    <definedName name="__________CYA10">[1]Hidden!$E$11</definedName>
    <definedName name="__________CYA11">[1]Hidden!$P$11</definedName>
    <definedName name="__________CYA2">[1]Hidden!$M$11</definedName>
    <definedName name="__________CYA3">[1]Hidden!$L$11</definedName>
    <definedName name="__________CYA4">[1]Hidden!$K$11</definedName>
    <definedName name="__________CYA5">[1]Hidden!$J$11</definedName>
    <definedName name="__________CYA6">[1]Hidden!$I$11</definedName>
    <definedName name="__________CYA7">[1]Hidden!$H$11</definedName>
    <definedName name="__________CYA8">[1]Hidden!$G$11</definedName>
    <definedName name="__________CYA9">[1]Hidden!$F$11</definedName>
    <definedName name="__________LYA12">[1]Hidden!$O$11</definedName>
    <definedName name="_________CYA1">[1]Hidden!$N$11</definedName>
    <definedName name="_________CYA10">[1]Hidden!$E$11</definedName>
    <definedName name="_________CYA11">[1]Hidden!$P$11</definedName>
    <definedName name="_________CYA2">[1]Hidden!$M$11</definedName>
    <definedName name="_________CYA3">[1]Hidden!$L$11</definedName>
    <definedName name="_________CYA4">[1]Hidden!$K$11</definedName>
    <definedName name="_________CYA5">[1]Hidden!$J$11</definedName>
    <definedName name="_________CYA6">[1]Hidden!$I$11</definedName>
    <definedName name="_________CYA7">[1]Hidden!$H$11</definedName>
    <definedName name="_________CYA8">[1]Hidden!$G$11</definedName>
    <definedName name="_________CYA9">[1]Hidden!$F$11</definedName>
    <definedName name="_________LYA12">[1]Hidden!$O$11</definedName>
    <definedName name="________CYA1">[1]Hidden!$N$11</definedName>
    <definedName name="________CYA10">[1]Hidden!$E$11</definedName>
    <definedName name="________CYA11">[1]Hidden!$P$11</definedName>
    <definedName name="________CYA2">[1]Hidden!$M$11</definedName>
    <definedName name="________CYA3">[1]Hidden!$L$11</definedName>
    <definedName name="________CYA4">[1]Hidden!$K$11</definedName>
    <definedName name="________CYA5">[1]Hidden!$J$11</definedName>
    <definedName name="________CYA6">[1]Hidden!$I$11</definedName>
    <definedName name="________CYA7">[1]Hidden!$H$11</definedName>
    <definedName name="________CYA8">[1]Hidden!$G$11</definedName>
    <definedName name="________CYA9">[1]Hidden!$F$11</definedName>
    <definedName name="________LYA12">[1]Hidden!$O$11</definedName>
    <definedName name="_______CYA1">[1]Hidden!$N$11</definedName>
    <definedName name="_______CYA10">[1]Hidden!$E$11</definedName>
    <definedName name="_______CYA11">[1]Hidden!$P$11</definedName>
    <definedName name="_______CYA2">[1]Hidden!$M$11</definedName>
    <definedName name="_______CYA3">[1]Hidden!$L$11</definedName>
    <definedName name="_______CYA4">[1]Hidden!$K$11</definedName>
    <definedName name="_______CYA5">[1]Hidden!$J$11</definedName>
    <definedName name="_______CYA6">[1]Hidden!$I$11</definedName>
    <definedName name="_______CYA7">[1]Hidden!$H$11</definedName>
    <definedName name="_______CYA8">[1]Hidden!$G$11</definedName>
    <definedName name="_______CYA9">[1]Hidden!$F$11</definedName>
    <definedName name="_______LYA12">[1]Hidden!$O$11</definedName>
    <definedName name="______CYA1">[1]Hidden!$N$11</definedName>
    <definedName name="______CYA10">[1]Hidden!$E$11</definedName>
    <definedName name="______CYA11">[1]Hidden!$P$11</definedName>
    <definedName name="______CYA2">[1]Hidden!$M$11</definedName>
    <definedName name="______CYA3">[1]Hidden!$L$11</definedName>
    <definedName name="______CYA4">[1]Hidden!$K$11</definedName>
    <definedName name="______CYA5">[1]Hidden!$J$11</definedName>
    <definedName name="______CYA6">[1]Hidden!$I$11</definedName>
    <definedName name="______CYA7">[1]Hidden!$H$11</definedName>
    <definedName name="______CYA8">[1]Hidden!$G$11</definedName>
    <definedName name="______CYA9">[1]Hidden!$F$11</definedName>
    <definedName name="______LYA12">[1]Hidden!$O$11</definedName>
    <definedName name="_____CYA1">[1]Hidden!$N$11</definedName>
    <definedName name="_____CYA10">[1]Hidden!$E$11</definedName>
    <definedName name="_____CYA11">[1]Hidden!$P$11</definedName>
    <definedName name="_____CYA2">[1]Hidden!$M$11</definedName>
    <definedName name="_____CYA3">[1]Hidden!$L$11</definedName>
    <definedName name="_____CYA4">[1]Hidden!$K$11</definedName>
    <definedName name="_____CYA5">[1]Hidden!$J$11</definedName>
    <definedName name="_____CYA6">[1]Hidden!$I$11</definedName>
    <definedName name="_____CYA7">[1]Hidden!$H$11</definedName>
    <definedName name="_____CYA8">[1]Hidden!$G$11</definedName>
    <definedName name="_____CYA9">[1]Hidden!$F$11</definedName>
    <definedName name="_____LYA12">[1]Hidden!$O$11</definedName>
    <definedName name="____CYA1">[1]Hidden!$N$11</definedName>
    <definedName name="____CYA10">[1]Hidden!$E$11</definedName>
    <definedName name="____CYA11">[1]Hidden!$P$11</definedName>
    <definedName name="____CYA2">[1]Hidden!$M$11</definedName>
    <definedName name="____CYA3">[1]Hidden!$L$11</definedName>
    <definedName name="____CYA4">[1]Hidden!$K$11</definedName>
    <definedName name="____CYA5">[1]Hidden!$J$11</definedName>
    <definedName name="____CYA6">[1]Hidden!$I$11</definedName>
    <definedName name="____CYA7">[1]Hidden!$H$11</definedName>
    <definedName name="____CYA8">[1]Hidden!$G$11</definedName>
    <definedName name="____CYA9">[1]Hidden!$F$11</definedName>
    <definedName name="____LYA12">[1]Hidden!$O$11</definedName>
    <definedName name="___CYA1">[1]Hidden!$N$11</definedName>
    <definedName name="___CYA10">[1]Hidden!$E$11</definedName>
    <definedName name="___CYA11">[1]Hidden!$P$11</definedName>
    <definedName name="___CYA2">[1]Hidden!$M$11</definedName>
    <definedName name="___CYA3">[1]Hidden!$L$11</definedName>
    <definedName name="___CYA4">[1]Hidden!$K$11</definedName>
    <definedName name="___CYA5">[1]Hidden!$J$11</definedName>
    <definedName name="___CYA6">[1]Hidden!$I$11</definedName>
    <definedName name="___CYA7">[1]Hidden!$H$11</definedName>
    <definedName name="___CYA8">[1]Hidden!$G$11</definedName>
    <definedName name="___CYA9">[1]Hidden!$F$11</definedName>
    <definedName name="___LYA12">[1]Hidden!$O$11</definedName>
    <definedName name="__CYA1">[1]Hidden!$N$11</definedName>
    <definedName name="__CYA10">[1]Hidden!$E$11</definedName>
    <definedName name="__CYA11">[1]Hidden!$P$11</definedName>
    <definedName name="__CYA2">[1]Hidden!$M$11</definedName>
    <definedName name="__CYA3">[1]Hidden!$L$11</definedName>
    <definedName name="__CYA4">[1]Hidden!$K$11</definedName>
    <definedName name="__CYA5">[1]Hidden!$J$11</definedName>
    <definedName name="__CYA6">[1]Hidden!$I$11</definedName>
    <definedName name="__CYA7">[1]Hidden!$H$11</definedName>
    <definedName name="__CYA8">[1]Hidden!$G$11</definedName>
    <definedName name="__CYA9">[1]Hidden!$F$11</definedName>
    <definedName name="__LYA12">[1]Hidden!$O$11</definedName>
    <definedName name="_123Graph_g" hidden="1">'[2]#REF'!$F$9:$F$83</definedName>
    <definedName name="_132" hidden="1">[3]XXXXXX!$B$10:$B$10</definedName>
    <definedName name="_132Graph_h" hidden="1">#REF!</definedName>
    <definedName name="_ACT1" localSheetId="2">[4]Hidden!#REF!</definedName>
    <definedName name="_ACT1" localSheetId="1">[5]Hidden!#REF!</definedName>
    <definedName name="_ACT1">[5]Hidden!#REF!</definedName>
    <definedName name="_ACT2" localSheetId="2">[4]Hidden!#REF!</definedName>
    <definedName name="_ACT2" localSheetId="1">[5]Hidden!#REF!</definedName>
    <definedName name="_ACT2">[5]Hidden!#REF!</definedName>
    <definedName name="_ACT3" localSheetId="2">[4]Hidden!#REF!</definedName>
    <definedName name="_ACT3" localSheetId="1">[5]Hidden!#REF!</definedName>
    <definedName name="_ACT3">[5]Hidden!#REF!</definedName>
    <definedName name="_COS1">#REF!</definedName>
    <definedName name="_COS2">#REF!</definedName>
    <definedName name="_CYA1">[1]Hidden!$N$11</definedName>
    <definedName name="_CYA10">[1]Hidden!$E$11</definedName>
    <definedName name="_CYA11">[1]Hidden!$P$11</definedName>
    <definedName name="_CYA2">[1]Hidden!$M$11</definedName>
    <definedName name="_CYA3">[1]Hidden!$L$11</definedName>
    <definedName name="_CYA4">[1]Hidden!$K$11</definedName>
    <definedName name="_CYA5">[1]Hidden!$J$11</definedName>
    <definedName name="_CYA6">[1]Hidden!$I$11</definedName>
    <definedName name="_CYA7">[1]Hidden!$H$11</definedName>
    <definedName name="_CYA8">[1]Hidden!$G$11</definedName>
    <definedName name="_CYA9">[1]Hidden!$F$11</definedName>
    <definedName name="_Fill" hidden="1">#REF!</definedName>
    <definedName name="_Key1" hidden="1">#REF!</definedName>
    <definedName name="_Key2" hidden="1">'[2]#REF'!$D$12</definedName>
    <definedName name="_key5" hidden="1">[3]XXXXXX!$H$10</definedName>
    <definedName name="_LYA12">[1]Hidden!$O$11</definedName>
    <definedName name="_max" hidden="1">#REF!</definedName>
    <definedName name="_Mon" hidden="1">#REF!</definedName>
    <definedName name="_Order1" hidden="1">255</definedName>
    <definedName name="_Order2" hidden="1">255</definedName>
    <definedName name="_Order3" hidden="1">0</definedName>
    <definedName name="_Sort" hidden="1">#REF!</definedName>
    <definedName name="_Sort1" hidden="1">'[2]#REF'!$A$10:$Z$281</definedName>
    <definedName name="_sort3" hidden="1">[3]XXXXXX!$G$10:$J$11</definedName>
    <definedName name="Accounts" localSheetId="2">#REF!</definedName>
    <definedName name="Accounts" localSheetId="1">#REF!</definedName>
    <definedName name="Accounts">#REF!</definedName>
    <definedName name="ACCT" localSheetId="2">[1]Hidden!$D$11</definedName>
    <definedName name="ACCT" localSheetId="1">[5]Hidden!#REF!</definedName>
    <definedName name="ACCT">[5]Hidden!#REF!</definedName>
    <definedName name="ACCT.ConsolSum">[1]Hidden!$Q$11</definedName>
    <definedName name="ACT_CUR" localSheetId="2">[4]Hidden!#REF!</definedName>
    <definedName name="ACT_CUR" localSheetId="1">[5]Hidden!#REF!</definedName>
    <definedName name="ACT_CUR">[5]Hidden!#REF!</definedName>
    <definedName name="ACT_YTD" localSheetId="2">[4]Hidden!#REF!</definedName>
    <definedName name="ACT_YTD" localSheetId="1">[5]Hidden!#REF!</definedName>
    <definedName name="ACT_YTD">[5]Hidden!#REF!</definedName>
    <definedName name="AmountCount" localSheetId="2">#REF!</definedName>
    <definedName name="AmountCount" localSheetId="1">#REF!</definedName>
    <definedName name="AmountCount">#REF!</definedName>
    <definedName name="AmountCount1">#REF!</definedName>
    <definedName name="AmountFrom" localSheetId="2">#REF!</definedName>
    <definedName name="AmountFrom" localSheetId="1">#REF!</definedName>
    <definedName name="AmountFrom">#REF!</definedName>
    <definedName name="AmountTo" localSheetId="2">#REF!</definedName>
    <definedName name="AmountTo" localSheetId="1">#REF!</definedName>
    <definedName name="AmountTo">#REF!</definedName>
    <definedName name="AmountTotal" localSheetId="2">#REF!</definedName>
    <definedName name="AmountTotal" localSheetId="1">#REF!</definedName>
    <definedName name="AmountTotal">#REF!</definedName>
    <definedName name="AmountTotal1">#REF!</definedName>
    <definedName name="BookRev">'[6]Pacific Regulated - Price Out'!$F$50</definedName>
    <definedName name="BookRev_com">'[6]Pacific Regulated - Price Out'!$F$214</definedName>
    <definedName name="BookRev_mfr">'[6]Pacific Regulated - Price Out'!$F$222</definedName>
    <definedName name="BookRev_ro">'[6]Pacific Regulated - Price Out'!$F$282</definedName>
    <definedName name="BookRev_rr">'[6]Pacific Regulated - Price Out'!$F$59</definedName>
    <definedName name="BookRev_yw">'[6]Pacific Regulated - Price Out'!$F$70</definedName>
    <definedName name="BREMAIR_COST_of_SERVICE_STUDY" localSheetId="2">#REF!</definedName>
    <definedName name="BREMAIR_COST_of_SERVICE_STUDY" localSheetId="1">#REF!</definedName>
    <definedName name="BREMAIR_COST_of_SERVICE_STUDY">#REF!</definedName>
    <definedName name="BUD_CUR" localSheetId="2">[4]Hidden!#REF!</definedName>
    <definedName name="BUD_CUR" localSheetId="1">[5]Hidden!#REF!</definedName>
    <definedName name="BUD_CUR">[5]Hidden!#REF!</definedName>
    <definedName name="BUD_YTD" localSheetId="2">[4]Hidden!#REF!</definedName>
    <definedName name="BUD_YTD" localSheetId="1">[5]Hidden!#REF!</definedName>
    <definedName name="BUD_YTD">[5]Hidden!#REF!</definedName>
    <definedName name="CalRecyTons">'[7]Recycl Tons, Commodity Value'!$L$23</definedName>
    <definedName name="CheckTotals" localSheetId="2">#REF!</definedName>
    <definedName name="CheckTotals" localSheetId="1">#REF!</definedName>
    <definedName name="CheckTotals">#REF!</definedName>
    <definedName name="colgroup">[1]Orientation!$G$6</definedName>
    <definedName name="colsegment">[1]Orientation!$F$6</definedName>
    <definedName name="CommlStaffPriceOut">'[8]Price Out-Reg EASTSIDE-Resi'!#REF!</definedName>
    <definedName name="CRCTable" localSheetId="2">#REF!</definedName>
    <definedName name="CRCTable" localSheetId="1">#REF!</definedName>
    <definedName name="CRCTable">#REF!</definedName>
    <definedName name="CRCTableOLD" localSheetId="2">#REF!</definedName>
    <definedName name="CRCTableOLD" localSheetId="1">#REF!</definedName>
    <definedName name="CRCTableOLD">#REF!</definedName>
    <definedName name="CriteriaType">[9]ControlPanel!$Z$2:$Z$5</definedName>
    <definedName name="CurrentMonth" localSheetId="2">'[10]38000 Other Rev'!$H$8</definedName>
    <definedName name="CurrentMonth" localSheetId="1">#REF!</definedName>
    <definedName name="CurrentMonth">#REF!</definedName>
    <definedName name="Cutomers" localSheetId="2">#REF!</definedName>
    <definedName name="Cutomers" localSheetId="1">#REF!</definedName>
    <definedName name="Cutomers">#REF!</definedName>
    <definedName name="_xlnm.Database" localSheetId="2">#REF!</definedName>
    <definedName name="_xlnm.Database" localSheetId="1">#REF!</definedName>
    <definedName name="_xlnm.Database">#REF!</definedName>
    <definedName name="Database1" localSheetId="2">#REF!</definedName>
    <definedName name="Database1" localSheetId="1">#REF!</definedName>
    <definedName name="Database1">#REF!</definedName>
    <definedName name="DateFrom" localSheetId="2">'[10]38000 Other Rev'!$G$12</definedName>
    <definedName name="DateFrom" localSheetId="1">#REF!</definedName>
    <definedName name="DateFrom">#REF!</definedName>
    <definedName name="DateTo" localSheetId="2">'[10]38000 Other Rev'!$G$13</definedName>
    <definedName name="DateTo" localSheetId="1">#REF!</definedName>
    <definedName name="DateTo">#REF!</definedName>
    <definedName name="DBxStaffPriceOut">'[8]Price Out-Reg EASTSIDE-Resi'!#REF!</definedName>
    <definedName name="DEPT" localSheetId="2">[4]Hidden!#REF!</definedName>
    <definedName name="DEPT" localSheetId="1">[5]Hidden!#REF!</definedName>
    <definedName name="DEPT">[5]Hidden!#REF!</definedName>
    <definedName name="Dist">[11]Data!$E$3</definedName>
    <definedName name="District" localSheetId="2">'2010_IS210'!$N$6</definedName>
    <definedName name="District">'[12]Yakima BS'!#REF!</definedName>
    <definedName name="DistrictName" localSheetId="2">'2010_IS210'!$N$7</definedName>
    <definedName name="DistrictNum" localSheetId="2">#REF!</definedName>
    <definedName name="DistrictNum" localSheetId="1">#REF!</definedName>
    <definedName name="DistrictNum">#REF!</definedName>
    <definedName name="Districts" localSheetId="2">#REF!</definedName>
    <definedName name="Districts" localSheetId="1">#REF!</definedName>
    <definedName name="Districts">#REF!</definedName>
    <definedName name="dOG">#REF!</definedName>
    <definedName name="drlFilter">[1]Settings!$D$27</definedName>
    <definedName name="End" localSheetId="2">#REF!</definedName>
    <definedName name="End" localSheetId="1">#REF!</definedName>
    <definedName name="End">#REF!</definedName>
    <definedName name="EntrieShownLimit" localSheetId="2">'[10]38000 Other Rev'!$D$6</definedName>
    <definedName name="EntrieShownLimit" localSheetId="1">#REF!</definedName>
    <definedName name="EntrieShownLimit">#REF!</definedName>
    <definedName name="ExcludeIC" localSheetId="2">'2010_IS210'!$R$6</definedName>
    <definedName name="ExcludeIC">'[12]Yakima BS'!#REF!</definedName>
    <definedName name="EXT">#REF!</definedName>
    <definedName name="FBTable" localSheetId="2">#REF!</definedName>
    <definedName name="FBTable" localSheetId="1">#REF!</definedName>
    <definedName name="FBTable">#REF!</definedName>
    <definedName name="FBTableOld" localSheetId="2">#REF!</definedName>
    <definedName name="FBTableOld" localSheetId="1">#REF!</definedName>
    <definedName name="FBTableOld">#REF!</definedName>
    <definedName name="filter">[1]Settings!$B$14:$H$25</definedName>
    <definedName name="FromMonth" localSheetId="2">#REF!</definedName>
    <definedName name="FromMonth" localSheetId="1">#REF!</definedName>
    <definedName name="FromMonth">#REF!</definedName>
    <definedName name="FundsApprPend">[11]Data!#REF!</definedName>
    <definedName name="FundsBudUnbud">[11]Data!#REF!</definedName>
    <definedName name="GLMappingStart" localSheetId="2">#REF!</definedName>
    <definedName name="GLMappingStart" localSheetId="1">#REF!</definedName>
    <definedName name="GLMappingStart">#REF!</definedName>
    <definedName name="GLMappingStart1">#REF!</definedName>
    <definedName name="Import_Range">[11]Data!#REF!</definedName>
    <definedName name="IncomeStmnt" localSheetId="2">#REF!</definedName>
    <definedName name="IncomeStmnt" localSheetId="1">#REF!</definedName>
    <definedName name="IncomeStmnt">#REF!</definedName>
    <definedName name="INPUT" localSheetId="2">#REF!</definedName>
    <definedName name="INPUT" localSheetId="1">#REF!</definedName>
    <definedName name="INPUT">#REF!</definedName>
    <definedName name="Insurance" localSheetId="2">#REF!</definedName>
    <definedName name="Insurance" localSheetId="1">#REF!</definedName>
    <definedName name="Insurance">#REF!</definedName>
    <definedName name="Interject_LastPulledValues_BalanceRange">#REF!</definedName>
    <definedName name="Interject_LastPulledValues_DescriptionRange">#REF!</definedName>
    <definedName name="Interject_LastPulledValues_LastChangeGUID">#REF!</definedName>
    <definedName name="Interject_LastPulledValues_PreviousLastChangeGUID">#REF!</definedName>
    <definedName name="Invoice_Start">[11]Invoice_Drill!#REF!</definedName>
    <definedName name="JEDetail" localSheetId="2">#REF!</definedName>
    <definedName name="JEDetail" localSheetId="1">#REF!</definedName>
    <definedName name="JEDetail">#REF!</definedName>
    <definedName name="JEDetail1">#REF!</definedName>
    <definedName name="JEType" localSheetId="2">#REF!</definedName>
    <definedName name="JEType" localSheetId="1">#REF!</definedName>
    <definedName name="JEType">#REF!</definedName>
    <definedName name="JEType1">#REF!</definedName>
    <definedName name="lblBillAreaStatus" localSheetId="2">#REF!</definedName>
    <definedName name="lblBillAreaStatus" localSheetId="1">#REF!</definedName>
    <definedName name="lblBillAreaStatus">#REF!</definedName>
    <definedName name="lblBillCycleStatus" localSheetId="2">#REF!</definedName>
    <definedName name="lblBillCycleStatus" localSheetId="1">#REF!</definedName>
    <definedName name="lblBillCycleStatus">#REF!</definedName>
    <definedName name="lblCategoryStatus" localSheetId="2">#REF!</definedName>
    <definedName name="lblCategoryStatus" localSheetId="1">#REF!</definedName>
    <definedName name="lblCategoryStatus">#REF!</definedName>
    <definedName name="lblCompanyStatus" localSheetId="2">#REF!</definedName>
    <definedName name="lblCompanyStatus" localSheetId="1">#REF!</definedName>
    <definedName name="lblCompanyStatus">#REF!</definedName>
    <definedName name="lblDatabaseStatus" localSheetId="2">#REF!</definedName>
    <definedName name="lblDatabaseStatus" localSheetId="1">#REF!</definedName>
    <definedName name="lblDatabaseStatus">#REF!</definedName>
    <definedName name="lblPullStatus" localSheetId="2">#REF!</definedName>
    <definedName name="lblPullStatus" localSheetId="1">#REF!</definedName>
    <definedName name="lblPullStatus">#REF!</definedName>
    <definedName name="lllllllllllllllllllll" localSheetId="2">#REF!</definedName>
    <definedName name="lllllllllllllllllllll" localSheetId="1">#REF!</definedName>
    <definedName name="lllllllllllllllllllll">#REF!</definedName>
    <definedName name="MainDataEnd" localSheetId="2">#REF!</definedName>
    <definedName name="MainDataEnd" localSheetId="1">#REF!</definedName>
    <definedName name="MainDataEnd">#REF!</definedName>
    <definedName name="MainDataStart" localSheetId="2">#REF!</definedName>
    <definedName name="MainDataStart" localSheetId="1">#REF!</definedName>
    <definedName name="MainDataStart">#REF!</definedName>
    <definedName name="MapKeyStart" localSheetId="2">#REF!</definedName>
    <definedName name="MapKeyStart" localSheetId="1">#REF!</definedName>
    <definedName name="MapKeyStart">#REF!</definedName>
    <definedName name="master_def" localSheetId="2">#REF!</definedName>
    <definedName name="master_def" localSheetId="1">#REF!</definedName>
    <definedName name="master_def">#REF!</definedName>
    <definedName name="MATRIX">#REF!</definedName>
    <definedName name="MemoAttachment">#REF!</definedName>
    <definedName name="MetaSet">[1]Orientation!$C$22</definedName>
    <definedName name="MFStaffPriceOut">'[8]Price Out-Reg EASTSIDE-Resi'!#REF!</definedName>
    <definedName name="MonthList">'[11]Lookup Tables'!$A$1:$A$13</definedName>
    <definedName name="NewOnlyOrg">#N/A</definedName>
    <definedName name="nn">#REF!</definedName>
    <definedName name="NOTES" localSheetId="2">#REF!</definedName>
    <definedName name="NOTES" localSheetId="1">#REF!</definedName>
    <definedName name="NOTES">#REF!</definedName>
    <definedName name="NR">#REF!</definedName>
    <definedName name="OfficerSalary">#N/A</definedName>
    <definedName name="OffsetAcctBil">[13]JEexport!$L$10</definedName>
    <definedName name="OffsetAcctPmt">[13]JEexport!$L$9</definedName>
    <definedName name="Org11_13">#N/A</definedName>
    <definedName name="Org7_10">#N/A</definedName>
    <definedName name="p" localSheetId="2">#REF!</definedName>
    <definedName name="p" localSheetId="1">#REF!</definedName>
    <definedName name="p">#REF!</definedName>
    <definedName name="PAGE_1" localSheetId="2">#REF!</definedName>
    <definedName name="PAGE_1" localSheetId="1">#REF!</definedName>
    <definedName name="PAGE_1">#REF!</definedName>
    <definedName name="Page16">#REF!</definedName>
    <definedName name="Page17">#REF!</definedName>
    <definedName name="Page18">#REF!</definedName>
    <definedName name="Page7a">#REF!</definedName>
    <definedName name="pBatchID" localSheetId="2">#REF!</definedName>
    <definedName name="pBatchID" localSheetId="1">#REF!</definedName>
    <definedName name="pBatchID">#REF!</definedName>
    <definedName name="pBillArea" localSheetId="2">#REF!</definedName>
    <definedName name="pBillArea" localSheetId="1">#REF!</definedName>
    <definedName name="pBillArea">#REF!</definedName>
    <definedName name="pBillCycle" localSheetId="2">#REF!</definedName>
    <definedName name="pBillCycle" localSheetId="1">#REF!</definedName>
    <definedName name="pBillCycle">#REF!</definedName>
    <definedName name="pCategory" localSheetId="2">#REF!</definedName>
    <definedName name="pCategory" localSheetId="1">#REF!</definedName>
    <definedName name="pCategory">#REF!</definedName>
    <definedName name="pCompany" localSheetId="2">#REF!</definedName>
    <definedName name="pCompany" localSheetId="1">#REF!</definedName>
    <definedName name="pCompany">#REF!</definedName>
    <definedName name="pCustomerNumber" localSheetId="2">#REF!</definedName>
    <definedName name="pCustomerNumber" localSheetId="1">#REF!</definedName>
    <definedName name="pCustomerNumber">#REF!</definedName>
    <definedName name="pDatabase" localSheetId="2">#REF!</definedName>
    <definedName name="pDatabase" localSheetId="1">#REF!</definedName>
    <definedName name="pDatabase">#REF!</definedName>
    <definedName name="pEndPostDate" localSheetId="2">#REF!</definedName>
    <definedName name="pEndPostDate" localSheetId="1">#REF!</definedName>
    <definedName name="pEndPostDate">#REF!</definedName>
    <definedName name="Period" localSheetId="2">#REF!</definedName>
    <definedName name="Period" localSheetId="1">#REF!</definedName>
    <definedName name="Period">#REF!</definedName>
    <definedName name="pMonth" localSheetId="2">#REF!</definedName>
    <definedName name="pMonth" localSheetId="1">#REF!</definedName>
    <definedName name="pMonth">#REF!</definedName>
    <definedName name="pOnlyShowLastTranx" localSheetId="2">#REF!</definedName>
    <definedName name="pOnlyShowLastTranx" localSheetId="1">#REF!</definedName>
    <definedName name="pOnlyShowLastTranx">#REF!</definedName>
    <definedName name="Posting" localSheetId="2">#REF!</definedName>
    <definedName name="Posting" localSheetId="1">#REF!</definedName>
    <definedName name="Posting">#REF!</definedName>
    <definedName name="primtbl">[1]Orientation!$C$23</definedName>
    <definedName name="_xlnm.Print_Area" localSheetId="2">'2010_IS210'!$D$6:$AI$366</definedName>
    <definedName name="_xlnm.Print_Area" localSheetId="3">'Clark Co'!$A$1:$G$234</definedName>
    <definedName name="_xlnm.Print_Area" localSheetId="1">#REF!</definedName>
    <definedName name="_xlnm.Print_Area" localSheetId="10">'Shred Non-Reg'!$A$1:$G$44</definedName>
    <definedName name="_xlnm.Print_Area" localSheetId="4">'UTC Non-REg'!$A$1:$F$186</definedName>
    <definedName name="_xlnm.Print_Area">#REF!</definedName>
    <definedName name="Print_Area_MI" localSheetId="2">#REF!</definedName>
    <definedName name="Print_Area_MI" localSheetId="1">#REF!</definedName>
    <definedName name="Print_Area_MI">#REF!</definedName>
    <definedName name="Print_Area1" localSheetId="2">#REF!</definedName>
    <definedName name="Print_Area1" localSheetId="1">#REF!</definedName>
    <definedName name="Print_Area1">#REF!</definedName>
    <definedName name="Print_Area2" localSheetId="2">#REF!</definedName>
    <definedName name="Print_Area2" localSheetId="1">#REF!</definedName>
    <definedName name="Print_Area2">#REF!</definedName>
    <definedName name="Print_Area3" localSheetId="2">#REF!</definedName>
    <definedName name="Print_Area3" localSheetId="1">#REF!</definedName>
    <definedName name="Print_Area3">#REF!</definedName>
    <definedName name="Print_Area5" localSheetId="2">#REF!</definedName>
    <definedName name="Print_Area5" localSheetId="1">#REF!</definedName>
    <definedName name="Print_Area5">#REF!</definedName>
    <definedName name="_xlnm.Print_Titles" localSheetId="2">'2010_IS210'!$D:$I,'2010_IS210'!$6:$13</definedName>
    <definedName name="_xlnm.Print_Titles" localSheetId="5">'Camas Non-Reg'!$1:$7</definedName>
    <definedName name="_xlnm.Print_Titles" localSheetId="3">'Clark Co'!$1:$7</definedName>
    <definedName name="_xlnm.Print_Titles" localSheetId="6">'Ridgefield Non-Reg'!$1:$7</definedName>
    <definedName name="_xlnm.Print_Titles" localSheetId="4">'UTC Non-REg'!$1:$7</definedName>
    <definedName name="_xlnm.Print_Titles" localSheetId="7">'Vancouver Non-Reg'!$1:$7</definedName>
    <definedName name="_xlnm.Print_Titles" localSheetId="8">'Washougal Non-Reg'!$1:$7</definedName>
    <definedName name="_xlnm.Print_Titles" localSheetId="9">'West Van Non-Reg'!$1:$8</definedName>
    <definedName name="Print1" localSheetId="2">#REF!</definedName>
    <definedName name="Print1" localSheetId="1">#REF!</definedName>
    <definedName name="Print1">#REF!</definedName>
    <definedName name="Print2" localSheetId="2">#REF!</definedName>
    <definedName name="Print2" localSheetId="1">#REF!</definedName>
    <definedName name="Print2">#REF!</definedName>
    <definedName name="Print5" localSheetId="2">#REF!</definedName>
    <definedName name="Print5" localSheetId="1">#REF!</definedName>
    <definedName name="Print5">#REF!</definedName>
    <definedName name="ProRev">'[6]Pacific Regulated - Price Out'!$M$49</definedName>
    <definedName name="ProRev_com">'[6]Pacific Regulated - Price Out'!$M$213</definedName>
    <definedName name="ProRev_mfr">'[6]Pacific Regulated - Price Out'!$M$221</definedName>
    <definedName name="ProRev_ro">'[6]Pacific Regulated - Price Out'!$M$281</definedName>
    <definedName name="ProRev_rr">'[6]Pacific Regulated - Price Out'!$M$58</definedName>
    <definedName name="ProRev_yw">'[6]Pacific Regulated - Price Out'!$M$69</definedName>
    <definedName name="pServer" localSheetId="2">#REF!</definedName>
    <definedName name="pServer" localSheetId="1">#REF!</definedName>
    <definedName name="pServer">#REF!</definedName>
    <definedName name="pServiceCode" localSheetId="2">#REF!</definedName>
    <definedName name="pServiceCode" localSheetId="1">#REF!</definedName>
    <definedName name="pServiceCode">#REF!</definedName>
    <definedName name="pShowAllUnposted" localSheetId="2">#REF!</definedName>
    <definedName name="pShowAllUnposted" localSheetId="1">#REF!</definedName>
    <definedName name="pShowAllUnposted">#REF!</definedName>
    <definedName name="pShowCustomerDetail" localSheetId="2">#REF!</definedName>
    <definedName name="pShowCustomerDetail" localSheetId="1">#REF!</definedName>
    <definedName name="pShowCustomerDetail">#REF!</definedName>
    <definedName name="pSortOption" localSheetId="2">#REF!</definedName>
    <definedName name="pSortOption" localSheetId="1">#REF!</definedName>
    <definedName name="pSortOption">#REF!</definedName>
    <definedName name="pStartPostDate" localSheetId="2">#REF!</definedName>
    <definedName name="pStartPostDate" localSheetId="1">#REF!</definedName>
    <definedName name="pStartPostDate">#REF!</definedName>
    <definedName name="pTransType" localSheetId="2">#REF!</definedName>
    <definedName name="pTransType" localSheetId="1">#REF!</definedName>
    <definedName name="pTransType">#REF!</definedName>
    <definedName name="RCW_81.04.080">#N/A</definedName>
    <definedName name="RecyDisposal">#N/A</definedName>
    <definedName name="Reg_Cust_Billed_Percent">'[14]Consolidated IS 2009 2010'!$AK$20</definedName>
    <definedName name="Reg_Cust_Percent">'[14]Consolidated IS 2009 2010'!$AC$20</definedName>
    <definedName name="Reg_Drive_Percent">'[14]Consolidated IS 2009 2010'!$AC$40</definedName>
    <definedName name="Reg_Haul_Rev_Percent">'[14]Consolidated IS 2009 2010'!$Z$18</definedName>
    <definedName name="Reg_Lab_Percent">'[14]Consolidated IS 2009 2010'!$AC$39</definedName>
    <definedName name="Reg_Steel_Cont_Percent">'[14]Consolidated IS 2009 2010'!$AE$120</definedName>
    <definedName name="RegulatedIS">'[14]2009 IS'!$A$12:$Q$655</definedName>
    <definedName name="RelatedSalary">#N/A</definedName>
    <definedName name="report_type">[1]Orientation!$C$24</definedName>
    <definedName name="ReportNames" localSheetId="2">[15]ControlPanel!$S$2:$S$16</definedName>
    <definedName name="ReportNames">[9]ControlPanel!$X$2:$X$8</definedName>
    <definedName name="ReportVersion">[1]Settings!$D$5</definedName>
    <definedName name="ReslStaffPriceOut">'[8]Price Out-Reg EASTSIDE-Resi'!#REF!</definedName>
    <definedName name="RetainedEarnings" localSheetId="2">#REF!</definedName>
    <definedName name="RetainedEarnings" localSheetId="1">#REF!</definedName>
    <definedName name="RetainedEarnings">#REF!</definedName>
    <definedName name="RevCust" localSheetId="2">[16]RevenuesCust!#REF!</definedName>
    <definedName name="RevCust" localSheetId="1">[17]RevenuesCust!#REF!</definedName>
    <definedName name="RevCust">[17]RevenuesCust!#REF!</definedName>
    <definedName name="RevCustomer">#REF!</definedName>
    <definedName name="rngCreateLog">[1]Delivery!$B$12</definedName>
    <definedName name="rngFilePassword">[1]Delivery!$B$6</definedName>
    <definedName name="rngSourceTab">[1]Delivery!$E$8</definedName>
    <definedName name="rowgroup">[1]Orientation!$C$17</definedName>
    <definedName name="rowsegment">[1]Orientation!$B$17</definedName>
    <definedName name="Sequential_Group">[1]Settings!$J$6</definedName>
    <definedName name="Sequential_Segment">[1]Settings!$I$6</definedName>
    <definedName name="Sequential_sort">[1]Settings!$I$10:$J$11</definedName>
    <definedName name="sortcol" localSheetId="2">#REF!</definedName>
    <definedName name="sortcol" localSheetId="1">#REF!</definedName>
    <definedName name="sortcol">#REF!</definedName>
    <definedName name="sSRCDate" localSheetId="2">'[18]Feb''12 FAR Data'!#REF!</definedName>
    <definedName name="sSRCDate" localSheetId="1">'[19]Feb''12 FAR Data'!#REF!</definedName>
    <definedName name="sSRCDate">'[19]Feb''12 FAR Data'!#REF!</definedName>
    <definedName name="SubSystems" localSheetId="2">#REF!</definedName>
    <definedName name="SubSystems" localSheetId="1">#REF!</definedName>
    <definedName name="SubSystems">#REF!</definedName>
    <definedName name="Supplemental_filter">[1]Settings!$C$31</definedName>
    <definedName name="SWDisposal">#N/A</definedName>
    <definedName name="System" localSheetId="2">'2010_IS210'!$R$7</definedName>
    <definedName name="System">[20]BS_Close!$V$8</definedName>
    <definedName name="Systems" localSheetId="2">#REF!</definedName>
    <definedName name="Systems" localSheetId="1">#REF!</definedName>
    <definedName name="Systems">#REF!</definedName>
    <definedName name="TemplateEnd" localSheetId="2">#REF!</definedName>
    <definedName name="TemplateEnd" localSheetId="1">#REF!</definedName>
    <definedName name="TemplateEnd">#REF!</definedName>
    <definedName name="TemplateStart" localSheetId="2">#REF!</definedName>
    <definedName name="TemplateStart" localSheetId="1">#REF!</definedName>
    <definedName name="TemplateStart">#REF!</definedName>
    <definedName name="TheTable" localSheetId="2">#REF!</definedName>
    <definedName name="TheTable" localSheetId="1">#REF!</definedName>
    <definedName name="TheTable">#REF!</definedName>
    <definedName name="TheTableOLD" localSheetId="2">#REF!</definedName>
    <definedName name="TheTableOLD" localSheetId="1">#REF!</definedName>
    <definedName name="TheTableOLD">#REF!</definedName>
    <definedName name="timeseries">[1]Orientation!$B$6:$C$13</definedName>
    <definedName name="ToMonth" localSheetId="2">#REF!</definedName>
    <definedName name="ToMonth" localSheetId="1">#REF!</definedName>
    <definedName name="ToMonth">#REF!</definedName>
    <definedName name="Tons">#REF!</definedName>
    <definedName name="Total_Comm">'[7]Tariff Rate Sheet'!$L$214</definedName>
    <definedName name="Total_DB">'[7]Tariff Rate Sheet'!$L$278</definedName>
    <definedName name="Total_Resi">'[7]Tariff Rate Sheet'!$L$107</definedName>
    <definedName name="Transactions" localSheetId="2">#REF!</definedName>
    <definedName name="Transactions" localSheetId="1">#REF!</definedName>
    <definedName name="Transactions">#REF!</definedName>
    <definedName name="UnregulatedIS">'[14]2010 IS'!$A$12:$Q$654</definedName>
    <definedName name="VendorCode" localSheetId="2">#REF!</definedName>
    <definedName name="VendorCode" localSheetId="1">#REF!</definedName>
    <definedName name="VendorCode">#REF!</definedName>
    <definedName name="Version">[11]Data!#REF!</definedName>
    <definedName name="wrn.PrintReview." hidden="1">{#N/A,#N/A,TRUE,"SUMM";#N/A,#N/A,TRUE,"Rev";#N/A,#N/A,TRUE,"Dir_Costs";#N/A,#N/A,TRUE,"G and A Costs";#N/A,#N/A,TRUE,"Itemize";#N/A,#N/A,TRUE,"Cust_Count1";#N/A,#N/A,TRUE,"Cust_Count2";#N/A,#N/A,TRUE,"Rev_Breakdown";#N/A,#N/A,TRUE,"Truck Hours";#N/A,#N/A,TRUE,"Labor Hours";#N/A,#N/A,TRUE,"Container Breakdown";#N/A,#N/A,TRUE,"Cart Breakdown"}</definedName>
    <definedName name="wrn.PrintReview2" hidden="1">{#N/A,#N/A,TRUE,"SUMM";#N/A,#N/A,TRUE,"Rev";#N/A,#N/A,TRUE,"Dir_Costs";#N/A,#N/A,TRUE,"G and A Costs";#N/A,#N/A,TRUE,"Itemize";#N/A,#N/A,TRUE,"Cust_Count1";#N/A,#N/A,TRUE,"Cust_Count2";#N/A,#N/A,TRUE,"Rev_Breakdown";#N/A,#N/A,TRUE,"Truck Hours";#N/A,#N/A,TRUE,"Labor Hours";#N/A,#N/A,TRUE,"Container Breakdown";#N/A,#N/A,TRUE,"Cart Breakdown"}</definedName>
    <definedName name="wrn.PrnPg1_Pg11." hidden="1">{"Page1",#N/A,TRUE,"SUMM";"Page2",#N/A,TRUE,"Rev";"Page3",#N/A,TRUE,"Dir_Costs";"Page4",#N/A,TRUE,"G and A Costs";"Page5",#N/A,TRUE,"Itemize";"Page6",#N/A,TRUE,"Cust_Count1";"Page7",#N/A,TRUE,"Cust_Count2";"Page8",#N/A,TRUE,"Rev_Breakdown";"Page9",#N/A,TRUE,"Truck Hours";"Page10",#N/A,TRUE,"Labor Hours";"Page11",#N/A,TRUE,"Container Breakdown"}</definedName>
    <definedName name="wrn.test." hidden="1">{"Page1",#N/A,TRUE,"SUMM";"Page2",#N/A,TRUE,"Rev";"Page3",#N/A,TRUE,"Dir_Costs"}</definedName>
    <definedName name="WTable" localSheetId="2">#REF!</definedName>
    <definedName name="WTable" localSheetId="1">#REF!</definedName>
    <definedName name="WTable">#REF!</definedName>
    <definedName name="WTableOld" localSheetId="2">#REF!</definedName>
    <definedName name="WTableOld" localSheetId="1">#REF!</definedName>
    <definedName name="WTableOld">#REF!</definedName>
    <definedName name="ww">#REF!</definedName>
    <definedName name="xperiod">[1]Orientation!$G$15</definedName>
    <definedName name="xtabin" localSheetId="2">[4]Hidden!#REF!</definedName>
    <definedName name="xtabin" localSheetId="1">[5]Hidden!#REF!</definedName>
    <definedName name="xtabin">[5]Hidden!#REF!</definedName>
    <definedName name="xx" localSheetId="2">#REF!</definedName>
    <definedName name="xx" localSheetId="1">#REF!</definedName>
    <definedName name="xx">#REF!</definedName>
    <definedName name="xxx">#REF!</definedName>
    <definedName name="xxxx">#REF!</definedName>
    <definedName name="YearMonth" localSheetId="2">'2010_IS210'!$D$8</definedName>
    <definedName name="YearMonth">'[12]Yakima BS'!#REF!</definedName>
    <definedName name="YWMedWasteDisp">#N/A</definedName>
    <definedName name="yy">#REF!</definedName>
  </definedNames>
  <calcPr calcId="145621" concurrentManualCount="4"/>
</workbook>
</file>

<file path=xl/calcChain.xml><?xml version="1.0" encoding="utf-8"?>
<calcChain xmlns="http://schemas.openxmlformats.org/spreadsheetml/2006/main">
  <c r="G35" i="11" l="1"/>
  <c r="G37" i="11" s="1"/>
  <c r="E35" i="11"/>
  <c r="E27" i="11"/>
  <c r="A3" i="11"/>
  <c r="H90" i="10"/>
  <c r="A88" i="10"/>
  <c r="A87" i="10"/>
  <c r="A86" i="10"/>
  <c r="A85" i="10"/>
  <c r="F90" i="10"/>
  <c r="A84" i="10"/>
  <c r="H81" i="10"/>
  <c r="A79" i="10"/>
  <c r="A78" i="10"/>
  <c r="A77" i="10"/>
  <c r="F81" i="10"/>
  <c r="A76" i="10"/>
  <c r="H73" i="10"/>
  <c r="A71" i="10"/>
  <c r="A70" i="10"/>
  <c r="H69" i="10"/>
  <c r="F73" i="10"/>
  <c r="A69" i="10"/>
  <c r="A64" i="10"/>
  <c r="A63" i="10"/>
  <c r="H62" i="10"/>
  <c r="A62" i="10"/>
  <c r="H61" i="10"/>
  <c r="A61" i="10"/>
  <c r="F66" i="10"/>
  <c r="A60" i="10"/>
  <c r="H59" i="10"/>
  <c r="A59" i="10"/>
  <c r="A52" i="10"/>
  <c r="A51" i="10"/>
  <c r="A50" i="10"/>
  <c r="A49" i="10"/>
  <c r="A48" i="10"/>
  <c r="A47" i="10"/>
  <c r="A46" i="10"/>
  <c r="A45" i="10"/>
  <c r="A44" i="10"/>
  <c r="A43" i="10"/>
  <c r="A42" i="10"/>
  <c r="A41" i="10"/>
  <c r="A40" i="10"/>
  <c r="A39" i="10"/>
  <c r="A38" i="10"/>
  <c r="A37" i="10"/>
  <c r="A36" i="10"/>
  <c r="A35" i="10"/>
  <c r="H34" i="10"/>
  <c r="A34" i="10"/>
  <c r="H33" i="10"/>
  <c r="A33" i="10"/>
  <c r="H32" i="10"/>
  <c r="A32" i="10"/>
  <c r="H31" i="10"/>
  <c r="A31" i="10"/>
  <c r="H30" i="10"/>
  <c r="A30" i="10"/>
  <c r="H29" i="10"/>
  <c r="A29" i="10"/>
  <c r="H28" i="10"/>
  <c r="A28" i="10"/>
  <c r="H27" i="10"/>
  <c r="A27" i="10"/>
  <c r="H26" i="10"/>
  <c r="A26" i="10"/>
  <c r="H25" i="10"/>
  <c r="A25" i="10"/>
  <c r="H24" i="10"/>
  <c r="A24" i="10"/>
  <c r="H23" i="10"/>
  <c r="A23" i="10"/>
  <c r="H22" i="10"/>
  <c r="A22" i="10"/>
  <c r="H21" i="10"/>
  <c r="A21" i="10"/>
  <c r="H20" i="10"/>
  <c r="A20" i="10"/>
  <c r="H19" i="10"/>
  <c r="A19" i="10"/>
  <c r="F54" i="10"/>
  <c r="A18" i="10"/>
  <c r="H15" i="10"/>
  <c r="A13" i="10"/>
  <c r="A12" i="10"/>
  <c r="F15" i="10"/>
  <c r="A11" i="10"/>
  <c r="B3" i="10"/>
  <c r="H258" i="9"/>
  <c r="A256" i="9"/>
  <c r="A255" i="9"/>
  <c r="A254" i="9"/>
  <c r="A253" i="9"/>
  <c r="A252" i="9"/>
  <c r="F258" i="9"/>
  <c r="A251" i="9"/>
  <c r="H248" i="9"/>
  <c r="A246" i="9"/>
  <c r="A245" i="9"/>
  <c r="A244" i="9"/>
  <c r="A243" i="9"/>
  <c r="A242" i="9"/>
  <c r="A241" i="9"/>
  <c r="A240" i="9"/>
  <c r="A239" i="9"/>
  <c r="A238" i="9"/>
  <c r="A237" i="9"/>
  <c r="F248" i="9"/>
  <c r="A236" i="9"/>
  <c r="A231" i="9"/>
  <c r="A230" i="9"/>
  <c r="A229" i="9"/>
  <c r="A228" i="9"/>
  <c r="A227" i="9"/>
  <c r="A226" i="9"/>
  <c r="A225" i="9"/>
  <c r="H224" i="9"/>
  <c r="A224" i="9"/>
  <c r="H223" i="9"/>
  <c r="A223" i="9"/>
  <c r="H222" i="9"/>
  <c r="A222" i="9"/>
  <c r="F233" i="9"/>
  <c r="A221" i="9"/>
  <c r="A216" i="9"/>
  <c r="A215" i="9"/>
  <c r="A214" i="9"/>
  <c r="A213" i="9"/>
  <c r="A212" i="9"/>
  <c r="A211" i="9"/>
  <c r="A210" i="9"/>
  <c r="A209" i="9"/>
  <c r="A208" i="9"/>
  <c r="H207" i="9"/>
  <c r="A207" i="9"/>
  <c r="H206" i="9"/>
  <c r="A206" i="9"/>
  <c r="H205" i="9"/>
  <c r="A205" i="9"/>
  <c r="H204" i="9"/>
  <c r="A204" i="9"/>
  <c r="H203" i="9"/>
  <c r="F218" i="9"/>
  <c r="A203" i="9"/>
  <c r="A196" i="9"/>
  <c r="A195" i="9"/>
  <c r="A194" i="9"/>
  <c r="A193" i="9"/>
  <c r="A192" i="9"/>
  <c r="A191" i="9"/>
  <c r="A190" i="9"/>
  <c r="A189" i="9"/>
  <c r="A188" i="9"/>
  <c r="A187" i="9"/>
  <c r="A186" i="9"/>
  <c r="A185" i="9"/>
  <c r="A184" i="9"/>
  <c r="A183" i="9"/>
  <c r="A182" i="9"/>
  <c r="A181" i="9"/>
  <c r="A180" i="9"/>
  <c r="A179" i="9"/>
  <c r="A178" i="9"/>
  <c r="A177" i="9"/>
  <c r="A176" i="9"/>
  <c r="A175" i="9"/>
  <c r="A174" i="9"/>
  <c r="A173" i="9"/>
  <c r="A172" i="9"/>
  <c r="A171" i="9"/>
  <c r="A170" i="9"/>
  <c r="A169" i="9"/>
  <c r="A168" i="9"/>
  <c r="H167" i="9"/>
  <c r="A167" i="9"/>
  <c r="H166" i="9"/>
  <c r="A166" i="9"/>
  <c r="H165" i="9"/>
  <c r="A165" i="9"/>
  <c r="H164" i="9"/>
  <c r="A164" i="9"/>
  <c r="H163" i="9"/>
  <c r="A163" i="9"/>
  <c r="H162" i="9"/>
  <c r="A162" i="9"/>
  <c r="H161" i="9"/>
  <c r="A161" i="9"/>
  <c r="H160" i="9"/>
  <c r="A160" i="9"/>
  <c r="H159" i="9"/>
  <c r="A159" i="9"/>
  <c r="H158" i="9"/>
  <c r="A158" i="9"/>
  <c r="H157" i="9"/>
  <c r="A157" i="9"/>
  <c r="H156" i="9"/>
  <c r="A156" i="9"/>
  <c r="H155" i="9"/>
  <c r="A155" i="9"/>
  <c r="H154" i="9"/>
  <c r="A154" i="9"/>
  <c r="H153" i="9"/>
  <c r="A153" i="9"/>
  <c r="H152" i="9"/>
  <c r="A152" i="9"/>
  <c r="H151" i="9"/>
  <c r="A151" i="9"/>
  <c r="H150" i="9"/>
  <c r="A150" i="9"/>
  <c r="H149" i="9"/>
  <c r="A149" i="9"/>
  <c r="H148" i="9"/>
  <c r="A148" i="9"/>
  <c r="H147" i="9"/>
  <c r="A147" i="9"/>
  <c r="H146" i="9"/>
  <c r="A146" i="9"/>
  <c r="H145" i="9"/>
  <c r="A145" i="9"/>
  <c r="H144" i="9"/>
  <c r="A144" i="9"/>
  <c r="H143" i="9"/>
  <c r="A143" i="9"/>
  <c r="H142" i="9"/>
  <c r="A142" i="9"/>
  <c r="H141" i="9"/>
  <c r="A141" i="9"/>
  <c r="H140" i="9"/>
  <c r="A140" i="9"/>
  <c r="H139" i="9"/>
  <c r="A139" i="9"/>
  <c r="H138" i="9"/>
  <c r="F198" i="9"/>
  <c r="A138" i="9"/>
  <c r="A133" i="9"/>
  <c r="A132" i="9"/>
  <c r="A131" i="9"/>
  <c r="A130" i="9"/>
  <c r="A129" i="9"/>
  <c r="A128" i="9"/>
  <c r="A127" i="9"/>
  <c r="A126" i="9"/>
  <c r="A125" i="9"/>
  <c r="A124" i="9"/>
  <c r="A123" i="9"/>
  <c r="A122" i="9"/>
  <c r="A121" i="9"/>
  <c r="A120" i="9"/>
  <c r="A119" i="9"/>
  <c r="A118" i="9"/>
  <c r="A117" i="9"/>
  <c r="A116" i="9"/>
  <c r="A115" i="9"/>
  <c r="A114" i="9"/>
  <c r="A113" i="9"/>
  <c r="A112" i="9"/>
  <c r="A111" i="9"/>
  <c r="A110" i="9"/>
  <c r="A109" i="9"/>
  <c r="A108" i="9"/>
  <c r="A107" i="9"/>
  <c r="A106" i="9"/>
  <c r="A105" i="9"/>
  <c r="A104" i="9"/>
  <c r="A103" i="9"/>
  <c r="A102" i="9"/>
  <c r="A101" i="9"/>
  <c r="A100" i="9"/>
  <c r="A99" i="9"/>
  <c r="A98" i="9"/>
  <c r="A97" i="9"/>
  <c r="H96" i="9"/>
  <c r="A96" i="9"/>
  <c r="H95" i="9"/>
  <c r="A95" i="9"/>
  <c r="H94" i="9"/>
  <c r="A94" i="9"/>
  <c r="H93" i="9"/>
  <c r="A93" i="9"/>
  <c r="H92" i="9"/>
  <c r="A92" i="9"/>
  <c r="H91" i="9"/>
  <c r="A91" i="9"/>
  <c r="H90" i="9"/>
  <c r="A90" i="9"/>
  <c r="H89" i="9"/>
  <c r="A89" i="9"/>
  <c r="H88" i="9"/>
  <c r="A88" i="9"/>
  <c r="H87" i="9"/>
  <c r="A87" i="9"/>
  <c r="H86" i="9"/>
  <c r="A86" i="9"/>
  <c r="H85" i="9"/>
  <c r="A85" i="9"/>
  <c r="H84" i="9"/>
  <c r="A84" i="9"/>
  <c r="H83" i="9"/>
  <c r="A83" i="9"/>
  <c r="H82" i="9"/>
  <c r="A82" i="9"/>
  <c r="H81" i="9"/>
  <c r="A81" i="9"/>
  <c r="H80" i="9"/>
  <c r="A80" i="9"/>
  <c r="H79" i="9"/>
  <c r="A79" i="9"/>
  <c r="H78" i="9"/>
  <c r="A78" i="9"/>
  <c r="H77" i="9"/>
  <c r="A77" i="9"/>
  <c r="H76" i="9"/>
  <c r="A76" i="9"/>
  <c r="F135" i="9"/>
  <c r="A75" i="9"/>
  <c r="H68" i="9"/>
  <c r="H70" i="9" s="1"/>
  <c r="F70" i="9"/>
  <c r="A62" i="9"/>
  <c r="A61" i="9"/>
  <c r="A60" i="9"/>
  <c r="A59" i="9"/>
  <c r="A58" i="9"/>
  <c r="A57" i="9"/>
  <c r="A56" i="9"/>
  <c r="H55" i="9"/>
  <c r="A55" i="9"/>
  <c r="H54" i="9"/>
  <c r="A54" i="9"/>
  <c r="H53" i="9"/>
  <c r="A53" i="9"/>
  <c r="H52" i="9"/>
  <c r="A52" i="9"/>
  <c r="H51" i="9"/>
  <c r="H64" i="9" s="1"/>
  <c r="F64" i="9"/>
  <c r="A51" i="9"/>
  <c r="H46" i="9"/>
  <c r="A46" i="9"/>
  <c r="H45" i="9"/>
  <c r="A45" i="9"/>
  <c r="H44" i="9"/>
  <c r="A44" i="9"/>
  <c r="H43" i="9"/>
  <c r="H48" i="9" s="1"/>
  <c r="F48" i="9"/>
  <c r="A43" i="9"/>
  <c r="A38" i="9"/>
  <c r="A37" i="9"/>
  <c r="A36" i="9"/>
  <c r="A35" i="9"/>
  <c r="A34" i="9"/>
  <c r="A33" i="9"/>
  <c r="A32" i="9"/>
  <c r="A31" i="9"/>
  <c r="A30" i="9"/>
  <c r="A29" i="9"/>
  <c r="A28" i="9"/>
  <c r="A27" i="9"/>
  <c r="A26" i="9"/>
  <c r="A25" i="9"/>
  <c r="A24" i="9"/>
  <c r="A23" i="9"/>
  <c r="H22" i="9"/>
  <c r="A22" i="9"/>
  <c r="H21" i="9"/>
  <c r="A21" i="9"/>
  <c r="H20" i="9"/>
  <c r="A20" i="9"/>
  <c r="H19" i="9"/>
  <c r="A19" i="9"/>
  <c r="H18" i="9"/>
  <c r="A18" i="9"/>
  <c r="H17" i="9"/>
  <c r="A17" i="9"/>
  <c r="H16" i="9"/>
  <c r="A16" i="9"/>
  <c r="H15" i="9"/>
  <c r="A15" i="9"/>
  <c r="H14" i="9"/>
  <c r="A14" i="9"/>
  <c r="H13" i="9"/>
  <c r="A13" i="9"/>
  <c r="F40" i="9"/>
  <c r="A12" i="9"/>
  <c r="H11" i="9"/>
  <c r="A11" i="9"/>
  <c r="B3" i="9"/>
  <c r="H430" i="8"/>
  <c r="F430" i="8"/>
  <c r="A428" i="8"/>
  <c r="A427" i="8"/>
  <c r="A426" i="8"/>
  <c r="A425" i="8"/>
  <c r="A424" i="8"/>
  <c r="A423" i="8"/>
  <c r="A422" i="8"/>
  <c r="A421" i="8"/>
  <c r="H418" i="8"/>
  <c r="A416" i="8"/>
  <c r="A415" i="8"/>
  <c r="A414" i="8"/>
  <c r="A413" i="8"/>
  <c r="A412" i="8"/>
  <c r="A411" i="8"/>
  <c r="A410" i="8"/>
  <c r="A409" i="8"/>
  <c r="A408" i="8"/>
  <c r="A407" i="8"/>
  <c r="A406" i="8"/>
  <c r="A405" i="8"/>
  <c r="F418" i="8"/>
  <c r="A404" i="8"/>
  <c r="A399" i="8"/>
  <c r="A398" i="8"/>
  <c r="A397" i="8"/>
  <c r="A396" i="8"/>
  <c r="A395" i="8"/>
  <c r="A394" i="8"/>
  <c r="A393" i="8"/>
  <c r="H392" i="8"/>
  <c r="A392" i="8"/>
  <c r="H391" i="8"/>
  <c r="A391" i="8"/>
  <c r="H390" i="8"/>
  <c r="A390" i="8"/>
  <c r="F401" i="8"/>
  <c r="A389" i="8"/>
  <c r="A384" i="8"/>
  <c r="A383" i="8"/>
  <c r="A382" i="8"/>
  <c r="A381" i="8"/>
  <c r="A380" i="8"/>
  <c r="A379" i="8"/>
  <c r="A378" i="8"/>
  <c r="A377" i="8"/>
  <c r="A376" i="8"/>
  <c r="A375" i="8"/>
  <c r="A374" i="8"/>
  <c r="A373" i="8"/>
  <c r="A372" i="8"/>
  <c r="A371" i="8"/>
  <c r="A370" i="8"/>
  <c r="A369" i="8"/>
  <c r="A368" i="8"/>
  <c r="A367" i="8"/>
  <c r="A366" i="8"/>
  <c r="A365" i="8"/>
  <c r="A364" i="8"/>
  <c r="A363" i="8"/>
  <c r="A362" i="8"/>
  <c r="A361" i="8"/>
  <c r="A360" i="8"/>
  <c r="A359" i="8"/>
  <c r="A358" i="8"/>
  <c r="A357" i="8"/>
  <c r="A356" i="8"/>
  <c r="A355" i="8"/>
  <c r="A354" i="8"/>
  <c r="A353" i="8"/>
  <c r="H352" i="8"/>
  <c r="A352" i="8"/>
  <c r="H351" i="8"/>
  <c r="A351" i="8"/>
  <c r="H350" i="8"/>
  <c r="A350" i="8"/>
  <c r="H349" i="8"/>
  <c r="A349" i="8"/>
  <c r="H348" i="8"/>
  <c r="A348" i="8"/>
  <c r="H347" i="8"/>
  <c r="A347" i="8"/>
  <c r="H346" i="8"/>
  <c r="A346" i="8"/>
  <c r="H345" i="8"/>
  <c r="A345" i="8"/>
  <c r="H344" i="8"/>
  <c r="A344" i="8"/>
  <c r="H343" i="8"/>
  <c r="A343" i="8"/>
  <c r="H342" i="8"/>
  <c r="A342" i="8"/>
  <c r="H341" i="8"/>
  <c r="A341" i="8"/>
  <c r="H340" i="8"/>
  <c r="A340" i="8"/>
  <c r="H339" i="8"/>
  <c r="A339" i="8"/>
  <c r="H338" i="8"/>
  <c r="A338" i="8"/>
  <c r="H337" i="8"/>
  <c r="A337" i="8"/>
  <c r="H336" i="8"/>
  <c r="A336" i="8"/>
  <c r="H335" i="8"/>
  <c r="A335" i="8"/>
  <c r="H334" i="8"/>
  <c r="A334" i="8"/>
  <c r="H333" i="8"/>
  <c r="A333" i="8"/>
  <c r="H332" i="8"/>
  <c r="A332" i="8"/>
  <c r="A325" i="8"/>
  <c r="A324" i="8"/>
  <c r="A323" i="8"/>
  <c r="A322" i="8"/>
  <c r="A321" i="8"/>
  <c r="A320" i="8"/>
  <c r="A319" i="8"/>
  <c r="A318" i="8"/>
  <c r="A317" i="8"/>
  <c r="A316" i="8"/>
  <c r="A315" i="8"/>
  <c r="A314" i="8"/>
  <c r="A313" i="8"/>
  <c r="A312" i="8"/>
  <c r="A311" i="8"/>
  <c r="A310" i="8"/>
  <c r="A309" i="8"/>
  <c r="A308" i="8"/>
  <c r="A307" i="8"/>
  <c r="A306" i="8"/>
  <c r="A305" i="8"/>
  <c r="A304" i="8"/>
  <c r="A303" i="8"/>
  <c r="A302" i="8"/>
  <c r="A301" i="8"/>
  <c r="A300" i="8"/>
  <c r="A299" i="8"/>
  <c r="A298" i="8"/>
  <c r="A297" i="8"/>
  <c r="A296" i="8"/>
  <c r="A295" i="8"/>
  <c r="A294" i="8"/>
  <c r="A293" i="8"/>
  <c r="A292" i="8"/>
  <c r="A291" i="8"/>
  <c r="A290" i="8"/>
  <c r="A289" i="8"/>
  <c r="A288" i="8"/>
  <c r="A287" i="8"/>
  <c r="A286" i="8"/>
  <c r="A285" i="8"/>
  <c r="A284" i="8"/>
  <c r="A283" i="8"/>
  <c r="A282" i="8"/>
  <c r="A281" i="8"/>
  <c r="A280" i="8"/>
  <c r="A279" i="8"/>
  <c r="A278" i="8"/>
  <c r="A277" i="8"/>
  <c r="A276" i="8"/>
  <c r="H275" i="8"/>
  <c r="H274" i="8"/>
  <c r="A274" i="8"/>
  <c r="H273" i="8"/>
  <c r="A273" i="8"/>
  <c r="H272" i="8"/>
  <c r="A272" i="8"/>
  <c r="H271" i="8"/>
  <c r="A271" i="8"/>
  <c r="H270" i="8"/>
  <c r="A270" i="8"/>
  <c r="H269" i="8"/>
  <c r="A269" i="8"/>
  <c r="H268" i="8"/>
  <c r="A268" i="8"/>
  <c r="H267" i="8"/>
  <c r="A267" i="8"/>
  <c r="H266" i="8"/>
  <c r="A266" i="8"/>
  <c r="H265" i="8"/>
  <c r="A265" i="8"/>
  <c r="H264" i="8"/>
  <c r="A264" i="8"/>
  <c r="H263" i="8"/>
  <c r="A263" i="8"/>
  <c r="H262" i="8"/>
  <c r="A262" i="8"/>
  <c r="H261" i="8"/>
  <c r="A261" i="8"/>
  <c r="H260" i="8"/>
  <c r="A260" i="8"/>
  <c r="H259" i="8"/>
  <c r="A259" i="8"/>
  <c r="H258" i="8"/>
  <c r="A258" i="8"/>
  <c r="H257" i="8"/>
  <c r="A257" i="8"/>
  <c r="H256" i="8"/>
  <c r="A256" i="8"/>
  <c r="H255" i="8"/>
  <c r="A255" i="8"/>
  <c r="H254" i="8"/>
  <c r="A254" i="8"/>
  <c r="H253" i="8"/>
  <c r="A253" i="8"/>
  <c r="H252" i="8"/>
  <c r="A252" i="8"/>
  <c r="H251" i="8"/>
  <c r="A251" i="8"/>
  <c r="H250" i="8"/>
  <c r="A250" i="8"/>
  <c r="H249" i="8"/>
  <c r="A249" i="8"/>
  <c r="H248" i="8"/>
  <c r="A248" i="8"/>
  <c r="H247" i="8"/>
  <c r="A247" i="8"/>
  <c r="H246" i="8"/>
  <c r="A246" i="8"/>
  <c r="H245" i="8"/>
  <c r="A245" i="8"/>
  <c r="H244" i="8"/>
  <c r="A244" i="8"/>
  <c r="H243" i="8"/>
  <c r="A243" i="8"/>
  <c r="H242" i="8"/>
  <c r="A242" i="8"/>
  <c r="H241" i="8"/>
  <c r="A241" i="8"/>
  <c r="H240" i="8"/>
  <c r="A240" i="8"/>
  <c r="H239" i="8"/>
  <c r="A239" i="8"/>
  <c r="H238" i="8"/>
  <c r="A238" i="8"/>
  <c r="H237" i="8"/>
  <c r="A237" i="8"/>
  <c r="H236" i="8"/>
  <c r="A236" i="8"/>
  <c r="H235" i="8"/>
  <c r="A235" i="8"/>
  <c r="H234" i="8"/>
  <c r="A234" i="8"/>
  <c r="H233" i="8"/>
  <c r="A233" i="8"/>
  <c r="H232" i="8"/>
  <c r="A232" i="8"/>
  <c r="H231" i="8"/>
  <c r="A231" i="8"/>
  <c r="H230" i="8"/>
  <c r="A230" i="8"/>
  <c r="H229" i="8"/>
  <c r="A229" i="8"/>
  <c r="H228" i="8"/>
  <c r="A228" i="8"/>
  <c r="H227" i="8"/>
  <c r="A227" i="8"/>
  <c r="H226" i="8"/>
  <c r="A226" i="8"/>
  <c r="H225" i="8"/>
  <c r="A225" i="8"/>
  <c r="H224" i="8"/>
  <c r="A224" i="8"/>
  <c r="H223" i="8"/>
  <c r="A223" i="8"/>
  <c r="H222" i="8"/>
  <c r="A222" i="8"/>
  <c r="H221" i="8"/>
  <c r="A221" i="8"/>
  <c r="H220" i="8"/>
  <c r="A220" i="8"/>
  <c r="H219" i="8"/>
  <c r="A219" i="8"/>
  <c r="H218" i="8"/>
  <c r="A218" i="8"/>
  <c r="H217" i="8"/>
  <c r="A217" i="8"/>
  <c r="H216" i="8"/>
  <c r="A216" i="8"/>
  <c r="H215" i="8"/>
  <c r="A215" i="8"/>
  <c r="H214" i="8"/>
  <c r="A214" i="8"/>
  <c r="A209" i="8"/>
  <c r="A208" i="8"/>
  <c r="A207" i="8"/>
  <c r="A206" i="8"/>
  <c r="A205" i="8"/>
  <c r="A204" i="8"/>
  <c r="A203" i="8"/>
  <c r="A202" i="8"/>
  <c r="A201" i="8"/>
  <c r="A200" i="8"/>
  <c r="A199" i="8"/>
  <c r="A198" i="8"/>
  <c r="A197" i="8"/>
  <c r="A196" i="8"/>
  <c r="A195" i="8"/>
  <c r="A194" i="8"/>
  <c r="A193" i="8"/>
  <c r="A192" i="8"/>
  <c r="A191" i="8"/>
  <c r="A190" i="8"/>
  <c r="A189" i="8"/>
  <c r="A188" i="8"/>
  <c r="A187" i="8"/>
  <c r="A186" i="8"/>
  <c r="A185" i="8"/>
  <c r="A184" i="8"/>
  <c r="A183" i="8"/>
  <c r="A182" i="8"/>
  <c r="A181" i="8"/>
  <c r="A180" i="8"/>
  <c r="A179" i="8"/>
  <c r="A178" i="8"/>
  <c r="A177" i="8"/>
  <c r="A176" i="8"/>
  <c r="A175" i="8"/>
  <c r="A174" i="8"/>
  <c r="A173" i="8"/>
  <c r="A172" i="8"/>
  <c r="A171" i="8"/>
  <c r="A170" i="8"/>
  <c r="A169" i="8"/>
  <c r="A168" i="8"/>
  <c r="A167" i="8"/>
  <c r="A166" i="8"/>
  <c r="A165" i="8"/>
  <c r="A164" i="8"/>
  <c r="A163" i="8"/>
  <c r="A162" i="8"/>
  <c r="H161" i="8"/>
  <c r="A161" i="8"/>
  <c r="H160" i="8"/>
  <c r="A160" i="8"/>
  <c r="H159" i="8"/>
  <c r="A159" i="8"/>
  <c r="H158" i="8"/>
  <c r="A158" i="8"/>
  <c r="H157" i="8"/>
  <c r="A157" i="8"/>
  <c r="H156" i="8"/>
  <c r="A156" i="8"/>
  <c r="H155" i="8"/>
  <c r="A155" i="8"/>
  <c r="H154" i="8"/>
  <c r="A154" i="8"/>
  <c r="H153" i="8"/>
  <c r="A153" i="8"/>
  <c r="H152" i="8"/>
  <c r="A152" i="8"/>
  <c r="H151" i="8"/>
  <c r="A151" i="8"/>
  <c r="H150" i="8"/>
  <c r="A150" i="8"/>
  <c r="H149" i="8"/>
  <c r="A149" i="8"/>
  <c r="H148" i="8"/>
  <c r="A148" i="8"/>
  <c r="H147" i="8"/>
  <c r="A147" i="8"/>
  <c r="H146" i="8"/>
  <c r="A146" i="8"/>
  <c r="H145" i="8"/>
  <c r="A145" i="8"/>
  <c r="H144" i="8"/>
  <c r="A144" i="8"/>
  <c r="H143" i="8"/>
  <c r="A143" i="8"/>
  <c r="H142" i="8"/>
  <c r="A142" i="8"/>
  <c r="H141" i="8"/>
  <c r="A141" i="8"/>
  <c r="H140" i="8"/>
  <c r="A140" i="8"/>
  <c r="H139" i="8"/>
  <c r="A139" i="8"/>
  <c r="H138" i="8"/>
  <c r="A138" i="8"/>
  <c r="H137" i="8"/>
  <c r="A137" i="8"/>
  <c r="H136" i="8"/>
  <c r="A136" i="8"/>
  <c r="H135" i="8"/>
  <c r="A135" i="8"/>
  <c r="H134" i="8"/>
  <c r="A134" i="8"/>
  <c r="H133" i="8"/>
  <c r="A133" i="8"/>
  <c r="H132" i="8"/>
  <c r="A132" i="8"/>
  <c r="H131" i="8"/>
  <c r="A131" i="8"/>
  <c r="H130" i="8"/>
  <c r="A130" i="8"/>
  <c r="H129" i="8"/>
  <c r="A129" i="8"/>
  <c r="H128" i="8"/>
  <c r="A128" i="8"/>
  <c r="H127" i="8"/>
  <c r="A127" i="8"/>
  <c r="H126" i="8"/>
  <c r="A126" i="8"/>
  <c r="H125" i="8"/>
  <c r="A125" i="8"/>
  <c r="H124" i="8"/>
  <c r="A124" i="8"/>
  <c r="H123" i="8"/>
  <c r="A123" i="8"/>
  <c r="H122" i="8"/>
  <c r="A122" i="8"/>
  <c r="H121" i="8"/>
  <c r="A121" i="8"/>
  <c r="H120" i="8"/>
  <c r="A120" i="8"/>
  <c r="H119" i="8"/>
  <c r="A119" i="8"/>
  <c r="H118" i="8"/>
  <c r="A118" i="8"/>
  <c r="H117" i="8"/>
  <c r="A117" i="8"/>
  <c r="H116" i="8"/>
  <c r="A116" i="8"/>
  <c r="H115" i="8"/>
  <c r="A115" i="8"/>
  <c r="H114" i="8"/>
  <c r="A114" i="8"/>
  <c r="H113" i="8"/>
  <c r="A113" i="8"/>
  <c r="H112" i="8"/>
  <c r="A112" i="8"/>
  <c r="H111" i="8"/>
  <c r="A111" i="8"/>
  <c r="H110" i="8"/>
  <c r="A110" i="8"/>
  <c r="H109" i="8"/>
  <c r="A109" i="8"/>
  <c r="H108" i="8"/>
  <c r="A108" i="8"/>
  <c r="H107" i="8"/>
  <c r="A107" i="8"/>
  <c r="H106" i="8"/>
  <c r="A106" i="8"/>
  <c r="H105" i="8"/>
  <c r="A105" i="8"/>
  <c r="H104" i="8"/>
  <c r="A104" i="8"/>
  <c r="H103" i="8"/>
  <c r="A103" i="8"/>
  <c r="H102" i="8"/>
  <c r="A102" i="8"/>
  <c r="H101" i="8"/>
  <c r="A101" i="8"/>
  <c r="H100" i="8"/>
  <c r="A100" i="8"/>
  <c r="H99" i="8"/>
  <c r="A99" i="8"/>
  <c r="H98" i="8"/>
  <c r="A98" i="8"/>
  <c r="H97" i="8"/>
  <c r="A97" i="8"/>
  <c r="H96" i="8"/>
  <c r="A96" i="8"/>
  <c r="H95" i="8"/>
  <c r="A95" i="8"/>
  <c r="H94" i="8"/>
  <c r="A94" i="8"/>
  <c r="A93" i="8"/>
  <c r="A86" i="8"/>
  <c r="A85" i="8"/>
  <c r="A84" i="8"/>
  <c r="A83" i="8"/>
  <c r="A82" i="8"/>
  <c r="A81" i="8"/>
  <c r="A80" i="8"/>
  <c r="H79" i="8"/>
  <c r="A79" i="8"/>
  <c r="H78" i="8"/>
  <c r="A78" i="8"/>
  <c r="H77" i="8"/>
  <c r="A77" i="8"/>
  <c r="H76" i="8"/>
  <c r="A76" i="8"/>
  <c r="H71" i="8"/>
  <c r="A71" i="8"/>
  <c r="H70" i="8"/>
  <c r="A70" i="8"/>
  <c r="H65" i="8"/>
  <c r="A65" i="8"/>
  <c r="H64" i="8"/>
  <c r="A64" i="8"/>
  <c r="H63" i="8"/>
  <c r="A63" i="8"/>
  <c r="H62" i="8"/>
  <c r="A62" i="8"/>
  <c r="H61" i="8"/>
  <c r="A61" i="8"/>
  <c r="H60" i="8"/>
  <c r="A60" i="8"/>
  <c r="H59" i="8"/>
  <c r="A59" i="8"/>
  <c r="H58" i="8"/>
  <c r="A58" i="8"/>
  <c r="H57" i="8"/>
  <c r="A57" i="8"/>
  <c r="H56" i="8"/>
  <c r="A56" i="8"/>
  <c r="H55" i="8"/>
  <c r="A55" i="8"/>
  <c r="H54" i="8"/>
  <c r="A54" i="8"/>
  <c r="A49" i="8"/>
  <c r="A48" i="8"/>
  <c r="A47" i="8"/>
  <c r="A46" i="8"/>
  <c r="A45" i="8"/>
  <c r="A44" i="8"/>
  <c r="A43" i="8"/>
  <c r="A42" i="8"/>
  <c r="A41" i="8"/>
  <c r="A40" i="8"/>
  <c r="A39" i="8"/>
  <c r="A38" i="8"/>
  <c r="A37" i="8"/>
  <c r="A36" i="8"/>
  <c r="A35" i="8"/>
  <c r="H34" i="8"/>
  <c r="A34" i="8"/>
  <c r="H33" i="8"/>
  <c r="A33" i="8"/>
  <c r="H32" i="8"/>
  <c r="A32" i="8"/>
  <c r="H31" i="8"/>
  <c r="A31" i="8"/>
  <c r="H30" i="8"/>
  <c r="A30" i="8"/>
  <c r="H29" i="8"/>
  <c r="A29" i="8"/>
  <c r="H28" i="8"/>
  <c r="A28" i="8"/>
  <c r="H27" i="8"/>
  <c r="A27" i="8"/>
  <c r="H26" i="8"/>
  <c r="A26" i="8"/>
  <c r="H25" i="8"/>
  <c r="A25" i="8"/>
  <c r="H24" i="8"/>
  <c r="A24" i="8"/>
  <c r="H23" i="8"/>
  <c r="A23" i="8"/>
  <c r="H22" i="8"/>
  <c r="A22" i="8"/>
  <c r="H21" i="8"/>
  <c r="A21" i="8"/>
  <c r="H20" i="8"/>
  <c r="A20" i="8"/>
  <c r="H19" i="8"/>
  <c r="A19" i="8"/>
  <c r="H18" i="8"/>
  <c r="A18" i="8"/>
  <c r="H17" i="8"/>
  <c r="A17" i="8"/>
  <c r="H16" i="8"/>
  <c r="A16" i="8"/>
  <c r="H15" i="8"/>
  <c r="A15" i="8"/>
  <c r="H14" i="8"/>
  <c r="A14" i="8"/>
  <c r="H13" i="8"/>
  <c r="A13" i="8"/>
  <c r="H12" i="8"/>
  <c r="A12" i="8"/>
  <c r="F51" i="8"/>
  <c r="A11" i="8"/>
  <c r="B3" i="8"/>
  <c r="H236" i="7"/>
  <c r="A234" i="7"/>
  <c r="A233" i="7"/>
  <c r="A232" i="7"/>
  <c r="A231" i="7"/>
  <c r="A230" i="7"/>
  <c r="F236" i="7"/>
  <c r="A229" i="7"/>
  <c r="H226" i="7"/>
  <c r="A224" i="7"/>
  <c r="A223" i="7"/>
  <c r="A222" i="7"/>
  <c r="A221" i="7"/>
  <c r="A220" i="7"/>
  <c r="A219" i="7"/>
  <c r="F226" i="7"/>
  <c r="A218" i="7"/>
  <c r="A217" i="7"/>
  <c r="A212" i="7"/>
  <c r="A211" i="7"/>
  <c r="A210" i="7"/>
  <c r="A209" i="7"/>
  <c r="A208" i="7"/>
  <c r="A207" i="7"/>
  <c r="H206" i="7"/>
  <c r="A206" i="7"/>
  <c r="H205" i="7"/>
  <c r="A205" i="7"/>
  <c r="H204" i="7"/>
  <c r="A204" i="7"/>
  <c r="H203" i="7"/>
  <c r="H214" i="7" s="1"/>
  <c r="A203" i="7"/>
  <c r="A198" i="7"/>
  <c r="A197" i="7"/>
  <c r="A196" i="7"/>
  <c r="A195" i="7"/>
  <c r="A194" i="7"/>
  <c r="A193" i="7"/>
  <c r="A192" i="7"/>
  <c r="A191" i="7"/>
  <c r="A190" i="7"/>
  <c r="A189" i="7"/>
  <c r="A188" i="7"/>
  <c r="A187" i="7"/>
  <c r="A186" i="7"/>
  <c r="A185" i="7"/>
  <c r="A184" i="7"/>
  <c r="A183" i="7"/>
  <c r="H182" i="7"/>
  <c r="A182" i="7"/>
  <c r="H181" i="7"/>
  <c r="A181" i="7"/>
  <c r="H180" i="7"/>
  <c r="A180" i="7"/>
  <c r="H179" i="7"/>
  <c r="A179" i="7"/>
  <c r="H178" i="7"/>
  <c r="A178" i="7"/>
  <c r="H177" i="7"/>
  <c r="A177" i="7"/>
  <c r="H176" i="7"/>
  <c r="A176" i="7"/>
  <c r="H175" i="7"/>
  <c r="A175" i="7"/>
  <c r="H174" i="7"/>
  <c r="A174" i="7"/>
  <c r="H173" i="7"/>
  <c r="A173" i="7"/>
  <c r="H172" i="7"/>
  <c r="A172" i="7"/>
  <c r="H171" i="7"/>
  <c r="A171" i="7"/>
  <c r="H170" i="7"/>
  <c r="A170" i="7"/>
  <c r="H169" i="7"/>
  <c r="A169" i="7"/>
  <c r="H168" i="7"/>
  <c r="A168" i="7"/>
  <c r="H167" i="7"/>
  <c r="A167" i="7"/>
  <c r="H166" i="7"/>
  <c r="A166" i="7"/>
  <c r="A159" i="7"/>
  <c r="A158" i="7"/>
  <c r="A157" i="7"/>
  <c r="A156" i="7"/>
  <c r="A155" i="7"/>
  <c r="A154" i="7"/>
  <c r="A153" i="7"/>
  <c r="A152" i="7"/>
  <c r="A151" i="7"/>
  <c r="A150" i="7"/>
  <c r="A149" i="7"/>
  <c r="A148" i="7"/>
  <c r="A147" i="7"/>
  <c r="A146" i="7"/>
  <c r="A145" i="7"/>
  <c r="A144" i="7"/>
  <c r="A143" i="7"/>
  <c r="A142" i="7"/>
  <c r="A141" i="7"/>
  <c r="A140" i="7"/>
  <c r="A139" i="7"/>
  <c r="A138" i="7"/>
  <c r="H137" i="7"/>
  <c r="A137" i="7"/>
  <c r="H136" i="7"/>
  <c r="A136" i="7"/>
  <c r="H135" i="7"/>
  <c r="A135" i="7"/>
  <c r="H134" i="7"/>
  <c r="A134" i="7"/>
  <c r="H133" i="7"/>
  <c r="A133" i="7"/>
  <c r="H132" i="7"/>
  <c r="A132" i="7"/>
  <c r="H131" i="7"/>
  <c r="A131" i="7"/>
  <c r="H130" i="7"/>
  <c r="A130" i="7"/>
  <c r="H129" i="7"/>
  <c r="A129" i="7"/>
  <c r="H128" i="7"/>
  <c r="A128" i="7"/>
  <c r="H127" i="7"/>
  <c r="A127" i="7"/>
  <c r="H126" i="7"/>
  <c r="A126" i="7"/>
  <c r="H125" i="7"/>
  <c r="A125" i="7"/>
  <c r="H124" i="7"/>
  <c r="A124" i="7"/>
  <c r="H123" i="7"/>
  <c r="A123" i="7"/>
  <c r="H122" i="7"/>
  <c r="A122" i="7"/>
  <c r="H121" i="7"/>
  <c r="A121" i="7"/>
  <c r="H120" i="7"/>
  <c r="A120" i="7"/>
  <c r="H119" i="7"/>
  <c r="A119"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H81" i="7"/>
  <c r="A81" i="7"/>
  <c r="H80" i="7"/>
  <c r="A80" i="7"/>
  <c r="H79" i="7"/>
  <c r="A79" i="7"/>
  <c r="H78" i="7"/>
  <c r="A78" i="7"/>
  <c r="H77" i="7"/>
  <c r="A77" i="7"/>
  <c r="H76" i="7"/>
  <c r="A76" i="7"/>
  <c r="H75" i="7"/>
  <c r="A75" i="7"/>
  <c r="H74" i="7"/>
  <c r="A74" i="7"/>
  <c r="H73" i="7"/>
  <c r="A73" i="7"/>
  <c r="H72" i="7"/>
  <c r="A72" i="7"/>
  <c r="H71" i="7"/>
  <c r="A71" i="7"/>
  <c r="H70" i="7"/>
  <c r="A70" i="7"/>
  <c r="H69" i="7"/>
  <c r="A69" i="7"/>
  <c r="H68" i="7"/>
  <c r="A68" i="7"/>
  <c r="H67" i="7"/>
  <c r="A67" i="7"/>
  <c r="H66" i="7"/>
  <c r="A66" i="7"/>
  <c r="H65" i="7"/>
  <c r="A65" i="7"/>
  <c r="H64" i="7"/>
  <c r="A64" i="7"/>
  <c r="H63" i="7"/>
  <c r="A63" i="7"/>
  <c r="H58" i="7"/>
  <c r="F58" i="7"/>
  <c r="A56" i="7"/>
  <c r="A55" i="7"/>
  <c r="H54" i="7"/>
  <c r="A54" i="7"/>
  <c r="H49" i="7"/>
  <c r="H51" i="7" s="1"/>
  <c r="A49" i="7"/>
  <c r="H48" i="7"/>
  <c r="A48" i="7"/>
  <c r="A43" i="7"/>
  <c r="A42" i="7"/>
  <c r="A41" i="7"/>
  <c r="A40" i="7"/>
  <c r="A39" i="7"/>
  <c r="A38" i="7"/>
  <c r="A37" i="7"/>
  <c r="A36" i="7"/>
  <c r="A35" i="7"/>
  <c r="A34" i="7"/>
  <c r="A33" i="7"/>
  <c r="A32" i="7"/>
  <c r="A31" i="7"/>
  <c r="A30" i="7"/>
  <c r="A29" i="7"/>
  <c r="A28" i="7"/>
  <c r="A27" i="7"/>
  <c r="A26" i="7"/>
  <c r="A25" i="7"/>
  <c r="A24" i="7"/>
  <c r="A23" i="7"/>
  <c r="A22" i="7"/>
  <c r="H21" i="7"/>
  <c r="A21" i="7"/>
  <c r="H20" i="7"/>
  <c r="A20" i="7"/>
  <c r="H19" i="7"/>
  <c r="A19" i="7"/>
  <c r="H18" i="7"/>
  <c r="A18" i="7"/>
  <c r="H17" i="7"/>
  <c r="A17" i="7"/>
  <c r="H16" i="7"/>
  <c r="A16" i="7"/>
  <c r="H15" i="7"/>
  <c r="A15" i="7"/>
  <c r="H14" i="7"/>
  <c r="A14" i="7"/>
  <c r="H13" i="7"/>
  <c r="A13" i="7"/>
  <c r="H12" i="7"/>
  <c r="A12" i="7"/>
  <c r="H11" i="7"/>
  <c r="F45" i="7"/>
  <c r="A11" i="7"/>
  <c r="B3" i="7"/>
  <c r="A184" i="6"/>
  <c r="A183" i="6"/>
  <c r="A182" i="6"/>
  <c r="A181" i="6"/>
  <c r="A180" i="6"/>
  <c r="E186" i="6"/>
  <c r="G176" i="6"/>
  <c r="A174" i="6"/>
  <c r="A173" i="6"/>
  <c r="A172" i="6"/>
  <c r="A171" i="6"/>
  <c r="A170" i="6"/>
  <c r="A169" i="6"/>
  <c r="E176" i="6"/>
  <c r="A168" i="6"/>
  <c r="A167" i="6"/>
  <c r="A161" i="6"/>
  <c r="A160" i="6"/>
  <c r="A159" i="6"/>
  <c r="A158" i="6"/>
  <c r="A157" i="6"/>
  <c r="A156" i="6"/>
  <c r="A155" i="6"/>
  <c r="A154" i="6"/>
  <c r="G153" i="6"/>
  <c r="A153" i="6"/>
  <c r="G152" i="6"/>
  <c r="A152" i="6"/>
  <c r="G151" i="6"/>
  <c r="A151" i="6"/>
  <c r="G150" i="6"/>
  <c r="A150" i="6"/>
  <c r="A149" i="6"/>
  <c r="A144" i="6"/>
  <c r="A143" i="6"/>
  <c r="A142" i="6"/>
  <c r="A141" i="6"/>
  <c r="A140" i="6"/>
  <c r="A139" i="6"/>
  <c r="A138" i="6"/>
  <c r="A137" i="6"/>
  <c r="A136" i="6"/>
  <c r="A135" i="6"/>
  <c r="A134" i="6"/>
  <c r="A133" i="6"/>
  <c r="A132" i="6"/>
  <c r="A131" i="6"/>
  <c r="A130" i="6"/>
  <c r="A129" i="6"/>
  <c r="A128" i="6"/>
  <c r="A127" i="6"/>
  <c r="G126" i="6"/>
  <c r="A126" i="6"/>
  <c r="G125" i="6"/>
  <c r="A125" i="6"/>
  <c r="G124" i="6"/>
  <c r="A124" i="6"/>
  <c r="G123" i="6"/>
  <c r="A123" i="6"/>
  <c r="G122" i="6"/>
  <c r="A122" i="6"/>
  <c r="G121" i="6"/>
  <c r="A121" i="6"/>
  <c r="G120" i="6"/>
  <c r="A120" i="6"/>
  <c r="G119" i="6"/>
  <c r="A119"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A85" i="6"/>
  <c r="A84" i="6"/>
  <c r="A83" i="6"/>
  <c r="A82" i="6"/>
  <c r="A81" i="6"/>
  <c r="A80" i="6"/>
  <c r="A79" i="6"/>
  <c r="A78" i="6"/>
  <c r="A77" i="6"/>
  <c r="A76" i="6"/>
  <c r="G75" i="6"/>
  <c r="A75" i="6"/>
  <c r="G74" i="6"/>
  <c r="A74" i="6"/>
  <c r="G73" i="6"/>
  <c r="A73" i="6"/>
  <c r="G72" i="6"/>
  <c r="A72" i="6"/>
  <c r="G71" i="6"/>
  <c r="A71" i="6"/>
  <c r="G70" i="6"/>
  <c r="A70" i="6"/>
  <c r="G69" i="6"/>
  <c r="A69" i="6"/>
  <c r="G68" i="6"/>
  <c r="A68" i="6"/>
  <c r="G67" i="6"/>
  <c r="A67" i="6"/>
  <c r="G66" i="6"/>
  <c r="A66" i="6"/>
  <c r="G65" i="6"/>
  <c r="A65" i="6"/>
  <c r="G64" i="6"/>
  <c r="A64" i="6"/>
  <c r="G63" i="6"/>
  <c r="A63" i="6"/>
  <c r="G62" i="6"/>
  <c r="A62" i="6"/>
  <c r="G61" i="6"/>
  <c r="A61" i="6"/>
  <c r="G60" i="6"/>
  <c r="A60" i="6"/>
  <c r="G59" i="6"/>
  <c r="A59" i="6"/>
  <c r="G58" i="6"/>
  <c r="A58" i="6"/>
  <c r="G57" i="6"/>
  <c r="A57" i="6"/>
  <c r="G56" i="6"/>
  <c r="A56" i="6"/>
  <c r="G55" i="6"/>
  <c r="A55" i="6"/>
  <c r="G54" i="6"/>
  <c r="A54" i="6"/>
  <c r="G53" i="6"/>
  <c r="A53" i="6"/>
  <c r="G52" i="6"/>
  <c r="A52" i="6"/>
  <c r="G51" i="6"/>
  <c r="A51" i="6"/>
  <c r="G50" i="6"/>
  <c r="A50" i="6"/>
  <c r="G49" i="6"/>
  <c r="A49" i="6"/>
  <c r="G48" i="6"/>
  <c r="G114" i="6" s="1"/>
  <c r="A48" i="6"/>
  <c r="G47" i="6"/>
  <c r="A47" i="6"/>
  <c r="E43" i="6"/>
  <c r="A41" i="6"/>
  <c r="A40" i="6"/>
  <c r="G39" i="6"/>
  <c r="G43" i="6" s="1"/>
  <c r="A39" i="6"/>
  <c r="G34" i="6"/>
  <c r="A32" i="6"/>
  <c r="A31" i="6"/>
  <c r="A30" i="6"/>
  <c r="A29" i="6"/>
  <c r="A28" i="6"/>
  <c r="A27" i="6"/>
  <c r="A26" i="6"/>
  <c r="G25" i="6"/>
  <c r="A25" i="6"/>
  <c r="G24" i="6"/>
  <c r="A24" i="6"/>
  <c r="G23" i="6"/>
  <c r="E34" i="6"/>
  <c r="A23" i="6"/>
  <c r="E14" i="6"/>
  <c r="A11" i="6"/>
  <c r="B3" i="6"/>
  <c r="D181" i="5"/>
  <c r="F162" i="5"/>
  <c r="F161" i="5"/>
  <c r="F160" i="5"/>
  <c r="F159" i="5"/>
  <c r="F158" i="5"/>
  <c r="F157" i="5"/>
  <c r="F174" i="5" s="1"/>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38" i="5"/>
  <c r="F37" i="5"/>
  <c r="F36" i="5"/>
  <c r="F35" i="5"/>
  <c r="F48" i="5" s="1"/>
  <c r="D48" i="5"/>
  <c r="D32" i="5"/>
  <c r="F20" i="5"/>
  <c r="F19" i="5"/>
  <c r="F18" i="5"/>
  <c r="F17" i="5"/>
  <c r="F16" i="5"/>
  <c r="F15" i="5"/>
  <c r="F14" i="5"/>
  <c r="F13" i="5"/>
  <c r="F12" i="5"/>
  <c r="D27" i="5"/>
  <c r="A3" i="5"/>
  <c r="G225" i="4"/>
  <c r="E225" i="4"/>
  <c r="G218" i="4"/>
  <c r="E218" i="4"/>
  <c r="G191" i="4"/>
  <c r="G190" i="4"/>
  <c r="G189" i="4"/>
  <c r="G188" i="4"/>
  <c r="G187" i="4"/>
  <c r="G186" i="4"/>
  <c r="G185" i="4"/>
  <c r="G184" i="4"/>
  <c r="G183" i="4"/>
  <c r="G182" i="4"/>
  <c r="G181" i="4"/>
  <c r="E204" i="4"/>
  <c r="C139"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22" i="4"/>
  <c r="G21" i="4"/>
  <c r="G20" i="4"/>
  <c r="G19" i="4"/>
  <c r="G18" i="4"/>
  <c r="G17" i="4"/>
  <c r="G16" i="4"/>
  <c r="G15" i="4"/>
  <c r="G14" i="4"/>
  <c r="G13" i="4"/>
  <c r="G12" i="4"/>
  <c r="W370" i="3"/>
  <c r="W371" i="3" s="1"/>
  <c r="AH365" i="3"/>
  <c r="AF365" i="3"/>
  <c r="AD365" i="3"/>
  <c r="AB365" i="3"/>
  <c r="Z365" i="3"/>
  <c r="X365" i="3"/>
  <c r="V365" i="3"/>
  <c r="T365" i="3"/>
  <c r="R365" i="3"/>
  <c r="P365" i="3"/>
  <c r="N365" i="3"/>
  <c r="L365" i="3"/>
  <c r="J365" i="3"/>
  <c r="AG361" i="3"/>
  <c r="AA361" i="3"/>
  <c r="U361" i="3"/>
  <c r="O361" i="3"/>
  <c r="AG359" i="3"/>
  <c r="AF359" i="3"/>
  <c r="AD359" i="3"/>
  <c r="AB359" i="3"/>
  <c r="AA359" i="3"/>
  <c r="Z359" i="3"/>
  <c r="X359" i="3"/>
  <c r="V359" i="3"/>
  <c r="U359" i="3"/>
  <c r="T359" i="3"/>
  <c r="R359" i="3"/>
  <c r="P359" i="3"/>
  <c r="O359" i="3"/>
  <c r="N359" i="3"/>
  <c r="L359" i="3"/>
  <c r="J359" i="3"/>
  <c r="AH357" i="3"/>
  <c r="AH359" i="3" s="1"/>
  <c r="AG355" i="3"/>
  <c r="AA355" i="3"/>
  <c r="U355" i="3"/>
  <c r="O355" i="3"/>
  <c r="AG353" i="3"/>
  <c r="AF353" i="3"/>
  <c r="AD353" i="3"/>
  <c r="AB353" i="3"/>
  <c r="AA353" i="3"/>
  <c r="Z353" i="3"/>
  <c r="X353" i="3"/>
  <c r="V353" i="3"/>
  <c r="U353" i="3"/>
  <c r="T353" i="3"/>
  <c r="R353" i="3"/>
  <c r="P353" i="3"/>
  <c r="O353" i="3"/>
  <c r="N353" i="3"/>
  <c r="L353" i="3"/>
  <c r="J353" i="3"/>
  <c r="AH351" i="3"/>
  <c r="AH353" i="3" s="1"/>
  <c r="AG349" i="3"/>
  <c r="AA349" i="3"/>
  <c r="U349" i="3"/>
  <c r="O349" i="3"/>
  <c r="AG347" i="3"/>
  <c r="AF347" i="3"/>
  <c r="AD347" i="3"/>
  <c r="AB347" i="3"/>
  <c r="AA347" i="3"/>
  <c r="Z347" i="3"/>
  <c r="X347" i="3"/>
  <c r="V347" i="3"/>
  <c r="U347" i="3"/>
  <c r="T347" i="3"/>
  <c r="R347" i="3"/>
  <c r="P347" i="3"/>
  <c r="O347" i="3"/>
  <c r="N347" i="3"/>
  <c r="L347" i="3"/>
  <c r="J347" i="3"/>
  <c r="AH345" i="3"/>
  <c r="AH347" i="3" s="1"/>
  <c r="AG343" i="3"/>
  <c r="AA343" i="3"/>
  <c r="U343" i="3"/>
  <c r="O343" i="3"/>
  <c r="AG341" i="3"/>
  <c r="AF341" i="3"/>
  <c r="AD341" i="3"/>
  <c r="AB341" i="3"/>
  <c r="AA341" i="3"/>
  <c r="Z341" i="3"/>
  <c r="X341" i="3"/>
  <c r="V341" i="3"/>
  <c r="U341" i="3"/>
  <c r="T341" i="3"/>
  <c r="R341" i="3"/>
  <c r="P341" i="3"/>
  <c r="O341" i="3"/>
  <c r="N341" i="3"/>
  <c r="L341" i="3"/>
  <c r="J341" i="3"/>
  <c r="AH339" i="3"/>
  <c r="AH341" i="3" s="1"/>
  <c r="AG337" i="3"/>
  <c r="AF337" i="3"/>
  <c r="AD337" i="3"/>
  <c r="AB337" i="3"/>
  <c r="AA337" i="3"/>
  <c r="Z337" i="3"/>
  <c r="X337" i="3"/>
  <c r="V337" i="3"/>
  <c r="U337" i="3"/>
  <c r="T337" i="3"/>
  <c r="R337" i="3"/>
  <c r="P337" i="3"/>
  <c r="O337" i="3"/>
  <c r="N337" i="3"/>
  <c r="L337" i="3"/>
  <c r="J337" i="3"/>
  <c r="AH335" i="3"/>
  <c r="AH337" i="3" s="1"/>
  <c r="AG333" i="3"/>
  <c r="AF333" i="3"/>
  <c r="AD333" i="3"/>
  <c r="AB333" i="3"/>
  <c r="AA333" i="3"/>
  <c r="Z333" i="3"/>
  <c r="X333" i="3"/>
  <c r="V333" i="3"/>
  <c r="U333" i="3"/>
  <c r="T333" i="3"/>
  <c r="R333" i="3"/>
  <c r="P333" i="3"/>
  <c r="O333" i="3"/>
  <c r="N333" i="3"/>
  <c r="L333" i="3"/>
  <c r="J333" i="3"/>
  <c r="AH331" i="3"/>
  <c r="AH333" i="3" s="1"/>
  <c r="AG329" i="3"/>
  <c r="AA329" i="3"/>
  <c r="U329" i="3"/>
  <c r="O329" i="3"/>
  <c r="AG327" i="3"/>
  <c r="AA327" i="3"/>
  <c r="U327" i="3"/>
  <c r="O327" i="3"/>
  <c r="AG325" i="3"/>
  <c r="AF325" i="3"/>
  <c r="AD325" i="3"/>
  <c r="AB325" i="3"/>
  <c r="AA325" i="3"/>
  <c r="Z325" i="3"/>
  <c r="X325" i="3"/>
  <c r="V325" i="3"/>
  <c r="U325" i="3"/>
  <c r="T325" i="3"/>
  <c r="R325" i="3"/>
  <c r="P325" i="3"/>
  <c r="O325" i="3"/>
  <c r="N325" i="3"/>
  <c r="L325" i="3"/>
  <c r="J325" i="3"/>
  <c r="AH325" i="3" s="1"/>
  <c r="AH323" i="3"/>
  <c r="AG321" i="3"/>
  <c r="AF321" i="3"/>
  <c r="AD321" i="3"/>
  <c r="AB321" i="3"/>
  <c r="AA321" i="3"/>
  <c r="Z321" i="3"/>
  <c r="X321" i="3"/>
  <c r="V321" i="3"/>
  <c r="U321" i="3"/>
  <c r="T321" i="3"/>
  <c r="R321" i="3"/>
  <c r="P321" i="3"/>
  <c r="O321" i="3"/>
  <c r="N321" i="3"/>
  <c r="L321" i="3"/>
  <c r="J321" i="3"/>
  <c r="AH319" i="3"/>
  <c r="AG317" i="3"/>
  <c r="AF317" i="3"/>
  <c r="AD317" i="3"/>
  <c r="AB317" i="3"/>
  <c r="AA317" i="3"/>
  <c r="Z317" i="3"/>
  <c r="X317" i="3"/>
  <c r="V317" i="3"/>
  <c r="U317" i="3"/>
  <c r="T317" i="3"/>
  <c r="T327" i="3" s="1"/>
  <c r="R317" i="3"/>
  <c r="P317" i="3"/>
  <c r="O317" i="3"/>
  <c r="N317" i="3"/>
  <c r="N327" i="3" s="1"/>
  <c r="L317" i="3"/>
  <c r="J317" i="3"/>
  <c r="AH315" i="3"/>
  <c r="AH314" i="3"/>
  <c r="AH313" i="3"/>
  <c r="AH312" i="3"/>
  <c r="AF303" i="3"/>
  <c r="AD303" i="3"/>
  <c r="AB303" i="3"/>
  <c r="Z303" i="3"/>
  <c r="X303" i="3"/>
  <c r="V303" i="3"/>
  <c r="T303" i="3"/>
  <c r="R303" i="3"/>
  <c r="P303" i="3"/>
  <c r="N303" i="3"/>
  <c r="L303" i="3"/>
  <c r="J303" i="3"/>
  <c r="AH301" i="3"/>
  <c r="AH303" i="3" s="1"/>
  <c r="AF299" i="3"/>
  <c r="AD299" i="3"/>
  <c r="AB299" i="3"/>
  <c r="Z299" i="3"/>
  <c r="X299" i="3"/>
  <c r="V299" i="3"/>
  <c r="T299" i="3"/>
  <c r="R299" i="3"/>
  <c r="P299" i="3"/>
  <c r="N299" i="3"/>
  <c r="L299" i="3"/>
  <c r="J299" i="3"/>
  <c r="AH297" i="3"/>
  <c r="AH296" i="3"/>
  <c r="AH295" i="3"/>
  <c r="AH294" i="3"/>
  <c r="AH293" i="3"/>
  <c r="AH292" i="3"/>
  <c r="AH291" i="3"/>
  <c r="AH290" i="3"/>
  <c r="AH289" i="3"/>
  <c r="AH288" i="3"/>
  <c r="AH287" i="3"/>
  <c r="AH286" i="3"/>
  <c r="AH285" i="3"/>
  <c r="AH284" i="3"/>
  <c r="AH283" i="3"/>
  <c r="AH282" i="3"/>
  <c r="AH281" i="3"/>
  <c r="AH280" i="3"/>
  <c r="AH279" i="3"/>
  <c r="AH278" i="3"/>
  <c r="AH277" i="3"/>
  <c r="AH276" i="3"/>
  <c r="AH275" i="3"/>
  <c r="AH274" i="3"/>
  <c r="AH273" i="3"/>
  <c r="AH272" i="3"/>
  <c r="AH271" i="3"/>
  <c r="AH270" i="3"/>
  <c r="AH269" i="3"/>
  <c r="AH268" i="3"/>
  <c r="AH267" i="3"/>
  <c r="AH266" i="3"/>
  <c r="AH265" i="3"/>
  <c r="AH264" i="3"/>
  <c r="AH263" i="3"/>
  <c r="AH262" i="3"/>
  <c r="AH261" i="3"/>
  <c r="AH260" i="3"/>
  <c r="AH259" i="3"/>
  <c r="AH258" i="3"/>
  <c r="AH257" i="3"/>
  <c r="AH256" i="3"/>
  <c r="AH255" i="3"/>
  <c r="AH254" i="3"/>
  <c r="AH253" i="3"/>
  <c r="AF250" i="3"/>
  <c r="AD250" i="3"/>
  <c r="AD305" i="3" s="1"/>
  <c r="AB250" i="3"/>
  <c r="AB305" i="3" s="1"/>
  <c r="Z250" i="3"/>
  <c r="Z305" i="3" s="1"/>
  <c r="X250" i="3"/>
  <c r="V250" i="3"/>
  <c r="V305" i="3" s="1"/>
  <c r="T250" i="3"/>
  <c r="T305" i="3" s="1"/>
  <c r="R250" i="3"/>
  <c r="R305" i="3" s="1"/>
  <c r="P250" i="3"/>
  <c r="N250" i="3"/>
  <c r="N305" i="3" s="1"/>
  <c r="L250" i="3"/>
  <c r="L305" i="3" s="1"/>
  <c r="J250" i="3"/>
  <c r="J305" i="3" s="1"/>
  <c r="AH248" i="3"/>
  <c r="AH247" i="3"/>
  <c r="AH246" i="3"/>
  <c r="AH245" i="3"/>
  <c r="AH244" i="3"/>
  <c r="AH243" i="3"/>
  <c r="AH242" i="3"/>
  <c r="AH241" i="3"/>
  <c r="AH240" i="3"/>
  <c r="AH239" i="3"/>
  <c r="AH238" i="3"/>
  <c r="AH237" i="3"/>
  <c r="AH236" i="3"/>
  <c r="AF229" i="3"/>
  <c r="AD229" i="3"/>
  <c r="AB229" i="3"/>
  <c r="Z229" i="3"/>
  <c r="X229" i="3"/>
  <c r="V229" i="3"/>
  <c r="T229" i="3"/>
  <c r="R229" i="3"/>
  <c r="P229" i="3"/>
  <c r="N229" i="3"/>
  <c r="L229" i="3"/>
  <c r="J229" i="3"/>
  <c r="AH227" i="3"/>
  <c r="AH229" i="3" s="1"/>
  <c r="AF225" i="3"/>
  <c r="AD225" i="3"/>
  <c r="AB225" i="3"/>
  <c r="Z225" i="3"/>
  <c r="X225" i="3"/>
  <c r="V225" i="3"/>
  <c r="T225" i="3"/>
  <c r="R225" i="3"/>
  <c r="P225" i="3"/>
  <c r="N225" i="3"/>
  <c r="L225" i="3"/>
  <c r="J225" i="3"/>
  <c r="AH223" i="3"/>
  <c r="AH222" i="3"/>
  <c r="AH221" i="3"/>
  <c r="AH220" i="3"/>
  <c r="AH219" i="3"/>
  <c r="AH218" i="3"/>
  <c r="AH217" i="3"/>
  <c r="AH214" i="3"/>
  <c r="AF214" i="3"/>
  <c r="AD214" i="3"/>
  <c r="AB214" i="3"/>
  <c r="Z214" i="3"/>
  <c r="X214" i="3"/>
  <c r="V214" i="3"/>
  <c r="T214" i="3"/>
  <c r="R214" i="3"/>
  <c r="P214" i="3"/>
  <c r="N214" i="3"/>
  <c r="L214" i="3"/>
  <c r="J214" i="3"/>
  <c r="AF210" i="3"/>
  <c r="AD210" i="3"/>
  <c r="AB210" i="3"/>
  <c r="Z210" i="3"/>
  <c r="X210" i="3"/>
  <c r="V210" i="3"/>
  <c r="T210" i="3"/>
  <c r="R210" i="3"/>
  <c r="P210" i="3"/>
  <c r="N210" i="3"/>
  <c r="L210" i="3"/>
  <c r="J210" i="3"/>
  <c r="AH208" i="3"/>
  <c r="AH207" i="3"/>
  <c r="AH206" i="3"/>
  <c r="AH205" i="3"/>
  <c r="AH204" i="3"/>
  <c r="AH203" i="3"/>
  <c r="AH202" i="3"/>
  <c r="AH201" i="3"/>
  <c r="AH200" i="3"/>
  <c r="AH199" i="3"/>
  <c r="AH198" i="3"/>
  <c r="AH197" i="3"/>
  <c r="AH196" i="3"/>
  <c r="AH195" i="3"/>
  <c r="AH194" i="3"/>
  <c r="AF191" i="3"/>
  <c r="AD191" i="3"/>
  <c r="AB191" i="3"/>
  <c r="Z191" i="3"/>
  <c r="X191" i="3"/>
  <c r="V191" i="3"/>
  <c r="T191" i="3"/>
  <c r="R191" i="3"/>
  <c r="P191" i="3"/>
  <c r="N191" i="3"/>
  <c r="L191" i="3"/>
  <c r="J191" i="3"/>
  <c r="AH189" i="3"/>
  <c r="AH188" i="3"/>
  <c r="AH187" i="3"/>
  <c r="AH186" i="3"/>
  <c r="AH185" i="3"/>
  <c r="AH184" i="3"/>
  <c r="AH183" i="3"/>
  <c r="AH182" i="3"/>
  <c r="AH181" i="3"/>
  <c r="AH180" i="3"/>
  <c r="AH179" i="3"/>
  <c r="AH178" i="3"/>
  <c r="AH177" i="3"/>
  <c r="AH176" i="3"/>
  <c r="AH175" i="3"/>
  <c r="AH174" i="3"/>
  <c r="AF171" i="3"/>
  <c r="AD171" i="3"/>
  <c r="AB171" i="3"/>
  <c r="Z171" i="3"/>
  <c r="X171" i="3"/>
  <c r="V171" i="3"/>
  <c r="T171" i="3"/>
  <c r="R171" i="3"/>
  <c r="P171" i="3"/>
  <c r="N171" i="3"/>
  <c r="L171" i="3"/>
  <c r="J171" i="3"/>
  <c r="AH169" i="3"/>
  <c r="AH168" i="3"/>
  <c r="AH167" i="3"/>
  <c r="AH166" i="3"/>
  <c r="AH165" i="3"/>
  <c r="AH164" i="3"/>
  <c r="AH163" i="3"/>
  <c r="AH162" i="3"/>
  <c r="AH161" i="3"/>
  <c r="AH160" i="3"/>
  <c r="AH159" i="3"/>
  <c r="AH158" i="3"/>
  <c r="AH157" i="3"/>
  <c r="AH156" i="3"/>
  <c r="AH155" i="3"/>
  <c r="AF152" i="3"/>
  <c r="AD152" i="3"/>
  <c r="AB152" i="3"/>
  <c r="Z152" i="3"/>
  <c r="X152" i="3"/>
  <c r="V152" i="3"/>
  <c r="T152" i="3"/>
  <c r="R152" i="3"/>
  <c r="P152" i="3"/>
  <c r="N152" i="3"/>
  <c r="L152" i="3"/>
  <c r="J152" i="3"/>
  <c r="AH150" i="3"/>
  <c r="AH149" i="3"/>
  <c r="AH148" i="3"/>
  <c r="AH147" i="3"/>
  <c r="AH146" i="3"/>
  <c r="AH145" i="3"/>
  <c r="AH144" i="3"/>
  <c r="AH143" i="3"/>
  <c r="AH142" i="3"/>
  <c r="AH141" i="3"/>
  <c r="AH140" i="3"/>
  <c r="AH139" i="3"/>
  <c r="AH138" i="3"/>
  <c r="AH137" i="3"/>
  <c r="AH136" i="3"/>
  <c r="AH135" i="3"/>
  <c r="AH134" i="3"/>
  <c r="AH133" i="3"/>
  <c r="AH132" i="3"/>
  <c r="AH131" i="3"/>
  <c r="AH130" i="3"/>
  <c r="AH129" i="3"/>
  <c r="AH128" i="3"/>
  <c r="AH127" i="3"/>
  <c r="AH126" i="3"/>
  <c r="AH125" i="3"/>
  <c r="AH124" i="3"/>
  <c r="AH123" i="3"/>
  <c r="AH122" i="3"/>
  <c r="AH121" i="3"/>
  <c r="AH120" i="3"/>
  <c r="AF117" i="3"/>
  <c r="AD117" i="3"/>
  <c r="AB117" i="3"/>
  <c r="Z117" i="3"/>
  <c r="X117" i="3"/>
  <c r="V117" i="3"/>
  <c r="T117" i="3"/>
  <c r="R117" i="3"/>
  <c r="P117" i="3"/>
  <c r="N117" i="3"/>
  <c r="L117" i="3"/>
  <c r="J117" i="3"/>
  <c r="AH115" i="3"/>
  <c r="AH117" i="3" s="1"/>
  <c r="AF113" i="3"/>
  <c r="AD113" i="3"/>
  <c r="AB113" i="3"/>
  <c r="Z113" i="3"/>
  <c r="Z231" i="3" s="1"/>
  <c r="X113" i="3"/>
  <c r="V113" i="3"/>
  <c r="T113" i="3"/>
  <c r="R113" i="3"/>
  <c r="R231" i="3" s="1"/>
  <c r="P113" i="3"/>
  <c r="N113" i="3"/>
  <c r="L113" i="3"/>
  <c r="J113" i="3"/>
  <c r="AH111" i="3"/>
  <c r="AH110" i="3"/>
  <c r="AH109" i="3"/>
  <c r="AH108" i="3"/>
  <c r="AH107" i="3"/>
  <c r="AH106" i="3"/>
  <c r="AH105" i="3"/>
  <c r="AH104" i="3"/>
  <c r="AH103" i="3"/>
  <c r="AH102" i="3"/>
  <c r="AH101" i="3"/>
  <c r="AH100" i="3"/>
  <c r="AH99" i="3"/>
  <c r="AH98" i="3"/>
  <c r="AH97" i="3"/>
  <c r="AF90" i="3"/>
  <c r="AD90" i="3"/>
  <c r="AB90" i="3"/>
  <c r="Z90" i="3"/>
  <c r="X90" i="3"/>
  <c r="V90" i="3"/>
  <c r="T90" i="3"/>
  <c r="R90" i="3"/>
  <c r="P90" i="3"/>
  <c r="N90" i="3"/>
  <c r="L90" i="3"/>
  <c r="J90" i="3"/>
  <c r="AH88" i="3"/>
  <c r="AH90" i="3" s="1"/>
  <c r="AF86" i="3"/>
  <c r="AD86" i="3"/>
  <c r="AB86" i="3"/>
  <c r="Z86" i="3"/>
  <c r="X86" i="3"/>
  <c r="V86" i="3"/>
  <c r="T86" i="3"/>
  <c r="R86" i="3"/>
  <c r="P86" i="3"/>
  <c r="N86" i="3"/>
  <c r="L86" i="3"/>
  <c r="J86" i="3"/>
  <c r="AH84" i="3"/>
  <c r="AH83" i="3"/>
  <c r="AF80" i="3"/>
  <c r="AD80" i="3"/>
  <c r="AB80" i="3"/>
  <c r="Z80" i="3"/>
  <c r="X80" i="3"/>
  <c r="V80" i="3"/>
  <c r="T80" i="3"/>
  <c r="R80" i="3"/>
  <c r="P80" i="3"/>
  <c r="N80" i="3"/>
  <c r="L80" i="3"/>
  <c r="J80" i="3"/>
  <c r="AH78" i="3"/>
  <c r="AH77" i="3"/>
  <c r="AH76" i="3"/>
  <c r="AH75" i="3"/>
  <c r="AF72" i="3"/>
  <c r="AD72" i="3"/>
  <c r="AB72" i="3"/>
  <c r="Z72" i="3"/>
  <c r="X72" i="3"/>
  <c r="V72" i="3"/>
  <c r="T72" i="3"/>
  <c r="R72" i="3"/>
  <c r="P72" i="3"/>
  <c r="N72" i="3"/>
  <c r="L72" i="3"/>
  <c r="J72" i="3"/>
  <c r="AH70" i="3"/>
  <c r="AH72" i="3" s="1"/>
  <c r="AF68" i="3"/>
  <c r="AD68" i="3"/>
  <c r="AB68" i="3"/>
  <c r="Z68" i="3"/>
  <c r="Z92" i="3" s="1"/>
  <c r="X68" i="3"/>
  <c r="V68" i="3"/>
  <c r="T68" i="3"/>
  <c r="R68" i="3"/>
  <c r="P68" i="3"/>
  <c r="N68" i="3"/>
  <c r="L68" i="3"/>
  <c r="J68" i="3"/>
  <c r="AH66" i="3"/>
  <c r="AH65" i="3"/>
  <c r="AH64" i="3"/>
  <c r="AH63" i="3"/>
  <c r="AF58" i="3"/>
  <c r="AD58" i="3"/>
  <c r="AB58" i="3"/>
  <c r="Z58" i="3"/>
  <c r="X58" i="3"/>
  <c r="V58" i="3"/>
  <c r="T58" i="3"/>
  <c r="R58" i="3"/>
  <c r="P58" i="3"/>
  <c r="N58" i="3"/>
  <c r="L58" i="3"/>
  <c r="J58" i="3"/>
  <c r="AH56" i="3"/>
  <c r="AH55" i="3"/>
  <c r="AF52" i="3"/>
  <c r="AD52" i="3"/>
  <c r="AB52" i="3"/>
  <c r="Z52" i="3"/>
  <c r="X52" i="3"/>
  <c r="V52" i="3"/>
  <c r="T52" i="3"/>
  <c r="R52" i="3"/>
  <c r="P52" i="3"/>
  <c r="N52" i="3"/>
  <c r="L52" i="3"/>
  <c r="J52" i="3"/>
  <c r="AH50" i="3"/>
  <c r="AH52" i="3" s="1"/>
  <c r="AF48" i="3"/>
  <c r="AD48" i="3"/>
  <c r="AB48" i="3"/>
  <c r="Z48" i="3"/>
  <c r="X48" i="3"/>
  <c r="V48" i="3"/>
  <c r="T48" i="3"/>
  <c r="R48" i="3"/>
  <c r="P48" i="3"/>
  <c r="N48" i="3"/>
  <c r="L48" i="3"/>
  <c r="J48" i="3"/>
  <c r="AH46" i="3"/>
  <c r="AH48" i="3" s="1"/>
  <c r="AF43" i="3"/>
  <c r="AD43" i="3"/>
  <c r="AB43" i="3"/>
  <c r="Z43" i="3"/>
  <c r="X43" i="3"/>
  <c r="V43" i="3"/>
  <c r="T43" i="3"/>
  <c r="R43" i="3"/>
  <c r="P43" i="3"/>
  <c r="N43" i="3"/>
  <c r="L43" i="3"/>
  <c r="J43" i="3"/>
  <c r="AH41" i="3"/>
  <c r="AH40" i="3"/>
  <c r="AH39" i="3"/>
  <c r="AH38" i="3"/>
  <c r="AF35" i="3"/>
  <c r="AD35" i="3"/>
  <c r="AB35" i="3"/>
  <c r="Z35" i="3"/>
  <c r="X35" i="3"/>
  <c r="V35" i="3"/>
  <c r="T35" i="3"/>
  <c r="R35" i="3"/>
  <c r="P35" i="3"/>
  <c r="N35" i="3"/>
  <c r="L35" i="3"/>
  <c r="J35" i="3"/>
  <c r="AH33" i="3"/>
  <c r="AH35" i="3" s="1"/>
  <c r="AF31" i="3"/>
  <c r="AD31" i="3"/>
  <c r="AB31" i="3"/>
  <c r="Z31" i="3"/>
  <c r="X31" i="3"/>
  <c r="V31" i="3"/>
  <c r="T31" i="3"/>
  <c r="R31" i="3"/>
  <c r="P31" i="3"/>
  <c r="N31" i="3"/>
  <c r="L31" i="3"/>
  <c r="J31" i="3"/>
  <c r="AH29" i="3"/>
  <c r="AH28" i="3"/>
  <c r="AH27" i="3"/>
  <c r="AH26" i="3"/>
  <c r="AH25" i="3"/>
  <c r="AH24" i="3"/>
  <c r="AH23" i="3"/>
  <c r="AH22" i="3"/>
  <c r="AH21" i="3"/>
  <c r="AH20" i="3"/>
  <c r="AH19" i="3"/>
  <c r="AH18" i="3"/>
  <c r="AH17" i="3"/>
  <c r="AH16" i="3"/>
  <c r="AH13" i="3"/>
  <c r="AF3" i="3"/>
  <c r="AF12" i="3" s="1"/>
  <c r="AD3" i="3"/>
  <c r="AD12" i="3" s="1"/>
  <c r="AB3" i="3"/>
  <c r="AB12" i="3" s="1"/>
  <c r="Z3" i="3"/>
  <c r="Z12" i="3" s="1"/>
  <c r="X3" i="3"/>
  <c r="X12" i="3" s="1"/>
  <c r="V3" i="3"/>
  <c r="V12" i="3" s="1"/>
  <c r="T3" i="3"/>
  <c r="T12" i="3" s="1"/>
  <c r="R3" i="3"/>
  <c r="R12" i="3" s="1"/>
  <c r="P3" i="3"/>
  <c r="P12" i="3" s="1"/>
  <c r="N3" i="3"/>
  <c r="N12" i="3" s="1"/>
  <c r="L3" i="3"/>
  <c r="L12" i="3" s="1"/>
  <c r="J3" i="3"/>
  <c r="J12" i="3" s="1"/>
  <c r="AH2" i="3"/>
  <c r="I15" i="2"/>
  <c r="H15" i="2"/>
  <c r="G15" i="2"/>
  <c r="F15" i="2"/>
  <c r="J15" i="2" s="1"/>
  <c r="K15" i="2" s="1"/>
  <c r="E15" i="2"/>
  <c r="D15" i="2"/>
  <c r="B15" i="2"/>
  <c r="G14" i="2"/>
  <c r="F14" i="2"/>
  <c r="E14" i="2"/>
  <c r="D14" i="2"/>
  <c r="C14" i="2"/>
  <c r="J14" i="2" s="1"/>
  <c r="K14" i="2" s="1"/>
  <c r="B14" i="2"/>
  <c r="E13" i="2"/>
  <c r="C13" i="2"/>
  <c r="I11" i="2"/>
  <c r="I16" i="2" s="1"/>
  <c r="I17" i="2" s="1"/>
  <c r="D11" i="2"/>
  <c r="G10" i="2"/>
  <c r="K9" i="2"/>
  <c r="J9" i="2"/>
  <c r="D8" i="2"/>
  <c r="G7" i="2"/>
  <c r="E7" i="2"/>
  <c r="D7" i="2"/>
  <c r="C7" i="2"/>
  <c r="G6" i="2"/>
  <c r="E6" i="2"/>
  <c r="D5" i="2"/>
  <c r="M15" i="1"/>
  <c r="I15" i="1"/>
  <c r="H15" i="1"/>
  <c r="G15" i="1"/>
  <c r="F15" i="1"/>
  <c r="E15" i="1"/>
  <c r="D15" i="1"/>
  <c r="B15" i="1"/>
  <c r="M14" i="1"/>
  <c r="G14" i="1"/>
  <c r="F14" i="1"/>
  <c r="E14" i="1"/>
  <c r="D14" i="1"/>
  <c r="C14" i="1"/>
  <c r="B14" i="1"/>
  <c r="K14" i="1" s="1"/>
  <c r="M13" i="1"/>
  <c r="G13" i="1"/>
  <c r="F13" i="1"/>
  <c r="M12" i="1"/>
  <c r="G12" i="1"/>
  <c r="B12" i="1"/>
  <c r="M11" i="1"/>
  <c r="I11" i="1"/>
  <c r="I16" i="1" s="1"/>
  <c r="H11" i="1"/>
  <c r="H16" i="1" s="1"/>
  <c r="G11" i="1"/>
  <c r="G10" i="1"/>
  <c r="C10" i="1"/>
  <c r="N9" i="1"/>
  <c r="K9" i="1"/>
  <c r="M8" i="1"/>
  <c r="G8" i="1"/>
  <c r="D8" i="1"/>
  <c r="M7" i="1"/>
  <c r="G7" i="1"/>
  <c r="E7" i="1"/>
  <c r="D7" i="1"/>
  <c r="C7" i="1"/>
  <c r="M6" i="1"/>
  <c r="G6" i="1"/>
  <c r="C6" i="1"/>
  <c r="M5" i="1"/>
  <c r="G5" i="1"/>
  <c r="F5" i="1"/>
  <c r="E5" i="1"/>
  <c r="D5" i="1"/>
  <c r="B4" i="3"/>
  <c r="B5" i="3"/>
  <c r="G16" i="1" l="1"/>
  <c r="K15" i="1"/>
  <c r="N15" i="1" s="1"/>
  <c r="AH68" i="3"/>
  <c r="M16" i="1"/>
  <c r="AD231" i="3"/>
  <c r="N60" i="3"/>
  <c r="V60" i="3"/>
  <c r="AD60" i="3"/>
  <c r="N92" i="3"/>
  <c r="V92" i="3"/>
  <c r="AD92" i="3"/>
  <c r="AH152" i="3"/>
  <c r="AH191" i="3"/>
  <c r="N94" i="3"/>
  <c r="AH58" i="3"/>
  <c r="AH317" i="3"/>
  <c r="L327" i="3"/>
  <c r="R327" i="3"/>
  <c r="X327" i="3"/>
  <c r="AD327" i="3"/>
  <c r="P60" i="3"/>
  <c r="X60" i="3"/>
  <c r="AF60" i="3"/>
  <c r="AH80" i="3"/>
  <c r="J92" i="3"/>
  <c r="R92" i="3"/>
  <c r="AH86" i="3"/>
  <c r="AH113" i="3"/>
  <c r="AH210" i="3"/>
  <c r="AH250" i="3"/>
  <c r="N14" i="1"/>
  <c r="AH43" i="3"/>
  <c r="J60" i="3"/>
  <c r="J94" i="3" s="1"/>
  <c r="R60" i="3"/>
  <c r="R94" i="3" s="1"/>
  <c r="R233" i="3" s="1"/>
  <c r="R308" i="3" s="1"/>
  <c r="R329" i="3" s="1"/>
  <c r="R343" i="3" s="1"/>
  <c r="R349" i="3" s="1"/>
  <c r="R355" i="3" s="1"/>
  <c r="R361" i="3" s="1"/>
  <c r="Z60" i="3"/>
  <c r="N231" i="3"/>
  <c r="N233" i="3" s="1"/>
  <c r="N308" i="3" s="1"/>
  <c r="AH31" i="3"/>
  <c r="L60" i="3"/>
  <c r="T60" i="3"/>
  <c r="AB60" i="3"/>
  <c r="P92" i="3"/>
  <c r="X92" i="3"/>
  <c r="AF92" i="3"/>
  <c r="V231" i="3"/>
  <c r="AH171" i="3"/>
  <c r="AH299" i="3"/>
  <c r="Z327" i="3"/>
  <c r="AF327" i="3"/>
  <c r="AH92" i="3"/>
  <c r="L231" i="3"/>
  <c r="AB231" i="3"/>
  <c r="V94" i="3"/>
  <c r="AD94" i="3"/>
  <c r="AD233" i="3" s="1"/>
  <c r="AD308" i="3" s="1"/>
  <c r="X94" i="3"/>
  <c r="AF94" i="3"/>
  <c r="R310" i="3"/>
  <c r="Z94" i="3"/>
  <c r="Z233" i="3" s="1"/>
  <c r="Z308" i="3" s="1"/>
  <c r="I17" i="1"/>
  <c r="L92" i="3"/>
  <c r="T92" i="3"/>
  <c r="AB92" i="3"/>
  <c r="AB94" i="3" s="1"/>
  <c r="AB233" i="3" s="1"/>
  <c r="AB308" i="3" s="1"/>
  <c r="J231" i="3"/>
  <c r="T231" i="3"/>
  <c r="AH225" i="3"/>
  <c r="G153" i="4"/>
  <c r="B8" i="2" s="1"/>
  <c r="G11" i="4"/>
  <c r="G46" i="4" s="1"/>
  <c r="B5" i="2" s="1"/>
  <c r="E46" i="4"/>
  <c r="B5" i="1" s="1"/>
  <c r="P231" i="3"/>
  <c r="X231" i="3"/>
  <c r="AF231" i="3"/>
  <c r="J327" i="3"/>
  <c r="P327" i="3"/>
  <c r="V327" i="3"/>
  <c r="AB327" i="3"/>
  <c r="AH321" i="3"/>
  <c r="P305" i="3"/>
  <c r="X305" i="3"/>
  <c r="AF305" i="3"/>
  <c r="E153" i="4"/>
  <c r="B8" i="1" s="1"/>
  <c r="G204" i="4"/>
  <c r="F11" i="5"/>
  <c r="F27" i="5" s="1"/>
  <c r="C6" i="2" s="1"/>
  <c r="F53" i="5"/>
  <c r="F152" i="5" s="1"/>
  <c r="C11" i="2" s="1"/>
  <c r="D152" i="5"/>
  <c r="C11" i="1" s="1"/>
  <c r="H161" i="7"/>
  <c r="E11" i="2" s="1"/>
  <c r="H67" i="8"/>
  <c r="F6" i="2" s="1"/>
  <c r="E19" i="6"/>
  <c r="D6" i="1" s="1"/>
  <c r="G17" i="6"/>
  <c r="G19" i="6" s="1"/>
  <c r="D6" i="2" s="1"/>
  <c r="E114" i="6"/>
  <c r="D11" i="1" s="1"/>
  <c r="G149" i="6"/>
  <c r="G164" i="6" s="1"/>
  <c r="E164" i="6"/>
  <c r="D13" i="1" s="1"/>
  <c r="H45" i="7"/>
  <c r="E5" i="2" s="1"/>
  <c r="H200" i="7"/>
  <c r="E12" i="2" s="1"/>
  <c r="F30" i="5"/>
  <c r="F32" i="5" s="1"/>
  <c r="C10" i="2" s="1"/>
  <c r="G146" i="6"/>
  <c r="D12" i="2" s="1"/>
  <c r="H116" i="7"/>
  <c r="E8" i="2" s="1"/>
  <c r="H88" i="8"/>
  <c r="F7" i="2" s="1"/>
  <c r="J7" i="2" s="1"/>
  <c r="K7" i="2" s="1"/>
  <c r="D174" i="5"/>
  <c r="C13" i="1" s="1"/>
  <c r="K13" i="1" s="1"/>
  <c r="N13" i="1" s="1"/>
  <c r="F51" i="7"/>
  <c r="E6" i="1" s="1"/>
  <c r="E16" i="1" s="1"/>
  <c r="F214" i="7"/>
  <c r="E13" i="1" s="1"/>
  <c r="H73" i="8"/>
  <c r="F10" i="2" s="1"/>
  <c r="F73" i="8"/>
  <c r="F10" i="1" s="1"/>
  <c r="K10" i="1" s="1"/>
  <c r="N10" i="1" s="1"/>
  <c r="F211" i="8"/>
  <c r="F8" i="1" s="1"/>
  <c r="F386" i="8"/>
  <c r="F12" i="1" s="1"/>
  <c r="H218" i="9"/>
  <c r="G12" i="2" s="1"/>
  <c r="F93" i="10"/>
  <c r="H17" i="1" s="1"/>
  <c r="E37" i="11"/>
  <c r="F161" i="7"/>
  <c r="E11" i="1" s="1"/>
  <c r="F67" i="8"/>
  <c r="F6" i="1" s="1"/>
  <c r="F16" i="1" s="1"/>
  <c r="H93" i="8"/>
  <c r="H211" i="8" s="1"/>
  <c r="F8" i="2" s="1"/>
  <c r="H386" i="8"/>
  <c r="F12" i="2" s="1"/>
  <c r="F260" i="9"/>
  <c r="G17" i="1" s="1"/>
  <c r="E146" i="6"/>
  <c r="D12" i="1" s="1"/>
  <c r="K12" i="1" s="1"/>
  <c r="N12" i="1" s="1"/>
  <c r="F116" i="7"/>
  <c r="E8" i="1" s="1"/>
  <c r="F200" i="7"/>
  <c r="E12" i="1" s="1"/>
  <c r="F88" i="8"/>
  <c r="F7" i="1" s="1"/>
  <c r="K7" i="1" s="1"/>
  <c r="N7" i="1" s="1"/>
  <c r="H327" i="8"/>
  <c r="F11" i="2" s="1"/>
  <c r="F327" i="8"/>
  <c r="F11" i="1" s="1"/>
  <c r="H198" i="9"/>
  <c r="G11" i="2" s="1"/>
  <c r="H11" i="8"/>
  <c r="H51" i="8" s="1"/>
  <c r="F5" i="2" s="1"/>
  <c r="F16" i="2" s="1"/>
  <c r="H389" i="8"/>
  <c r="H401" i="8" s="1"/>
  <c r="F13" i="2" s="1"/>
  <c r="H12" i="9"/>
  <c r="H40" i="9" s="1"/>
  <c r="G5" i="2" s="1"/>
  <c r="H75" i="9"/>
  <c r="H135" i="9" s="1"/>
  <c r="G8" i="2" s="1"/>
  <c r="H18" i="10"/>
  <c r="H54" i="10" s="1"/>
  <c r="H11" i="2" s="1"/>
  <c r="H16" i="2" s="1"/>
  <c r="H17" i="2" s="1"/>
  <c r="H60" i="10"/>
  <c r="H66" i="10" s="1"/>
  <c r="H221" i="9"/>
  <c r="H233" i="9" s="1"/>
  <c r="G13" i="2" s="1"/>
  <c r="J8" i="2" l="1"/>
  <c r="K8" i="2" s="1"/>
  <c r="G16" i="2"/>
  <c r="V233" i="3"/>
  <c r="V308" i="3" s="1"/>
  <c r="AH60" i="3"/>
  <c r="AH327" i="3"/>
  <c r="AH231" i="3"/>
  <c r="J233" i="3"/>
  <c r="J308" i="3" s="1"/>
  <c r="N329" i="3"/>
  <c r="N343" i="3" s="1"/>
  <c r="N349" i="3" s="1"/>
  <c r="N355" i="3" s="1"/>
  <c r="N361" i="3" s="1"/>
  <c r="N310" i="3"/>
  <c r="T94" i="3"/>
  <c r="T233" i="3" s="1"/>
  <c r="T308" i="3" s="1"/>
  <c r="AH305" i="3"/>
  <c r="X233" i="3"/>
  <c r="X308" i="3" s="1"/>
  <c r="L94" i="3"/>
  <c r="L233" i="3" s="1"/>
  <c r="L308" i="3" s="1"/>
  <c r="L310" i="3" s="1"/>
  <c r="P94" i="3"/>
  <c r="P233" i="3" s="1"/>
  <c r="P308" i="3" s="1"/>
  <c r="AB310" i="3"/>
  <c r="AB329" i="3"/>
  <c r="AB343" i="3" s="1"/>
  <c r="AB349" i="3" s="1"/>
  <c r="AB355" i="3" s="1"/>
  <c r="AB361" i="3" s="1"/>
  <c r="AB370" i="3" s="1"/>
  <c r="AB371" i="3" s="1"/>
  <c r="T310" i="3"/>
  <c r="T329" i="3"/>
  <c r="T343" i="3" s="1"/>
  <c r="T349" i="3" s="1"/>
  <c r="T355" i="3" s="1"/>
  <c r="T361" i="3" s="1"/>
  <c r="AD329" i="3"/>
  <c r="AD343" i="3" s="1"/>
  <c r="AD349" i="3" s="1"/>
  <c r="AD355" i="3" s="1"/>
  <c r="AD361" i="3" s="1"/>
  <c r="AD370" i="3" s="1"/>
  <c r="AD371" i="3" s="1"/>
  <c r="AD310" i="3"/>
  <c r="H93" i="10"/>
  <c r="F432" i="8"/>
  <c r="F17" i="1" s="1"/>
  <c r="J12" i="2"/>
  <c r="E16" i="2"/>
  <c r="D185" i="5"/>
  <c r="G227" i="4"/>
  <c r="B12" i="2"/>
  <c r="B16" i="2" s="1"/>
  <c r="B17" i="2" s="1"/>
  <c r="F238" i="7"/>
  <c r="E17" i="1" s="1"/>
  <c r="B16" i="1"/>
  <c r="K5" i="1"/>
  <c r="X329" i="3"/>
  <c r="X343" i="3" s="1"/>
  <c r="X349" i="3" s="1"/>
  <c r="X355" i="3" s="1"/>
  <c r="X361" i="3" s="1"/>
  <c r="X370" i="3" s="1"/>
  <c r="X371" i="3" s="1"/>
  <c r="X310" i="3"/>
  <c r="J10" i="2"/>
  <c r="K10" i="2" s="1"/>
  <c r="K6" i="1"/>
  <c r="N6" i="1" s="1"/>
  <c r="K11" i="1"/>
  <c r="N11" i="1" s="1"/>
  <c r="C16" i="1"/>
  <c r="C17" i="1" s="1"/>
  <c r="E227" i="4"/>
  <c r="Z329" i="3"/>
  <c r="Z343" i="3" s="1"/>
  <c r="Z349" i="3" s="1"/>
  <c r="Z355" i="3" s="1"/>
  <c r="Z361" i="3" s="1"/>
  <c r="Z370" i="3" s="1"/>
  <c r="Z371" i="3" s="1"/>
  <c r="Z310" i="3"/>
  <c r="J310" i="3"/>
  <c r="J329" i="3"/>
  <c r="J343" i="3" s="1"/>
  <c r="J349" i="3" s="1"/>
  <c r="J355" i="3" s="1"/>
  <c r="J361" i="3" s="1"/>
  <c r="V310" i="3"/>
  <c r="V329" i="3"/>
  <c r="V343" i="3" s="1"/>
  <c r="V349" i="3" s="1"/>
  <c r="V355" i="3" s="1"/>
  <c r="V361" i="3" s="1"/>
  <c r="V370" i="3" s="1"/>
  <c r="V371" i="3" s="1"/>
  <c r="F17" i="2"/>
  <c r="H432" i="8"/>
  <c r="C16" i="2"/>
  <c r="J6" i="2"/>
  <c r="K6" i="2" s="1"/>
  <c r="H260" i="9"/>
  <c r="G17" i="2" s="1"/>
  <c r="E188" i="6"/>
  <c r="H238" i="7"/>
  <c r="G188" i="6"/>
  <c r="D13" i="2"/>
  <c r="J11" i="2"/>
  <c r="K11" i="2" s="1"/>
  <c r="K8" i="1"/>
  <c r="N8" i="1" s="1"/>
  <c r="F185" i="5"/>
  <c r="J5" i="2"/>
  <c r="AF233" i="3"/>
  <c r="AF308" i="3" s="1"/>
  <c r="AI357" i="3"/>
  <c r="AI353" i="3"/>
  <c r="AI345" i="3"/>
  <c r="AI341" i="3"/>
  <c r="AI337" i="3"/>
  <c r="AI333" i="3"/>
  <c r="AI325" i="3"/>
  <c r="AI321" i="3"/>
  <c r="AI317" i="3"/>
  <c r="AI314" i="3"/>
  <c r="AI312" i="3"/>
  <c r="AI303" i="3"/>
  <c r="AI299" i="3"/>
  <c r="AI296" i="3"/>
  <c r="AI294" i="3"/>
  <c r="AI292" i="3"/>
  <c r="AI290" i="3"/>
  <c r="AI288" i="3"/>
  <c r="AI286" i="3"/>
  <c r="AI284" i="3"/>
  <c r="AI282" i="3"/>
  <c r="AI280" i="3"/>
  <c r="AI278" i="3"/>
  <c r="AI276" i="3"/>
  <c r="AI274" i="3"/>
  <c r="AI272" i="3"/>
  <c r="AI270" i="3"/>
  <c r="AI268" i="3"/>
  <c r="AI266" i="3"/>
  <c r="AI264" i="3"/>
  <c r="AI262" i="3"/>
  <c r="AI260" i="3"/>
  <c r="AI258" i="3"/>
  <c r="AI256" i="3"/>
  <c r="AI254" i="3"/>
  <c r="AI250" i="3"/>
  <c r="AI247" i="3"/>
  <c r="AI245" i="3"/>
  <c r="AI243" i="3"/>
  <c r="AI241" i="3"/>
  <c r="AI239" i="3"/>
  <c r="AI237" i="3"/>
  <c r="AI229" i="3"/>
  <c r="AI225" i="3"/>
  <c r="AI222" i="3"/>
  <c r="AI220" i="3"/>
  <c r="AI218" i="3"/>
  <c r="AI214" i="3"/>
  <c r="AI208" i="3"/>
  <c r="AI206" i="3"/>
  <c r="AI204" i="3"/>
  <c r="AI202" i="3"/>
  <c r="AI200" i="3"/>
  <c r="AI198" i="3"/>
  <c r="AI196" i="3"/>
  <c r="AI194" i="3"/>
  <c r="AI189" i="3"/>
  <c r="AI187" i="3"/>
  <c r="AI185" i="3"/>
  <c r="AI183" i="3"/>
  <c r="AI181" i="3"/>
  <c r="AI179" i="3"/>
  <c r="AI177" i="3"/>
  <c r="AI175" i="3"/>
  <c r="AI171" i="3"/>
  <c r="AI168" i="3"/>
  <c r="AI166" i="3"/>
  <c r="AI164" i="3"/>
  <c r="AI162" i="3"/>
  <c r="AI160" i="3"/>
  <c r="AI158" i="3"/>
  <c r="AI156" i="3"/>
  <c r="AI152" i="3"/>
  <c r="AI149" i="3"/>
  <c r="AI147" i="3"/>
  <c r="AI145" i="3"/>
  <c r="AI143" i="3"/>
  <c r="AI141" i="3"/>
  <c r="AI139" i="3"/>
  <c r="AI137" i="3"/>
  <c r="AI135" i="3"/>
  <c r="AI133" i="3"/>
  <c r="AI131" i="3"/>
  <c r="AI129" i="3"/>
  <c r="AI127" i="3"/>
  <c r="AI125" i="3"/>
  <c r="AI123" i="3"/>
  <c r="AI121" i="3"/>
  <c r="AI117" i="3"/>
  <c r="AI113" i="3"/>
  <c r="AI110" i="3"/>
  <c r="AI108" i="3"/>
  <c r="AI106" i="3"/>
  <c r="AI359" i="3"/>
  <c r="AI327" i="3"/>
  <c r="AI313" i="3"/>
  <c r="AI305" i="3"/>
  <c r="AI301" i="3"/>
  <c r="AI291" i="3"/>
  <c r="AI283" i="3"/>
  <c r="AI275" i="3"/>
  <c r="AI267" i="3"/>
  <c r="AI259" i="3"/>
  <c r="AI248" i="3"/>
  <c r="AI240" i="3"/>
  <c r="AI221" i="3"/>
  <c r="AI207" i="3"/>
  <c r="AI199" i="3"/>
  <c r="AI188" i="3"/>
  <c r="AI180" i="3"/>
  <c r="AI169" i="3"/>
  <c r="AI161" i="3"/>
  <c r="AI150" i="3"/>
  <c r="AI142" i="3"/>
  <c r="AI134" i="3"/>
  <c r="AI126" i="3"/>
  <c r="AI115" i="3"/>
  <c r="AI105" i="3"/>
  <c r="AI103" i="3"/>
  <c r="AI101" i="3"/>
  <c r="AI99" i="3"/>
  <c r="AI97" i="3"/>
  <c r="AI92" i="3"/>
  <c r="AI347" i="3"/>
  <c r="AI331" i="3"/>
  <c r="AI315" i="3"/>
  <c r="AI293" i="3"/>
  <c r="AI339" i="3"/>
  <c r="AI287" i="3"/>
  <c r="AI281" i="3"/>
  <c r="AI261" i="3"/>
  <c r="AI255" i="3"/>
  <c r="AI246" i="3"/>
  <c r="AI227" i="3"/>
  <c r="AI201" i="3"/>
  <c r="AI195" i="3"/>
  <c r="AI186" i="3"/>
  <c r="AI163" i="3"/>
  <c r="AI157" i="3"/>
  <c r="AI148" i="3"/>
  <c r="AI128" i="3"/>
  <c r="AI122" i="3"/>
  <c r="AI111" i="3"/>
  <c r="AI100" i="3"/>
  <c r="AI319" i="3"/>
  <c r="AI289" i="3"/>
  <c r="AI269" i="3"/>
  <c r="AI263" i="3"/>
  <c r="AI257" i="3"/>
  <c r="AI210" i="3"/>
  <c r="AI203" i="3"/>
  <c r="AI197" i="3"/>
  <c r="AI174" i="3"/>
  <c r="AI165" i="3"/>
  <c r="AI159" i="3"/>
  <c r="AI136" i="3"/>
  <c r="AI130" i="3"/>
  <c r="AI124" i="3"/>
  <c r="AI102" i="3"/>
  <c r="AI88" i="3"/>
  <c r="AI84" i="3"/>
  <c r="AI80" i="3"/>
  <c r="AI77" i="3"/>
  <c r="AI75" i="3"/>
  <c r="AI70" i="3"/>
  <c r="AI66" i="3"/>
  <c r="AI64" i="3"/>
  <c r="AI60" i="3"/>
  <c r="AI56" i="3"/>
  <c r="AI52" i="3"/>
  <c r="AI48" i="3"/>
  <c r="AI43" i="3"/>
  <c r="AI40" i="3"/>
  <c r="AI38" i="3"/>
  <c r="AI33" i="3"/>
  <c r="AI29" i="3"/>
  <c r="AI27" i="3"/>
  <c r="AI25" i="3"/>
  <c r="AI23" i="3"/>
  <c r="AI21" i="3"/>
  <c r="AI19" i="3"/>
  <c r="AI17" i="3"/>
  <c r="AI13" i="3"/>
  <c r="AI335" i="3"/>
  <c r="AI295" i="3"/>
  <c r="AI277" i="3"/>
  <c r="AI271" i="3"/>
  <c r="AI265" i="3"/>
  <c r="AI242" i="3"/>
  <c r="AI236" i="3"/>
  <c r="AI223" i="3"/>
  <c r="AI217" i="3"/>
  <c r="AI205" i="3"/>
  <c r="AI182" i="3"/>
  <c r="AI176" i="3"/>
  <c r="AI167" i="3"/>
  <c r="AI144" i="3"/>
  <c r="AI138" i="3"/>
  <c r="AI132" i="3"/>
  <c r="AI107" i="3"/>
  <c r="AI104" i="3"/>
  <c r="AI2" i="3"/>
  <c r="AI351" i="3"/>
  <c r="AI323" i="3"/>
  <c r="AI297" i="3"/>
  <c r="AI285" i="3"/>
  <c r="AI279" i="3"/>
  <c r="AI273" i="3"/>
  <c r="AI253" i="3"/>
  <c r="AI244" i="3"/>
  <c r="AI238" i="3"/>
  <c r="AI231" i="3"/>
  <c r="AI219" i="3"/>
  <c r="AI191" i="3"/>
  <c r="AI184" i="3"/>
  <c r="AI178" i="3"/>
  <c r="AI155" i="3"/>
  <c r="AI146" i="3"/>
  <c r="AI140" i="3"/>
  <c r="AI120" i="3"/>
  <c r="AI109" i="3"/>
  <c r="AI98" i="3"/>
  <c r="AH94" i="3"/>
  <c r="AH233" i="3" s="1"/>
  <c r="AH308" i="3" s="1"/>
  <c r="AI308" i="3" s="1"/>
  <c r="AI90" i="3"/>
  <c r="AI86" i="3"/>
  <c r="AI83" i="3"/>
  <c r="AI78" i="3"/>
  <c r="AI76" i="3"/>
  <c r="AI72" i="3"/>
  <c r="AI68" i="3"/>
  <c r="AI65" i="3"/>
  <c r="AI63" i="3"/>
  <c r="AI58" i="3"/>
  <c r="AI55" i="3"/>
  <c r="AI50" i="3"/>
  <c r="AI46" i="3"/>
  <c r="AI41" i="3"/>
  <c r="AI39" i="3"/>
  <c r="AI35" i="3"/>
  <c r="AI31" i="3"/>
  <c r="AI28" i="3"/>
  <c r="AI26" i="3"/>
  <c r="AI24" i="3"/>
  <c r="AI22" i="3"/>
  <c r="AI20" i="3"/>
  <c r="AI18" i="3"/>
  <c r="AI16" i="3"/>
  <c r="D16" i="1"/>
  <c r="D17" i="1" s="1"/>
  <c r="L329" i="3" l="1"/>
  <c r="L343" i="3" s="1"/>
  <c r="L349" i="3" s="1"/>
  <c r="L355" i="3" s="1"/>
  <c r="L361" i="3" s="1"/>
  <c r="P310" i="3"/>
  <c r="P329" i="3"/>
  <c r="P343" i="3" s="1"/>
  <c r="P349" i="3" s="1"/>
  <c r="P355" i="3" s="1"/>
  <c r="P361" i="3" s="1"/>
  <c r="AI233" i="3"/>
  <c r="C17" i="2"/>
  <c r="J16" i="2"/>
  <c r="K5" i="2"/>
  <c r="K16" i="2" s="1"/>
  <c r="AH310" i="3"/>
  <c r="AI310" i="3" s="1"/>
  <c r="AH329" i="3"/>
  <c r="AI94" i="3"/>
  <c r="K16" i="1"/>
  <c r="N5" i="1"/>
  <c r="N16" i="1" s="1"/>
  <c r="K12" i="2"/>
  <c r="AF310" i="3"/>
  <c r="AF329" i="3"/>
  <c r="AF343" i="3" s="1"/>
  <c r="AF349" i="3" s="1"/>
  <c r="AF355" i="3" s="1"/>
  <c r="AF361" i="3" s="1"/>
  <c r="AF370" i="3" s="1"/>
  <c r="AF371" i="3" s="1"/>
  <c r="B17" i="1"/>
  <c r="J13" i="2"/>
  <c r="K13" i="2" s="1"/>
  <c r="D16" i="2"/>
  <c r="D17" i="2" s="1"/>
  <c r="E17" i="2"/>
  <c r="AH343" i="3" l="1"/>
  <c r="AI329" i="3"/>
  <c r="AH349" i="3" l="1"/>
  <c r="AI343" i="3"/>
  <c r="AH355" i="3" l="1"/>
  <c r="AI349" i="3"/>
  <c r="AH361" i="3" l="1"/>
  <c r="AI355" i="3"/>
  <c r="AH368" i="3" l="1"/>
  <c r="AH370" i="3"/>
  <c r="AH371" i="3" s="1"/>
  <c r="AI361" i="3"/>
</calcChain>
</file>

<file path=xl/comments1.xml><?xml version="1.0" encoding="utf-8"?>
<comments xmlns="http://schemas.openxmlformats.org/spreadsheetml/2006/main">
  <authors>
    <author>Lindsay Waldram</author>
    <author>Heather Garland</author>
  </authors>
  <commentList>
    <comment ref="J6" authorId="0">
      <text>
        <r>
          <rPr>
            <b/>
            <sz val="9"/>
            <color indexed="81"/>
            <rFont val="Tahoma"/>
            <family val="2"/>
          </rPr>
          <t>Lindsay Waldram:</t>
        </r>
        <r>
          <rPr>
            <sz val="9"/>
            <color indexed="81"/>
            <rFont val="Tahoma"/>
            <family val="2"/>
          </rPr>
          <t xml:space="preserve">
Residential Recycling Subsidy</t>
        </r>
      </text>
    </comment>
    <comment ref="J8" authorId="1">
      <text>
        <r>
          <rPr>
            <b/>
            <sz val="9"/>
            <color indexed="81"/>
            <rFont val="Tahoma"/>
            <family val="2"/>
          </rPr>
          <t>Heather Garland:</t>
        </r>
        <r>
          <rPr>
            <sz val="9"/>
            <color indexed="81"/>
            <rFont val="Tahoma"/>
            <family val="2"/>
          </rPr>
          <t xml:space="preserve">
County Clean-Ups, per County contract.</t>
        </r>
      </text>
    </comment>
  </commentList>
</comments>
</file>

<file path=xl/comments2.xml><?xml version="1.0" encoding="utf-8"?>
<comments xmlns="http://schemas.openxmlformats.org/spreadsheetml/2006/main">
  <authors>
    <author>WCNX</author>
  </authors>
  <commentList>
    <comment ref="B1" authorId="0">
      <text>
        <r>
          <rPr>
            <b/>
            <sz val="8"/>
            <color indexed="81"/>
            <rFont val="Tahoma"/>
            <family val="2"/>
          </rPr>
          <t>WCNX:</t>
        </r>
        <r>
          <rPr>
            <sz val="8"/>
            <color indexed="81"/>
            <rFont val="Tahoma"/>
            <family val="2"/>
          </rPr>
          <t xml:space="preserve">
Include bill areas: Battleground, LaCenter, Rural, UGA, and Yacolt.</t>
        </r>
      </text>
    </comment>
  </commentList>
</comments>
</file>

<file path=xl/comments3.xml><?xml version="1.0" encoding="utf-8"?>
<comments xmlns="http://schemas.openxmlformats.org/spreadsheetml/2006/main">
  <authors>
    <author>WCNX</author>
  </authors>
  <commentList>
    <comment ref="B1" authorId="0">
      <text>
        <r>
          <rPr>
            <b/>
            <sz val="8"/>
            <color indexed="81"/>
            <rFont val="Tahoma"/>
            <family val="2"/>
          </rPr>
          <t>WCNX:</t>
        </r>
        <r>
          <rPr>
            <sz val="8"/>
            <color indexed="81"/>
            <rFont val="Tahoma"/>
            <family val="2"/>
          </rPr>
          <t xml:space="preserve">
Includes Rural bill ares: Battleground, LaCenter, Rural, UGA and Yacolt.</t>
        </r>
      </text>
    </comment>
  </commentList>
</comments>
</file>

<file path=xl/comments4.xml><?xml version="1.0" encoding="utf-8"?>
<comments xmlns="http://schemas.openxmlformats.org/spreadsheetml/2006/main">
  <authors>
    <author>WCNX</author>
    <author>darcied</author>
  </authors>
  <commentList>
    <comment ref="C1" authorId="0">
      <text>
        <r>
          <rPr>
            <b/>
            <sz val="8"/>
            <color indexed="81"/>
            <rFont val="Tahoma"/>
            <family val="2"/>
          </rPr>
          <t>WCNX:</t>
        </r>
        <r>
          <rPr>
            <sz val="8"/>
            <color indexed="81"/>
            <rFont val="Tahoma"/>
            <family val="2"/>
          </rPr>
          <t xml:space="preserve">
Includes Camas bill area. Note that WCI only provides recycling, YW, and drop box services to the City of Camas.  They provide their own garbage service.  Billed at City of Camas contract rates.</t>
        </r>
      </text>
    </comment>
    <comment ref="B12" authorId="1">
      <text>
        <r>
          <rPr>
            <b/>
            <sz val="8"/>
            <color indexed="81"/>
            <rFont val="Tahoma"/>
            <family val="2"/>
          </rPr>
          <t>darcied:</t>
        </r>
        <r>
          <rPr>
            <sz val="8"/>
            <color indexed="81"/>
            <rFont val="Tahoma"/>
            <family val="2"/>
          </rPr>
          <t xml:space="preserve">
32000</t>
        </r>
      </text>
    </comment>
    <comment ref="B17" authorId="1">
      <text>
        <r>
          <rPr>
            <b/>
            <sz val="8"/>
            <color indexed="81"/>
            <rFont val="Tahoma"/>
            <family val="2"/>
          </rPr>
          <t>darcied:</t>
        </r>
        <r>
          <rPr>
            <sz val="8"/>
            <color indexed="81"/>
            <rFont val="Tahoma"/>
            <family val="2"/>
          </rPr>
          <t xml:space="preserve">
32100</t>
        </r>
      </text>
    </comment>
  </commentList>
</comments>
</file>

<file path=xl/comments5.xml><?xml version="1.0" encoding="utf-8"?>
<comments xmlns="http://schemas.openxmlformats.org/spreadsheetml/2006/main">
  <authors>
    <author>WCNX</author>
  </authors>
  <commentList>
    <comment ref="C1" authorId="0">
      <text>
        <r>
          <rPr>
            <b/>
            <sz val="8"/>
            <color indexed="81"/>
            <rFont val="Tahoma"/>
            <family val="2"/>
          </rPr>
          <t>WCNX:</t>
        </r>
        <r>
          <rPr>
            <sz val="8"/>
            <color indexed="81"/>
            <rFont val="Tahoma"/>
            <family val="2"/>
          </rPr>
          <t xml:space="preserve">
Includes Ridgefield bill area. Billed at Ridgefield contract rates.
</t>
        </r>
      </text>
    </comment>
  </commentList>
</comments>
</file>

<file path=xl/comments6.xml><?xml version="1.0" encoding="utf-8"?>
<comments xmlns="http://schemas.openxmlformats.org/spreadsheetml/2006/main">
  <authors>
    <author>WCNX</author>
    <author>darcied</author>
  </authors>
  <commentList>
    <comment ref="C1" authorId="0">
      <text>
        <r>
          <rPr>
            <b/>
            <sz val="8"/>
            <color indexed="81"/>
            <rFont val="Tahoma"/>
            <family val="2"/>
          </rPr>
          <t>WCNX:</t>
        </r>
        <r>
          <rPr>
            <sz val="8"/>
            <color indexed="81"/>
            <rFont val="Tahoma"/>
            <family val="2"/>
          </rPr>
          <t xml:space="preserve">
Includes bill area Vancouver.  Billed at City of Vancouver contract rates.</t>
        </r>
      </text>
    </comment>
    <comment ref="B275" authorId="1">
      <text>
        <r>
          <rPr>
            <b/>
            <sz val="8"/>
            <color indexed="81"/>
            <rFont val="Tahoma"/>
            <family val="2"/>
          </rPr>
          <t>darcied:</t>
        </r>
        <r>
          <rPr>
            <sz val="8"/>
            <color indexed="81"/>
            <rFont val="Tahoma"/>
            <family val="2"/>
          </rPr>
          <t xml:space="preserve">
33020</t>
        </r>
      </text>
    </comment>
  </commentList>
</comments>
</file>

<file path=xl/comments7.xml><?xml version="1.0" encoding="utf-8"?>
<comments xmlns="http://schemas.openxmlformats.org/spreadsheetml/2006/main">
  <authors>
    <author>WCNX</author>
  </authors>
  <commentList>
    <comment ref="C1" authorId="0">
      <text>
        <r>
          <rPr>
            <b/>
            <sz val="8"/>
            <color indexed="81"/>
            <rFont val="Tahoma"/>
            <family val="2"/>
          </rPr>
          <t>WCNX:</t>
        </r>
        <r>
          <rPr>
            <sz val="8"/>
            <color indexed="81"/>
            <rFont val="Tahoma"/>
            <family val="2"/>
          </rPr>
          <t xml:space="preserve">
Includes bill area Washougal.  Billed at City of Washougal contract rates.</t>
        </r>
      </text>
    </comment>
  </commentList>
</comments>
</file>

<file path=xl/comments8.xml><?xml version="1.0" encoding="utf-8"?>
<comments xmlns="http://schemas.openxmlformats.org/spreadsheetml/2006/main">
  <authors>
    <author>WCNX</author>
  </authors>
  <commentList>
    <comment ref="C1" authorId="0">
      <text>
        <r>
          <rPr>
            <b/>
            <sz val="8"/>
            <color indexed="81"/>
            <rFont val="Tahoma"/>
            <family val="2"/>
          </rPr>
          <t>WCNX:</t>
        </r>
        <r>
          <rPr>
            <sz val="8"/>
            <color indexed="81"/>
            <rFont val="Tahoma"/>
            <family val="2"/>
          </rPr>
          <t xml:space="preserve">
Includes bill area West Vancouver.  Billed at West Vancouver contract rates.</t>
        </r>
      </text>
    </comment>
  </commentList>
</comments>
</file>

<file path=xl/comments9.xml><?xml version="1.0" encoding="utf-8"?>
<comments xmlns="http://schemas.openxmlformats.org/spreadsheetml/2006/main">
  <authors>
    <author>Heather Garland</author>
  </authors>
  <commentList>
    <comment ref="C14" authorId="0">
      <text>
        <r>
          <rPr>
            <b/>
            <sz val="9"/>
            <color indexed="81"/>
            <rFont val="Tahoma"/>
            <family val="2"/>
          </rPr>
          <t xml:space="preserve">Heather Garland:
</t>
        </r>
        <r>
          <rPr>
            <sz val="9"/>
            <color indexed="81"/>
            <rFont val="Tahoma"/>
            <family val="2"/>
          </rPr>
          <t>Open Market - rates vary by customer.</t>
        </r>
      </text>
    </comment>
  </commentList>
</comments>
</file>

<file path=xl/sharedStrings.xml><?xml version="1.0" encoding="utf-8"?>
<sst xmlns="http://schemas.openxmlformats.org/spreadsheetml/2006/main" count="3473" uniqueCount="1444">
  <si>
    <t>Waste Connections of Washington, Inc.</t>
  </si>
  <si>
    <t>Revenue Summary - October 1, 2016 - September 30, 2017</t>
  </si>
  <si>
    <t>Regulated</t>
  </si>
  <si>
    <t>Clark County Non-Reg</t>
  </si>
  <si>
    <t>Camas</t>
  </si>
  <si>
    <t>Ridgefield</t>
  </si>
  <si>
    <t>Vancouver</t>
  </si>
  <si>
    <t>Washougal</t>
  </si>
  <si>
    <t>West Vancouver</t>
  </si>
  <si>
    <t>Shredding</t>
  </si>
  <si>
    <t>Revenue Adjustments</t>
  </si>
  <si>
    <t>TOTAL</t>
  </si>
  <si>
    <t>Per GL</t>
  </si>
  <si>
    <t>Difference</t>
  </si>
  <si>
    <t>Resi MSW</t>
  </si>
  <si>
    <t>Resi Recycle</t>
  </si>
  <si>
    <t>YW</t>
  </si>
  <si>
    <t>Comm MSW</t>
  </si>
  <si>
    <t>MF MSW</t>
  </si>
  <si>
    <t>MF Recyling</t>
  </si>
  <si>
    <t>Commercial Recycling</t>
  </si>
  <si>
    <t>Roll Off</t>
  </si>
  <si>
    <t>Roll Off Recycling</t>
  </si>
  <si>
    <t>Pass-Through</t>
  </si>
  <si>
    <t>Service Charges</t>
  </si>
  <si>
    <t>Customer Count Summary</t>
  </si>
  <si>
    <t>Total Non-Reg</t>
  </si>
  <si>
    <t>GRAND TOTAL</t>
  </si>
  <si>
    <t>Acct</t>
  </si>
  <si>
    <t>AcctName</t>
  </si>
  <si>
    <t>Act(-11)</t>
  </si>
  <si>
    <t>Act(-10)</t>
  </si>
  <si>
    <t>Act(-9)</t>
  </si>
  <si>
    <t>Act(-8)</t>
  </si>
  <si>
    <t>Act(-7)</t>
  </si>
  <si>
    <t>Act(-6)</t>
  </si>
  <si>
    <t>Act(-5)</t>
  </si>
  <si>
    <t>Act(-4)</t>
  </si>
  <si>
    <t>Act(-3)</t>
  </si>
  <si>
    <t>Act(-2)</t>
  </si>
  <si>
    <t>Act(-1)</t>
  </si>
  <si>
    <t>Act</t>
  </si>
  <si>
    <t>Waste Connections, Inc.</t>
  </si>
  <si>
    <t>Districts/Grouping:</t>
  </si>
  <si>
    <t>2010</t>
  </si>
  <si>
    <t>Exclude IC:</t>
  </si>
  <si>
    <t>IS 210 - PL Review</t>
  </si>
  <si>
    <t/>
  </si>
  <si>
    <t>System:</t>
  </si>
  <si>
    <t>2017-09</t>
  </si>
  <si>
    <t>Category</t>
  </si>
  <si>
    <t>Total</t>
  </si>
  <si>
    <t>[Fixed][Acct]='98501'</t>
  </si>
  <si>
    <t>Days - Weekdays</t>
  </si>
  <si>
    <t>IS Hauling</t>
  </si>
  <si>
    <t>Hauling Revenue - Roll Off Permanent</t>
  </si>
  <si>
    <t>[!DetailRow]</t>
  </si>
  <si>
    <t>Hauling Revenue - Roll Off Recycling</t>
  </si>
  <si>
    <t>Corporate Roll Off Disposal Charge</t>
  </si>
  <si>
    <t>Hauling Revenue - Roll Off Intercompany</t>
  </si>
  <si>
    <t>Hauling Revenue - Roll Off Extras</t>
  </si>
  <si>
    <t>Hauling Revenue - Residential MSW</t>
  </si>
  <si>
    <t>Hauling Revenue - Residential MSW Extras</t>
  </si>
  <si>
    <t>Hauling Revenue - Residential Recycling</t>
  </si>
  <si>
    <t>Hauling Revenue - Residential Composting</t>
  </si>
  <si>
    <t>Hauling Revenue - Commercial FEL</t>
  </si>
  <si>
    <t>Hauling Revenue - Commercial FEL Extras</t>
  </si>
  <si>
    <t>Hauling Revenue - Commercial Recycling F</t>
  </si>
  <si>
    <t>Hauling Revenue - Commercial Recycling R</t>
  </si>
  <si>
    <t>Hauling Revenue</t>
  </si>
  <si>
    <t>IS Transfer</t>
  </si>
  <si>
    <t>Transfer and MRF</t>
  </si>
  <si>
    <t>IS MRF</t>
  </si>
  <si>
    <t>Proceeds - Other Paper</t>
  </si>
  <si>
    <t>Proceeds - Aluminum</t>
  </si>
  <si>
    <t>Proceeds - Metal</t>
  </si>
  <si>
    <t>Proceeds - Intercompany Material Sales</t>
  </si>
  <si>
    <t>Recycling Proceeds</t>
  </si>
  <si>
    <t>IS Landfill</t>
  </si>
  <si>
    <t>Landfill Revenue</t>
  </si>
  <si>
    <t>IS Intermodal</t>
  </si>
  <si>
    <t>Intermodal</t>
  </si>
  <si>
    <t>IS Other Revenue</t>
  </si>
  <si>
    <t>Other Revenue</t>
  </si>
  <si>
    <t>P-Card Rebate Revenue</t>
  </si>
  <si>
    <t>Revenue</t>
  </si>
  <si>
    <t>IS Disposal</t>
  </si>
  <si>
    <t>Disposal Landfill</t>
  </si>
  <si>
    <t>Disposal Landfill Intercompany</t>
  </si>
  <si>
    <t>Disposal Transfer Station</t>
  </si>
  <si>
    <t>Disposal Transfer Station Intercompany</t>
  </si>
  <si>
    <t>Disposal</t>
  </si>
  <si>
    <t>IS MRF Processing</t>
  </si>
  <si>
    <t>MRF Processing</t>
  </si>
  <si>
    <t>IS BRT</t>
  </si>
  <si>
    <t>Brokerage Cost</t>
  </si>
  <si>
    <t>Rebates and Revenue Sharing</t>
  </si>
  <si>
    <t>Taxes and Pass Thru Fees</t>
  </si>
  <si>
    <t>WUTC Taxes</t>
  </si>
  <si>
    <t>Brok. and Taxes</t>
  </si>
  <si>
    <t>IS Recycling Mat</t>
  </si>
  <si>
    <t>Cost of Materials - OCC</t>
  </si>
  <si>
    <t>Cost of Materials - Intercompany</t>
  </si>
  <si>
    <t>Cost of Materials</t>
  </si>
  <si>
    <t>IS Other Expense</t>
  </si>
  <si>
    <t>Other Expense</t>
  </si>
  <si>
    <t>Rev Reductions</t>
  </si>
  <si>
    <t>Net Revenue</t>
  </si>
  <si>
    <t>IS Labor</t>
  </si>
  <si>
    <t>Wages Regular</t>
  </si>
  <si>
    <t>Wages O.T.</t>
  </si>
  <si>
    <t>Safety Bonuses</t>
  </si>
  <si>
    <t>Other Bonus/Commission - Non-Safety</t>
  </si>
  <si>
    <t>Contract Labor</t>
  </si>
  <si>
    <t>Payroll Taxes</t>
  </si>
  <si>
    <t>Group Insurance</t>
  </si>
  <si>
    <t>Vacation Pay</t>
  </si>
  <si>
    <t>Sick Pay</t>
  </si>
  <si>
    <t>Safety and Training</t>
  </si>
  <si>
    <t>Drug Testing</t>
  </si>
  <si>
    <t>Uniforms</t>
  </si>
  <si>
    <t>Pension and Profit Sharing</t>
  </si>
  <si>
    <t>Union Benefit Expense</t>
  </si>
  <si>
    <t>Union Pension</t>
  </si>
  <si>
    <t>Labor</t>
  </si>
  <si>
    <t>IS Fixed Equipment</t>
  </si>
  <si>
    <t>Licenses</t>
  </si>
  <si>
    <t>Truck Fixed</t>
  </si>
  <si>
    <t>IS Truck Variable</t>
  </si>
  <si>
    <t>Salaries</t>
  </si>
  <si>
    <t>Parts and Materials</t>
  </si>
  <si>
    <t>Operating Supplies</t>
  </si>
  <si>
    <t>Equipment and Maint Repair</t>
  </si>
  <si>
    <t>Tires</t>
  </si>
  <si>
    <t>Fuel Expense</t>
  </si>
  <si>
    <t>CNG Fuel</t>
  </si>
  <si>
    <t>Urea Additive Expense</t>
  </si>
  <si>
    <t>Oil and Grease</t>
  </si>
  <si>
    <t>Outside Repairs</t>
  </si>
  <si>
    <t>Utilities</t>
  </si>
  <si>
    <t>Communications</t>
  </si>
  <si>
    <t>Equip/Vehicle Rental</t>
  </si>
  <si>
    <t>Freight</t>
  </si>
  <si>
    <t>Towing Expense</t>
  </si>
  <si>
    <t>Office Supply and Equip</t>
  </si>
  <si>
    <t>Capitalized Costs</t>
  </si>
  <si>
    <t>Costs Awaiting Capitalization</t>
  </si>
  <si>
    <t>Truck Variable</t>
  </si>
  <si>
    <t>IS Container</t>
  </si>
  <si>
    <t>Container Exp</t>
  </si>
  <si>
    <t>IS Supervisor</t>
  </si>
  <si>
    <t>Meal and Entertainment</t>
  </si>
  <si>
    <t>Superv. Ex</t>
  </si>
  <si>
    <t>IS OtherOpExp</t>
  </si>
  <si>
    <t>Bldg &amp; Property</t>
  </si>
  <si>
    <t>Real Estate Rentals</t>
  </si>
  <si>
    <t>Equipment Vehicle Rental</t>
  </si>
  <si>
    <t>Drive Cam &amp; Routing SW Fees</t>
  </si>
  <si>
    <t>Other Prof Fees</t>
  </si>
  <si>
    <t>Other Taxes</t>
  </si>
  <si>
    <t>Penalties and Violations</t>
  </si>
  <si>
    <t>Miscellaneous</t>
  </si>
  <si>
    <t>Security Services</t>
  </si>
  <si>
    <t>Monitoring and Maint</t>
  </si>
  <si>
    <t>Permits</t>
  </si>
  <si>
    <t>Bonds Expense</t>
  </si>
  <si>
    <t>Other Operating</t>
  </si>
  <si>
    <t>Closure Exp</t>
  </si>
  <si>
    <t>IS Insurance</t>
  </si>
  <si>
    <t>Self Insurance Premium</t>
  </si>
  <si>
    <t>A&amp;L - Current Year Claims</t>
  </si>
  <si>
    <t>A&amp;L - Prior Year Claims</t>
  </si>
  <si>
    <t>WC - Current Year Claims</t>
  </si>
  <si>
    <t>WC - Prior Year Claims</t>
  </si>
  <si>
    <t>Damages paid by District</t>
  </si>
  <si>
    <t>Workers Comp Prem</t>
  </si>
  <si>
    <t>Insurance Exp</t>
  </si>
  <si>
    <t>IS OpDisposal</t>
  </si>
  <si>
    <t>Gain/Loss on Sale of Asset</t>
  </si>
  <si>
    <t>G/L on Ops</t>
  </si>
  <si>
    <t>Cost of Ops</t>
  </si>
  <si>
    <t>Gross Profit</t>
  </si>
  <si>
    <t>IS Sales</t>
  </si>
  <si>
    <t>Bonuses and Commissions</t>
  </si>
  <si>
    <t>Travel</t>
  </si>
  <si>
    <t>Entertainment</t>
  </si>
  <si>
    <t>Travel - Auto</t>
  </si>
  <si>
    <t>Office Supplies and Equip</t>
  </si>
  <si>
    <t>Advertising and Promotions</t>
  </si>
  <si>
    <t>Sales Exp</t>
  </si>
  <si>
    <t>IS G&amp;A</t>
  </si>
  <si>
    <t>Empl &amp; Commun Activ</t>
  </si>
  <si>
    <t>Employee Relocation</t>
  </si>
  <si>
    <t>Contributions</t>
  </si>
  <si>
    <t>Political Contributions</t>
  </si>
  <si>
    <t>Allocated Exp In - District</t>
  </si>
  <si>
    <t>Cellular Telephone</t>
  </si>
  <si>
    <t>Building Operating Expenses (CAM)</t>
  </si>
  <si>
    <t>Postage</t>
  </si>
  <si>
    <t>Registration Fees</t>
  </si>
  <si>
    <t>Dues and Subscriptions</t>
  </si>
  <si>
    <t>Excursions Meetings</t>
  </si>
  <si>
    <t>Lodging</t>
  </si>
  <si>
    <t>Gifts to Customers</t>
  </si>
  <si>
    <t>Meals</t>
  </si>
  <si>
    <t>Meals with Customers</t>
  </si>
  <si>
    <t>Credit Card Fees</t>
  </si>
  <si>
    <t>Bank Charges</t>
  </si>
  <si>
    <t>Recruitment Advertising &amp; Expenses</t>
  </si>
  <si>
    <t>Legal</t>
  </si>
  <si>
    <t>Payroll Processing Fees</t>
  </si>
  <si>
    <t>Property Taxes</t>
  </si>
  <si>
    <t>Data Processing</t>
  </si>
  <si>
    <t>Computer Supplies</t>
  </si>
  <si>
    <t>Bad Debt Provision</t>
  </si>
  <si>
    <t>Credit and Collection</t>
  </si>
  <si>
    <t>G&amp;A</t>
  </si>
  <si>
    <t>IS Overhead</t>
  </si>
  <si>
    <t>Corporate Overhead Allocation In</t>
  </si>
  <si>
    <t>Corp Overhead</t>
  </si>
  <si>
    <t>Total SG&amp;A</t>
  </si>
  <si>
    <t>EBITDA</t>
  </si>
  <si>
    <t>Watch list EBITDA</t>
  </si>
  <si>
    <t>IS Depreciation</t>
  </si>
  <si>
    <t>Depreciation</t>
  </si>
  <si>
    <t>IS Depletion</t>
  </si>
  <si>
    <t>Airspace Amort</t>
  </si>
  <si>
    <t>IS Amort</t>
  </si>
  <si>
    <t>Intangible Amort</t>
  </si>
  <si>
    <t>Total DDA</t>
  </si>
  <si>
    <t>EBIT From Ops</t>
  </si>
  <si>
    <t>IS Interest</t>
  </si>
  <si>
    <t>Entity interest expense</t>
  </si>
  <si>
    <t>Interest Exp</t>
  </si>
  <si>
    <t>IS Interest Income</t>
  </si>
  <si>
    <t>Interest Income</t>
  </si>
  <si>
    <t>IS OtherIncExp</t>
  </si>
  <si>
    <t>Other Inc/Exp</t>
  </si>
  <si>
    <t>NI b/ Taxes &amp; Extra</t>
  </si>
  <si>
    <t>IS Extraordinary</t>
  </si>
  <si>
    <t>Extra. Items</t>
  </si>
  <si>
    <t>NI b/ Taxes</t>
  </si>
  <si>
    <t>IS Taxes</t>
  </si>
  <si>
    <t>Taxes</t>
  </si>
  <si>
    <t>Net Income</t>
  </si>
  <si>
    <t>IS NoncontrollingExp</t>
  </si>
  <si>
    <t>Non Controlling Int</t>
  </si>
  <si>
    <t>Net Income Attrib</t>
  </si>
  <si>
    <t>[Leftovers]</t>
  </si>
  <si>
    <t>Data Not Included</t>
  </si>
  <si>
    <t>Check</t>
  </si>
  <si>
    <t>Waste Connections of WA, Inc.</t>
  </si>
  <si>
    <t>Clark County - Regulated</t>
  </si>
  <si>
    <t>October 1, 2016 - September 30, 2017</t>
  </si>
  <si>
    <t>Note:  Revenue figures below are from detailed revenue reports from WCI's billing system.  Links have been broken to maintain data integrity.  Detail can be provided, upon request.</t>
  </si>
  <si>
    <t>Clark Co (Regulated)</t>
  </si>
  <si>
    <t>Service Code</t>
  </si>
  <si>
    <t>Service Code Description</t>
  </si>
  <si>
    <t>Tariff Rate</t>
  </si>
  <si>
    <t>Customer Count</t>
  </si>
  <si>
    <t>RESIDENTIAL SERVICES</t>
  </si>
  <si>
    <t>Residential Garbage</t>
  </si>
  <si>
    <t>CRMCEOW</t>
  </si>
  <si>
    <t>20GAL CAN EOW</t>
  </si>
  <si>
    <t>CRMC</t>
  </si>
  <si>
    <t>20GAL CAN WEEKLY</t>
  </si>
  <si>
    <t>CREOW</t>
  </si>
  <si>
    <t>1 32GAL CAN EOW</t>
  </si>
  <si>
    <t>CR32MO</t>
  </si>
  <si>
    <t>1 32GAL CAN ONCE A MTH</t>
  </si>
  <si>
    <t>CR32W1</t>
  </si>
  <si>
    <t>1 32GAL CAN WEEKLY</t>
  </si>
  <si>
    <t>CR32W2</t>
  </si>
  <si>
    <t>2-32GAL CANS WEEKLY</t>
  </si>
  <si>
    <t>CR32W3</t>
  </si>
  <si>
    <t>3-32GAL CANS WEEKLY</t>
  </si>
  <si>
    <t>CR32W4</t>
  </si>
  <si>
    <t>4-32GAL CANS WEEKLY</t>
  </si>
  <si>
    <t>CR32W5</t>
  </si>
  <si>
    <t>5-32GAL CANS WEEKLY</t>
  </si>
  <si>
    <t>CR32W6</t>
  </si>
  <si>
    <t>6-32GAL CANS WEEKLY</t>
  </si>
  <si>
    <t>CR32W7</t>
  </si>
  <si>
    <t>7-32GAL CANS WEEKLY</t>
  </si>
  <si>
    <t>CR32W8</t>
  </si>
  <si>
    <t>8-32GAL CANS WEEKLY</t>
  </si>
  <si>
    <t>RREXC</t>
  </si>
  <si>
    <t>EXTRA CANS, BAGS,BOXES</t>
  </si>
  <si>
    <t>RRCALL</t>
  </si>
  <si>
    <t>ON CALL CAN</t>
  </si>
  <si>
    <t>ROFOW</t>
  </si>
  <si>
    <t>OVERWGHT-OVERFILL CAN</t>
  </si>
  <si>
    <t>COFOW</t>
  </si>
  <si>
    <t>CTYD6</t>
  </si>
  <si>
    <t>6-25 FT DIST CHARGE</t>
  </si>
  <si>
    <t>CTYD26</t>
  </si>
  <si>
    <t>26-50 FT DIST CHARGE</t>
  </si>
  <si>
    <t>CTYD51</t>
  </si>
  <si>
    <t>51-75 FT DIST CHARGE</t>
  </si>
  <si>
    <t>CTYD76</t>
  </si>
  <si>
    <t>76-100 FT DIST CHARGE</t>
  </si>
  <si>
    <t>CTYD101</t>
  </si>
  <si>
    <t>101-125 FT DIST CHARGE</t>
  </si>
  <si>
    <t>CTYD126</t>
  </si>
  <si>
    <t>126-150 FT DIST CHARGE</t>
  </si>
  <si>
    <t>CTYD151</t>
  </si>
  <si>
    <t>151-175 FT DIST CHARGE</t>
  </si>
  <si>
    <t>CRDRVIN</t>
  </si>
  <si>
    <t>DRIVE IN CHG -RESIDENTIAL</t>
  </si>
  <si>
    <t>RSNP</t>
  </si>
  <si>
    <t>NON-PAY STOP RESTART FEE</t>
  </si>
  <si>
    <t>CRTIME1</t>
  </si>
  <si>
    <t>TIME CHARGE - 1 MAN</t>
  </si>
  <si>
    <t>CRTIME2</t>
  </si>
  <si>
    <t>TIME CHARGE - 2 MAN</t>
  </si>
  <si>
    <t>WBTIME</t>
  </si>
  <si>
    <t>TIME CHG/MIN-BULKY ITEMS</t>
  </si>
  <si>
    <t>RRTRIP</t>
  </si>
  <si>
    <t>TRIP CHARGE - CART/CAN</t>
  </si>
  <si>
    <t>WBMISC</t>
  </si>
  <si>
    <t>BULKY ITEM CHARGE-MISC</t>
  </si>
  <si>
    <t>WBCHAIR</t>
  </si>
  <si>
    <t>CHAIR</t>
  </si>
  <si>
    <t>WBSTOVE</t>
  </si>
  <si>
    <t>STOVE/RANGE</t>
  </si>
  <si>
    <t>WBSOFA</t>
  </si>
  <si>
    <t>SOFA/LOVESEAT</t>
  </si>
  <si>
    <t>WBMATT</t>
  </si>
  <si>
    <t>MATTRESS/BOXSPRING</t>
  </si>
  <si>
    <t>TOTAL RESIDENTIAL SERVICES</t>
  </si>
  <si>
    <t xml:space="preserve">COMMERCIAL SERVICES </t>
  </si>
  <si>
    <t>Commercial Garbage</t>
  </si>
  <si>
    <t>CC1Y1W</t>
  </si>
  <si>
    <t>1YD CONT 1X WEEKLY</t>
  </si>
  <si>
    <t>CC1Y2W</t>
  </si>
  <si>
    <t>1YD CONT 2X WEEKLY</t>
  </si>
  <si>
    <t>CC1YEOW</t>
  </si>
  <si>
    <t>1YD CONTAINER EOW</t>
  </si>
  <si>
    <t>CC15Y1W</t>
  </si>
  <si>
    <t>1.5YD CONT 1X WEEKLY</t>
  </si>
  <si>
    <t>CC15Y2W</t>
  </si>
  <si>
    <t>1.5YD CONT 2X WEEKLY</t>
  </si>
  <si>
    <t>CC15YEOW</t>
  </si>
  <si>
    <t>1.5YD CONTAINER EOW</t>
  </si>
  <si>
    <t>CC2Y1W</t>
  </si>
  <si>
    <t>2YD CONT 1X WEEKLY</t>
  </si>
  <si>
    <t>CC2Y2W</t>
  </si>
  <si>
    <t>2YD CONT 2X WEEKLY</t>
  </si>
  <si>
    <t>CC2Y3W</t>
  </si>
  <si>
    <t>2YD CONT 3X WEEKLY</t>
  </si>
  <si>
    <t>CC2Y4W</t>
  </si>
  <si>
    <t>2YD CONT 4X WEEKLY</t>
  </si>
  <si>
    <t>CC2Y5W</t>
  </si>
  <si>
    <t>2YD CONT 5X WEEKLY</t>
  </si>
  <si>
    <t>CC2YEOW</t>
  </si>
  <si>
    <t>2YD CONTAINER EOW</t>
  </si>
  <si>
    <t>CC3Y1W</t>
  </si>
  <si>
    <t>3YD CONT 1X WEEKLY</t>
  </si>
  <si>
    <t>CC3Y2W</t>
  </si>
  <si>
    <t>3YD CONT 2X WEEKLY</t>
  </si>
  <si>
    <t>CC3Y3W</t>
  </si>
  <si>
    <t>3YD CONT 3X WEEKLY</t>
  </si>
  <si>
    <t>CC3Y4W</t>
  </si>
  <si>
    <t>3YD CONT 4X WEEKLY</t>
  </si>
  <si>
    <t>CC3Y5W</t>
  </si>
  <si>
    <t>3YD CONT 5X WEEKLY</t>
  </si>
  <si>
    <t>CC3YEOW</t>
  </si>
  <si>
    <t>3YD CONTAINER EOW</t>
  </si>
  <si>
    <t>CC4Y1W</t>
  </si>
  <si>
    <t>4YD CONT 1X WEEKLY</t>
  </si>
  <si>
    <t>CC4Y2W</t>
  </si>
  <si>
    <t>4YD CONT 2X WEEKLY</t>
  </si>
  <si>
    <t>CC4Y3W</t>
  </si>
  <si>
    <t>4YD CONT 3X WEEKLY</t>
  </si>
  <si>
    <t>CC4Y4W</t>
  </si>
  <si>
    <t>4YD CONT 4X WEEKLY</t>
  </si>
  <si>
    <t>CC4Y5W</t>
  </si>
  <si>
    <t>4YD CONT 5X WEEKLY</t>
  </si>
  <si>
    <t>CC4Y6W</t>
  </si>
  <si>
    <t>4YD CONT 6X WEEKLY</t>
  </si>
  <si>
    <t>CC4YEOW</t>
  </si>
  <si>
    <t>4YD CONTAINER EOW</t>
  </si>
  <si>
    <t>CC5Y1W</t>
  </si>
  <si>
    <t>5YD CONT 1X WEEKLY</t>
  </si>
  <si>
    <t>CC5YEOW</t>
  </si>
  <si>
    <t>5YD CONTAINER EOW</t>
  </si>
  <si>
    <t>CC6Y1W</t>
  </si>
  <si>
    <t>6YD CONT 1X WEEKLY</t>
  </si>
  <si>
    <t>CC6Y2W</t>
  </si>
  <si>
    <t>6YD CONT 2X WEEKLY</t>
  </si>
  <si>
    <t>CC6Y3W</t>
  </si>
  <si>
    <t>6YD CONT 3X WEEKLY</t>
  </si>
  <si>
    <t>CC6Y5W</t>
  </si>
  <si>
    <t>6YD CONT 5X WEEKLY</t>
  </si>
  <si>
    <t>CC6YEOW</t>
  </si>
  <si>
    <t>6YD CONTAINER EOW</t>
  </si>
  <si>
    <t>CC8Y1W</t>
  </si>
  <si>
    <t>8YD CONT 1X WEEKLY</t>
  </si>
  <si>
    <t>CC8Y2W</t>
  </si>
  <si>
    <t>8YD CONT 2X WEEKLY</t>
  </si>
  <si>
    <t>CC8Y3W</t>
  </si>
  <si>
    <t>8YD CONT 3X WEEKLY</t>
  </si>
  <si>
    <t>CC8Y4W</t>
  </si>
  <si>
    <t>8YD CONT 4X WEEKLY</t>
  </si>
  <si>
    <t>CC8YEOW</t>
  </si>
  <si>
    <t>8YD CONTAINER EOW</t>
  </si>
  <si>
    <t>CCCMP2Y</t>
  </si>
  <si>
    <t>2YD COMP CONT 1X WKLY</t>
  </si>
  <si>
    <t>CCCMP3Y</t>
  </si>
  <si>
    <t>3YD COMP CONT 1X WKLY</t>
  </si>
  <si>
    <t>CCCMP4Y</t>
  </si>
  <si>
    <t>4YD COMP CONT 1X WKLY</t>
  </si>
  <si>
    <t>CCSP1Y</t>
  </si>
  <si>
    <t>SPECIAL PICKUP 1YD CONT</t>
  </si>
  <si>
    <t>CCSP15Y</t>
  </si>
  <si>
    <t>SPECIAL PICKUP 1.5YD CONT</t>
  </si>
  <si>
    <t>CCSP2Y</t>
  </si>
  <si>
    <t>SPECIAL PICKUP 2YD CONT</t>
  </si>
  <si>
    <t>CCSP3Y</t>
  </si>
  <si>
    <t>SPECIAL PICKUP 3YD CONT</t>
  </si>
  <si>
    <t>VCSP2YC</t>
  </si>
  <si>
    <t>SPECIAL PICKUP 2YD COMP</t>
  </si>
  <si>
    <t>VCSP4YC</t>
  </si>
  <si>
    <t>SPECIAL PICKUP 4YD COMP</t>
  </si>
  <si>
    <t>CCSP4Y</t>
  </si>
  <si>
    <t>SPECIAL PICKUP 4YD CONT</t>
  </si>
  <si>
    <t>CCSP5Y</t>
  </si>
  <si>
    <t>SPECIAL PICKUP 5YD CONT</t>
  </si>
  <si>
    <t>CCSP6Y</t>
  </si>
  <si>
    <t>SPECIAL PICKUP 6YD CONT</t>
  </si>
  <si>
    <t>CCSP8Y</t>
  </si>
  <si>
    <t>SPECIAL PICKUP 8YD CONT</t>
  </si>
  <si>
    <t>CCTP1Y</t>
  </si>
  <si>
    <t>TEMP PICKUP 1YD CONT</t>
  </si>
  <si>
    <t>CCTP15Y</t>
  </si>
  <si>
    <t>TEMP PICKUP 1.5YD CONT</t>
  </si>
  <si>
    <t>CCTP2Y</t>
  </si>
  <si>
    <t>TEMP PICKUP 2YD CONT</t>
  </si>
  <si>
    <t>CCTP3Y</t>
  </si>
  <si>
    <t>TEMP PICKUP 3YD CONT</t>
  </si>
  <si>
    <t>CCTP4Y</t>
  </si>
  <si>
    <t>TEMP PICKUP 4YD CONT</t>
  </si>
  <si>
    <t>CCTP8Y</t>
  </si>
  <si>
    <t>TEMP PICKUP 8YD CONT</t>
  </si>
  <si>
    <t>CC32W1</t>
  </si>
  <si>
    <t>32GAL CAN WEEKLY-COM</t>
  </si>
  <si>
    <t>CC32W2</t>
  </si>
  <si>
    <t>CC32W3</t>
  </si>
  <si>
    <t>CC32W4</t>
  </si>
  <si>
    <t>CC32W5</t>
  </si>
  <si>
    <t>CC32W6</t>
  </si>
  <si>
    <t>CC32W8</t>
  </si>
  <si>
    <t>CC32W9</t>
  </si>
  <si>
    <t>9-32GAL CANS WEEKLY</t>
  </si>
  <si>
    <t>CCEXCAN</t>
  </si>
  <si>
    <t>EXTRA = CANS - COM</t>
  </si>
  <si>
    <t>CCEXYD</t>
  </si>
  <si>
    <t>EXTRA = YARDS</t>
  </si>
  <si>
    <t>RCOF</t>
  </si>
  <si>
    <t>OVERFILLED CONTAINER</t>
  </si>
  <si>
    <t>CCDISC</t>
  </si>
  <si>
    <t>COMPACTOR CONT DISCONNECT</t>
  </si>
  <si>
    <t>CCPLACE</t>
  </si>
  <si>
    <t>CONTAINER DELIVERY FEE</t>
  </si>
  <si>
    <t>XPLACE</t>
  </si>
  <si>
    <t>PT 1-8YD CONT DELIVERY</t>
  </si>
  <si>
    <t>CC1YPR</t>
  </si>
  <si>
    <t>PERM CONT RENT 1YD</t>
  </si>
  <si>
    <t>CC15YPR</t>
  </si>
  <si>
    <t>PERM CONT RENT 1.5YD</t>
  </si>
  <si>
    <t>CC2YPR</t>
  </si>
  <si>
    <t>PERM CONT RENT 2YD</t>
  </si>
  <si>
    <t>CC3YPR</t>
  </si>
  <si>
    <t>PERM CONT RENT 3YD</t>
  </si>
  <si>
    <t>CC4YPR</t>
  </si>
  <si>
    <t>PERM CONT RENT 4YD</t>
  </si>
  <si>
    <t>CC5YPR</t>
  </si>
  <si>
    <t>PERM CONT RENT 5YD</t>
  </si>
  <si>
    <t>CC6YPR</t>
  </si>
  <si>
    <t>PERM CONT RENT 6YD</t>
  </si>
  <si>
    <t>CC8YPR</t>
  </si>
  <si>
    <t>PERM CONT RENT 8YD</t>
  </si>
  <si>
    <t>CC1YOC</t>
  </si>
  <si>
    <t>1YD CONT ON CALL RENTAL</t>
  </si>
  <si>
    <t>CC2YOC</t>
  </si>
  <si>
    <t>2YD CONT ON CALL RENT</t>
  </si>
  <si>
    <t>CC3YOC</t>
  </si>
  <si>
    <t>3YD CONT ON CALL RENTAL</t>
  </si>
  <si>
    <t>CC1YTR</t>
  </si>
  <si>
    <t>TEMP CONT RENT 1YD</t>
  </si>
  <si>
    <t>CC15YTR</t>
  </si>
  <si>
    <t>TEMP CONT RENT 1.5YD</t>
  </si>
  <si>
    <t>CC2YTR</t>
  </si>
  <si>
    <t>TEMP CONT RENT 2YD</t>
  </si>
  <si>
    <t>CC3YTR</t>
  </si>
  <si>
    <t>TEMP CONT RENT 3YD</t>
  </si>
  <si>
    <t>CC6YTR</t>
  </si>
  <si>
    <t>TEMP CONT RENT 6YD</t>
  </si>
  <si>
    <t>CC8YTR</t>
  </si>
  <si>
    <t>TEMP CONT RENT 8YD</t>
  </si>
  <si>
    <t>CTIME1M</t>
  </si>
  <si>
    <t>CTIME2M</t>
  </si>
  <si>
    <t>CCTRIP</t>
  </si>
  <si>
    <t>TRIP CHARGE - CONTAINER</t>
  </si>
  <si>
    <t>CRTRIP</t>
  </si>
  <si>
    <t>CACCESS</t>
  </si>
  <si>
    <t>ACCESS CHARGE - PER MTH</t>
  </si>
  <si>
    <t>CACCESSEOW</t>
  </si>
  <si>
    <t>EOW MONTHLY ACCESS CHARGE</t>
  </si>
  <si>
    <t>CWSAN 1-5</t>
  </si>
  <si>
    <t>WASH &amp; SANITIZE CONT 1-5</t>
  </si>
  <si>
    <t>VLOCK</t>
  </si>
  <si>
    <t>LOCK CHARGE - PER MTH</t>
  </si>
  <si>
    <t>CCDRVIN</t>
  </si>
  <si>
    <t>DRIVE IN CHARGE - PER MTH</t>
  </si>
  <si>
    <t>CROLLOUTEOW</t>
  </si>
  <si>
    <t>EOW CONT ROLLOUT CHARGE</t>
  </si>
  <si>
    <t>CROLLOUT</t>
  </si>
  <si>
    <t>ROLLOUT CHARGE - PER MTH</t>
  </si>
  <si>
    <t>DAMAGE</t>
  </si>
  <si>
    <t>PROPERTY DAMAGE</t>
  </si>
  <si>
    <t>ADJ</t>
  </si>
  <si>
    <t>ADJUST BALANCE</t>
  </si>
  <si>
    <t>GWC</t>
  </si>
  <si>
    <t>GOODWILL CREDIT</t>
  </si>
  <si>
    <t>TOTAL COMMERCIAL SERVICES</t>
  </si>
  <si>
    <t>DROP BOX SERVICES</t>
  </si>
  <si>
    <t>CER15YD</t>
  </si>
  <si>
    <t>EMPTY &amp; RETURN 15YD</t>
  </si>
  <si>
    <t>CER20YD</t>
  </si>
  <si>
    <t>EMPTY &amp; RETURN 20YD</t>
  </si>
  <si>
    <t>CER30YD</t>
  </si>
  <si>
    <t>EMPTY &amp; RETURN 30YD</t>
  </si>
  <si>
    <t>CER40YD</t>
  </si>
  <si>
    <t>EMPTY &amp; RETURN 40YD</t>
  </si>
  <si>
    <t>VHAUL20</t>
  </si>
  <si>
    <t>HAUL FEE 20YD DROPBOX</t>
  </si>
  <si>
    <t>VHAUL30</t>
  </si>
  <si>
    <t>HAUL FEE 30YD DROPBOX</t>
  </si>
  <si>
    <t>VHAUL40</t>
  </si>
  <si>
    <t>HAUL FEE 40YD DROPBOX</t>
  </si>
  <si>
    <t>CRV20YD</t>
  </si>
  <si>
    <t>REMOVE 20YD</t>
  </si>
  <si>
    <t>CRV30YD</t>
  </si>
  <si>
    <t>REMOVE 30YD</t>
  </si>
  <si>
    <t>CRV40YD</t>
  </si>
  <si>
    <t>REMOVE 40YD</t>
  </si>
  <si>
    <t>CTER15YD</t>
  </si>
  <si>
    <t>EMPTY &amp; RETURN TEMP 15YD</t>
  </si>
  <si>
    <t>CTER20YD</t>
  </si>
  <si>
    <t>EMPTY &amp; RETURN TEMP 20YD</t>
  </si>
  <si>
    <t>CTER30YD</t>
  </si>
  <si>
    <t>EMPTY &amp; RETURN TEMP 30YD</t>
  </si>
  <si>
    <t>CTER40YD</t>
  </si>
  <si>
    <t>EMPTY &amp; RETURN TEMP 40YD</t>
  </si>
  <si>
    <t>CTRV15YD</t>
  </si>
  <si>
    <t>REMOVE TEMP 15YD</t>
  </si>
  <si>
    <t>CTRV20YD</t>
  </si>
  <si>
    <t>REMOVE TEMP 20YD</t>
  </si>
  <si>
    <t>CTRV30YD</t>
  </si>
  <si>
    <t>REMOVE TEMP 30YD</t>
  </si>
  <si>
    <t>CTRV40YD</t>
  </si>
  <si>
    <t>REMOVE TEMP 40YD</t>
  </si>
  <si>
    <t>CCOMP15</t>
  </si>
  <si>
    <t>EMPTY 15YD COMPACTOR</t>
  </si>
  <si>
    <t>CCOMP20</t>
  </si>
  <si>
    <t>EMPTY 20YD COMPACTOR</t>
  </si>
  <si>
    <t>CCOMP25</t>
  </si>
  <si>
    <t>EMPTY 25YD COMPACTOR</t>
  </si>
  <si>
    <t>CCOMP30</t>
  </si>
  <si>
    <t>EMPTY 30YD COMPACTOR</t>
  </si>
  <si>
    <t>CCOMP40</t>
  </si>
  <si>
    <t>EMPTY 40YD COMPACTOR</t>
  </si>
  <si>
    <t>CDEM15</t>
  </si>
  <si>
    <t>15YD DROPBOX RENTAL</t>
  </si>
  <si>
    <t>CDEM20</t>
  </si>
  <si>
    <t>20YD DROPBOX RENTAL</t>
  </si>
  <si>
    <t>CDEM30</t>
  </si>
  <si>
    <t>30YD DROPBOX RENTAL</t>
  </si>
  <si>
    <t>CDEM40</t>
  </si>
  <si>
    <t>40YD DROPBOX RENTAL</t>
  </si>
  <si>
    <t>CTDEM15</t>
  </si>
  <si>
    <t>15YD TEMP DROPBOX RENT</t>
  </si>
  <si>
    <t>CTDEM20</t>
  </si>
  <si>
    <t>20YD TEMP DROPBOX RENT</t>
  </si>
  <si>
    <t>VDEM20</t>
  </si>
  <si>
    <t>VDEM30</t>
  </si>
  <si>
    <t>CTDEM30</t>
  </si>
  <si>
    <t>30YD TEMP DROPBOX RENT</t>
  </si>
  <si>
    <t>CTDEM40</t>
  </si>
  <si>
    <t>40YD TEMP DROPBOX RENT</t>
  </si>
  <si>
    <t>VDEM40</t>
  </si>
  <si>
    <t>SPDISCO</t>
  </si>
  <si>
    <t>COMPACTOR DISCONNECT FEE</t>
  </si>
  <si>
    <t>CPLACE</t>
  </si>
  <si>
    <t>DROPBOX DELIVERY FEE</t>
  </si>
  <si>
    <t>RPLACE</t>
  </si>
  <si>
    <t>CLIDCHG</t>
  </si>
  <si>
    <t>LID CHARGE - DROPBOX</t>
  </si>
  <si>
    <t>CTLIDCHG</t>
  </si>
  <si>
    <t>TEMP DROPBOX-LID CHARGE</t>
  </si>
  <si>
    <t>MILE</t>
  </si>
  <si>
    <t>MILEAGE CHARGE-BEYOND 10</t>
  </si>
  <si>
    <t>TARP</t>
  </si>
  <si>
    <t>TARP FEE</t>
  </si>
  <si>
    <t>VDTIME</t>
  </si>
  <si>
    <t>TIME CHARGE - DROPBOX</t>
  </si>
  <si>
    <t>VPLACE</t>
  </si>
  <si>
    <t>DBTRIP</t>
  </si>
  <si>
    <t>TRIP CHARGE - ROLLOFF</t>
  </si>
  <si>
    <t>VLIDCHG</t>
  </si>
  <si>
    <t>TOTAL DROP BOX SERVICES</t>
  </si>
  <si>
    <t>PASSTHROUGH DISPOSAL</t>
  </si>
  <si>
    <t>DISP</t>
  </si>
  <si>
    <t>DISPOSAL CHARGE</t>
  </si>
  <si>
    <t>FEE</t>
  </si>
  <si>
    <t>TRANSACTION FEE</t>
  </si>
  <si>
    <t>WBDRYER</t>
  </si>
  <si>
    <t>CLOTHES DRYER</t>
  </si>
  <si>
    <t>WBREFRIGE</t>
  </si>
  <si>
    <t>REFRIGERATOR, FREEZER</t>
  </si>
  <si>
    <t>WTTIRE</t>
  </si>
  <si>
    <t>TIRE(S) - LARGE</t>
  </si>
  <si>
    <t>WCTIRE/RIM</t>
  </si>
  <si>
    <t>TIRE(S) &amp; RIM(S)-SMALL</t>
  </si>
  <si>
    <t>WCTIRE</t>
  </si>
  <si>
    <t>TIRE(S) -SMALL</t>
  </si>
  <si>
    <t>WBWASHER</t>
  </si>
  <si>
    <t>WASHING MACHINE</t>
  </si>
  <si>
    <t>WBWTRHTR</t>
  </si>
  <si>
    <t>WATER HEATER</t>
  </si>
  <si>
    <t>TOTAL PASSTHROUGH DISPOSAL</t>
  </si>
  <si>
    <t>FINCHG</t>
  </si>
  <si>
    <t>FINANCE CHARGE</t>
  </si>
  <si>
    <t>RETCKC</t>
  </si>
  <si>
    <t>RETURNED CHECK</t>
  </si>
  <si>
    <t>TOTAL SERVICE CHARGES</t>
  </si>
  <si>
    <t>TOTAL REVENUE</t>
  </si>
  <si>
    <t>UTC Non-Reg</t>
  </si>
  <si>
    <t>RESIDENTIAL RECYCLING</t>
  </si>
  <si>
    <t>CRRECHEL</t>
  </si>
  <si>
    <t>CURBSIDE RECY-HELICO</t>
  </si>
  <si>
    <t>CRREC35</t>
  </si>
  <si>
    <t>RES RECY 35G CART-COUNTY</t>
  </si>
  <si>
    <t>CRREC48</t>
  </si>
  <si>
    <t>RES RECY 48G CART-COUNTY</t>
  </si>
  <si>
    <t>CRREC65</t>
  </si>
  <si>
    <t>RES RECY 65G CART-COUNTY</t>
  </si>
  <si>
    <t>VRREC65</t>
  </si>
  <si>
    <t>RES RECY 65G CART-CITY</t>
  </si>
  <si>
    <t>VRREC95</t>
  </si>
  <si>
    <t>RES RECY 95G CART-CITY</t>
  </si>
  <si>
    <t>CRREC95</t>
  </si>
  <si>
    <t>RES RECY 95G CART-COUNTY</t>
  </si>
  <si>
    <t>RUREC</t>
  </si>
  <si>
    <t>RURAL RECY ONLY CHARGE</t>
  </si>
  <si>
    <t>RGREC</t>
  </si>
  <si>
    <t>RURAL RECY WITH GARBAGE</t>
  </si>
  <si>
    <t>RRREC</t>
  </si>
  <si>
    <t>RESIDENTIAL RECY-RIDGE</t>
  </si>
  <si>
    <t>CRPLACE</t>
  </si>
  <si>
    <t>RECY CART DELIVERY FEE</t>
  </si>
  <si>
    <t>RUREC125</t>
  </si>
  <si>
    <t>RURAL RECY DIST OVER 125'</t>
  </si>
  <si>
    <t>RURECACC</t>
  </si>
  <si>
    <t>RURAL RECY ACCESS CHARGE</t>
  </si>
  <si>
    <t>RURECDRVIN</t>
  </si>
  <si>
    <t>RURAL RECY DRIVEIN CHARGE</t>
  </si>
  <si>
    <t>TOTEPUR</t>
  </si>
  <si>
    <t>TOTER/CONT/DB PURCHASE</t>
  </si>
  <si>
    <t>TOTAL RESIDENTIAL RECYCLING</t>
  </si>
  <si>
    <t>MULTI-FAMILY RECYCLING</t>
  </si>
  <si>
    <t>CMFREC</t>
  </si>
  <si>
    <t>MULTI-FAMILY RECYCLE</t>
  </si>
  <si>
    <t>TOTAL MULTI-FAMILY RECYCLING</t>
  </si>
  <si>
    <t>RESIDENTIAL YARD WASTE</t>
  </si>
  <si>
    <t>LYDBM</t>
  </si>
  <si>
    <t>YARD DEBRIS SERV-BIMTHLY</t>
  </si>
  <si>
    <t>VYDBM</t>
  </si>
  <si>
    <t>CYDBM64</t>
  </si>
  <si>
    <t>YARD DEBRIS SVC-64BIMTHLY</t>
  </si>
  <si>
    <t>CYDBM96</t>
  </si>
  <si>
    <t>YARD DEBRIS SVC-96BIMTHLY</t>
  </si>
  <si>
    <t>YDX</t>
  </si>
  <si>
    <t>EXTRA YARD DEBRIS</t>
  </si>
  <si>
    <t>YDRENT64</t>
  </si>
  <si>
    <t>64GAL YARD CART RENTAL</t>
  </si>
  <si>
    <t>YDRENT96</t>
  </si>
  <si>
    <t>96GAL YARD CART RENTAL</t>
  </si>
  <si>
    <t>YDRENT</t>
  </si>
  <si>
    <t>YARD CART ON CALL RENT</t>
  </si>
  <si>
    <t>YDPLACE</t>
  </si>
  <si>
    <t>YARD CART DELIVERY FEE</t>
  </si>
  <si>
    <t>YDOC</t>
  </si>
  <si>
    <t>YARD DEBRIS ON CALL P/U</t>
  </si>
  <si>
    <t>YDRESTART</t>
  </si>
  <si>
    <t>YARD DEBRIS RESTART FEE</t>
  </si>
  <si>
    <t>BALADJ</t>
  </si>
  <si>
    <t>YARD DEBRIS PRICE ADJ</t>
  </si>
  <si>
    <t>TOTAL RESIDENTIAL YARD WASTE</t>
  </si>
  <si>
    <t>COMMERCIAL RECYCLING</t>
  </si>
  <si>
    <t>CRY4Y4X</t>
  </si>
  <si>
    <t>4YD RECYCLE 4X WKLY</t>
  </si>
  <si>
    <t>CRY4Y5X</t>
  </si>
  <si>
    <t>4YD RECYCLE 5X WKLY</t>
  </si>
  <si>
    <t>CRY1.5Y1X</t>
  </si>
  <si>
    <t>1.5YD RECYCLE 1X WKLY</t>
  </si>
  <si>
    <t>CRY1.5Y2X</t>
  </si>
  <si>
    <t>1.5YD RECYCLE 2X WKLY</t>
  </si>
  <si>
    <t xml:space="preserve">CRY1.5EOW </t>
  </si>
  <si>
    <t>1.5YD RECYCLE EOW</t>
  </si>
  <si>
    <t>CRY1Y1X</t>
  </si>
  <si>
    <t>1YD RECYCLE 1X WKLY</t>
  </si>
  <si>
    <t>CRY1Y2X</t>
  </si>
  <si>
    <t>1YD RECYCLE 2X WKLY</t>
  </si>
  <si>
    <t>CRY1YGLS1X</t>
  </si>
  <si>
    <t>1 YD GLASS CONT 1X WKLY</t>
  </si>
  <si>
    <t>CRY1YEOW</t>
  </si>
  <si>
    <t>1YD RECYCLE EOW</t>
  </si>
  <si>
    <t>CRY2-1Y1X</t>
  </si>
  <si>
    <t>2-1YD RECYCLE 1X WKLY</t>
  </si>
  <si>
    <t>CRY2Y1MO</t>
  </si>
  <si>
    <t>2YD RECYCLE 1X MTHLY</t>
  </si>
  <si>
    <t>CRY2Y1X</t>
  </si>
  <si>
    <t>2YD RECYCLE 1X WKLY</t>
  </si>
  <si>
    <t>CRY2Y2X</t>
  </si>
  <si>
    <t>2YD RECYCLE 2X WKLY</t>
  </si>
  <si>
    <t>CRY2YEOW</t>
  </si>
  <si>
    <t>2YD RECYCLE EOW</t>
  </si>
  <si>
    <t>CRY3Y1MO</t>
  </si>
  <si>
    <t>3YD RECYCLE 1X MTHLY</t>
  </si>
  <si>
    <t>CRY3Y1X</t>
  </si>
  <si>
    <t>3YD RECYCLE 1X WKLY</t>
  </si>
  <si>
    <t>CRY3Y2X</t>
  </si>
  <si>
    <t>3YD RECYCLE 2X WKLY</t>
  </si>
  <si>
    <t>CRY3Y3X</t>
  </si>
  <si>
    <t>3YD RECYCLE 3X WKLY</t>
  </si>
  <si>
    <t>CRY3Y4X</t>
  </si>
  <si>
    <t>3YD RECYCLE 4X WKLY</t>
  </si>
  <si>
    <t>CRY3Y5X</t>
  </si>
  <si>
    <t>3YD RECYCLE 5X WKLY</t>
  </si>
  <si>
    <t>CRY3YEOW</t>
  </si>
  <si>
    <t>3YD RECYCLE EOW</t>
  </si>
  <si>
    <t>CRY4Y1X</t>
  </si>
  <si>
    <t>4YD RECYCLE 1X WKLY</t>
  </si>
  <si>
    <t>CRY4Y2X</t>
  </si>
  <si>
    <t>4YD RECYCLE 2X WKLY</t>
  </si>
  <si>
    <t>CRY4Y3X</t>
  </si>
  <si>
    <t>4YD RECYCLE 3X WKLY</t>
  </si>
  <si>
    <t>CRY4YEOW</t>
  </si>
  <si>
    <t>4YD RECYCLE EOW</t>
  </si>
  <si>
    <t>CRY2-3Y1X</t>
  </si>
  <si>
    <t>2-3YD RECYCLE 1X WKLY</t>
  </si>
  <si>
    <t>CRY2-4Y1X</t>
  </si>
  <si>
    <t>2-4YD RECYCLE 1X WKLY</t>
  </si>
  <si>
    <t>CRY2-4Y2X</t>
  </si>
  <si>
    <t>2-4YD RECYCLE 2X WKLY</t>
  </si>
  <si>
    <t>CRY2-5Y1X</t>
  </si>
  <si>
    <t>2-5YD RECYCLE 1X WKLY</t>
  </si>
  <si>
    <t>CRY5Y1X</t>
  </si>
  <si>
    <t>5YD RECYCLE 1X WKLY</t>
  </si>
  <si>
    <t>CRY5Y2X</t>
  </si>
  <si>
    <t>5YD RECYCLE 2X WKLY</t>
  </si>
  <si>
    <t>CRY5Y3X</t>
  </si>
  <si>
    <t>5YD RECYCLE 3X WKLY</t>
  </si>
  <si>
    <t>CRY6Y1X</t>
  </si>
  <si>
    <t>6YD RECYCLE 1X WKLY</t>
  </si>
  <si>
    <t>CRY6Y2X</t>
  </si>
  <si>
    <t>6YD RECYCLE 2X WKLY</t>
  </si>
  <si>
    <t>CRY6Y3X</t>
  </si>
  <si>
    <t>6YD RECYCLE 3X WKLY</t>
  </si>
  <si>
    <t>CRY6YEOW</t>
  </si>
  <si>
    <t>6YD RECYCLE EOW</t>
  </si>
  <si>
    <t>CRY8Y1X</t>
  </si>
  <si>
    <t>8YD RECYCLE 1X WKLY</t>
  </si>
  <si>
    <t>CRY8Y2X</t>
  </si>
  <si>
    <t>8YD RECYCLE 2X WKLY</t>
  </si>
  <si>
    <t>CRY8Y3X</t>
  </si>
  <si>
    <t>8YD RECYCLE 3X WKLY</t>
  </si>
  <si>
    <t>CRY8Y4X</t>
  </si>
  <si>
    <t>8YD RECYCLE 4X WKLY</t>
  </si>
  <si>
    <t>CFR32G1X</t>
  </si>
  <si>
    <t>32G FOOD COMPOST 1X WKLY</t>
  </si>
  <si>
    <t>CFR65G1X</t>
  </si>
  <si>
    <t>65G FOOD COMPOST 1X WKLY</t>
  </si>
  <si>
    <t>CFR65G2X</t>
  </si>
  <si>
    <t>65G FOOD COMPOST 2X WKLY</t>
  </si>
  <si>
    <t>CRY901X</t>
  </si>
  <si>
    <t>90GAL RECYCLE 1X WKLY</t>
  </si>
  <si>
    <t>CRY902X</t>
  </si>
  <si>
    <t>90GAL RECYCLE 2X WKLY</t>
  </si>
  <si>
    <t>CRY90EOW</t>
  </si>
  <si>
    <t>90GAL RECYCLE EOW</t>
  </si>
  <si>
    <t>CRY901X3</t>
  </si>
  <si>
    <t>3-90GAL RECYCLE 1X WKLY</t>
  </si>
  <si>
    <t>CRY902X3</t>
  </si>
  <si>
    <t>3-90GAL RECYCLE 2X WKLY</t>
  </si>
  <si>
    <t>CRY901X2</t>
  </si>
  <si>
    <t>2-90GAL RECYCLE 1X WKLY</t>
  </si>
  <si>
    <t>CRY90EOW2</t>
  </si>
  <si>
    <t>2-90GAL RECYCLE EOW</t>
  </si>
  <si>
    <t>CRY90EOW3</t>
  </si>
  <si>
    <t>3-90GAL RECYCLE EOW</t>
  </si>
  <si>
    <t>CRYGLASS1X</t>
  </si>
  <si>
    <t>96G GLASS CART 1X WKLY</t>
  </si>
  <si>
    <t>CRY90OC3</t>
  </si>
  <si>
    <t>3-90GAL RECY ON CALL RENT</t>
  </si>
  <si>
    <t>CRYLOCK</t>
  </si>
  <si>
    <t>RECY LOCK CHARGE</t>
  </si>
  <si>
    <t>MFTOTE</t>
  </si>
  <si>
    <t>EXTRA RECY CANS/BAGS</t>
  </si>
  <si>
    <t>SCHX</t>
  </si>
  <si>
    <t>SCHOOL RECY EX YDS/EX PU</t>
  </si>
  <si>
    <t>MFPAIL</t>
  </si>
  <si>
    <t>EXTRA RECYCLE PAILS</t>
  </si>
  <si>
    <t>CRYEXC</t>
  </si>
  <si>
    <t>REC EXTRA YARDS</t>
  </si>
  <si>
    <t>0CRYEXC</t>
  </si>
  <si>
    <t>0CRYEX1.5YD</t>
  </si>
  <si>
    <t>ON-CALL P/U 1.5YD RECYCLE</t>
  </si>
  <si>
    <t>0CRYEX90</t>
  </si>
  <si>
    <t>ON-CALL P/U 1-90GAL RECY</t>
  </si>
  <si>
    <t>0CRYEX1YD</t>
  </si>
  <si>
    <t>ON-CALL P/U 1YD RECYCLE</t>
  </si>
  <si>
    <t>0CRYEX2YD</t>
  </si>
  <si>
    <t>ON-CALL P/U 2YD RECYCLE</t>
  </si>
  <si>
    <t>0CRYEX3YD</t>
  </si>
  <si>
    <t>ON-CALL P/U 3YD RECYCLE</t>
  </si>
  <si>
    <t>0CRYEX4YD</t>
  </si>
  <si>
    <t>ON-CALL P/U 4YD RECYCLE</t>
  </si>
  <si>
    <t>0CRYEX5YD</t>
  </si>
  <si>
    <t>ON-CALL P/U 5YD RECYCLE</t>
  </si>
  <si>
    <t>0CRYEX6YD</t>
  </si>
  <si>
    <t>ON-CALL P/U 6YD RECYCLE</t>
  </si>
  <si>
    <t>CRY1YOC</t>
  </si>
  <si>
    <t>1YD RECYCLE ON CALL RENT</t>
  </si>
  <si>
    <t>CRY1.5OC</t>
  </si>
  <si>
    <t>1.5YD RECY ON CALL RENT</t>
  </si>
  <si>
    <t>CRY2YOC</t>
  </si>
  <si>
    <t>2YD RECYCLE ON CALL RENT</t>
  </si>
  <si>
    <t>CRY3YOC</t>
  </si>
  <si>
    <t>3YD RECY ON CALL RENTAL</t>
  </si>
  <si>
    <t>CRY4YOC</t>
  </si>
  <si>
    <t>4YD RECY ON CALL RENTAL</t>
  </si>
  <si>
    <t>CRY6YOC</t>
  </si>
  <si>
    <t>6YD RECY ON CALL RENTAL</t>
  </si>
  <si>
    <t>CRY5YOC</t>
  </si>
  <si>
    <t>5YD RECY ON CALL RENTAL</t>
  </si>
  <si>
    <t>CRY2YRENT</t>
  </si>
  <si>
    <t>2YD RECYCLE RENTAL</t>
  </si>
  <si>
    <t>CRY3YRENT</t>
  </si>
  <si>
    <t>3YD RECYCLE RENTAL</t>
  </si>
  <si>
    <t>CRY4YRENT</t>
  </si>
  <si>
    <t>4YD RECYCLE RENTAL</t>
  </si>
  <si>
    <t>CRY5YRENT</t>
  </si>
  <si>
    <t>5YD RECYCLE RENTAL</t>
  </si>
  <si>
    <t>0CRY90OC</t>
  </si>
  <si>
    <t>90GAL RECY ON CALL RENTAL</t>
  </si>
  <si>
    <t>CRY90OC</t>
  </si>
  <si>
    <t>CRY90OC2</t>
  </si>
  <si>
    <t>2-90GAL RECY ON CALL RENT</t>
  </si>
  <si>
    <t>CRYACC</t>
  </si>
  <si>
    <t>RECY ACCESS CHARGE</t>
  </si>
  <si>
    <t>CRYPLACE</t>
  </si>
  <si>
    <t>RECY CONT DELIVERY FEE</t>
  </si>
  <si>
    <t>CRYRO</t>
  </si>
  <si>
    <t>RECY CONT ROLLOUT CHARGE</t>
  </si>
  <si>
    <t>COMREC</t>
  </si>
  <si>
    <t>SCHOOL RECYCLE SERVICE</t>
  </si>
  <si>
    <t>CRYEX1.5YD</t>
  </si>
  <si>
    <t>SPECIAL PU 1.5YD RECYCLE</t>
  </si>
  <si>
    <t>CRYEX90</t>
  </si>
  <si>
    <t>SPECIAL PU 1-90GAL RECY</t>
  </si>
  <si>
    <t>CRYEX903</t>
  </si>
  <si>
    <t>SPECIAL PU 3-90GAL RECY</t>
  </si>
  <si>
    <t>CRYEX1YD</t>
  </si>
  <si>
    <t>SPECIAL PU 1YD RECYCLE</t>
  </si>
  <si>
    <t>CRYEX2YD</t>
  </si>
  <si>
    <t>SPECIAL PU 2YD RECYCLE</t>
  </si>
  <si>
    <t>CRYEX3YD</t>
  </si>
  <si>
    <t>SPECIAL PU 3YD RECYCLE</t>
  </si>
  <si>
    <t>CRYEX4YD</t>
  </si>
  <si>
    <t>SPECIAL PU 4YD RECYCLE</t>
  </si>
  <si>
    <t>CRYEX5YD</t>
  </si>
  <si>
    <t>SPECIAL PU 5YD RECYCLE</t>
  </si>
  <si>
    <t>CRYEX6YD</t>
  </si>
  <si>
    <t>SPECIAL PU 6YD RECYCLE</t>
  </si>
  <si>
    <t>CRYEX8YD</t>
  </si>
  <si>
    <t>SPECIAL PU 8YD RECYCLE</t>
  </si>
  <si>
    <t>CRYTRIP</t>
  </si>
  <si>
    <t>TRIP CHARGE - RECYCLING</t>
  </si>
  <si>
    <t>WCCLEAN</t>
  </si>
  <si>
    <t>WASH &amp; SANITIZE FW CART</t>
  </si>
  <si>
    <t>RECPUR</t>
  </si>
  <si>
    <t>RECYCLE PURCHASE</t>
  </si>
  <si>
    <t>TOTAL COMMERCIAL RECYCLING</t>
  </si>
  <si>
    <t>DROP BOX</t>
  </si>
  <si>
    <t>RECYCLING DROP BOX HAULS/RENTAL</t>
  </si>
  <si>
    <t>DRHAUL15</t>
  </si>
  <si>
    <t>RECYCLING HAUL 15YD BOX</t>
  </si>
  <si>
    <t>DRHAUL20</t>
  </si>
  <si>
    <t>RECYCLING HAUL 20YD BOX</t>
  </si>
  <si>
    <t>DRHAUL30</t>
  </si>
  <si>
    <t>RECYCLING HAUL 30YD BOX</t>
  </si>
  <si>
    <t>DRHAUL40</t>
  </si>
  <si>
    <t>RECYCLING HAUL 40YD BOX</t>
  </si>
  <si>
    <t>FWCOMP</t>
  </si>
  <si>
    <t>COMPOST COMPACTOR HAUL</t>
  </si>
  <si>
    <t>CACOMPRNT</t>
  </si>
  <si>
    <t>COMPACTOR RENTAL</t>
  </si>
  <si>
    <t>DRMIX</t>
  </si>
  <si>
    <t>CO-MINGLE RECY DISP</t>
  </si>
  <si>
    <t>DRDEM15</t>
  </si>
  <si>
    <t>15YD RECYCLING DB RENTAL</t>
  </si>
  <si>
    <t>DRDEM20</t>
  </si>
  <si>
    <t>20YD RECYCLING DB RENTAL</t>
  </si>
  <si>
    <t>DRDEM30</t>
  </si>
  <si>
    <t>30YD RECYCLING DB RENTAL</t>
  </si>
  <si>
    <t>DRDEM40</t>
  </si>
  <si>
    <t>40YD RECYCLING DB RENTAL</t>
  </si>
  <si>
    <t>HAULWD/YD</t>
  </si>
  <si>
    <t>HAUL FEE WOOD-YD DEBRIS</t>
  </si>
  <si>
    <t>DRPLACE</t>
  </si>
  <si>
    <t>RECYCLING DB DELIVERY FEE</t>
  </si>
  <si>
    <t>DRTARP</t>
  </si>
  <si>
    <t>RECYCLING DB TARP CHARGE</t>
  </si>
  <si>
    <t>LHAUL</t>
  </si>
  <si>
    <t xml:space="preserve">LONGVIEW HAUL </t>
  </si>
  <si>
    <t>OCC</t>
  </si>
  <si>
    <t>TONS CARDBOARD</t>
  </si>
  <si>
    <t>TOTAL RECYCLING DROP BOX HAULS/RENTAL</t>
  </si>
  <si>
    <t>PTON</t>
  </si>
  <si>
    <t>RECYCLING DISPOSAL</t>
  </si>
  <si>
    <t>FOOD</t>
  </si>
  <si>
    <t>COMPOST DISPOSAL</t>
  </si>
  <si>
    <t>PTRAN</t>
  </si>
  <si>
    <t>FW/RECY TRANSACTION FEE</t>
  </si>
  <si>
    <t>Camas - Non-Regulated</t>
  </si>
  <si>
    <t>Camas Non-Reg</t>
  </si>
  <si>
    <t>RESIDENTIAL GARBAGE</t>
  </si>
  <si>
    <t>Camas Agreement 32000 (Non MM001)</t>
  </si>
  <si>
    <t>TOTAL RESIDENTIAL GARBAGE</t>
  </si>
  <si>
    <t>Camas Recycling - 32100 (Non MM001)</t>
  </si>
  <si>
    <t>CAYDA</t>
  </si>
  <si>
    <t>YARD DEBRIS SERV-ANNUAL</t>
  </si>
  <si>
    <t>CAYDBM</t>
  </si>
  <si>
    <t>YARD DEBRIS SVC-BIMTHLY</t>
  </si>
  <si>
    <t>COMMERCIAL GARBAGE</t>
  </si>
  <si>
    <t>TOTAL COMMERCIAL GARBAGE</t>
  </si>
  <si>
    <t>CRY5YEOW</t>
  </si>
  <si>
    <t>5YD RECYCLE EOW</t>
  </si>
  <si>
    <t>CFR64G1X</t>
  </si>
  <si>
    <t>64G FOOD COMPOST 1X WKLY</t>
  </si>
  <si>
    <t>CRYCWBINS</t>
  </si>
  <si>
    <t>REC BINS CAMAS/WSGL</t>
  </si>
  <si>
    <t>CRY8YOC</t>
  </si>
  <si>
    <t>8YD RECY ON CALL RENT</t>
  </si>
  <si>
    <t>DROP BOX GARBAGE</t>
  </si>
  <si>
    <t>CAHAUL</t>
  </si>
  <si>
    <t>DROPBOX HAUL FEE-CAMAS</t>
  </si>
  <si>
    <t>VHAUL30C</t>
  </si>
  <si>
    <t>COMPACTOR HAUL 30YD</t>
  </si>
  <si>
    <t>CAHAULC</t>
  </si>
  <si>
    <t>COMPACTOR HAUL-CAMAS</t>
  </si>
  <si>
    <t>CADEM15</t>
  </si>
  <si>
    <t>CADEM20</t>
  </si>
  <si>
    <t>CADEM30</t>
  </si>
  <si>
    <t>CADEM40</t>
  </si>
  <si>
    <t>CADEMUR</t>
  </si>
  <si>
    <t>DROPBOX RENTAL-CAMAS</t>
  </si>
  <si>
    <t>CADEMLID</t>
  </si>
  <si>
    <t>DROPBX&amp;LID RENT</t>
  </si>
  <si>
    <t>WAMISC</t>
  </si>
  <si>
    <t>ROLL-OFF HOURLY RATE</t>
  </si>
  <si>
    <t>DWSAN30</t>
  </si>
  <si>
    <t>WASH &amp; SANITIZE DB 30YD</t>
  </si>
  <si>
    <t>DWSAN20</t>
  </si>
  <si>
    <t>WASH &amp; SANITIZE DB 20YD</t>
  </si>
  <si>
    <t>TOTAL DROP BOX HAULS/RENTAL</t>
  </si>
  <si>
    <t>DROP BOX RECYLING</t>
  </si>
  <si>
    <t>CAHAULR</t>
  </si>
  <si>
    <t>CAMAS RECYCLING HAUL</t>
  </si>
  <si>
    <t>CAMASROLL OFFPTRAN</t>
  </si>
  <si>
    <t>RECY/FW TRANSACTION FEE</t>
  </si>
  <si>
    <t>TOTAL DROP BOX RECYCLING</t>
  </si>
  <si>
    <t>GPDISP</t>
  </si>
  <si>
    <t>GEORGIA PACIFIC RECY DISP</t>
  </si>
  <si>
    <t>CADISP</t>
  </si>
  <si>
    <t>DISPOSAL CHARGE-CAMAS</t>
  </si>
  <si>
    <t>CAFEE</t>
  </si>
  <si>
    <t>TRANS/DISP FEE - CAMAS</t>
  </si>
  <si>
    <t>NSF FEES</t>
  </si>
  <si>
    <t>FEE FOR RETURNED CHECK</t>
  </si>
  <si>
    <t>MM</t>
  </si>
  <si>
    <t>TRANSFER PAYMENT</t>
  </si>
  <si>
    <t>RETURNED CHECK CHARGE</t>
  </si>
  <si>
    <t>Subtotal Service Charges</t>
  </si>
  <si>
    <t>Ridgefield - Non-Regulated</t>
  </si>
  <si>
    <t>Ridgefield Non-Reg</t>
  </si>
  <si>
    <t>RRMC</t>
  </si>
  <si>
    <t>RR32W1</t>
  </si>
  <si>
    <t>RR32W2</t>
  </si>
  <si>
    <t>RREOW</t>
  </si>
  <si>
    <t>32GAL CAN EOW-RIDGE</t>
  </si>
  <si>
    <t>RR32MO</t>
  </si>
  <si>
    <t>32GAL CAN MONTHLY</t>
  </si>
  <si>
    <t>RR32W3</t>
  </si>
  <si>
    <t>RR32W4</t>
  </si>
  <si>
    <t>RR32W5</t>
  </si>
  <si>
    <t>RRDRVIN</t>
  </si>
  <si>
    <t>RDGD6</t>
  </si>
  <si>
    <t>RDGD26</t>
  </si>
  <si>
    <t>RDGD101</t>
  </si>
  <si>
    <t>RYDM</t>
  </si>
  <si>
    <t>YARD DEBRIS SERV-MTHLY</t>
  </si>
  <si>
    <t>RC15Y1W</t>
  </si>
  <si>
    <t>RC1Y1W</t>
  </si>
  <si>
    <t>RC2Y1W</t>
  </si>
  <si>
    <t>RC3Y1W</t>
  </si>
  <si>
    <t>RC3Y2W</t>
  </si>
  <si>
    <t>RC4Y1W</t>
  </si>
  <si>
    <t>RC4Y2W</t>
  </si>
  <si>
    <t>RC5Y1W</t>
  </si>
  <si>
    <t>RC6Y1W</t>
  </si>
  <si>
    <t>RC6Y2W</t>
  </si>
  <si>
    <t>RC8Y1W</t>
  </si>
  <si>
    <t>RC32W2</t>
  </si>
  <si>
    <t>RC32MO</t>
  </si>
  <si>
    <t>32GAL CAN MONTHLY-COM</t>
  </si>
  <si>
    <t>RC32W1</t>
  </si>
  <si>
    <t>RC32W3</t>
  </si>
  <si>
    <t>RC32EOW</t>
  </si>
  <si>
    <t>32GAL CAN EOW-COM</t>
  </si>
  <si>
    <t>RACCESS</t>
  </si>
  <si>
    <t>RCPLACE</t>
  </si>
  <si>
    <t>RC15YPR</t>
  </si>
  <si>
    <t>RC1YPR</t>
  </si>
  <si>
    <t>PERM CONT RENT 1YD-RIDGE</t>
  </si>
  <si>
    <t>RC2YPR</t>
  </si>
  <si>
    <t>RC3YPR</t>
  </si>
  <si>
    <t>RC4YPR</t>
  </si>
  <si>
    <t>RC5YPR</t>
  </si>
  <si>
    <t>RC6YPR</t>
  </si>
  <si>
    <t>RC8YPR</t>
  </si>
  <si>
    <t>RROLLOUT</t>
  </si>
  <si>
    <t>CCTP6Y</t>
  </si>
  <si>
    <t>TEMP PICKUP 6YD CONT</t>
  </si>
  <si>
    <t>RCRMV</t>
  </si>
  <si>
    <t>CONTAINER REMOVAL FEE</t>
  </si>
  <si>
    <t>RCDRVIN</t>
  </si>
  <si>
    <t>RCRY2Y1X</t>
  </si>
  <si>
    <t>2YD RECYCLE 1X WK-RIDGE</t>
  </si>
  <si>
    <t>RCRY3Y1X</t>
  </si>
  <si>
    <t>3YD RECY 1X WEEK-RIDGE</t>
  </si>
  <si>
    <t>RCRY961X</t>
  </si>
  <si>
    <t>96GAL RECY 1X WEEK-RIDGE</t>
  </si>
  <si>
    <t>RCRY96EOW</t>
  </si>
  <si>
    <t>96GAL RECY EOW-RIDGE</t>
  </si>
  <si>
    <t>RER15YD</t>
  </si>
  <si>
    <t>RER20YD</t>
  </si>
  <si>
    <t>RER30YD</t>
  </si>
  <si>
    <t>RER40YD</t>
  </si>
  <si>
    <t>RRV20YD</t>
  </si>
  <si>
    <t>RRV30YD</t>
  </si>
  <si>
    <t>RRV40YD</t>
  </si>
  <si>
    <t>RDEM15</t>
  </si>
  <si>
    <t>RDEM20</t>
  </si>
  <si>
    <t>RDEM30</t>
  </si>
  <si>
    <t>RDEM40</t>
  </si>
  <si>
    <t>RLIDCHG</t>
  </si>
  <si>
    <t>LINER-RO</t>
  </si>
  <si>
    <t>DROPBOX LINER CHARGE</t>
  </si>
  <si>
    <t>DWSAN40</t>
  </si>
  <si>
    <t>WASH &amp; SANITIZE DB 40YD</t>
  </si>
  <si>
    <t>SERVICE CHARGES</t>
  </si>
  <si>
    <t>Vancouver - Non-Regulated</t>
  </si>
  <si>
    <t>Vancouver Non-Reg</t>
  </si>
  <si>
    <t>VRA20EOWCO</t>
  </si>
  <si>
    <t>20Gal Auto Eow-Carryout</t>
  </si>
  <si>
    <t>VRA20WCO</t>
  </si>
  <si>
    <t>20Gal Auto Wkly-Carryout</t>
  </si>
  <si>
    <t>VRA20W</t>
  </si>
  <si>
    <t>Automated 20g Cart Wkly</t>
  </si>
  <si>
    <t>VRA20EOWHEL</t>
  </si>
  <si>
    <t>Automated 20g Eow Helico</t>
  </si>
  <si>
    <t>VRA20WHEL</t>
  </si>
  <si>
    <t>Automated 20g Wkly Helico</t>
  </si>
  <si>
    <t>VRA20EOW</t>
  </si>
  <si>
    <t>Automated 20gal Cart EOW</t>
  </si>
  <si>
    <t>VRA32CO</t>
  </si>
  <si>
    <t>Automated 32g Cart Carry</t>
  </si>
  <si>
    <t>VRA32EOW</t>
  </si>
  <si>
    <t>Automated 32g Cart Eow</t>
  </si>
  <si>
    <t>VRA32MO</t>
  </si>
  <si>
    <t>Automated 32g Cart Mnth</t>
  </si>
  <si>
    <t>VRA32W</t>
  </si>
  <si>
    <t>Automated 32g Cart Wkly</t>
  </si>
  <si>
    <t>VRA32EOWHEL</t>
  </si>
  <si>
    <t>Automated 32g Eow Helico</t>
  </si>
  <si>
    <t>VRA32MHEL</t>
  </si>
  <si>
    <t>Automated 32g Mnth Helico</t>
  </si>
  <si>
    <t>VRA32WHEL</t>
  </si>
  <si>
    <t>Automated 32g Wk Helico</t>
  </si>
  <si>
    <t>VRA32EOWCO</t>
  </si>
  <si>
    <t>Automated 32gal Eow Carry</t>
  </si>
  <si>
    <t>VRA32MCO</t>
  </si>
  <si>
    <t>Automated 32gal Mth Carry</t>
  </si>
  <si>
    <t>VRA64W2</t>
  </si>
  <si>
    <t>Automated 2-64g Carts Wk</t>
  </si>
  <si>
    <t>VRA64W</t>
  </si>
  <si>
    <t>Automated 64g Cart Wkly</t>
  </si>
  <si>
    <t>VRA64EOWCO</t>
  </si>
  <si>
    <t>Automated 64g EOW Carry</t>
  </si>
  <si>
    <t>SRA64MO</t>
  </si>
  <si>
    <t>Automated 64g Monthly</t>
  </si>
  <si>
    <t>VRA64WHEL</t>
  </si>
  <si>
    <t>Automated 64g Wk Helico</t>
  </si>
  <si>
    <t>VRA64WCO</t>
  </si>
  <si>
    <t>Automated 64g Wkly Carry</t>
  </si>
  <si>
    <t>VRA64EOW</t>
  </si>
  <si>
    <t>Automated 64gal Cart EOW</t>
  </si>
  <si>
    <t>VRA96WCO</t>
  </si>
  <si>
    <t>Automated 96g Wkly Carry</t>
  </si>
  <si>
    <t>VRA96W</t>
  </si>
  <si>
    <t>Automated 96gal Cart Wkly</t>
  </si>
  <si>
    <t>VRTPLACE</t>
  </si>
  <si>
    <t>TOTER REDELIVERY-GARBAGE</t>
  </si>
  <si>
    <t>VRRECHEL</t>
  </si>
  <si>
    <t>CURBSIDE RECY-CITY-HEL</t>
  </si>
  <si>
    <t>VRREC35</t>
  </si>
  <si>
    <t>RES RECY 35G CART-CITY</t>
  </si>
  <si>
    <t>VRREC48</t>
  </si>
  <si>
    <t>RES RECY 48G CART-CITY</t>
  </si>
  <si>
    <t>VRREC</t>
  </si>
  <si>
    <t>RESIDENTIAL RECY-CITY</t>
  </si>
  <si>
    <t>CRREC</t>
  </si>
  <si>
    <t>RESIDENTIAL RECY-COUNTY</t>
  </si>
  <si>
    <t>WRREC95</t>
  </si>
  <si>
    <t>RES RECY 95G CART-WSGL</t>
  </si>
  <si>
    <t>WMFREC</t>
  </si>
  <si>
    <t>MULTI-FAM RECYCLING-WSGL</t>
  </si>
  <si>
    <t>VMFTONS</t>
  </si>
  <si>
    <t>MF RECYLE TONS</t>
  </si>
  <si>
    <t>VMFREC</t>
  </si>
  <si>
    <t>WYDA</t>
  </si>
  <si>
    <t>COMMERCIAL SERVICES</t>
  </si>
  <si>
    <t>VC15Y1W</t>
  </si>
  <si>
    <t>VC15Y2W</t>
  </si>
  <si>
    <t>VC15Y3W</t>
  </si>
  <si>
    <t>1.5YD CONT 3X WEEKLY</t>
  </si>
  <si>
    <t>VC15Y4W</t>
  </si>
  <si>
    <t>1.5YD CONT 4X WEEKLY</t>
  </si>
  <si>
    <t>VC15Y6W</t>
  </si>
  <si>
    <t>1.5YD CONT 6X WEEKLY</t>
  </si>
  <si>
    <t>VC1Y1W</t>
  </si>
  <si>
    <t xml:space="preserve">VC1Y2W </t>
  </si>
  <si>
    <t>VC1Y3W</t>
  </si>
  <si>
    <t>1YD CONT 3X WEEKLY</t>
  </si>
  <si>
    <t>VC1Y4W</t>
  </si>
  <si>
    <t>1YD CONT 4X WEEKLY</t>
  </si>
  <si>
    <t>VC1Y5W</t>
  </si>
  <si>
    <t>1YD CONT 5X WEEKLY</t>
  </si>
  <si>
    <t>VC2Y1W</t>
  </si>
  <si>
    <t>VC2Y2W</t>
  </si>
  <si>
    <t>VC2Y3W</t>
  </si>
  <si>
    <t>VC2Y4W</t>
  </si>
  <si>
    <t>VC2Y5W</t>
  </si>
  <si>
    <t>VC2Y6W</t>
  </si>
  <si>
    <t>2YD CONT 6X WEEKLY</t>
  </si>
  <si>
    <t>VC3Y1W</t>
  </si>
  <si>
    <t>VC3Y2W</t>
  </si>
  <si>
    <t>VC3Y3W</t>
  </si>
  <si>
    <t>VC3Y4W</t>
  </si>
  <si>
    <t>VC3Y5W</t>
  </si>
  <si>
    <t>VC3Y6W</t>
  </si>
  <si>
    <t>3YD CONT 6X WEEKLY</t>
  </si>
  <si>
    <t>VRABIN</t>
  </si>
  <si>
    <t>3YD RENT-A-BIN</t>
  </si>
  <si>
    <t>VC4Y1W</t>
  </si>
  <si>
    <t>VC4Y2W</t>
  </si>
  <si>
    <t>VC4Y3W</t>
  </si>
  <si>
    <t>VC4Y4W</t>
  </si>
  <si>
    <t>VC4Y5W</t>
  </si>
  <si>
    <t>VC4Y6W</t>
  </si>
  <si>
    <t>VC5Y1W</t>
  </si>
  <si>
    <t>VC6Y1W</t>
  </si>
  <si>
    <t>VC6Y2W</t>
  </si>
  <si>
    <t xml:space="preserve">VC6Y3W </t>
  </si>
  <si>
    <t>VC6Y4W</t>
  </si>
  <si>
    <t>6YD CONT 4X WEEKLY</t>
  </si>
  <si>
    <t>VC6Y5W</t>
  </si>
  <si>
    <t>VC6Y6W</t>
  </si>
  <si>
    <t>6YD CONT 6X WEEKLY</t>
  </si>
  <si>
    <t>VC8Y1W</t>
  </si>
  <si>
    <t>VC8Y2W</t>
  </si>
  <si>
    <t>VC8Y3W</t>
  </si>
  <si>
    <t>VC8Y4W</t>
  </si>
  <si>
    <t>VC8Y5W</t>
  </si>
  <si>
    <t>8YD CONT 5X WEEKLY</t>
  </si>
  <si>
    <t>VC8Y6W</t>
  </si>
  <si>
    <t>8YD CONT 6X WEEKLY</t>
  </si>
  <si>
    <t>MF32CAN</t>
  </si>
  <si>
    <t>MULTI FAMILY 32 CAN</t>
  </si>
  <si>
    <t>VCCMP15Y</t>
  </si>
  <si>
    <t>1.5YD COMP CONT 1X WKLY</t>
  </si>
  <si>
    <t>VCCMP2Y</t>
  </si>
  <si>
    <t>VCCMP3Y</t>
  </si>
  <si>
    <t>VCCMP4Y</t>
  </si>
  <si>
    <t>VCCMP6Y</t>
  </si>
  <si>
    <t>6YD COMP CONT 1X WKLY</t>
  </si>
  <si>
    <t>VCA20W</t>
  </si>
  <si>
    <t>Automated 20gal Wkly-Com</t>
  </si>
  <si>
    <t>VCA32W2</t>
  </si>
  <si>
    <t>Automated 2-32g Wkly-Com</t>
  </si>
  <si>
    <t>VCA64W2</t>
  </si>
  <si>
    <t>Automated 2-64g Wkly-Com</t>
  </si>
  <si>
    <t>VCA32CO</t>
  </si>
  <si>
    <t>Automated 32g W Carry-Com</t>
  </si>
  <si>
    <t>VCA32EOW</t>
  </si>
  <si>
    <t>Automated 32Gal EOW-COM</t>
  </si>
  <si>
    <t>VCA32W</t>
  </si>
  <si>
    <t>Automated 32gal Wkly-Com</t>
  </si>
  <si>
    <t>VCA32W3</t>
  </si>
  <si>
    <t>Automated 3-32g Wkly-Com</t>
  </si>
  <si>
    <t>VCA32W4</t>
  </si>
  <si>
    <t>Automated 4-32g Wkly-Com</t>
  </si>
  <si>
    <t>VCA64CO</t>
  </si>
  <si>
    <t>Automated 64g W Carry-Com</t>
  </si>
  <si>
    <t>VCA64EOW</t>
  </si>
  <si>
    <t>Automated 64gal EOW-Com</t>
  </si>
  <si>
    <t>VCA64W</t>
  </si>
  <si>
    <t>Automated 64gal Wkly-Com</t>
  </si>
  <si>
    <t>VCA96CO</t>
  </si>
  <si>
    <t>Automated 96g W Carry-Com</t>
  </si>
  <si>
    <t>VCA96EOW</t>
  </si>
  <si>
    <t>Automated 96gal Eow-Com</t>
  </si>
  <si>
    <t>VCA96W</t>
  </si>
  <si>
    <t>Automated 96gal Wkly-Com</t>
  </si>
  <si>
    <t>VMF32CAN</t>
  </si>
  <si>
    <t>VANC MULTI FAMILY 32 CART</t>
  </si>
  <si>
    <t>VACCESS</t>
  </si>
  <si>
    <t>VCPLACE</t>
  </si>
  <si>
    <t>VEXBIN</t>
  </si>
  <si>
    <t>EXTRA PICKUP RENT-A-BIN</t>
  </si>
  <si>
    <t>VCROLL15</t>
  </si>
  <si>
    <t>ROLLOUT 15-20FT - PER MTH</t>
  </si>
  <si>
    <t>VCROLL20</t>
  </si>
  <si>
    <t>ROLLOUT OVER 20FT-PER MTH</t>
  </si>
  <si>
    <t>VROLLOUT</t>
  </si>
  <si>
    <t>VCSP3YC</t>
  </si>
  <si>
    <t>SPECIAL PICKUP 3YD COMP</t>
  </si>
  <si>
    <t>CCSPCN</t>
  </si>
  <si>
    <t>SPECIAL PICKUP COMM CAN</t>
  </si>
  <si>
    <t>CC4YTR</t>
  </si>
  <si>
    <t>TEMP CONT RENT 4YD</t>
  </si>
  <si>
    <t>CWSAN8</t>
  </si>
  <si>
    <t>WASH &amp; SANITIZE CONT 8YD</t>
  </si>
  <si>
    <t>CWSAN6</t>
  </si>
  <si>
    <t>WASH &amp; SANITIZE CONT 6YD</t>
  </si>
  <si>
    <t>VERDB</t>
  </si>
  <si>
    <t>EMPTY &amp; RETURN 1-8YD CONT</t>
  </si>
  <si>
    <t>VRVDB</t>
  </si>
  <si>
    <t>REMOVE 1-8YD CONT</t>
  </si>
  <si>
    <t>CRY1Y3X</t>
  </si>
  <si>
    <t>1YD RECYCLE 3X WKLY</t>
  </si>
  <si>
    <t>CRY2-2Y1X</t>
  </si>
  <si>
    <t>2-2YD RECYCLE 1X WKLY</t>
  </si>
  <si>
    <t>CRY2Y3X</t>
  </si>
  <si>
    <t>2YD RECYCLE 3X WKLY</t>
  </si>
  <si>
    <t>CRY2-3Y2X</t>
  </si>
  <si>
    <t>2-3YD RECYCLE 2X WKLY</t>
  </si>
  <si>
    <t>CRY2-6Y1X</t>
  </si>
  <si>
    <t>2-6YD RECYCLE 1X WKLY</t>
  </si>
  <si>
    <t>CRY4Y1MO</t>
  </si>
  <si>
    <t>4YD RECYCLE 1X MTHLY</t>
  </si>
  <si>
    <t>CRY6Y4X</t>
  </si>
  <si>
    <t>6YD RECYCLE 4X WKLY</t>
  </si>
  <si>
    <t>CRY6Y5X</t>
  </si>
  <si>
    <t>6YD RECYCLE 5X WKLY</t>
  </si>
  <si>
    <t>CRY8Y5X</t>
  </si>
  <si>
    <t>8YD RECYCLE 5X WKLY</t>
  </si>
  <si>
    <t>CRY8YEOW</t>
  </si>
  <si>
    <t>8YD RECYCLE EOW</t>
  </si>
  <si>
    <t>CRY902X2</t>
  </si>
  <si>
    <t>2-90GAL RECYCLE 2X WKLY</t>
  </si>
  <si>
    <t>CRYEX902</t>
  </si>
  <si>
    <t>SPECIAL PU 2-90GAL RECY</t>
  </si>
  <si>
    <t>VRY96FIB</t>
  </si>
  <si>
    <t>96G FIBER CART WKLY</t>
  </si>
  <si>
    <t>VRY96TAG</t>
  </si>
  <si>
    <t>96G TAG CART WKLY</t>
  </si>
  <si>
    <t>33020 Commercial Curbside Pilot 96gal (NON MM001)</t>
  </si>
  <si>
    <t>CRY8YDRENT</t>
  </si>
  <si>
    <t>8YD RECYCLE RENTAL</t>
  </si>
  <si>
    <t>0CRY1YOC</t>
  </si>
  <si>
    <t>0CRY1.5OC</t>
  </si>
  <si>
    <t>0CRY2YOC</t>
  </si>
  <si>
    <t>0CRYEX902</t>
  </si>
  <si>
    <t>ON-CALL P/U 2-90GAL RECY</t>
  </si>
  <si>
    <t>DROP BOX HAULS/RENTAL</t>
  </si>
  <si>
    <t>VHAUL15</t>
  </si>
  <si>
    <t>HAUL FEE 15YD DROPBOX</t>
  </si>
  <si>
    <t>CRV15YD</t>
  </si>
  <si>
    <t>REMOVE 15YD</t>
  </si>
  <si>
    <t>VHAUL15C</t>
  </si>
  <si>
    <t>COMPACTOR HAUL 15YD</t>
  </si>
  <si>
    <t>VHAUL20C</t>
  </si>
  <si>
    <t>COMPACTOR HAUL 20YD</t>
  </si>
  <si>
    <t>VHAUL25C</t>
  </si>
  <si>
    <t>COMPACTOR HAUL 25YD</t>
  </si>
  <si>
    <t>VHAUL40C</t>
  </si>
  <si>
    <t>COMPACTOR HAUL 40YD</t>
  </si>
  <si>
    <t>VDEM15</t>
  </si>
  <si>
    <t>STANDBY</t>
  </si>
  <si>
    <t>STANDBY TIME PER HOUR</t>
  </si>
  <si>
    <t>ADJQ</t>
  </si>
  <si>
    <t>SERVICE ADJUSTMENT-DROPBX</t>
  </si>
  <si>
    <t>DWSAN15</t>
  </si>
  <si>
    <t>WASH &amp; SANITIZE DB 15YD</t>
  </si>
  <si>
    <t>REPAIR</t>
  </si>
  <si>
    <t>COMPACTOR-DROPBOX REPAIR</t>
  </si>
  <si>
    <t>WTTIRE/RIM</t>
  </si>
  <si>
    <t>TIRE(S) &amp; RIM(S) - LARGE</t>
  </si>
  <si>
    <t>PRICEADJ</t>
  </si>
  <si>
    <t>Price Adjustment</t>
  </si>
  <si>
    <t>Washougal - Non-Regulated</t>
  </si>
  <si>
    <t>Washougal Non-Reg</t>
  </si>
  <si>
    <t>WRG40EOWHEL15</t>
  </si>
  <si>
    <t>40GAL EOW HELICO 15</t>
  </si>
  <si>
    <t>WRG40EOWHEL20</t>
  </si>
  <si>
    <t>40GAL EOW HELICO 20</t>
  </si>
  <si>
    <t>WRG40EOWROL</t>
  </si>
  <si>
    <t>40GAL EOW ROLLOUT</t>
  </si>
  <si>
    <t>WRG40EOW</t>
  </si>
  <si>
    <t>40GAL EVERY OTHER WEEK</t>
  </si>
  <si>
    <t>WRG40MTHHEL</t>
  </si>
  <si>
    <t>40GAL MONTHLY-HELICO</t>
  </si>
  <si>
    <t>WRG40MTH</t>
  </si>
  <si>
    <t>40GAL MONTHLY-RESIDENTIAL</t>
  </si>
  <si>
    <t>WRG40WKHEL15</t>
  </si>
  <si>
    <t>40GAL WEEKLY HELICO 15</t>
  </si>
  <si>
    <t>WRG40WKHEL20</t>
  </si>
  <si>
    <t>40GAL WEEKLY HELICO 20</t>
  </si>
  <si>
    <t>WRG40WKROL</t>
  </si>
  <si>
    <t>40GAL WEEKLY ROLLOUT</t>
  </si>
  <si>
    <t>WRG40WK</t>
  </si>
  <si>
    <t>40GAL WEEKLY-RESIDENTIAL</t>
  </si>
  <si>
    <t>WRG90WK</t>
  </si>
  <si>
    <t>90GAL WEEKLY</t>
  </si>
  <si>
    <t>WRG90WKROL</t>
  </si>
  <si>
    <t>90GAL WEEKLY ROLLOUT</t>
  </si>
  <si>
    <t>RREXHEL</t>
  </si>
  <si>
    <t>EXTRA CANS OR BAGS-HELICO</t>
  </si>
  <si>
    <t>WRREC65</t>
  </si>
  <si>
    <t>RES RECY 65G CART-WSGL</t>
  </si>
  <si>
    <t>WYDBM</t>
  </si>
  <si>
    <t>WC15Y1W</t>
  </si>
  <si>
    <t>WC1Y1W</t>
  </si>
  <si>
    <t>WC1Y2W</t>
  </si>
  <si>
    <t>WC2Y1W</t>
  </si>
  <si>
    <t>WC2Y2W</t>
  </si>
  <si>
    <t>WC2Y3W</t>
  </si>
  <si>
    <t>WC3Y1W</t>
  </si>
  <si>
    <t>WC3Y2W</t>
  </si>
  <si>
    <t>WC3Y3W</t>
  </si>
  <si>
    <t>WC4Y1W</t>
  </si>
  <si>
    <t>WC4Y2W</t>
  </si>
  <si>
    <t>WC4Y3W</t>
  </si>
  <si>
    <t>WC6Y1W</t>
  </si>
  <si>
    <t>WC6Y2W</t>
  </si>
  <si>
    <t>WC6Y3W</t>
  </si>
  <si>
    <t>WC8Y1W</t>
  </si>
  <si>
    <t>WC8Y2W</t>
  </si>
  <si>
    <t>WC8Y3W</t>
  </si>
  <si>
    <t>WCG40WKROL</t>
  </si>
  <si>
    <t>40GAL WEEKLY-COMM ROLL</t>
  </si>
  <si>
    <t>WCG40WK</t>
  </si>
  <si>
    <t>40GAL WEEKLY-COMMERCIAL</t>
  </si>
  <si>
    <t>WCG90WK</t>
  </si>
  <si>
    <t>90GAL WEEKLY COMM</t>
  </si>
  <si>
    <t>WCG90WKROL</t>
  </si>
  <si>
    <t>90GAL WEEKLY COMM ROLL</t>
  </si>
  <si>
    <t>WCACCESS</t>
  </si>
  <si>
    <t>WCPLACE</t>
  </si>
  <si>
    <t>WCRENT</t>
  </si>
  <si>
    <t>CONTAINER RENTAL</t>
  </si>
  <si>
    <t>WCROL</t>
  </si>
  <si>
    <t>ROLLOUT CHARGE - CONT</t>
  </si>
  <si>
    <t>WSGL</t>
  </si>
  <si>
    <t>WASHOUGAL RECYCLE</t>
  </si>
  <si>
    <t>CRY1YRENT</t>
  </si>
  <si>
    <t>1YD RECYCLE RENTAL</t>
  </si>
  <si>
    <t>EXTRA ORGANIC PAILS</t>
  </si>
  <si>
    <t>WAHAUL20</t>
  </si>
  <si>
    <t>WASHOUGAL HAUL FEE 20YD</t>
  </si>
  <si>
    <t>WAHAUL30</t>
  </si>
  <si>
    <t>WASHOUGAL HAUL FEE 30YD</t>
  </si>
  <si>
    <t>WAHAUL40</t>
  </si>
  <si>
    <t>WASHOUGAL HAUL FEE 40YD</t>
  </si>
  <si>
    <t>WAHAULC</t>
  </si>
  <si>
    <t>WASHOUGAL HAUL COMP</t>
  </si>
  <si>
    <t>WADEM20</t>
  </si>
  <si>
    <t>DROPBOX RENT 20YD-WSGL</t>
  </si>
  <si>
    <t>WADEM30</t>
  </si>
  <si>
    <t>DROPBOX RENT 30YD-WSGL</t>
  </si>
  <si>
    <t>WADEM40</t>
  </si>
  <si>
    <t>DROPBOX RENT 40YD-WSGL</t>
  </si>
  <si>
    <t>WADEMLID30</t>
  </si>
  <si>
    <t>WAFEE</t>
  </si>
  <si>
    <t>TRANS FEE -WASHOUGAL</t>
  </si>
  <si>
    <t>WADISP</t>
  </si>
  <si>
    <t>DISPOSAL CHARGE-WSGL</t>
  </si>
  <si>
    <t>West Vancouver - Non-Regulated</t>
  </si>
  <si>
    <t>West Van Non-Reg</t>
  </si>
  <si>
    <t>Shred - Non-Regulated</t>
  </si>
  <si>
    <t>Tariff Rates</t>
  </si>
  <si>
    <t>Shred Non-Reg</t>
  </si>
  <si>
    <t>32CON</t>
  </si>
  <si>
    <t>32 SHRED CONSOLE</t>
  </si>
  <si>
    <t>32SC</t>
  </si>
  <si>
    <t>32 GAL SHRED CART</t>
  </si>
  <si>
    <t>64SC</t>
  </si>
  <si>
    <t>64 GAL SHRED CART</t>
  </si>
  <si>
    <t>90SC</t>
  </si>
  <si>
    <t>90 GAL SHRED CART</t>
  </si>
  <si>
    <t>SH32NP</t>
  </si>
  <si>
    <t>SHRED 32 GL NON PAPER</t>
  </si>
  <si>
    <t>SHEXB</t>
  </si>
  <si>
    <t>SHRED EXTRA BOX</t>
  </si>
  <si>
    <t>SHHD</t>
  </si>
  <si>
    <t>SHRED HARD DRIVES</t>
  </si>
  <si>
    <t>SHPAL</t>
  </si>
  <si>
    <t>SHRED PALLETS</t>
  </si>
  <si>
    <t>SHPP</t>
  </si>
  <si>
    <t>SHRED PER POUND</t>
  </si>
  <si>
    <t>SHPURGE</t>
  </si>
  <si>
    <t>SHRED ONE TIME PURGE</t>
  </si>
  <si>
    <t>TRIP-SH</t>
  </si>
  <si>
    <t>SHRED TRIP CHARGE</t>
  </si>
  <si>
    <t>SHEV</t>
  </si>
  <si>
    <t>SHRED EVENT</t>
  </si>
  <si>
    <t>TOTAL SHRED</t>
  </si>
  <si>
    <t>imm</t>
  </si>
  <si>
    <t>Clark County - Non-Regulated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</si>
</sst>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quot;&quot;"/>
    <numFmt numFmtId="167" formatCode="m/d/yy\ h:mm\ AM/PM"/>
    <numFmt numFmtId="168" formatCode="_(* #,##0,_);_(* \(#,##0,\);_(* &quot;-&quot;??_);_(@_)"/>
    <numFmt numFmtId="169" formatCode="0.0%"/>
    <numFmt numFmtId="170" formatCode="&quot;$&quot;#,##0\ ;\(&quot;$&quot;#,##0\)"/>
    <numFmt numFmtId="171" formatCode="General_)"/>
    <numFmt numFmtId="172" formatCode="mm\-yy;\-0;;@"/>
    <numFmt numFmtId="173" formatCode=".00#####;\-.00####;;@"/>
  </numFmts>
  <fonts count="99">
    <font>
      <sz val="11"/>
      <color theme="1"/>
      <name val="Calibri"/>
      <family val="2"/>
      <scheme val="minor"/>
    </font>
    <font>
      <sz val="11"/>
      <color theme="1"/>
      <name val="Calibri"/>
      <family val="2"/>
      <scheme val="minor"/>
    </font>
    <font>
      <sz val="11"/>
      <color rgb="FF006100"/>
      <name val="Calibri"/>
      <family val="2"/>
      <scheme val="minor"/>
    </font>
    <font>
      <b/>
      <sz val="11"/>
      <color theme="1"/>
      <name val="Calibri"/>
      <family val="2"/>
      <scheme val="minor"/>
    </font>
    <font>
      <b/>
      <sz val="20"/>
      <color theme="1"/>
      <name val="Calibri"/>
      <family val="2"/>
      <scheme val="minor"/>
    </font>
    <font>
      <sz val="10"/>
      <name val="Arial"/>
      <family val="2"/>
    </font>
    <font>
      <sz val="11"/>
      <color rgb="FF339933"/>
      <name val="Calibri"/>
      <family val="2"/>
      <scheme val="minor"/>
    </font>
    <font>
      <b/>
      <sz val="11"/>
      <color rgb="FFFF0000"/>
      <name val="Calibri"/>
      <family val="2"/>
      <scheme val="minor"/>
    </font>
    <font>
      <b/>
      <sz val="9"/>
      <color indexed="81"/>
      <name val="Tahoma"/>
      <family val="2"/>
    </font>
    <font>
      <sz val="9"/>
      <color indexed="81"/>
      <name val="Tahoma"/>
      <family val="2"/>
    </font>
    <font>
      <sz val="12"/>
      <name val="Arial"/>
      <family val="2"/>
    </font>
    <font>
      <sz val="10"/>
      <color indexed="8"/>
      <name val="Arial"/>
      <family val="2"/>
    </font>
    <font>
      <sz val="7"/>
      <name val="Arial"/>
      <family val="2"/>
    </font>
    <font>
      <sz val="12"/>
      <color indexed="8"/>
      <name val="Arial"/>
      <family val="2"/>
    </font>
    <font>
      <b/>
      <sz val="12"/>
      <color indexed="8"/>
      <name val="Arial"/>
      <family val="2"/>
    </font>
    <font>
      <sz val="12"/>
      <color indexed="12"/>
      <name val="Arial"/>
      <family val="2"/>
    </font>
    <font>
      <sz val="12"/>
      <color indexed="16"/>
      <name val="Arial"/>
      <family val="2"/>
    </font>
    <font>
      <b/>
      <sz val="12"/>
      <color indexed="12"/>
      <name val="Arial"/>
      <family val="2"/>
    </font>
    <font>
      <b/>
      <sz val="10"/>
      <color indexed="16"/>
      <name val="Arial"/>
      <family val="2"/>
    </font>
    <font>
      <b/>
      <sz val="10"/>
      <name val="Arial"/>
      <family val="2"/>
    </font>
    <font>
      <b/>
      <sz val="10"/>
      <color indexed="8"/>
      <name val="Arial"/>
      <family val="2"/>
    </font>
    <font>
      <b/>
      <sz val="8"/>
      <name val="Arial"/>
      <family val="2"/>
    </font>
    <font>
      <sz val="7"/>
      <color indexed="8"/>
      <name val="Arial"/>
      <family val="2"/>
    </font>
    <font>
      <b/>
      <i/>
      <sz val="10"/>
      <color rgb="FFFF0000"/>
      <name val="Arial"/>
      <family val="2"/>
    </font>
    <font>
      <b/>
      <sz val="12"/>
      <color rgb="FFFF0000"/>
      <name val="Arial"/>
      <family val="2"/>
    </font>
    <font>
      <b/>
      <sz val="10"/>
      <color rgb="FFFF0000"/>
      <name val="Arial"/>
      <family val="2"/>
    </font>
    <font>
      <b/>
      <sz val="10"/>
      <color theme="1"/>
      <name val="Calibri"/>
      <family val="2"/>
      <scheme val="minor"/>
    </font>
    <font>
      <sz val="11"/>
      <color indexed="8"/>
      <name val="Arial"/>
      <family val="2"/>
    </font>
    <font>
      <sz val="10"/>
      <color indexed="8"/>
      <name val="Calibri"/>
      <family val="2"/>
      <scheme val="minor"/>
    </font>
    <font>
      <sz val="10"/>
      <name val="Calibri"/>
      <family val="2"/>
      <scheme val="minor"/>
    </font>
    <font>
      <sz val="10"/>
      <color theme="1"/>
      <name val="Calibri"/>
      <family val="2"/>
      <scheme val="minor"/>
    </font>
    <font>
      <i/>
      <sz val="10"/>
      <color rgb="FFFF0000"/>
      <name val="Calibri"/>
      <family val="2"/>
      <scheme val="minor"/>
    </font>
    <font>
      <b/>
      <sz val="10"/>
      <color indexed="8"/>
      <name val="Calibri"/>
      <family val="2"/>
      <scheme val="minor"/>
    </font>
    <font>
      <b/>
      <sz val="10"/>
      <name val="Calibri"/>
      <family val="2"/>
      <scheme val="minor"/>
    </font>
    <font>
      <b/>
      <sz val="10"/>
      <color theme="0"/>
      <name val="Calibri"/>
      <family val="2"/>
      <scheme val="minor"/>
    </font>
    <font>
      <b/>
      <u/>
      <sz val="10"/>
      <color indexed="8"/>
      <name val="Calibri"/>
      <family val="2"/>
      <scheme val="minor"/>
    </font>
    <font>
      <sz val="11"/>
      <color indexed="8"/>
      <name val="Calibri"/>
      <family val="2"/>
    </font>
    <font>
      <sz val="10"/>
      <color rgb="FFFF0000"/>
      <name val="Calibri"/>
      <family val="2"/>
      <scheme val="minor"/>
    </font>
    <font>
      <b/>
      <sz val="8"/>
      <color indexed="81"/>
      <name val="Tahoma"/>
      <family val="2"/>
    </font>
    <font>
      <sz val="8"/>
      <color indexed="81"/>
      <name val="Tahoma"/>
      <family val="2"/>
    </font>
    <font>
      <sz val="9"/>
      <color indexed="8"/>
      <name val="Calibri"/>
      <family val="2"/>
    </font>
    <font>
      <b/>
      <sz val="9"/>
      <color indexed="8"/>
      <name val="Calibri"/>
      <family val="2"/>
    </font>
    <font>
      <b/>
      <sz val="9.5"/>
      <color theme="0"/>
      <name val="Calibri"/>
      <family val="2"/>
      <scheme val="minor"/>
    </font>
    <font>
      <sz val="9.5"/>
      <color indexed="8"/>
      <name val="Calibri"/>
      <family val="2"/>
    </font>
    <font>
      <sz val="9.5"/>
      <color theme="1"/>
      <name val="Calibri"/>
      <family val="2"/>
      <scheme val="minor"/>
    </font>
    <font>
      <sz val="11"/>
      <color indexed="9"/>
      <name val="Calibri"/>
      <family val="2"/>
    </font>
    <font>
      <b/>
      <sz val="10"/>
      <color indexed="10"/>
      <name val="Arial"/>
      <family val="2"/>
    </font>
    <font>
      <b/>
      <sz val="12"/>
      <color indexed="12"/>
      <name val="Times New Roman"/>
      <family val="1"/>
    </font>
    <font>
      <sz val="11"/>
      <color indexed="20"/>
      <name val="Calibri"/>
      <family val="2"/>
    </font>
    <font>
      <b/>
      <sz val="11"/>
      <color indexed="52"/>
      <name val="Calibri"/>
      <family val="2"/>
    </font>
    <font>
      <b/>
      <sz val="11"/>
      <color indexed="51"/>
      <name val="Calibri"/>
      <family val="2"/>
    </font>
    <font>
      <b/>
      <sz val="11"/>
      <color indexed="10"/>
      <name val="Calibri"/>
      <family val="2"/>
    </font>
    <font>
      <b/>
      <sz val="11"/>
      <color indexed="9"/>
      <name val="Calibri"/>
      <family val="2"/>
    </font>
    <font>
      <b/>
      <sz val="11"/>
      <color indexed="18"/>
      <name val="Britannic Bold"/>
      <family val="2"/>
    </font>
    <font>
      <sz val="12"/>
      <name val="CG Omega"/>
    </font>
    <font>
      <sz val="8"/>
      <name val="Arial"/>
      <family val="2"/>
    </font>
    <font>
      <sz val="12"/>
      <color theme="1"/>
      <name val="Calibri"/>
      <family val="2"/>
      <scheme val="minor"/>
    </font>
    <font>
      <sz val="10"/>
      <name val="MS Sans Serif"/>
      <family val="2"/>
    </font>
    <font>
      <sz val="12"/>
      <name val="Courier"/>
      <family val="3"/>
    </font>
    <font>
      <sz val="9"/>
      <color indexed="8"/>
      <name val="Arial"/>
      <family val="2"/>
    </font>
    <font>
      <sz val="12"/>
      <name val="Helv"/>
    </font>
    <font>
      <sz val="10"/>
      <name val="Times New Roman"/>
      <family val="1"/>
    </font>
    <font>
      <b/>
      <sz val="10"/>
      <color indexed="12"/>
      <name val="Arial"/>
      <family val="2"/>
    </font>
    <font>
      <i/>
      <sz val="11"/>
      <color indexed="23"/>
      <name val="Calibri"/>
      <family val="2"/>
    </font>
    <font>
      <sz val="11"/>
      <color indexed="17"/>
      <name val="Calibri"/>
      <family val="2"/>
    </font>
    <font>
      <b/>
      <sz val="15"/>
      <color indexed="62"/>
      <name val="Calibri"/>
      <family val="2"/>
    </font>
    <font>
      <b/>
      <sz val="15"/>
      <color indexed="61"/>
      <name val="Calibri"/>
      <family val="2"/>
    </font>
    <font>
      <b/>
      <sz val="15"/>
      <color indexed="56"/>
      <name val="Calibri"/>
      <family val="2"/>
    </font>
    <font>
      <b/>
      <sz val="13"/>
      <color indexed="62"/>
      <name val="Calibri"/>
      <family val="2"/>
    </font>
    <font>
      <b/>
      <sz val="13"/>
      <color indexed="61"/>
      <name val="Calibri"/>
      <family val="2"/>
    </font>
    <font>
      <b/>
      <sz val="13"/>
      <color indexed="56"/>
      <name val="Calibri"/>
      <family val="2"/>
    </font>
    <font>
      <b/>
      <sz val="11"/>
      <color indexed="62"/>
      <name val="Calibri"/>
      <family val="2"/>
    </font>
    <font>
      <b/>
      <sz val="11"/>
      <color indexed="61"/>
      <name val="Calibri"/>
      <family val="2"/>
    </font>
    <font>
      <b/>
      <sz val="11"/>
      <color indexed="56"/>
      <name val="Calibri"/>
      <family val="2"/>
    </font>
    <font>
      <u/>
      <sz val="10"/>
      <color indexed="12"/>
      <name val="Arial"/>
      <family val="2"/>
    </font>
    <font>
      <u/>
      <sz val="11"/>
      <color indexed="12"/>
      <name val="Calibri"/>
      <family val="2"/>
    </font>
    <font>
      <u/>
      <sz val="11"/>
      <color theme="10"/>
      <name val="Calibri"/>
      <family val="2"/>
    </font>
    <font>
      <sz val="11"/>
      <color indexed="61"/>
      <name val="Calibri"/>
      <family val="2"/>
    </font>
    <font>
      <sz val="11"/>
      <color indexed="62"/>
      <name val="Calibri"/>
      <family val="2"/>
    </font>
    <font>
      <sz val="10"/>
      <color indexed="12"/>
      <name val="Arial"/>
      <family val="2"/>
    </font>
    <font>
      <sz val="11"/>
      <color indexed="52"/>
      <name val="Calibri"/>
      <family val="2"/>
    </font>
    <font>
      <sz val="11"/>
      <color indexed="51"/>
      <name val="Calibri"/>
      <family val="2"/>
    </font>
    <font>
      <sz val="11"/>
      <color indexed="10"/>
      <name val="Calibri"/>
      <family val="2"/>
    </font>
    <font>
      <sz val="11"/>
      <color indexed="60"/>
      <name val="Calibri"/>
      <family val="2"/>
    </font>
    <font>
      <sz val="11"/>
      <color indexed="59"/>
      <name val="Calibri"/>
      <family val="2"/>
    </font>
    <font>
      <sz val="11"/>
      <color indexed="19"/>
      <name val="Calibri"/>
      <family val="2"/>
    </font>
    <font>
      <sz val="11"/>
      <color theme="1"/>
      <name val="Arial"/>
      <family val="2"/>
    </font>
    <font>
      <i/>
      <sz val="10"/>
      <color indexed="10"/>
      <name val="Arial"/>
      <family val="2"/>
    </font>
    <font>
      <b/>
      <sz val="11"/>
      <color indexed="63"/>
      <name val="Calibri"/>
      <family val="2"/>
    </font>
    <font>
      <sz val="8"/>
      <color indexed="56"/>
      <name val="Arial"/>
      <family val="2"/>
    </font>
    <font>
      <b/>
      <sz val="10"/>
      <name val="MS Sans Serif"/>
      <family val="2"/>
    </font>
    <font>
      <sz val="12"/>
      <name val="Arial MT"/>
    </font>
    <font>
      <b/>
      <u/>
      <sz val="11"/>
      <name val="Arial"/>
      <family val="2"/>
    </font>
    <font>
      <b/>
      <sz val="10"/>
      <name val="Times New Roman"/>
      <family val="1"/>
    </font>
    <font>
      <b/>
      <sz val="18"/>
      <color indexed="61"/>
      <name val="Cambria"/>
      <family val="2"/>
    </font>
    <font>
      <b/>
      <sz val="18"/>
      <color indexed="62"/>
      <name val="Cambria"/>
      <family val="2"/>
    </font>
    <font>
      <b/>
      <sz val="11"/>
      <color indexed="8"/>
      <name val="Calibri"/>
      <family val="2"/>
    </font>
    <font>
      <sz val="10"/>
      <color indexed="10"/>
      <name val="Arial"/>
      <family val="2"/>
    </font>
    <font>
      <i/>
      <sz val="11"/>
      <color rgb="FFFF0000"/>
      <name val="Calibri"/>
      <family val="2"/>
      <scheme val="minor"/>
    </font>
  </fonts>
  <fills count="44">
    <fill>
      <patternFill patternType="none"/>
    </fill>
    <fill>
      <patternFill patternType="gray125"/>
    </fill>
    <fill>
      <patternFill patternType="solid">
        <fgColor rgb="FFC6EFCE"/>
      </patternFill>
    </fill>
    <fill>
      <patternFill patternType="solid">
        <fgColor theme="0"/>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theme="0" tint="-0.14999847407452621"/>
        <bgColor indexed="64"/>
      </patternFill>
    </fill>
    <fill>
      <patternFill patternType="solid">
        <fgColor rgb="FF00B050"/>
        <bgColor indexed="64"/>
      </patternFill>
    </fill>
    <fill>
      <patternFill patternType="solid">
        <fgColor theme="8" tint="0.79998168889431442"/>
        <bgColor indexed="64"/>
      </patternFill>
    </fill>
    <fill>
      <patternFill patternType="solid">
        <fgColor indexed="22"/>
      </patternFill>
    </fill>
    <fill>
      <patternFill patternType="solid">
        <fgColor indexed="47"/>
      </patternFill>
    </fill>
    <fill>
      <patternFill patternType="solid">
        <fgColor indexed="44"/>
      </patternFill>
    </fill>
    <fill>
      <patternFill patternType="solid">
        <fgColor indexed="31"/>
      </patternFill>
    </fill>
    <fill>
      <patternFill patternType="solid">
        <fgColor indexed="29"/>
      </patternFill>
    </fill>
    <fill>
      <patternFill patternType="solid">
        <fgColor indexed="26"/>
      </patternFill>
    </fill>
    <fill>
      <patternFill patternType="solid">
        <fgColor indexed="46"/>
      </patternFill>
    </fill>
    <fill>
      <patternFill patternType="solid">
        <fgColor indexed="27"/>
      </patternFill>
    </fill>
    <fill>
      <patternFill patternType="solid">
        <fgColor indexed="43"/>
      </patternFill>
    </fill>
    <fill>
      <patternFill patternType="solid">
        <fgColor indexed="45"/>
      </patternFill>
    </fill>
    <fill>
      <patternFill patternType="solid">
        <fgColor indexed="51"/>
      </patternFill>
    </fill>
    <fill>
      <patternFill patternType="solid">
        <fgColor indexed="49"/>
      </patternFill>
    </fill>
    <fill>
      <patternFill patternType="solid">
        <fgColor indexed="48"/>
      </patternFill>
    </fill>
    <fill>
      <patternFill patternType="solid">
        <fgColor indexed="30"/>
      </patternFill>
    </fill>
    <fill>
      <patternFill patternType="solid">
        <fgColor indexed="53"/>
      </patternFill>
    </fill>
    <fill>
      <patternFill patternType="solid">
        <fgColor indexed="11"/>
      </patternFill>
    </fill>
    <fill>
      <patternFill patternType="solid">
        <fgColor indexed="36"/>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2"/>
      </patternFill>
    </fill>
    <fill>
      <patternFill patternType="solid">
        <fgColor indexed="9"/>
      </patternFill>
    </fill>
    <fill>
      <patternFill patternType="solid">
        <fgColor indexed="63"/>
      </patternFill>
    </fill>
    <fill>
      <patternFill patternType="solid">
        <fgColor indexed="55"/>
      </patternFill>
    </fill>
    <fill>
      <patternFill patternType="solid">
        <fgColor indexed="42"/>
        <bgColor indexed="29"/>
      </patternFill>
    </fill>
    <fill>
      <patternFill patternType="solid">
        <fgColor indexed="45"/>
        <bgColor indexed="64"/>
      </patternFill>
    </fill>
    <fill>
      <patternFill patternType="solid">
        <fgColor indexed="65"/>
        <bgColor indexed="10"/>
      </patternFill>
    </fill>
    <fill>
      <patternFill patternType="gray125">
        <fgColor indexed="10"/>
      </patternFill>
    </fill>
    <fill>
      <patternFill patternType="solid">
        <fgColor indexed="42"/>
      </patternFill>
    </fill>
    <fill>
      <patternFill patternType="solid">
        <fgColor indexed="22"/>
        <bgColor indexed="64"/>
      </patternFill>
    </fill>
    <fill>
      <patternFill patternType="mediumGray">
        <fgColor indexed="22"/>
      </patternFill>
    </fill>
  </fills>
  <borders count="30">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2"/>
      </left>
      <right style="double">
        <color indexed="62"/>
      </right>
      <top style="double">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8"/>
      </bottom>
      <diagonal/>
    </border>
    <border>
      <left/>
      <right/>
      <top/>
      <bottom style="thick">
        <color indexed="56"/>
      </bottom>
      <diagonal/>
    </border>
    <border>
      <left/>
      <right/>
      <top/>
      <bottom style="thick">
        <color indexed="62"/>
      </bottom>
      <diagonal/>
    </border>
    <border>
      <left/>
      <right/>
      <top/>
      <bottom style="thick">
        <color indexed="22"/>
      </bottom>
      <diagonal/>
    </border>
    <border>
      <left/>
      <right/>
      <top/>
      <bottom style="thick">
        <color indexed="27"/>
      </bottom>
      <diagonal/>
    </border>
    <border>
      <left/>
      <right/>
      <top/>
      <bottom style="medium">
        <color indexed="49"/>
      </bottom>
      <diagonal/>
    </border>
    <border>
      <left/>
      <right/>
      <top/>
      <bottom style="medium">
        <color indexed="48"/>
      </bottom>
      <diagonal/>
    </border>
    <border>
      <left/>
      <right/>
      <top/>
      <bottom style="medium">
        <color indexed="27"/>
      </bottom>
      <diagonal/>
    </border>
    <border>
      <left/>
      <right/>
      <top/>
      <bottom style="medium">
        <color indexed="30"/>
      </bottom>
      <diagonal/>
    </border>
    <border>
      <left/>
      <right/>
      <top/>
      <bottom style="double">
        <color indexed="52"/>
      </bottom>
      <diagonal/>
    </border>
    <border>
      <left/>
      <right/>
      <top/>
      <bottom style="double">
        <color indexed="51"/>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48"/>
      </top>
      <bottom style="double">
        <color indexed="48"/>
      </bottom>
      <diagonal/>
    </border>
    <border>
      <left/>
      <right/>
      <top style="thin">
        <color indexed="56"/>
      </top>
      <bottom style="double">
        <color indexed="56"/>
      </bottom>
      <diagonal/>
    </border>
    <border>
      <left/>
      <right/>
      <top style="thin">
        <color indexed="62"/>
      </top>
      <bottom style="double">
        <color indexed="62"/>
      </bottom>
      <diagonal/>
    </border>
  </borders>
  <cellStyleXfs count="660">
    <xf numFmtId="0" fontId="0" fillId="0" borderId="0"/>
    <xf numFmtId="43" fontId="5" fillId="0" borderId="0" applyFont="0" applyFill="0" applyBorder="0" applyAlignment="0" applyProtection="0"/>
    <xf numFmtId="44" fontId="5" fillId="0" borderId="0" applyFont="0" applyFill="0" applyBorder="0" applyAlignment="0" applyProtection="0"/>
    <xf numFmtId="9" fontId="1" fillId="0" borderId="0" applyFont="0" applyFill="0" applyBorder="0" applyAlignment="0" applyProtection="0"/>
    <xf numFmtId="37" fontId="10" fillId="4" borderId="0" applyFill="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27" fillId="0" borderId="0"/>
    <xf numFmtId="0" fontId="36" fillId="0" borderId="0"/>
    <xf numFmtId="0" fontId="36" fillId="11"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7"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20" borderId="0" applyNumberFormat="0" applyBorder="0" applyAlignment="0" applyProtection="0"/>
    <xf numFmtId="0" fontId="36" fillId="17"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6" borderId="0" applyNumberFormat="0" applyBorder="0" applyAlignment="0" applyProtection="0"/>
    <xf numFmtId="0" fontId="36" fillId="21"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18" borderId="0" applyNumberFormat="0" applyBorder="0" applyAlignment="0" applyProtection="0"/>
    <xf numFmtId="0" fontId="45" fillId="24"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21" borderId="0" applyNumberFormat="0" applyBorder="0" applyAlignment="0" applyProtection="0"/>
    <xf numFmtId="0" fontId="45" fillId="26"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28"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5"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23" borderId="0" applyNumberFormat="0" applyBorder="0" applyAlignment="0" applyProtection="0"/>
    <xf numFmtId="0" fontId="45" fillId="22"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33"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41" fontId="5" fillId="0" borderId="0"/>
    <xf numFmtId="41" fontId="5" fillId="0" borderId="0"/>
    <xf numFmtId="41" fontId="5" fillId="0" borderId="0"/>
    <xf numFmtId="41" fontId="5" fillId="0" borderId="0"/>
    <xf numFmtId="49" fontId="46" fillId="0" borderId="0" applyFill="0" applyBorder="0" applyAlignment="0" applyProtection="0"/>
    <xf numFmtId="0" fontId="47" fillId="0" borderId="6" applyBorder="0">
      <alignment horizontal="center" vertical="center" wrapText="1"/>
    </xf>
    <xf numFmtId="0" fontId="48" fillId="20" borderId="0" applyNumberFormat="0" applyBorder="0" applyAlignment="0" applyProtection="0"/>
    <xf numFmtId="0" fontId="48" fillId="20"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3" fontId="5" fillId="0" borderId="0"/>
    <xf numFmtId="3" fontId="5" fillId="0" borderId="0"/>
    <xf numFmtId="3" fontId="5" fillId="0" borderId="0"/>
    <xf numFmtId="3" fontId="5" fillId="0" borderId="0"/>
    <xf numFmtId="0" fontId="49" fillId="34" borderId="7" applyNumberFormat="0" applyAlignment="0" applyProtection="0"/>
    <xf numFmtId="0" fontId="49" fillId="34" borderId="7" applyNumberFormat="0" applyAlignment="0" applyProtection="0"/>
    <xf numFmtId="0" fontId="50" fillId="34" borderId="7" applyNumberFormat="0" applyAlignment="0" applyProtection="0"/>
    <xf numFmtId="0" fontId="51" fillId="34" borderId="7" applyNumberFormat="0" applyAlignment="0" applyProtection="0"/>
    <xf numFmtId="0" fontId="49" fillId="11" borderId="7" applyNumberFormat="0" applyAlignment="0" applyProtection="0"/>
    <xf numFmtId="0" fontId="51" fillId="34" borderId="7" applyNumberFormat="0" applyAlignment="0" applyProtection="0"/>
    <xf numFmtId="0" fontId="51" fillId="34" borderId="7" applyNumberFormat="0" applyAlignment="0" applyProtection="0"/>
    <xf numFmtId="0" fontId="52" fillId="35" borderId="8" applyNumberFormat="0" applyAlignment="0" applyProtection="0"/>
    <xf numFmtId="0" fontId="52" fillId="36" borderId="9" applyNumberFormat="0" applyAlignment="0" applyProtection="0"/>
    <xf numFmtId="0" fontId="53" fillId="37" borderId="0" applyNumberFormat="0" applyBorder="0" applyAlignment="0" applyProtection="0">
      <alignment horizontal="center"/>
      <protection hidden="1"/>
    </xf>
    <xf numFmtId="0" fontId="5" fillId="38" borderId="0">
      <alignment horizontal="center"/>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6"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36" fillId="0" borderId="0" applyFont="0" applyFill="0" applyBorder="0" applyAlignment="0" applyProtection="0"/>
    <xf numFmtId="43" fontId="54"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1" fillId="0" borderId="0" applyFont="0" applyFill="0" applyBorder="0" applyAlignment="0" applyProtection="0">
      <alignment vertical="top"/>
    </xf>
    <xf numFmtId="43" fontId="36"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5" fillId="0" borderId="0" applyFont="0" applyFill="0" applyBorder="0" applyAlignment="0" applyProtection="0"/>
    <xf numFmtId="43" fontId="5"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 fontId="11" fillId="0" borderId="0"/>
    <xf numFmtId="3" fontId="57" fillId="0" borderId="0" applyFont="0" applyFill="0" applyBorder="0" applyAlignment="0" applyProtection="0"/>
    <xf numFmtId="0" fontId="58" fillId="0" borderId="0"/>
    <xf numFmtId="0" fontId="58" fillId="0" borderId="0"/>
    <xf numFmtId="0" fontId="59" fillId="39" borderId="1" applyAlignment="0">
      <alignment horizontal="right"/>
      <protection locked="0"/>
    </xf>
    <xf numFmtId="44" fontId="1" fillId="0" borderId="0" applyFont="0" applyFill="0" applyBorder="0" applyAlignment="0" applyProtection="0"/>
    <xf numFmtId="44" fontId="5" fillId="0" borderId="0" applyFont="0" applyFill="0" applyBorder="0" applyAlignment="0" applyProtection="0"/>
    <xf numFmtId="44" fontId="60"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61"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1" fillId="0" borderId="0" applyFont="0" applyFill="0" applyBorder="0" applyAlignment="0" applyProtection="0"/>
    <xf numFmtId="44" fontId="55" fillId="0" borderId="0" applyFont="0" applyFill="0" applyBorder="0" applyAlignment="0" applyProtection="0"/>
    <xf numFmtId="44" fontId="61" fillId="0" borderId="0" applyFont="0" applyFill="0" applyBorder="0" applyAlignment="0" applyProtection="0"/>
    <xf numFmtId="44" fontId="5" fillId="0" borderId="0" applyFont="0" applyFill="0" applyBorder="0" applyAlignment="0" applyProtection="0"/>
    <xf numFmtId="44" fontId="3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7"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36"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5" fillId="0" borderId="0" applyFont="0" applyFill="0" applyBorder="0" applyAlignment="0" applyProtection="0"/>
    <xf numFmtId="44" fontId="36" fillId="0" borderId="0" applyFont="0" applyFill="0" applyBorder="0" applyAlignment="0" applyProtection="0"/>
    <xf numFmtId="44" fontId="5"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55" fillId="0" borderId="0" applyFont="0" applyFill="0" applyBorder="0" applyAlignment="0" applyProtection="0"/>
    <xf numFmtId="44" fontId="36" fillId="0" borderId="0" applyFont="0" applyFill="0" applyBorder="0" applyAlignment="0" applyProtection="0"/>
    <xf numFmtId="170" fontId="57" fillId="0" borderId="0" applyFont="0" applyFill="0" applyBorder="0" applyAlignment="0" applyProtection="0"/>
    <xf numFmtId="0" fontId="62" fillId="40" borderId="0">
      <alignment horizontal="right"/>
      <protection locked="0"/>
    </xf>
    <xf numFmtId="14" fontId="5" fillId="0" borderId="0"/>
    <xf numFmtId="0" fontId="63" fillId="0" borderId="0" applyNumberFormat="0" applyFill="0" applyBorder="0" applyAlignment="0" applyProtection="0"/>
    <xf numFmtId="0" fontId="63" fillId="0" borderId="0" applyNumberFormat="0" applyFill="0" applyBorder="0" applyAlignment="0" applyProtection="0"/>
    <xf numFmtId="0" fontId="5" fillId="0" borderId="0"/>
    <xf numFmtId="2" fontId="62" fillId="40" borderId="0">
      <alignment horizontal="right"/>
      <protection locked="0"/>
    </xf>
    <xf numFmtId="1" fontId="5" fillId="0" borderId="0">
      <alignment horizontal="center"/>
    </xf>
    <xf numFmtId="0" fontId="64" fillId="41" borderId="0" applyNumberFormat="0" applyBorder="0" applyAlignment="0" applyProtection="0"/>
    <xf numFmtId="0" fontId="64" fillId="41"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2" fillId="2" borderId="0" applyNumberFormat="0" applyBorder="0" applyAlignment="0" applyProtection="0"/>
    <xf numFmtId="0" fontId="65" fillId="0" borderId="10" applyNumberFormat="0" applyFill="0" applyAlignment="0" applyProtection="0"/>
    <xf numFmtId="0" fontId="65" fillId="0" borderId="10" applyNumberFormat="0" applyFill="0" applyAlignment="0" applyProtection="0"/>
    <xf numFmtId="0" fontId="66" fillId="0" borderId="11" applyNumberFormat="0" applyFill="0" applyAlignment="0" applyProtection="0"/>
    <xf numFmtId="0" fontId="65" fillId="0" borderId="12" applyNumberFormat="0" applyFill="0" applyAlignment="0" applyProtection="0"/>
    <xf numFmtId="0" fontId="67" fillId="0" borderId="13" applyNumberFormat="0" applyFill="0" applyAlignment="0" applyProtection="0"/>
    <xf numFmtId="0" fontId="65" fillId="0" borderId="12" applyNumberFormat="0" applyFill="0" applyAlignment="0" applyProtection="0"/>
    <xf numFmtId="0" fontId="65" fillId="0" borderId="12" applyNumberFormat="0" applyFill="0" applyAlignment="0" applyProtection="0"/>
    <xf numFmtId="0" fontId="68" fillId="0" borderId="14" applyNumberFormat="0" applyFill="0" applyAlignment="0" applyProtection="0"/>
    <xf numFmtId="0" fontId="68" fillId="0" borderId="14" applyNumberFormat="0" applyFill="0" applyAlignment="0" applyProtection="0"/>
    <xf numFmtId="0" fontId="69" fillId="0" borderId="14" applyNumberFormat="0" applyFill="0" applyAlignment="0" applyProtection="0"/>
    <xf numFmtId="0" fontId="68" fillId="0" borderId="15" applyNumberFormat="0" applyFill="0" applyAlignment="0" applyProtection="0"/>
    <xf numFmtId="0" fontId="70" fillId="0" borderId="14" applyNumberFormat="0" applyFill="0" applyAlignment="0" applyProtection="0"/>
    <xf numFmtId="0" fontId="68" fillId="0" borderId="15" applyNumberFormat="0" applyFill="0" applyAlignment="0" applyProtection="0"/>
    <xf numFmtId="0" fontId="68" fillId="0" borderId="15"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2" fillId="0" borderId="17" applyNumberFormat="0" applyFill="0" applyAlignment="0" applyProtection="0"/>
    <xf numFmtId="0" fontId="71" fillId="0" borderId="18" applyNumberFormat="0" applyFill="0" applyAlignment="0" applyProtection="0"/>
    <xf numFmtId="0" fontId="73" fillId="0" borderId="19"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4"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7" fillId="19" borderId="7" applyNumberFormat="0" applyAlignment="0" applyProtection="0"/>
    <xf numFmtId="0" fontId="78" fillId="19" borderId="7" applyNumberFormat="0" applyAlignment="0" applyProtection="0"/>
    <xf numFmtId="0" fontId="78" fillId="19" borderId="7" applyNumberFormat="0" applyAlignment="0" applyProtection="0"/>
    <xf numFmtId="3" fontId="79" fillId="42" borderId="0">
      <protection locked="0"/>
    </xf>
    <xf numFmtId="4" fontId="79" fillId="42" borderId="0">
      <protection locked="0"/>
    </xf>
    <xf numFmtId="0" fontId="47" fillId="0" borderId="6" applyBorder="0">
      <alignment horizontal="center" vertical="center" wrapText="1"/>
    </xf>
    <xf numFmtId="0" fontId="80" fillId="0" borderId="20" applyNumberFormat="0" applyFill="0" applyAlignment="0" applyProtection="0"/>
    <xf numFmtId="0" fontId="80" fillId="0" borderId="20" applyNumberFormat="0" applyFill="0" applyAlignment="0" applyProtection="0"/>
    <xf numFmtId="0" fontId="81" fillId="0" borderId="21"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3" fillId="19" borderId="0" applyNumberFormat="0" applyBorder="0" applyAlignment="0" applyProtection="0"/>
    <xf numFmtId="0" fontId="83" fillId="19" borderId="0" applyNumberFormat="0" applyBorder="0" applyAlignment="0" applyProtection="0"/>
    <xf numFmtId="0" fontId="84"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43" fontId="5" fillId="0" borderId="0"/>
    <xf numFmtId="0" fontId="60" fillId="0" borderId="0"/>
    <xf numFmtId="0" fontId="60" fillId="0" borderId="0"/>
    <xf numFmtId="0" fontId="60" fillId="0" borderId="0"/>
    <xf numFmtId="0" fontId="60" fillId="0" borderId="0"/>
    <xf numFmtId="0" fontId="60" fillId="0" borderId="0"/>
    <xf numFmtId="0" fontId="5" fillId="0" borderId="0"/>
    <xf numFmtId="0" fontId="5" fillId="0" borderId="0"/>
    <xf numFmtId="0" fontId="1" fillId="0" borderId="0"/>
    <xf numFmtId="0" fontId="36" fillId="0" borderId="0"/>
    <xf numFmtId="0" fontId="36" fillId="0" borderId="0"/>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6" fillId="0" borderId="0"/>
    <xf numFmtId="0" fontId="36"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36" fillId="0" borderId="0"/>
    <xf numFmtId="0" fontId="1" fillId="0" borderId="0"/>
    <xf numFmtId="0" fontId="86" fillId="0" borderId="0"/>
    <xf numFmtId="0" fontId="5" fillId="0" borderId="0"/>
    <xf numFmtId="0" fontId="1" fillId="0" borderId="0"/>
    <xf numFmtId="0" fontId="86" fillId="0" borderId="0"/>
    <xf numFmtId="0" fontId="1" fillId="0" borderId="0"/>
    <xf numFmtId="0" fontId="36" fillId="0" borderId="0"/>
    <xf numFmtId="0" fontId="1" fillId="0" borderId="0"/>
    <xf numFmtId="0" fontId="54" fillId="0" borderId="0"/>
    <xf numFmtId="0" fontId="5" fillId="0" borderId="0"/>
    <xf numFmtId="0" fontId="1" fillId="0" borderId="0"/>
    <xf numFmtId="0" fontId="54" fillId="0" borderId="0"/>
    <xf numFmtId="0" fontId="1" fillId="0" borderId="0"/>
    <xf numFmtId="0" fontId="36" fillId="0" borderId="0"/>
    <xf numFmtId="0" fontId="1" fillId="0" borderId="0"/>
    <xf numFmtId="0" fontId="5" fillId="0" borderId="0"/>
    <xf numFmtId="0" fontId="1" fillId="0" borderId="0"/>
    <xf numFmtId="0" fontId="1" fillId="0" borderId="0"/>
    <xf numFmtId="0" fontId="36" fillId="0" borderId="0"/>
    <xf numFmtId="0" fontId="5" fillId="0" borderId="0"/>
    <xf numFmtId="0" fontId="1" fillId="0" borderId="0"/>
    <xf numFmtId="0" fontId="36" fillId="0" borderId="0"/>
    <xf numFmtId="0" fontId="36" fillId="0" borderId="0"/>
    <xf numFmtId="0" fontId="5" fillId="0" borderId="0"/>
    <xf numFmtId="0" fontId="36" fillId="0" borderId="0"/>
    <xf numFmtId="0" fontId="36" fillId="0" borderId="0"/>
    <xf numFmtId="0" fontId="5" fillId="0" borderId="0"/>
    <xf numFmtId="0" fontId="36" fillId="0" borderId="0"/>
    <xf numFmtId="0" fontId="36" fillId="0" borderId="0"/>
    <xf numFmtId="0" fontId="5" fillId="0" borderId="0"/>
    <xf numFmtId="0" fontId="36" fillId="0" borderId="0"/>
    <xf numFmtId="0" fontId="36" fillId="0" borderId="0"/>
    <xf numFmtId="0" fontId="5" fillId="0" borderId="0"/>
    <xf numFmtId="0" fontId="5" fillId="0" borderId="0"/>
    <xf numFmtId="0" fontId="36"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1" fontId="60" fillId="0" borderId="0"/>
    <xf numFmtId="0" fontId="5" fillId="0" borderId="0"/>
    <xf numFmtId="0" fontId="5" fillId="0" borderId="0"/>
    <xf numFmtId="0" fontId="36" fillId="0" borderId="0"/>
    <xf numFmtId="0" fontId="36" fillId="0" borderId="0"/>
    <xf numFmtId="0" fontId="36" fillId="0" borderId="0"/>
    <xf numFmtId="0" fontId="36" fillId="0" borderId="0"/>
    <xf numFmtId="0" fontId="36" fillId="0" borderId="0"/>
    <xf numFmtId="0" fontId="11" fillId="0" borderId="0">
      <alignment vertical="top"/>
    </xf>
    <xf numFmtId="0" fontId="36" fillId="0" borderId="0"/>
    <xf numFmtId="0" fontId="5" fillId="0" borderId="0"/>
    <xf numFmtId="0" fontId="5" fillId="0" borderId="0">
      <alignment wrapText="1"/>
    </xf>
    <xf numFmtId="0" fontId="11" fillId="0" borderId="0">
      <alignment vertical="top"/>
    </xf>
    <xf numFmtId="0" fontId="11" fillId="0" borderId="0">
      <alignment vertical="top"/>
    </xf>
    <xf numFmtId="0" fontId="11" fillId="0" borderId="0">
      <alignment vertical="top"/>
    </xf>
    <xf numFmtId="0" fontId="5" fillId="0" borderId="0"/>
    <xf numFmtId="0" fontId="11" fillId="0" borderId="0">
      <alignment vertical="top"/>
    </xf>
    <xf numFmtId="0" fontId="36" fillId="0" borderId="0"/>
    <xf numFmtId="0" fontId="5" fillId="0" borderId="0"/>
    <xf numFmtId="0" fontId="5" fillId="0" borderId="0"/>
    <xf numFmtId="0" fontId="11" fillId="0" borderId="0">
      <alignment vertical="top"/>
    </xf>
    <xf numFmtId="0" fontId="5" fillId="0" borderId="0">
      <alignment wrapText="1"/>
    </xf>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1" fillId="0" borderId="0"/>
    <xf numFmtId="0" fontId="11" fillId="0" borderId="0">
      <alignment vertical="top"/>
    </xf>
    <xf numFmtId="0" fontId="5" fillId="0" borderId="0"/>
    <xf numFmtId="0" fontId="57" fillId="0" borderId="0"/>
    <xf numFmtId="0" fontId="60" fillId="0" borderId="0"/>
    <xf numFmtId="0" fontId="5" fillId="0" borderId="0">
      <alignment wrapText="1"/>
    </xf>
    <xf numFmtId="0" fontId="5" fillId="0" borderId="0"/>
    <xf numFmtId="0" fontId="5" fillId="0" borderId="0"/>
    <xf numFmtId="0" fontId="1" fillId="0" borderId="0"/>
    <xf numFmtId="0" fontId="60" fillId="0" borderId="0"/>
    <xf numFmtId="0" fontId="5" fillId="0" borderId="0"/>
    <xf numFmtId="0" fontId="1" fillId="0" borderId="0"/>
    <xf numFmtId="0" fontId="1" fillId="0" borderId="0"/>
    <xf numFmtId="0" fontId="36" fillId="0" borderId="0"/>
    <xf numFmtId="0" fontId="60" fillId="0" borderId="0"/>
    <xf numFmtId="0" fontId="1" fillId="0" borderId="0"/>
    <xf numFmtId="0" fontId="11" fillId="0" borderId="0">
      <alignment vertical="top"/>
    </xf>
    <xf numFmtId="0" fontId="5" fillId="0" borderId="0"/>
    <xf numFmtId="0" fontId="1" fillId="0" borderId="0"/>
    <xf numFmtId="0" fontId="5" fillId="0" borderId="0"/>
    <xf numFmtId="0" fontId="5" fillId="0" borderId="0"/>
    <xf numFmtId="0" fontId="57"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36"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6"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6" fillId="0" borderId="0"/>
    <xf numFmtId="0" fontId="36" fillId="0" borderId="0"/>
    <xf numFmtId="0" fontId="1" fillId="0" borderId="0"/>
    <xf numFmtId="0" fontId="5" fillId="0" borderId="0"/>
    <xf numFmtId="0" fontId="1" fillId="0" borderId="0"/>
    <xf numFmtId="0" fontId="1" fillId="0" borderId="0"/>
    <xf numFmtId="0" fontId="6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6" fillId="0" borderId="0"/>
    <xf numFmtId="0" fontId="36" fillId="0" borderId="0"/>
    <xf numFmtId="0" fontId="5" fillId="0" borderId="0"/>
    <xf numFmtId="0" fontId="5" fillId="0" borderId="0"/>
    <xf numFmtId="0" fontId="86" fillId="0" borderId="0"/>
    <xf numFmtId="0" fontId="36" fillId="0" borderId="0"/>
    <xf numFmtId="0" fontId="11" fillId="0" borderId="0">
      <alignment vertical="top"/>
    </xf>
    <xf numFmtId="0" fontId="11" fillId="0" borderId="0">
      <alignment vertical="top"/>
    </xf>
    <xf numFmtId="0" fontId="11" fillId="0" borderId="0">
      <alignment vertical="top"/>
    </xf>
    <xf numFmtId="0" fontId="5" fillId="0" borderId="0"/>
    <xf numFmtId="0" fontId="5" fillId="0" borderId="0"/>
    <xf numFmtId="0" fontId="36" fillId="0" borderId="0"/>
    <xf numFmtId="0" fontId="5" fillId="0" borderId="0"/>
    <xf numFmtId="0" fontId="36" fillId="0" borderId="0"/>
    <xf numFmtId="0" fontId="5" fillId="0" borderId="0"/>
    <xf numFmtId="0" fontId="5" fillId="0" borderId="0"/>
    <xf numFmtId="0" fontId="5" fillId="0" borderId="0"/>
    <xf numFmtId="0" fontId="5" fillId="0" borderId="0"/>
    <xf numFmtId="0" fontId="5" fillId="0" borderId="0"/>
    <xf numFmtId="0" fontId="5" fillId="0" borderId="0"/>
    <xf numFmtId="0" fontId="36" fillId="0" borderId="0"/>
    <xf numFmtId="0" fontId="36" fillId="0" borderId="0"/>
    <xf numFmtId="0" fontId="5" fillId="0" borderId="0"/>
    <xf numFmtId="0" fontId="86"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xf numFmtId="0" fontId="5" fillId="0" borderId="0"/>
    <xf numFmtId="0" fontId="5" fillId="0" borderId="0"/>
    <xf numFmtId="0" fontId="36" fillId="16" borderId="23" applyNumberFormat="0" applyFont="0" applyAlignment="0" applyProtection="0"/>
    <xf numFmtId="0" fontId="36" fillId="16" borderId="23" applyNumberFormat="0" applyFont="0" applyAlignment="0" applyProtection="0"/>
    <xf numFmtId="0" fontId="11" fillId="16" borderId="23" applyNumberFormat="0" applyFont="0" applyAlignment="0" applyProtection="0"/>
    <xf numFmtId="0" fontId="60" fillId="16" borderId="23" applyNumberFormat="0" applyFont="0" applyAlignment="0" applyProtection="0"/>
    <xf numFmtId="0" fontId="55" fillId="16" borderId="23" applyNumberFormat="0" applyFont="0" applyAlignment="0" applyProtection="0"/>
    <xf numFmtId="0" fontId="60" fillId="16" borderId="23" applyNumberFormat="0" applyFont="0" applyAlignment="0" applyProtection="0"/>
    <xf numFmtId="0" fontId="60" fillId="16" borderId="23" applyNumberFormat="0" applyFont="0" applyAlignment="0" applyProtection="0"/>
    <xf numFmtId="169" fontId="87" fillId="0" borderId="0" applyNumberFormat="0"/>
    <xf numFmtId="0" fontId="71" fillId="34" borderId="24" applyNumberFormat="0" applyAlignment="0" applyProtection="0"/>
    <xf numFmtId="0" fontId="88" fillId="34" borderId="25" applyNumberFormat="0" applyAlignment="0" applyProtection="0"/>
    <xf numFmtId="0" fontId="88" fillId="34" borderId="25" applyNumberFormat="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xf numFmtId="9" fontId="5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169" fontId="5" fillId="0" borderId="0" applyFont="0" applyFill="0" applyBorder="0" applyAlignment="0" applyProtection="0"/>
    <xf numFmtId="10" fontId="5" fillId="0" borderId="0" applyFont="0" applyFill="0" applyBorder="0" applyAlignment="0" applyProtection="0"/>
    <xf numFmtId="172" fontId="61" fillId="0" borderId="0">
      <alignment horizontal="center"/>
    </xf>
    <xf numFmtId="0" fontId="5" fillId="0" borderId="0"/>
    <xf numFmtId="0" fontId="5" fillId="0" borderId="0"/>
    <xf numFmtId="0" fontId="5" fillId="0" borderId="0"/>
    <xf numFmtId="0" fontId="5" fillId="0" borderId="0"/>
    <xf numFmtId="38" fontId="89" fillId="0" borderId="0" applyNumberFormat="0" applyFont="0" applyFill="0" applyBorder="0">
      <alignment horizontal="left" indent="4"/>
      <protection locked="0"/>
    </xf>
    <xf numFmtId="0" fontId="57" fillId="0" borderId="0" applyNumberFormat="0" applyFont="0" applyFill="0" applyBorder="0" applyAlignment="0" applyProtection="0">
      <alignment horizontal="left"/>
    </xf>
    <xf numFmtId="15" fontId="57" fillId="0" borderId="0" applyFont="0" applyFill="0" applyBorder="0" applyAlignment="0" applyProtection="0"/>
    <xf numFmtId="4" fontId="57" fillId="0" borderId="0" applyFont="0" applyFill="0" applyBorder="0" applyAlignment="0" applyProtection="0"/>
    <xf numFmtId="0" fontId="90" fillId="0" borderId="3">
      <alignment horizontal="center"/>
    </xf>
    <xf numFmtId="3" fontId="57" fillId="0" borderId="0" applyFont="0" applyFill="0" applyBorder="0" applyAlignment="0" applyProtection="0"/>
    <xf numFmtId="0" fontId="57" fillId="43" borderId="0" applyNumberFormat="0" applyFont="0" applyBorder="0" applyAlignment="0" applyProtection="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11" fillId="0" borderId="0">
      <alignment vertical="top"/>
    </xf>
    <xf numFmtId="0" fontId="11" fillId="0" borderId="0">
      <alignment vertical="top"/>
    </xf>
    <xf numFmtId="0" fontId="11" fillId="0" borderId="0" applyNumberFormat="0" applyBorder="0" applyAlignment="0"/>
    <xf numFmtId="0" fontId="11" fillId="0" borderId="0" applyNumberFormat="0" applyBorder="0" applyAlignment="0"/>
    <xf numFmtId="37" fontId="92" fillId="0" borderId="0"/>
    <xf numFmtId="173" fontId="93" fillId="4" borderId="0" applyFill="0" applyBorder="0" applyProtection="0">
      <alignment horizontal="center"/>
      <protection hidden="1"/>
    </xf>
    <xf numFmtId="0" fontId="94"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6" fillId="0" borderId="26" applyNumberFormat="0" applyFill="0" applyAlignment="0" applyProtection="0"/>
    <xf numFmtId="0" fontId="96" fillId="0" borderId="26" applyNumberFormat="0" applyFill="0" applyAlignment="0" applyProtection="0"/>
    <xf numFmtId="0" fontId="96" fillId="0" borderId="27" applyNumberFormat="0" applyFill="0" applyAlignment="0" applyProtection="0"/>
    <xf numFmtId="0" fontId="96" fillId="0" borderId="28" applyNumberFormat="0" applyFill="0" applyAlignment="0" applyProtection="0"/>
    <xf numFmtId="0" fontId="96" fillId="0" borderId="29" applyNumberFormat="0" applyFill="0" applyAlignment="0" applyProtection="0"/>
    <xf numFmtId="0" fontId="96" fillId="0" borderId="28" applyNumberFormat="0" applyFill="0" applyAlignment="0" applyProtection="0"/>
    <xf numFmtId="0" fontId="96" fillId="0" borderId="28" applyNumberFormat="0" applyFill="0" applyAlignment="0" applyProtection="0"/>
    <xf numFmtId="0" fontId="97" fillId="0" borderId="0">
      <alignment horizontal="center"/>
    </xf>
    <xf numFmtId="0" fontId="82" fillId="0" borderId="0" applyNumberFormat="0" applyFill="0" applyBorder="0" applyAlignment="0" applyProtection="0"/>
    <xf numFmtId="0" fontId="82" fillId="0" borderId="0" applyNumberFormat="0" applyFill="0" applyBorder="0" applyAlignment="0" applyProtection="0"/>
    <xf numFmtId="164" fontId="10" fillId="6" borderId="0" applyFont="0" applyFill="0" applyBorder="0" applyAlignment="0" applyProtection="0">
      <alignment wrapText="1"/>
    </xf>
  </cellStyleXfs>
  <cellXfs count="210">
    <xf numFmtId="0" fontId="0" fillId="0" borderId="0" xfId="0"/>
    <xf numFmtId="0" fontId="3" fillId="0" borderId="0" xfId="0" applyFont="1"/>
    <xf numFmtId="0" fontId="4" fillId="0" borderId="0" xfId="0" applyFont="1"/>
    <xf numFmtId="0" fontId="0" fillId="3" borderId="0" xfId="0" applyFill="1"/>
    <xf numFmtId="0" fontId="3" fillId="3" borderId="1" xfId="0" applyFont="1" applyFill="1" applyBorder="1" applyAlignment="1">
      <alignment horizontal="center" wrapText="1"/>
    </xf>
    <xf numFmtId="0" fontId="3" fillId="3" borderId="0" xfId="0" applyFont="1" applyFill="1" applyBorder="1" applyAlignment="1">
      <alignment horizontal="center" wrapText="1"/>
    </xf>
    <xf numFmtId="0" fontId="0" fillId="3" borderId="0" xfId="0" applyFill="1" applyAlignment="1">
      <alignment horizontal="right"/>
    </xf>
    <xf numFmtId="164" fontId="0" fillId="3" borderId="0" xfId="1" applyNumberFormat="1" applyFont="1" applyFill="1"/>
    <xf numFmtId="164" fontId="0" fillId="3" borderId="2" xfId="1" applyNumberFormat="1" applyFont="1" applyFill="1" applyBorder="1"/>
    <xf numFmtId="164" fontId="0" fillId="0" borderId="0" xfId="0" applyNumberFormat="1"/>
    <xf numFmtId="164" fontId="0" fillId="3" borderId="0" xfId="1" applyNumberFormat="1" applyFont="1" applyFill="1" applyBorder="1"/>
    <xf numFmtId="164" fontId="0" fillId="3" borderId="1" xfId="1" applyNumberFormat="1" applyFont="1" applyFill="1" applyBorder="1"/>
    <xf numFmtId="164" fontId="0" fillId="0" borderId="1" xfId="0" applyNumberFormat="1" applyBorder="1"/>
    <xf numFmtId="0" fontId="6" fillId="3" borderId="0" xfId="0" applyFont="1" applyFill="1" applyAlignment="1">
      <alignment horizontal="right"/>
    </xf>
    <xf numFmtId="164" fontId="1" fillId="3" borderId="0" xfId="1" applyNumberFormat="1" applyFont="1" applyFill="1"/>
    <xf numFmtId="43" fontId="0" fillId="3" borderId="0" xfId="1" applyFont="1" applyFill="1"/>
    <xf numFmtId="43" fontId="0" fillId="3" borderId="0" xfId="0" applyNumberFormat="1" applyFill="1"/>
    <xf numFmtId="0" fontId="7" fillId="3" borderId="0" xfId="0" applyFont="1" applyFill="1"/>
    <xf numFmtId="164" fontId="0" fillId="3" borderId="0" xfId="0" applyNumberFormat="1" applyFill="1"/>
    <xf numFmtId="44" fontId="0" fillId="0" borderId="0" xfId="0" applyNumberFormat="1"/>
    <xf numFmtId="0" fontId="0" fillId="0" borderId="0" xfId="0" applyBorder="1"/>
    <xf numFmtId="0" fontId="0" fillId="0" borderId="0" xfId="0" applyAlignment="1">
      <alignment horizontal="left"/>
    </xf>
    <xf numFmtId="0" fontId="0" fillId="0" borderId="0" xfId="0" quotePrefix="1" applyBorder="1"/>
    <xf numFmtId="165" fontId="0" fillId="0" borderId="0" xfId="2" applyNumberFormat="1" applyFont="1" applyBorder="1"/>
    <xf numFmtId="0" fontId="0" fillId="0" borderId="0" xfId="0" quotePrefix="1" applyBorder="1" applyAlignment="1">
      <alignment horizontal="left"/>
    </xf>
    <xf numFmtId="43" fontId="0" fillId="0" borderId="0" xfId="1" applyFont="1"/>
    <xf numFmtId="44" fontId="0" fillId="0" borderId="0" xfId="0" applyNumberFormat="1" applyBorder="1"/>
    <xf numFmtId="37" fontId="5" fillId="0" borderId="0" xfId="4" applyFont="1" applyFill="1"/>
    <xf numFmtId="49" fontId="5" fillId="0" borderId="0" xfId="4" applyNumberFormat="1" applyFont="1" applyFill="1"/>
    <xf numFmtId="14" fontId="5" fillId="0" borderId="0" xfId="4" applyNumberFormat="1" applyFont="1" applyFill="1"/>
    <xf numFmtId="164" fontId="5" fillId="0" borderId="0" xfId="5" applyNumberFormat="1" applyFont="1" applyFill="1"/>
    <xf numFmtId="37" fontId="5" fillId="5" borderId="0" xfId="4" applyFont="1" applyFill="1"/>
    <xf numFmtId="0" fontId="11" fillId="0" borderId="0" xfId="6" applyFont="1" applyAlignment="1">
      <alignment horizontal="left"/>
    </xf>
    <xf numFmtId="0" fontId="11" fillId="0" borderId="0" xfId="6" quotePrefix="1" applyFont="1" applyAlignment="1">
      <alignment horizontal="left"/>
    </xf>
    <xf numFmtId="0" fontId="11" fillId="0" borderId="0" xfId="6" applyFont="1"/>
    <xf numFmtId="164" fontId="11" fillId="0" borderId="0" xfId="7" applyNumberFormat="1" applyFont="1"/>
    <xf numFmtId="164" fontId="5" fillId="5" borderId="0" xfId="7" applyNumberFormat="1" applyFont="1" applyFill="1" applyBorder="1"/>
    <xf numFmtId="166" fontId="12" fillId="0" borderId="0" xfId="8" applyNumberFormat="1" applyFont="1" applyFill="1" applyBorder="1"/>
    <xf numFmtId="164" fontId="5" fillId="0" borderId="0" xfId="7" applyNumberFormat="1" applyFont="1" applyBorder="1"/>
    <xf numFmtId="0" fontId="5" fillId="0" borderId="0" xfId="9"/>
    <xf numFmtId="37" fontId="5" fillId="0" borderId="0" xfId="4" quotePrefix="1" applyFont="1" applyFill="1"/>
    <xf numFmtId="14" fontId="13" fillId="0" borderId="0" xfId="6" applyNumberFormat="1" applyFont="1"/>
    <xf numFmtId="0" fontId="14" fillId="0" borderId="0" xfId="6" applyNumberFormat="1" applyFont="1"/>
    <xf numFmtId="0" fontId="13" fillId="0" borderId="0" xfId="6" applyNumberFormat="1" applyFont="1"/>
    <xf numFmtId="0" fontId="14" fillId="0" borderId="0" xfId="6" applyNumberFormat="1" applyFont="1" applyAlignment="1">
      <alignment horizontal="right"/>
    </xf>
    <xf numFmtId="49" fontId="15" fillId="0" borderId="0" xfId="6" applyNumberFormat="1" applyFont="1" applyAlignment="1">
      <alignment horizontal="right"/>
    </xf>
    <xf numFmtId="0" fontId="15" fillId="0" borderId="0" xfId="6" applyNumberFormat="1" applyFont="1" applyAlignment="1">
      <alignment horizontal="left"/>
    </xf>
    <xf numFmtId="0" fontId="16" fillId="0" borderId="0" xfId="6" applyNumberFormat="1" applyFont="1"/>
    <xf numFmtId="49" fontId="15" fillId="0" borderId="0" xfId="6" applyNumberFormat="1" applyFont="1" applyAlignment="1">
      <alignment horizontal="left"/>
    </xf>
    <xf numFmtId="49" fontId="17" fillId="0" borderId="0" xfId="6" applyNumberFormat="1" applyFont="1"/>
    <xf numFmtId="167" fontId="18" fillId="0" borderId="0" xfId="6" quotePrefix="1" applyNumberFormat="1" applyFont="1" applyAlignment="1">
      <alignment horizontal="left"/>
    </xf>
    <xf numFmtId="0" fontId="11" fillId="0" borderId="0" xfId="6" applyNumberFormat="1" applyFont="1"/>
    <xf numFmtId="164" fontId="19" fillId="0" borderId="1" xfId="7" applyNumberFormat="1" applyFont="1" applyFill="1" applyBorder="1" applyAlignment="1">
      <alignment horizontal="centerContinuous"/>
    </xf>
    <xf numFmtId="0" fontId="19" fillId="0" borderId="1" xfId="6" applyFont="1" applyFill="1" applyBorder="1" applyAlignment="1">
      <alignment horizontal="centerContinuous"/>
    </xf>
    <xf numFmtId="164" fontId="19" fillId="0" borderId="1" xfId="7" quotePrefix="1" applyNumberFormat="1" applyFont="1" applyFill="1" applyBorder="1" applyAlignment="1">
      <alignment horizontal="centerContinuous"/>
    </xf>
    <xf numFmtId="0" fontId="20" fillId="0" borderId="1" xfId="6" applyNumberFormat="1" applyFont="1" applyBorder="1"/>
    <xf numFmtId="17" fontId="19" fillId="0" borderId="3" xfId="7" applyNumberFormat="1" applyFont="1" applyFill="1" applyBorder="1" applyAlignment="1">
      <alignment horizontal="centerContinuous"/>
    </xf>
    <xf numFmtId="0" fontId="19" fillId="0" borderId="0" xfId="6" applyFont="1" applyBorder="1"/>
    <xf numFmtId="0" fontId="19" fillId="0" borderId="0" xfId="6" applyFont="1"/>
    <xf numFmtId="17" fontId="19" fillId="0" borderId="3" xfId="7" applyNumberFormat="1" applyFont="1" applyBorder="1" applyAlignment="1">
      <alignment horizontal="centerContinuous"/>
    </xf>
    <xf numFmtId="17" fontId="21" fillId="0" borderId="3" xfId="7" applyNumberFormat="1" applyFont="1" applyFill="1" applyBorder="1" applyAlignment="1">
      <alignment horizontal="centerContinuous"/>
    </xf>
    <xf numFmtId="0" fontId="22" fillId="0" borderId="0" xfId="6" applyFont="1"/>
    <xf numFmtId="164" fontId="22" fillId="0" borderId="0" xfId="7" applyNumberFormat="1" applyFont="1"/>
    <xf numFmtId="37" fontId="5" fillId="0" borderId="0" xfId="4" applyFont="1" applyFill="1" applyBorder="1"/>
    <xf numFmtId="164" fontId="11" fillId="0" borderId="1" xfId="7" applyNumberFormat="1" applyFont="1" applyBorder="1"/>
    <xf numFmtId="164" fontId="11" fillId="6" borderId="0" xfId="5" applyNumberFormat="1" applyFont="1" applyFill="1" applyBorder="1"/>
    <xf numFmtId="164" fontId="13" fillId="0" borderId="0" xfId="5" applyNumberFormat="1" applyFont="1"/>
    <xf numFmtId="164" fontId="11" fillId="0" borderId="0" xfId="5" applyNumberFormat="1" applyFont="1"/>
    <xf numFmtId="164" fontId="11" fillId="0" borderId="1" xfId="5" applyNumberFormat="1" applyFont="1" applyBorder="1"/>
    <xf numFmtId="0" fontId="11" fillId="0" borderId="0" xfId="6" quotePrefix="1" applyFont="1"/>
    <xf numFmtId="0" fontId="20" fillId="0" borderId="0" xfId="6" applyFont="1" applyAlignment="1">
      <alignment horizontal="left"/>
    </xf>
    <xf numFmtId="164" fontId="11" fillId="6" borderId="4" xfId="5" applyNumberFormat="1" applyFont="1" applyFill="1" applyBorder="1"/>
    <xf numFmtId="0" fontId="20" fillId="0" borderId="0" xfId="6" applyFont="1"/>
    <xf numFmtId="0" fontId="20" fillId="0" borderId="0" xfId="6" quotePrefix="1" applyFont="1" applyAlignment="1">
      <alignment horizontal="left"/>
    </xf>
    <xf numFmtId="164" fontId="5" fillId="0" borderId="0" xfId="5" applyNumberFormat="1" applyFont="1"/>
    <xf numFmtId="164" fontId="1" fillId="0" borderId="0" xfId="5" applyNumberFormat="1" applyFont="1"/>
    <xf numFmtId="0" fontId="5" fillId="0" borderId="0" xfId="9" applyFont="1"/>
    <xf numFmtId="0" fontId="20" fillId="7" borderId="0" xfId="6" quotePrefix="1" applyFont="1" applyFill="1" applyAlignment="1">
      <alignment horizontal="left"/>
    </xf>
    <xf numFmtId="0" fontId="11" fillId="7" borderId="0" xfId="6" applyFont="1" applyFill="1"/>
    <xf numFmtId="164" fontId="11" fillId="7" borderId="4" xfId="5" applyNumberFormat="1" applyFont="1" applyFill="1" applyBorder="1"/>
    <xf numFmtId="164" fontId="13" fillId="0" borderId="0" xfId="5" applyNumberFormat="1" applyFont="1" applyFill="1"/>
    <xf numFmtId="164" fontId="13" fillId="0" borderId="0" xfId="5" applyNumberFormat="1" applyFont="1" applyFill="1" applyBorder="1"/>
    <xf numFmtId="0" fontId="13" fillId="0" borderId="0" xfId="6" applyNumberFormat="1" applyFont="1" applyFill="1"/>
    <xf numFmtId="0" fontId="5" fillId="0" borderId="0" xfId="10"/>
    <xf numFmtId="0" fontId="5" fillId="0" borderId="0" xfId="10" applyFont="1"/>
    <xf numFmtId="168" fontId="5" fillId="0" borderId="0" xfId="10" applyNumberFormat="1" applyFont="1"/>
    <xf numFmtId="164" fontId="22" fillId="0" borderId="0" xfId="5" applyNumberFormat="1" applyFont="1"/>
    <xf numFmtId="0" fontId="20" fillId="8" borderId="0" xfId="6" applyFont="1" applyFill="1" applyAlignment="1">
      <alignment horizontal="left"/>
    </xf>
    <xf numFmtId="0" fontId="11" fillId="8" borderId="0" xfId="6" applyFont="1" applyFill="1"/>
    <xf numFmtId="168" fontId="11" fillId="8" borderId="4" xfId="5" quotePrefix="1" applyNumberFormat="1" applyFont="1" applyFill="1" applyBorder="1"/>
    <xf numFmtId="164" fontId="12" fillId="0" borderId="0" xfId="5" applyNumberFormat="1" applyFont="1" applyFill="1" applyBorder="1"/>
    <xf numFmtId="164" fontId="11" fillId="6" borderId="5" xfId="5" applyNumberFormat="1" applyFont="1" applyFill="1" applyBorder="1"/>
    <xf numFmtId="164" fontId="5" fillId="0" borderId="0" xfId="7" applyNumberFormat="1" applyFont="1" applyFill="1"/>
    <xf numFmtId="164" fontId="5" fillId="0" borderId="0" xfId="5" applyNumberFormat="1"/>
    <xf numFmtId="164" fontId="11" fillId="3" borderId="0" xfId="5" applyNumberFormat="1" applyFont="1" applyFill="1" applyBorder="1"/>
    <xf numFmtId="164" fontId="11" fillId="3" borderId="0" xfId="5" applyNumberFormat="1" applyFont="1" applyFill="1"/>
    <xf numFmtId="164" fontId="12" fillId="3" borderId="0" xfId="5" applyNumberFormat="1" applyFont="1" applyFill="1" applyBorder="1"/>
    <xf numFmtId="164" fontId="23" fillId="0" borderId="0" xfId="7" applyNumberFormat="1" applyFont="1" applyFill="1" applyAlignment="1">
      <alignment horizontal="right"/>
    </xf>
    <xf numFmtId="0" fontId="24" fillId="0" borderId="0" xfId="6" applyNumberFormat="1" applyFont="1"/>
    <xf numFmtId="164" fontId="25" fillId="0" borderId="0" xfId="7" applyNumberFormat="1" applyFont="1" applyFill="1"/>
    <xf numFmtId="169" fontId="19" fillId="0" borderId="0" xfId="3" applyNumberFormat="1" applyFont="1" applyFill="1"/>
    <xf numFmtId="0" fontId="26" fillId="3" borderId="0" xfId="0" applyFont="1" applyFill="1"/>
    <xf numFmtId="0" fontId="28" fillId="3" borderId="0" xfId="11" applyFont="1" applyFill="1"/>
    <xf numFmtId="43" fontId="29" fillId="3" borderId="0" xfId="1" applyFont="1" applyFill="1" applyAlignment="1">
      <alignment horizontal="center"/>
    </xf>
    <xf numFmtId="0" fontId="30" fillId="3" borderId="0" xfId="0" applyFont="1" applyFill="1"/>
    <xf numFmtId="0" fontId="26" fillId="3" borderId="0" xfId="0" applyFont="1" applyFill="1" applyAlignment="1">
      <alignment wrapText="1"/>
    </xf>
    <xf numFmtId="0" fontId="32" fillId="3" borderId="4" xfId="11" applyFont="1" applyFill="1" applyBorder="1" applyAlignment="1">
      <alignment horizontal="center"/>
    </xf>
    <xf numFmtId="0" fontId="32" fillId="3" borderId="4" xfId="11" applyFont="1" applyFill="1" applyBorder="1" applyAlignment="1">
      <alignment horizontal="center" wrapText="1"/>
    </xf>
    <xf numFmtId="14" fontId="33" fillId="3" borderId="4" xfId="1" applyNumberFormat="1" applyFont="1" applyFill="1" applyBorder="1" applyAlignment="1">
      <alignment horizontal="center" wrapText="1"/>
    </xf>
    <xf numFmtId="0" fontId="26" fillId="3" borderId="4" xfId="0" applyFont="1" applyFill="1" applyBorder="1" applyAlignment="1">
      <alignment horizontal="center"/>
    </xf>
    <xf numFmtId="0" fontId="26" fillId="3" borderId="4" xfId="0" applyFont="1" applyFill="1" applyBorder="1" applyAlignment="1">
      <alignment horizontal="center" wrapText="1"/>
    </xf>
    <xf numFmtId="0" fontId="34" fillId="9" borderId="0" xfId="11" applyFont="1" applyFill="1" applyAlignment="1">
      <alignment horizontal="left"/>
    </xf>
    <xf numFmtId="0" fontId="35" fillId="9" borderId="0" xfId="11" applyFont="1" applyFill="1" applyAlignment="1">
      <alignment horizontal="left"/>
    </xf>
    <xf numFmtId="43" fontId="28" fillId="9" borderId="0" xfId="1" applyFont="1" applyFill="1" applyAlignment="1">
      <alignment horizontal="center"/>
    </xf>
    <xf numFmtId="0" fontId="30" fillId="9" borderId="0" xfId="0" applyFont="1" applyFill="1"/>
    <xf numFmtId="0" fontId="35" fillId="3" borderId="0" xfId="11" applyFont="1" applyFill="1" applyAlignment="1">
      <alignment horizontal="left"/>
    </xf>
    <xf numFmtId="0" fontId="35" fillId="3" borderId="0" xfId="11" applyFont="1" applyFill="1" applyAlignment="1">
      <alignment horizontal="center"/>
    </xf>
    <xf numFmtId="0" fontId="30" fillId="3" borderId="0" xfId="0" applyFont="1" applyFill="1" applyBorder="1" applyAlignment="1">
      <alignment horizontal="center"/>
    </xf>
    <xf numFmtId="0" fontId="30" fillId="3" borderId="0" xfId="0" applyFont="1" applyFill="1" applyBorder="1" applyAlignment="1">
      <alignment horizontal="center" wrapText="1"/>
    </xf>
    <xf numFmtId="0" fontId="32" fillId="8" borderId="0" xfId="11" applyFont="1" applyFill="1" applyBorder="1"/>
    <xf numFmtId="43" fontId="28" fillId="8" borderId="0" xfId="1" applyFont="1" applyFill="1" applyAlignment="1">
      <alignment horizontal="center"/>
    </xf>
    <xf numFmtId="0" fontId="30" fillId="8" borderId="0" xfId="0" applyFont="1" applyFill="1"/>
    <xf numFmtId="0" fontId="29" fillId="3" borderId="0" xfId="0" applyFont="1" applyFill="1"/>
    <xf numFmtId="43" fontId="30" fillId="3" borderId="0" xfId="1" applyFont="1" applyFill="1"/>
    <xf numFmtId="164" fontId="30" fillId="3" borderId="0" xfId="1" applyNumberFormat="1" applyFont="1" applyFill="1"/>
    <xf numFmtId="0" fontId="28" fillId="3" borderId="0" xfId="12" applyFont="1" applyFill="1"/>
    <xf numFmtId="0" fontId="28" fillId="3" borderId="0" xfId="11" applyFont="1" applyFill="1" applyBorder="1"/>
    <xf numFmtId="0" fontId="32" fillId="3" borderId="0" xfId="11" applyFont="1" applyFill="1" applyBorder="1" applyAlignment="1">
      <alignment horizontal="right"/>
    </xf>
    <xf numFmtId="164" fontId="26" fillId="3" borderId="4" xfId="0" applyNumberFormat="1" applyFont="1" applyFill="1" applyBorder="1"/>
    <xf numFmtId="0" fontId="30" fillId="3" borderId="4" xfId="0" applyFont="1" applyFill="1" applyBorder="1"/>
    <xf numFmtId="0" fontId="37" fillId="3" borderId="0" xfId="0" applyFont="1" applyFill="1"/>
    <xf numFmtId="164" fontId="30" fillId="3" borderId="4" xfId="0" applyNumberFormat="1" applyFont="1" applyFill="1" applyBorder="1"/>
    <xf numFmtId="0" fontId="32" fillId="3" borderId="0" xfId="11" applyFont="1" applyFill="1" applyBorder="1"/>
    <xf numFmtId="43" fontId="26" fillId="3" borderId="4" xfId="0" applyNumberFormat="1" applyFont="1" applyFill="1" applyBorder="1"/>
    <xf numFmtId="0" fontId="32" fillId="3" borderId="0" xfId="11" applyFont="1" applyFill="1" applyAlignment="1">
      <alignment horizontal="right"/>
    </xf>
    <xf numFmtId="0" fontId="32" fillId="3" borderId="0" xfId="11" applyFont="1" applyFill="1"/>
    <xf numFmtId="43" fontId="33" fillId="3" borderId="0" xfId="1" applyFont="1" applyFill="1" applyAlignment="1">
      <alignment horizontal="center"/>
    </xf>
    <xf numFmtId="164" fontId="26" fillId="3" borderId="5" xfId="0" applyNumberFormat="1" applyFont="1" applyFill="1" applyBorder="1"/>
    <xf numFmtId="164" fontId="30" fillId="3" borderId="5" xfId="0" applyNumberFormat="1" applyFont="1" applyFill="1" applyBorder="1"/>
    <xf numFmtId="43" fontId="30" fillId="3" borderId="0" xfId="0" applyNumberFormat="1" applyFont="1" applyFill="1"/>
    <xf numFmtId="0" fontId="28" fillId="3" borderId="0" xfId="11" applyFont="1" applyFill="1" applyAlignment="1">
      <alignment horizontal="center"/>
    </xf>
    <xf numFmtId="0" fontId="32" fillId="3" borderId="0" xfId="11" applyFont="1" applyFill="1" applyAlignment="1">
      <alignment horizontal="center" wrapText="1"/>
    </xf>
    <xf numFmtId="43" fontId="28" fillId="3" borderId="0" xfId="1" applyFont="1" applyFill="1" applyAlignment="1">
      <alignment horizontal="center"/>
    </xf>
    <xf numFmtId="0" fontId="26" fillId="3" borderId="1" xfId="0" applyFont="1" applyFill="1" applyBorder="1" applyAlignment="1">
      <alignment horizontal="center"/>
    </xf>
    <xf numFmtId="0" fontId="26" fillId="3" borderId="1" xfId="0" applyFont="1" applyFill="1" applyBorder="1" applyAlignment="1">
      <alignment horizontal="center" wrapText="1"/>
    </xf>
    <xf numFmtId="0" fontId="32" fillId="8" borderId="0" xfId="11" applyFont="1" applyFill="1" applyAlignment="1">
      <alignment horizontal="left"/>
    </xf>
    <xf numFmtId="0" fontId="30" fillId="8" borderId="0" xfId="0" applyFont="1" applyFill="1" applyBorder="1" applyAlignment="1">
      <alignment horizontal="center"/>
    </xf>
    <xf numFmtId="0" fontId="30" fillId="8" borderId="0" xfId="0" applyFont="1" applyFill="1" applyBorder="1" applyAlignment="1">
      <alignment horizontal="center" wrapText="1"/>
    </xf>
    <xf numFmtId="49" fontId="29" fillId="3" borderId="0" xfId="0" applyNumberFormat="1" applyFont="1" applyFill="1"/>
    <xf numFmtId="43" fontId="29" fillId="0" borderId="0" xfId="1" applyFont="1" applyFill="1" applyAlignment="1">
      <alignment horizontal="center"/>
    </xf>
    <xf numFmtId="0" fontId="30" fillId="0" borderId="0" xfId="0" applyFont="1"/>
    <xf numFmtId="43" fontId="28" fillId="0" borderId="0" xfId="1" applyFont="1" applyFill="1" applyAlignment="1">
      <alignment horizontal="center"/>
    </xf>
    <xf numFmtId="0" fontId="28" fillId="0" borderId="0" xfId="11" applyFont="1"/>
    <xf numFmtId="0" fontId="28" fillId="0" borderId="0" xfId="11" applyFont="1" applyFill="1" applyAlignment="1">
      <alignment horizontal="center"/>
    </xf>
    <xf numFmtId="0" fontId="28" fillId="0" borderId="0" xfId="11" applyFont="1" applyFill="1"/>
    <xf numFmtId="0" fontId="37" fillId="3" borderId="0" xfId="0" applyFont="1" applyFill="1" applyBorder="1"/>
    <xf numFmtId="164" fontId="30" fillId="3" borderId="4" xfId="1" applyNumberFormat="1" applyFont="1" applyFill="1" applyBorder="1"/>
    <xf numFmtId="0" fontId="37" fillId="0" borderId="0" xfId="11" applyFont="1"/>
    <xf numFmtId="164" fontId="26" fillId="3" borderId="4" xfId="1" applyNumberFormat="1" applyFont="1" applyFill="1" applyBorder="1"/>
    <xf numFmtId="0" fontId="30" fillId="3" borderId="0" xfId="0" applyFont="1" applyFill="1" applyAlignment="1">
      <alignment horizontal="left"/>
    </xf>
    <xf numFmtId="0" fontId="30" fillId="0" borderId="0" xfId="0" applyFont="1" applyFill="1"/>
    <xf numFmtId="0" fontId="29" fillId="0" borderId="0" xfId="0" applyFont="1" applyFill="1"/>
    <xf numFmtId="43" fontId="30" fillId="0" borderId="0" xfId="0" applyNumberFormat="1" applyFont="1" applyFill="1"/>
    <xf numFmtId="164" fontId="30" fillId="0" borderId="0" xfId="1" applyNumberFormat="1" applyFont="1" applyFill="1"/>
    <xf numFmtId="0" fontId="30" fillId="3" borderId="5" xfId="0" applyFont="1" applyFill="1" applyBorder="1"/>
    <xf numFmtId="164" fontId="26" fillId="3" borderId="5" xfId="1" applyNumberFormat="1" applyFont="1" applyFill="1" applyBorder="1"/>
    <xf numFmtId="164" fontId="26" fillId="3" borderId="1" xfId="1" applyNumberFormat="1" applyFont="1" applyFill="1" applyBorder="1" applyAlignment="1">
      <alignment horizontal="center" wrapText="1"/>
    </xf>
    <xf numFmtId="164" fontId="30" fillId="8" borderId="0" xfId="1" applyNumberFormat="1" applyFont="1" applyFill="1"/>
    <xf numFmtId="0" fontId="28" fillId="3" borderId="0" xfId="0" applyFont="1" applyFill="1" applyAlignment="1">
      <alignment vertical="top"/>
    </xf>
    <xf numFmtId="0" fontId="28" fillId="3" borderId="0" xfId="11" applyFont="1" applyFill="1" applyBorder="1" applyAlignment="1">
      <alignment horizontal="center"/>
    </xf>
    <xf numFmtId="0" fontId="28" fillId="3" borderId="0" xfId="11" applyFont="1" applyFill="1" applyAlignment="1">
      <alignment horizontal="right"/>
    </xf>
    <xf numFmtId="43" fontId="30" fillId="8" borderId="0" xfId="0" applyNumberFormat="1" applyFont="1" applyFill="1"/>
    <xf numFmtId="164" fontId="26" fillId="3" borderId="0" xfId="0" applyNumberFormat="1" applyFont="1" applyFill="1"/>
    <xf numFmtId="43" fontId="26" fillId="3" borderId="4" xfId="1" applyFont="1" applyFill="1" applyBorder="1"/>
    <xf numFmtId="0" fontId="37" fillId="0" borderId="0" xfId="0" applyFont="1"/>
    <xf numFmtId="43" fontId="26" fillId="3" borderId="0" xfId="0" applyNumberFormat="1" applyFont="1" applyFill="1"/>
    <xf numFmtId="0" fontId="26" fillId="3" borderId="4" xfId="0" applyFont="1" applyFill="1" applyBorder="1"/>
    <xf numFmtId="0" fontId="40" fillId="3" borderId="0" xfId="11" applyFont="1" applyFill="1"/>
    <xf numFmtId="0" fontId="40" fillId="3" borderId="0" xfId="11" applyFont="1" applyFill="1" applyAlignment="1">
      <alignment horizontal="center"/>
    </xf>
    <xf numFmtId="0" fontId="41" fillId="3" borderId="0" xfId="11" applyFont="1" applyFill="1"/>
    <xf numFmtId="0" fontId="41" fillId="3" borderId="0" xfId="11" applyFont="1" applyFill="1" applyAlignment="1">
      <alignment horizontal="center" wrapText="1"/>
    </xf>
    <xf numFmtId="0" fontId="41" fillId="0" borderId="0" xfId="11" applyFont="1" applyFill="1" applyAlignment="1">
      <alignment horizontal="center"/>
    </xf>
    <xf numFmtId="0" fontId="41" fillId="0" borderId="0" xfId="11" applyFont="1" applyFill="1" applyAlignment="1">
      <alignment horizontal="center" wrapText="1"/>
    </xf>
    <xf numFmtId="14" fontId="41" fillId="10" borderId="0" xfId="11" applyNumberFormat="1" applyFont="1" applyFill="1" applyAlignment="1">
      <alignment horizontal="center" wrapText="1"/>
    </xf>
    <xf numFmtId="0" fontId="0" fillId="3" borderId="1" xfId="0" applyFill="1" applyBorder="1" applyAlignment="1">
      <alignment horizontal="center"/>
    </xf>
    <xf numFmtId="164" fontId="0" fillId="3" borderId="1" xfId="1" applyNumberFormat="1" applyFont="1" applyFill="1" applyBorder="1" applyAlignment="1">
      <alignment horizontal="center" wrapText="1"/>
    </xf>
    <xf numFmtId="0" fontId="42" fillId="9" borderId="0" xfId="11" applyFont="1" applyFill="1" applyAlignment="1">
      <alignment horizontal="left"/>
    </xf>
    <xf numFmtId="43" fontId="43" fillId="9" borderId="0" xfId="1" applyFont="1" applyFill="1" applyAlignment="1">
      <alignment horizontal="center"/>
    </xf>
    <xf numFmtId="0" fontId="44" fillId="9" borderId="0" xfId="0" applyFont="1" applyFill="1"/>
    <xf numFmtId="0" fontId="44" fillId="3" borderId="0" xfId="0" applyFont="1" applyFill="1"/>
    <xf numFmtId="0" fontId="35" fillId="0" borderId="0" xfId="11" applyFont="1" applyFill="1" applyAlignment="1">
      <alignment horizontal="left"/>
    </xf>
    <xf numFmtId="0" fontId="32" fillId="8" borderId="0" xfId="11" applyFont="1" applyFill="1"/>
    <xf numFmtId="0" fontId="0" fillId="8" borderId="0" xfId="0" applyFill="1"/>
    <xf numFmtId="43" fontId="0" fillId="8" borderId="0" xfId="0" applyNumberFormat="1" applyFill="1"/>
    <xf numFmtId="0" fontId="0" fillId="3" borderId="0" xfId="0" applyFill="1" applyAlignment="1">
      <alignment horizontal="left"/>
    </xf>
    <xf numFmtId="43" fontId="30" fillId="8" borderId="0" xfId="1" applyFont="1" applyFill="1"/>
    <xf numFmtId="43" fontId="3" fillId="3" borderId="4" xfId="0" applyNumberFormat="1" applyFont="1" applyFill="1" applyBorder="1"/>
    <xf numFmtId="164" fontId="3" fillId="3" borderId="4" xfId="0" applyNumberFormat="1" applyFont="1" applyFill="1" applyBorder="1"/>
    <xf numFmtId="43" fontId="3" fillId="3" borderId="0" xfId="0" applyNumberFormat="1" applyFont="1" applyFill="1" applyBorder="1"/>
    <xf numFmtId="164" fontId="3" fillId="3" borderId="0" xfId="0" applyNumberFormat="1" applyFont="1" applyFill="1" applyBorder="1"/>
    <xf numFmtId="0" fontId="0" fillId="3" borderId="4" xfId="0" applyFill="1" applyBorder="1"/>
    <xf numFmtId="43" fontId="3" fillId="3" borderId="5" xfId="0" applyNumberFormat="1" applyFont="1" applyFill="1" applyBorder="1"/>
    <xf numFmtId="0" fontId="0" fillId="3" borderId="5" xfId="0" applyFill="1" applyBorder="1"/>
    <xf numFmtId="164" fontId="3" fillId="3" borderId="5" xfId="0" applyNumberFormat="1" applyFont="1" applyFill="1" applyBorder="1"/>
    <xf numFmtId="0" fontId="31" fillId="3" borderId="0" xfId="0" applyFont="1" applyFill="1" applyAlignment="1">
      <alignment horizontal="left" wrapText="1"/>
    </xf>
    <xf numFmtId="0" fontId="26" fillId="3" borderId="0" xfId="0" applyFont="1" applyFill="1" applyBorder="1" applyAlignment="1">
      <alignment horizontal="center" wrapText="1"/>
    </xf>
    <xf numFmtId="0" fontId="26" fillId="3" borderId="1" xfId="0" applyFont="1" applyFill="1" applyBorder="1" applyAlignment="1">
      <alignment horizontal="center" wrapText="1"/>
    </xf>
    <xf numFmtId="0" fontId="3" fillId="3" borderId="1" xfId="0" applyFont="1" applyFill="1" applyBorder="1" applyAlignment="1">
      <alignment horizontal="center" wrapText="1"/>
    </xf>
    <xf numFmtId="0" fontId="98" fillId="0" borderId="0" xfId="0" applyFont="1" applyAlignment="1">
      <alignment horizontal="right"/>
    </xf>
    <xf numFmtId="0" fontId="31" fillId="3" borderId="0" xfId="0" applyFont="1" applyFill="1" applyAlignment="1">
      <alignment wrapText="1"/>
    </xf>
  </cellXfs>
  <cellStyles count="660">
    <cellStyle name="20% - Accent1 2" xfId="13"/>
    <cellStyle name="20% - Accent1 2 2" xfId="14"/>
    <cellStyle name="20% - Accent1 2 3" xfId="15"/>
    <cellStyle name="20% - Accent1 3" xfId="16"/>
    <cellStyle name="20% - Accent1 3 2" xfId="17"/>
    <cellStyle name="20% - Accent1 3 3" xfId="18"/>
    <cellStyle name="20% - Accent1 4" xfId="19"/>
    <cellStyle name="20% - Accent2 2" xfId="20"/>
    <cellStyle name="20% - Accent2 3" xfId="21"/>
    <cellStyle name="20% - Accent2 3 2" xfId="22"/>
    <cellStyle name="20% - Accent3 2" xfId="23"/>
    <cellStyle name="20% - Accent3 3" xfId="24"/>
    <cellStyle name="20% - Accent3 3 2" xfId="25"/>
    <cellStyle name="20% - Accent4 2" xfId="26"/>
    <cellStyle name="20% - Accent4 2 2" xfId="27"/>
    <cellStyle name="20% - Accent4 2 3" xfId="28"/>
    <cellStyle name="20% - Accent4 3" xfId="29"/>
    <cellStyle name="20% - Accent4 3 2" xfId="30"/>
    <cellStyle name="20% - Accent4 3 3" xfId="31"/>
    <cellStyle name="20% - Accent4 4" xfId="32"/>
    <cellStyle name="20% - Accent5 2" xfId="33"/>
    <cellStyle name="20% - Accent5 3" xfId="34"/>
    <cellStyle name="20% - Accent6 2" xfId="35"/>
    <cellStyle name="20% - Accent6 3" xfId="36"/>
    <cellStyle name="20% - Accent6 3 2" xfId="37"/>
    <cellStyle name="40% - Accent1 2" xfId="38"/>
    <cellStyle name="40% - Accent1 2 2" xfId="39"/>
    <cellStyle name="40% - Accent1 3" xfId="40"/>
    <cellStyle name="40% - Accent1 3 2" xfId="41"/>
    <cellStyle name="40% - Accent1 3 3" xfId="42"/>
    <cellStyle name="40% - Accent1 4" xfId="43"/>
    <cellStyle name="40% - Accent2 2" xfId="44"/>
    <cellStyle name="40% - Accent2 3" xfId="45"/>
    <cellStyle name="40% - Accent3 2" xfId="46"/>
    <cellStyle name="40% - Accent3 3" xfId="47"/>
    <cellStyle name="40% - Accent3 3 2" xfId="48"/>
    <cellStyle name="40% - Accent4 2" xfId="49"/>
    <cellStyle name="40% - Accent4 2 2" xfId="50"/>
    <cellStyle name="40% - Accent4 3" xfId="51"/>
    <cellStyle name="40% - Accent4 3 2" xfId="52"/>
    <cellStyle name="40% - Accent4 3 3" xfId="53"/>
    <cellStyle name="40% - Accent4 4" xfId="54"/>
    <cellStyle name="40% - Accent5 2" xfId="55"/>
    <cellStyle name="40% - Accent5 2 2" xfId="56"/>
    <cellStyle name="40% - Accent5 3" xfId="57"/>
    <cellStyle name="40% - Accent5 3 2" xfId="58"/>
    <cellStyle name="40% - Accent6 2" xfId="59"/>
    <cellStyle name="40% - Accent6 2 2" xfId="60"/>
    <cellStyle name="40% - Accent6 3" xfId="61"/>
    <cellStyle name="40% - Accent6 3 2" xfId="62"/>
    <cellStyle name="40% - Accent6 3 3" xfId="63"/>
    <cellStyle name="40% - Accent6 4" xfId="64"/>
    <cellStyle name="60% - Accent1 2" xfId="65"/>
    <cellStyle name="60% - Accent1 2 2" xfId="66"/>
    <cellStyle name="60% - Accent1 2 3" xfId="67"/>
    <cellStyle name="60% - Accent1 3" xfId="68"/>
    <cellStyle name="60% - Accent1 3 2" xfId="69"/>
    <cellStyle name="60% - Accent1 3 3" xfId="70"/>
    <cellStyle name="60% - Accent1 4" xfId="71"/>
    <cellStyle name="60% - Accent2 2" xfId="72"/>
    <cellStyle name="60% - Accent2 2 2" xfId="73"/>
    <cellStyle name="60% - Accent2 3" xfId="74"/>
    <cellStyle name="60% - Accent2 3 2" xfId="75"/>
    <cellStyle name="60% - Accent3 2" xfId="76"/>
    <cellStyle name="60% - Accent3 2 2" xfId="77"/>
    <cellStyle name="60% - Accent3 3" xfId="78"/>
    <cellStyle name="60% - Accent3 3 2" xfId="79"/>
    <cellStyle name="60% - Accent3 3 3" xfId="80"/>
    <cellStyle name="60% - Accent3 4" xfId="81"/>
    <cellStyle name="60% - Accent4 2" xfId="82"/>
    <cellStyle name="60% - Accent4 2 2" xfId="83"/>
    <cellStyle name="60% - Accent4 3" xfId="84"/>
    <cellStyle name="60% - Accent4 3 2" xfId="85"/>
    <cellStyle name="60% - Accent4 3 3" xfId="86"/>
    <cellStyle name="60% - Accent4 4" xfId="87"/>
    <cellStyle name="60% - Accent5 2" xfId="88"/>
    <cellStyle name="60% - Accent5 2 2" xfId="89"/>
    <cellStyle name="60% - Accent5 2 3" xfId="90"/>
    <cellStyle name="60% - Accent5 3" xfId="91"/>
    <cellStyle name="60% - Accent5 3 2" xfId="92"/>
    <cellStyle name="60% - Accent6 2" xfId="93"/>
    <cellStyle name="60% - Accent6 3" xfId="94"/>
    <cellStyle name="60% - Accent6 3 2" xfId="95"/>
    <cellStyle name="Accent1 2" xfId="96"/>
    <cellStyle name="Accent1 2 2" xfId="97"/>
    <cellStyle name="Accent1 2 3" xfId="98"/>
    <cellStyle name="Accent1 3" xfId="99"/>
    <cellStyle name="Accent1 3 2" xfId="100"/>
    <cellStyle name="Accent1 3 3" xfId="101"/>
    <cellStyle name="Accent1 4" xfId="102"/>
    <cellStyle name="Accent2 2" xfId="103"/>
    <cellStyle name="Accent2 2 2" xfId="104"/>
    <cellStyle name="Accent2 3" xfId="105"/>
    <cellStyle name="Accent2 3 2" xfId="106"/>
    <cellStyle name="Accent3 2" xfId="107"/>
    <cellStyle name="Accent3 2 2" xfId="108"/>
    <cellStyle name="Accent3 2 3" xfId="109"/>
    <cellStyle name="Accent3 3" xfId="110"/>
    <cellStyle name="Accent3 3 2" xfId="111"/>
    <cellStyle name="Accent4 2" xfId="112"/>
    <cellStyle name="Accent4 3" xfId="113"/>
    <cellStyle name="Accent4 3 2" xfId="114"/>
    <cellStyle name="Accent5 2" xfId="115"/>
    <cellStyle name="Accent5 3" xfId="116"/>
    <cellStyle name="Accent6 2" xfId="117"/>
    <cellStyle name="Accent6 2 2" xfId="118"/>
    <cellStyle name="Accent6 2 3" xfId="119"/>
    <cellStyle name="Accent6 3" xfId="120"/>
    <cellStyle name="Accent6 3 2" xfId="121"/>
    <cellStyle name="Accounting" xfId="122"/>
    <cellStyle name="Accounting 2" xfId="123"/>
    <cellStyle name="Accounting 3" xfId="124"/>
    <cellStyle name="Accounting_2011-11" xfId="125"/>
    <cellStyle name="APS" xfId="126"/>
    <cellStyle name="APSLabels" xfId="127"/>
    <cellStyle name="Bad 2" xfId="128"/>
    <cellStyle name="Bad 2 2" xfId="129"/>
    <cellStyle name="Bad 3" xfId="130"/>
    <cellStyle name="Bad 3 2" xfId="131"/>
    <cellStyle name="Budget" xfId="132"/>
    <cellStyle name="Budget 2" xfId="133"/>
    <cellStyle name="Budget 3" xfId="134"/>
    <cellStyle name="Budget_2011-11" xfId="135"/>
    <cellStyle name="Calculation 2" xfId="136"/>
    <cellStyle name="Calculation 2 2" xfId="137"/>
    <cellStyle name="Calculation 2 3" xfId="138"/>
    <cellStyle name="Calculation 3" xfId="139"/>
    <cellStyle name="Calculation 3 2" xfId="140"/>
    <cellStyle name="Calculation 3 3" xfId="141"/>
    <cellStyle name="Calculation 4" xfId="142"/>
    <cellStyle name="Check Cell 2" xfId="143"/>
    <cellStyle name="Check Cell 3" xfId="144"/>
    <cellStyle name="Color" xfId="145"/>
    <cellStyle name="combo" xfId="146"/>
    <cellStyle name="Comma" xfId="1" builtinId="3"/>
    <cellStyle name="Comma 10" xfId="147"/>
    <cellStyle name="Comma 10 2" xfId="148"/>
    <cellStyle name="Comma 11" xfId="149"/>
    <cellStyle name="Comma 11 2" xfId="150"/>
    <cellStyle name="Comma 12" xfId="151"/>
    <cellStyle name="Comma 12 2" xfId="152"/>
    <cellStyle name="Comma 12 2 2" xfId="153"/>
    <cellStyle name="Comma 12 3" xfId="154"/>
    <cellStyle name="Comma 12 4" xfId="155"/>
    <cellStyle name="Comma 12 5" xfId="156"/>
    <cellStyle name="Comma 13" xfId="157"/>
    <cellStyle name="Comma 13 2" xfId="158"/>
    <cellStyle name="Comma 13 3" xfId="159"/>
    <cellStyle name="Comma 14" xfId="160"/>
    <cellStyle name="Comma 15" xfId="161"/>
    <cellStyle name="Comma 15 2" xfId="162"/>
    <cellStyle name="Comma 15 3" xfId="163"/>
    <cellStyle name="Comma 16" xfId="164"/>
    <cellStyle name="Comma 17" xfId="165"/>
    <cellStyle name="Comma 17 2" xfId="166"/>
    <cellStyle name="Comma 17 3" xfId="167"/>
    <cellStyle name="Comma 18" xfId="168"/>
    <cellStyle name="Comma 18 2" xfId="169"/>
    <cellStyle name="Comma 18 3" xfId="170"/>
    <cellStyle name="Comma 19" xfId="171"/>
    <cellStyle name="Comma 2" xfId="5"/>
    <cellStyle name="Comma 2 2" xfId="172"/>
    <cellStyle name="Comma 2 2 2" xfId="173"/>
    <cellStyle name="Comma 2 2 2 2" xfId="174"/>
    <cellStyle name="Comma 2 2 3" xfId="175"/>
    <cellStyle name="Comma 2 3" xfId="176"/>
    <cellStyle name="Comma 2 4" xfId="177"/>
    <cellStyle name="Comma 2 4 2" xfId="178"/>
    <cellStyle name="Comma 2 4 3" xfId="179"/>
    <cellStyle name="Comma 2 5" xfId="180"/>
    <cellStyle name="Comma 2 6" xfId="181"/>
    <cellStyle name="Comma 2 6 2" xfId="182"/>
    <cellStyle name="Comma 2 7" xfId="183"/>
    <cellStyle name="Comma 2 8" xfId="184"/>
    <cellStyle name="Comma 20" xfId="185"/>
    <cellStyle name="Comma 21" xfId="186"/>
    <cellStyle name="Comma 21 2" xfId="187"/>
    <cellStyle name="Comma 22" xfId="188"/>
    <cellStyle name="Comma 23" xfId="189"/>
    <cellStyle name="Comma 3" xfId="7"/>
    <cellStyle name="Comma 3 2" xfId="190"/>
    <cellStyle name="Comma 3 2 2" xfId="191"/>
    <cellStyle name="Comma 3 3" xfId="192"/>
    <cellStyle name="Comma 3 4" xfId="193"/>
    <cellStyle name="Comma 4" xfId="194"/>
    <cellStyle name="Comma 4 2" xfId="195"/>
    <cellStyle name="Comma 4 2 2" xfId="196"/>
    <cellStyle name="Comma 4 2 3" xfId="197"/>
    <cellStyle name="Comma 4 2 4" xfId="198"/>
    <cellStyle name="Comma 4 3" xfId="199"/>
    <cellStyle name="Comma 4 3 2" xfId="200"/>
    <cellStyle name="Comma 4 3 3" xfId="201"/>
    <cellStyle name="Comma 4 4" xfId="202"/>
    <cellStyle name="Comma 4 4 2" xfId="203"/>
    <cellStyle name="Comma 4 4 3" xfId="204"/>
    <cellStyle name="Comma 4 5" xfId="205"/>
    <cellStyle name="Comma 4 5 2" xfId="206"/>
    <cellStyle name="Comma 4 6" xfId="207"/>
    <cellStyle name="Comma 5" xfId="208"/>
    <cellStyle name="Comma 5 2" xfId="209"/>
    <cellStyle name="Comma 5 2 2" xfId="210"/>
    <cellStyle name="Comma 5 3" xfId="211"/>
    <cellStyle name="Comma 5 4" xfId="212"/>
    <cellStyle name="Comma 5 5" xfId="213"/>
    <cellStyle name="Comma 6" xfId="214"/>
    <cellStyle name="Comma 6 2" xfId="215"/>
    <cellStyle name="Comma 6 2 2" xfId="216"/>
    <cellStyle name="Comma 6 3" xfId="217"/>
    <cellStyle name="Comma 6 4" xfId="218"/>
    <cellStyle name="Comma 7" xfId="219"/>
    <cellStyle name="Comma 7 2" xfId="220"/>
    <cellStyle name="Comma 7 2 2" xfId="221"/>
    <cellStyle name="Comma 7 3" xfId="222"/>
    <cellStyle name="Comma 8" xfId="223"/>
    <cellStyle name="Comma 8 2" xfId="224"/>
    <cellStyle name="Comma 8 2 2" xfId="225"/>
    <cellStyle name="Comma 8 3" xfId="226"/>
    <cellStyle name="Comma 8 4" xfId="227"/>
    <cellStyle name="Comma 9" xfId="228"/>
    <cellStyle name="Comma 9 2" xfId="229"/>
    <cellStyle name="Comma(2)" xfId="230"/>
    <cellStyle name="Comma0" xfId="231"/>
    <cellStyle name="Comma0 - Style2" xfId="232"/>
    <cellStyle name="Comma1 - Style1" xfId="233"/>
    <cellStyle name="Comments" xfId="234"/>
    <cellStyle name="Currency" xfId="2" builtinId="4"/>
    <cellStyle name="Currency 10" xfId="235"/>
    <cellStyle name="Currency 11" xfId="236"/>
    <cellStyle name="Currency 12" xfId="237"/>
    <cellStyle name="Currency 13" xfId="238"/>
    <cellStyle name="Currency 14" xfId="239"/>
    <cellStyle name="Currency 15" xfId="240"/>
    <cellStyle name="Currency 2" xfId="241"/>
    <cellStyle name="Currency 2 2" xfId="242"/>
    <cellStyle name="Currency 2 2 2" xfId="243"/>
    <cellStyle name="Currency 2 2 3" xfId="244"/>
    <cellStyle name="Currency 2 2 4" xfId="245"/>
    <cellStyle name="Currency 2 3" xfId="246"/>
    <cellStyle name="Currency 2 3 2" xfId="247"/>
    <cellStyle name="Currency 2 3 3" xfId="248"/>
    <cellStyle name="Currency 2 4" xfId="249"/>
    <cellStyle name="Currency 2 5" xfId="250"/>
    <cellStyle name="Currency 2 6" xfId="251"/>
    <cellStyle name="Currency 2 6 2" xfId="252"/>
    <cellStyle name="Currency 3" xfId="253"/>
    <cellStyle name="Currency 3 2" xfId="254"/>
    <cellStyle name="Currency 3 2 2" xfId="255"/>
    <cellStyle name="Currency 3 3" xfId="256"/>
    <cellStyle name="Currency 3 3 2" xfId="257"/>
    <cellStyle name="Currency 3 4" xfId="258"/>
    <cellStyle name="Currency 3 5" xfId="259"/>
    <cellStyle name="Currency 4" xfId="260"/>
    <cellStyle name="Currency 4 2" xfId="261"/>
    <cellStyle name="Currency 4 2 2" xfId="262"/>
    <cellStyle name="Currency 4 3" xfId="263"/>
    <cellStyle name="Currency 4 4" xfId="264"/>
    <cellStyle name="Currency 5" xfId="265"/>
    <cellStyle name="Currency 5 2" xfId="266"/>
    <cellStyle name="Currency 5 3" xfId="267"/>
    <cellStyle name="Currency 6" xfId="268"/>
    <cellStyle name="Currency 7" xfId="269"/>
    <cellStyle name="Currency 8" xfId="270"/>
    <cellStyle name="Currency 8 2" xfId="271"/>
    <cellStyle name="Currency 9" xfId="272"/>
    <cellStyle name="Currency0" xfId="273"/>
    <cellStyle name="Data Enter" xfId="274"/>
    <cellStyle name="date" xfId="275"/>
    <cellStyle name="Explanatory Text 2" xfId="276"/>
    <cellStyle name="Explanatory Text 3" xfId="277"/>
    <cellStyle name="F9ReportControlStyle_ctpInquire" xfId="278"/>
    <cellStyle name="FactSheet" xfId="279"/>
    <cellStyle name="fish" xfId="280"/>
    <cellStyle name="Good 2" xfId="281"/>
    <cellStyle name="Good 2 2" xfId="282"/>
    <cellStyle name="Good 3" xfId="283"/>
    <cellStyle name="Good 3 2" xfId="284"/>
    <cellStyle name="Good 4" xfId="285"/>
    <cellStyle name="Heading 1 2" xfId="286"/>
    <cellStyle name="Heading 1 2 2" xfId="287"/>
    <cellStyle name="Heading 1 2 3" xfId="288"/>
    <cellStyle name="Heading 1 3" xfId="289"/>
    <cellStyle name="Heading 1 3 2" xfId="290"/>
    <cellStyle name="Heading 1 3 3" xfId="291"/>
    <cellStyle name="Heading 1 4" xfId="292"/>
    <cellStyle name="Heading 2 2" xfId="293"/>
    <cellStyle name="Heading 2 2 2" xfId="294"/>
    <cellStyle name="Heading 2 2 3" xfId="295"/>
    <cellStyle name="Heading 2 3" xfId="296"/>
    <cellStyle name="Heading 2 3 2" xfId="297"/>
    <cellStyle name="Heading 2 3 3" xfId="298"/>
    <cellStyle name="Heading 2 4" xfId="299"/>
    <cellStyle name="Heading 3 2" xfId="300"/>
    <cellStyle name="Heading 3 2 2" xfId="301"/>
    <cellStyle name="Heading 3 2 3" xfId="302"/>
    <cellStyle name="Heading 3 3" xfId="303"/>
    <cellStyle name="Heading 3 3 2" xfId="304"/>
    <cellStyle name="Heading 3 3 3" xfId="305"/>
    <cellStyle name="Heading 3 4" xfId="306"/>
    <cellStyle name="Heading 4 2" xfId="307"/>
    <cellStyle name="Heading 4 3" xfId="308"/>
    <cellStyle name="Heading 4 3 2" xfId="309"/>
    <cellStyle name="Hyperlink 2" xfId="310"/>
    <cellStyle name="Hyperlink 3" xfId="311"/>
    <cellStyle name="Hyperlink 3 2" xfId="312"/>
    <cellStyle name="Input 2" xfId="313"/>
    <cellStyle name="Input 3" xfId="314"/>
    <cellStyle name="Input 3 2" xfId="315"/>
    <cellStyle name="input(0)" xfId="316"/>
    <cellStyle name="Input(2)" xfId="317"/>
    <cellStyle name="Labels" xfId="318"/>
    <cellStyle name="Linked Cell 2" xfId="319"/>
    <cellStyle name="Linked Cell 2 2" xfId="320"/>
    <cellStyle name="Linked Cell 2 3" xfId="321"/>
    <cellStyle name="Linked Cell 3" xfId="322"/>
    <cellStyle name="Linked Cell 3 2" xfId="323"/>
    <cellStyle name="Neutral 2" xfId="324"/>
    <cellStyle name="Neutral 2 2" xfId="325"/>
    <cellStyle name="Neutral 2 3" xfId="326"/>
    <cellStyle name="Neutral 3" xfId="327"/>
    <cellStyle name="Neutral 3 2" xfId="328"/>
    <cellStyle name="New_normal" xfId="329"/>
    <cellStyle name="Normal" xfId="0" builtinId="0"/>
    <cellStyle name="Normal - Style1" xfId="330"/>
    <cellStyle name="Normal - Style2" xfId="331"/>
    <cellStyle name="Normal - Style3" xfId="332"/>
    <cellStyle name="Normal - Style4" xfId="333"/>
    <cellStyle name="Normal - Style5" xfId="334"/>
    <cellStyle name="Normal 10" xfId="335"/>
    <cellStyle name="Normal 10 2" xfId="336"/>
    <cellStyle name="Normal 10 2 2" xfId="337"/>
    <cellStyle name="Normal 10 2 3" xfId="338"/>
    <cellStyle name="Normal 10 2 4" xfId="339"/>
    <cellStyle name="Normal 10 2 5" xfId="340"/>
    <cellStyle name="Normal 10 3" xfId="341"/>
    <cellStyle name="Normal 10_2112 DF Schedule" xfId="342"/>
    <cellStyle name="Normal 100" xfId="343"/>
    <cellStyle name="Normal 101" xfId="344"/>
    <cellStyle name="Normal 102" xfId="345"/>
    <cellStyle name="Normal 103" xfId="346"/>
    <cellStyle name="Normal 104" xfId="347"/>
    <cellStyle name="Normal 105" xfId="348"/>
    <cellStyle name="Normal 106" xfId="349"/>
    <cellStyle name="Normal 107" xfId="350"/>
    <cellStyle name="Normal 108" xfId="351"/>
    <cellStyle name="Normal 109" xfId="352"/>
    <cellStyle name="Normal 109 2" xfId="353"/>
    <cellStyle name="Normal 11" xfId="354"/>
    <cellStyle name="Normal 11 2" xfId="355"/>
    <cellStyle name="Normal 11 2 2" xfId="356"/>
    <cellStyle name="Normal 11 2 3" xfId="357"/>
    <cellStyle name="Normal 11 3" xfId="358"/>
    <cellStyle name="Normal 110" xfId="359"/>
    <cellStyle name="Normal 111" xfId="360"/>
    <cellStyle name="Normal 112" xfId="361"/>
    <cellStyle name="Normal 113" xfId="362"/>
    <cellStyle name="Normal 113 2" xfId="363"/>
    <cellStyle name="Normal 12" xfId="364"/>
    <cellStyle name="Normal 12 2" xfId="365"/>
    <cellStyle name="Normal 12 2 2" xfId="366"/>
    <cellStyle name="Normal 12 3" xfId="367"/>
    <cellStyle name="Normal 12 4" xfId="368"/>
    <cellStyle name="Normal 12 5" xfId="369"/>
    <cellStyle name="Normal 12_Sheet1" xfId="370"/>
    <cellStyle name="Normal 13" xfId="371"/>
    <cellStyle name="Normal 13 2" xfId="372"/>
    <cellStyle name="Normal 13 2 2" xfId="373"/>
    <cellStyle name="Normal 13 3" xfId="374"/>
    <cellStyle name="Normal 13 4" xfId="375"/>
    <cellStyle name="Normal 13 5" xfId="376"/>
    <cellStyle name="Normal 13_Sheet1" xfId="377"/>
    <cellStyle name="Normal 14" xfId="378"/>
    <cellStyle name="Normal 14 2" xfId="379"/>
    <cellStyle name="Normal 14 3" xfId="380"/>
    <cellStyle name="Normal 14 4" xfId="381"/>
    <cellStyle name="Normal 14_Sheet1" xfId="382"/>
    <cellStyle name="Normal 15" xfId="383"/>
    <cellStyle name="Normal 15 2" xfId="384"/>
    <cellStyle name="Normal 15 3" xfId="385"/>
    <cellStyle name="Normal 15 4" xfId="386"/>
    <cellStyle name="Normal 16" xfId="387"/>
    <cellStyle name="Normal 16 2" xfId="388"/>
    <cellStyle name="Normal 16 3" xfId="389"/>
    <cellStyle name="Normal 17" xfId="390"/>
    <cellStyle name="Normal 17 2" xfId="391"/>
    <cellStyle name="Normal 17 3" xfId="392"/>
    <cellStyle name="Normal 18" xfId="393"/>
    <cellStyle name="Normal 18 2" xfId="394"/>
    <cellStyle name="Normal 18 3" xfId="395"/>
    <cellStyle name="Normal 19" xfId="396"/>
    <cellStyle name="Normal 19 2" xfId="397"/>
    <cellStyle name="Normal 19 3" xfId="398"/>
    <cellStyle name="Normal 2" xfId="399"/>
    <cellStyle name="Normal 2 10" xfId="400"/>
    <cellStyle name="Normal 2 11" xfId="401"/>
    <cellStyle name="Normal 2 2" xfId="9"/>
    <cellStyle name="Normal 2 2 2" xfId="402"/>
    <cellStyle name="Normal 2 2 2 2" xfId="403"/>
    <cellStyle name="Normal 2 2 2_JE_IS11" xfId="404"/>
    <cellStyle name="Normal 2 2 3" xfId="405"/>
    <cellStyle name="Normal 2 2 4" xfId="406"/>
    <cellStyle name="Normal 2 2_4MthProj2" xfId="407"/>
    <cellStyle name="Normal 2 3" xfId="10"/>
    <cellStyle name="Normal 2 3 2" xfId="408"/>
    <cellStyle name="Normal 2 3 2 2" xfId="409"/>
    <cellStyle name="Normal 2 3 2 3" xfId="410"/>
    <cellStyle name="Normal 2 3 3" xfId="411"/>
    <cellStyle name="Normal 2 3 4" xfId="412"/>
    <cellStyle name="Normal 2 3_4MthProj2" xfId="413"/>
    <cellStyle name="Normal 2 4" xfId="414"/>
    <cellStyle name="Normal 2 4 2" xfId="415"/>
    <cellStyle name="Normal 2 4 3" xfId="416"/>
    <cellStyle name="Normal 2 5" xfId="417"/>
    <cellStyle name="Normal 2 6" xfId="418"/>
    <cellStyle name="Normal 2 7" xfId="419"/>
    <cellStyle name="Normal 2 8" xfId="420"/>
    <cellStyle name="Normal 2 9" xfId="421"/>
    <cellStyle name="Normal 2_2009 Regulated Price Out" xfId="422"/>
    <cellStyle name="Normal 20" xfId="423"/>
    <cellStyle name="Normal 20 2" xfId="424"/>
    <cellStyle name="Normal 20 3" xfId="425"/>
    <cellStyle name="Normal 20 4" xfId="426"/>
    <cellStyle name="Normal 20 5" xfId="427"/>
    <cellStyle name="Normal 21" xfId="428"/>
    <cellStyle name="Normal 21 2" xfId="429"/>
    <cellStyle name="Normal 21 3" xfId="430"/>
    <cellStyle name="Normal 22" xfId="431"/>
    <cellStyle name="Normal 22 2" xfId="432"/>
    <cellStyle name="Normal 22 3" xfId="433"/>
    <cellStyle name="Normal 23" xfId="434"/>
    <cellStyle name="Normal 23 2" xfId="435"/>
    <cellStyle name="Normal 23 3" xfId="436"/>
    <cellStyle name="Normal 24" xfId="437"/>
    <cellStyle name="Normal 24 2" xfId="438"/>
    <cellStyle name="Normal 25" xfId="439"/>
    <cellStyle name="Normal 25 2" xfId="440"/>
    <cellStyle name="Normal 26" xfId="441"/>
    <cellStyle name="Normal 26 2" xfId="442"/>
    <cellStyle name="Normal 26 3" xfId="443"/>
    <cellStyle name="Normal 26 4" xfId="444"/>
    <cellStyle name="Normal 27" xfId="445"/>
    <cellStyle name="Normal 27 2" xfId="446"/>
    <cellStyle name="Normal 27 3" xfId="447"/>
    <cellStyle name="Normal 27 4" xfId="448"/>
    <cellStyle name="Normal 28" xfId="449"/>
    <cellStyle name="Normal 28 2" xfId="450"/>
    <cellStyle name="Normal 29" xfId="451"/>
    <cellStyle name="Normal 29 2" xfId="452"/>
    <cellStyle name="Normal 3" xfId="453"/>
    <cellStyle name="Normal 3 2" xfId="454"/>
    <cellStyle name="Normal 3 2 2" xfId="455"/>
    <cellStyle name="Normal 3 3" xfId="456"/>
    <cellStyle name="Normal 3 3 2" xfId="457"/>
    <cellStyle name="Normal 3 3 3" xfId="458"/>
    <cellStyle name="Normal 3 4" xfId="459"/>
    <cellStyle name="Normal 3_2012 PR" xfId="460"/>
    <cellStyle name="Normal 30" xfId="461"/>
    <cellStyle name="Normal 30 2" xfId="462"/>
    <cellStyle name="Normal 31" xfId="463"/>
    <cellStyle name="Normal 31 2" xfId="464"/>
    <cellStyle name="Normal 31 3" xfId="465"/>
    <cellStyle name="Normal 32" xfId="466"/>
    <cellStyle name="Normal 32 2" xfId="467"/>
    <cellStyle name="Normal 33" xfId="468"/>
    <cellStyle name="Normal 34" xfId="469"/>
    <cellStyle name="Normal 35" xfId="470"/>
    <cellStyle name="Normal 36" xfId="471"/>
    <cellStyle name="Normal 37" xfId="472"/>
    <cellStyle name="Normal 38" xfId="473"/>
    <cellStyle name="Normal 39" xfId="474"/>
    <cellStyle name="Normal 4" xfId="475"/>
    <cellStyle name="Normal 4 2" xfId="476"/>
    <cellStyle name="Normal 4 2 2" xfId="477"/>
    <cellStyle name="Normal 4 2 3" xfId="478"/>
    <cellStyle name="Normal 4 3" xfId="479"/>
    <cellStyle name="Normal 4 3 2" xfId="480"/>
    <cellStyle name="Normal 4 3 3" xfId="481"/>
    <cellStyle name="Normal 4 4" xfId="482"/>
    <cellStyle name="Normal 4 5" xfId="483"/>
    <cellStyle name="Normal 4_Consolidated IS" xfId="484"/>
    <cellStyle name="Normal 40" xfId="485"/>
    <cellStyle name="Normal 41" xfId="486"/>
    <cellStyle name="Normal 42" xfId="487"/>
    <cellStyle name="Normal 43" xfId="488"/>
    <cellStyle name="Normal 44" xfId="489"/>
    <cellStyle name="Normal 45" xfId="490"/>
    <cellStyle name="Normal 46" xfId="491"/>
    <cellStyle name="Normal 47" xfId="492"/>
    <cellStyle name="Normal 48" xfId="493"/>
    <cellStyle name="Normal 49" xfId="494"/>
    <cellStyle name="Normal 5" xfId="495"/>
    <cellStyle name="Normal 5 2" xfId="496"/>
    <cellStyle name="Normal 5 2 2" xfId="497"/>
    <cellStyle name="Normal 5 3" xfId="498"/>
    <cellStyle name="Normal 5 4" xfId="499"/>
    <cellStyle name="Normal 5 5" xfId="500"/>
    <cellStyle name="Normal 5_2112 DF Schedule" xfId="501"/>
    <cellStyle name="Normal 50" xfId="502"/>
    <cellStyle name="Normal 51" xfId="503"/>
    <cellStyle name="Normal 52" xfId="504"/>
    <cellStyle name="Normal 53" xfId="505"/>
    <cellStyle name="Normal 54" xfId="506"/>
    <cellStyle name="Normal 55" xfId="507"/>
    <cellStyle name="Normal 56" xfId="508"/>
    <cellStyle name="Normal 57" xfId="509"/>
    <cellStyle name="Normal 58" xfId="510"/>
    <cellStyle name="Normal 59" xfId="511"/>
    <cellStyle name="Normal 6" xfId="512"/>
    <cellStyle name="Normal 6 2" xfId="513"/>
    <cellStyle name="Normal 6 2 2" xfId="514"/>
    <cellStyle name="Normal 6 2 3" xfId="515"/>
    <cellStyle name="Normal 6 3" xfId="516"/>
    <cellStyle name="Normal 60" xfId="517"/>
    <cellStyle name="Normal 61" xfId="518"/>
    <cellStyle name="Normal 62" xfId="519"/>
    <cellStyle name="Normal 63" xfId="520"/>
    <cellStyle name="Normal 64" xfId="521"/>
    <cellStyle name="Normal 65" xfId="522"/>
    <cellStyle name="Normal 66" xfId="523"/>
    <cellStyle name="Normal 67" xfId="524"/>
    <cellStyle name="Normal 68" xfId="525"/>
    <cellStyle name="Normal 69" xfId="526"/>
    <cellStyle name="Normal 7" xfId="527"/>
    <cellStyle name="Normal 7 2" xfId="528"/>
    <cellStyle name="Normal 7 2 2" xfId="529"/>
    <cellStyle name="Normal 7 2 2 2" xfId="530"/>
    <cellStyle name="Normal 7 2 3" xfId="531"/>
    <cellStyle name="Normal 7 3" xfId="532"/>
    <cellStyle name="Normal 7 3 2" xfId="533"/>
    <cellStyle name="Normal 7 4" xfId="534"/>
    <cellStyle name="Normal 70" xfId="535"/>
    <cellStyle name="Normal 71" xfId="536"/>
    <cellStyle name="Normal 72" xfId="537"/>
    <cellStyle name="Normal 73" xfId="538"/>
    <cellStyle name="Normal 74" xfId="539"/>
    <cellStyle name="Normal 75" xfId="540"/>
    <cellStyle name="Normal 76" xfId="541"/>
    <cellStyle name="Normal 77" xfId="542"/>
    <cellStyle name="Normal 78" xfId="543"/>
    <cellStyle name="Normal 79" xfId="544"/>
    <cellStyle name="Normal 8" xfId="545"/>
    <cellStyle name="Normal 8 2" xfId="546"/>
    <cellStyle name="Normal 8 2 2" xfId="547"/>
    <cellStyle name="Normal 8 2 3" xfId="548"/>
    <cellStyle name="Normal 8 3" xfId="549"/>
    <cellStyle name="Normal 8 4" xfId="550"/>
    <cellStyle name="Normal 80" xfId="551"/>
    <cellStyle name="Normal 81" xfId="552"/>
    <cellStyle name="Normal 82" xfId="553"/>
    <cellStyle name="Normal 83" xfId="554"/>
    <cellStyle name="Normal 84" xfId="555"/>
    <cellStyle name="Normal 84 2" xfId="556"/>
    <cellStyle name="Normal 84 3" xfId="557"/>
    <cellStyle name="Normal 85" xfId="558"/>
    <cellStyle name="Normal 85 2" xfId="559"/>
    <cellStyle name="Normal 85 3" xfId="560"/>
    <cellStyle name="Normal 86" xfId="561"/>
    <cellStyle name="Normal 87" xfId="562"/>
    <cellStyle name="Normal 88" xfId="563"/>
    <cellStyle name="Normal 89" xfId="564"/>
    <cellStyle name="Normal 9" xfId="565"/>
    <cellStyle name="Normal 9 2" xfId="566"/>
    <cellStyle name="Normal 9 2 2" xfId="567"/>
    <cellStyle name="Normal 9 2 3" xfId="568"/>
    <cellStyle name="Normal 9 3" xfId="569"/>
    <cellStyle name="Normal 90" xfId="570"/>
    <cellStyle name="Normal 91" xfId="571"/>
    <cellStyle name="Normal 92" xfId="572"/>
    <cellStyle name="Normal 93" xfId="573"/>
    <cellStyle name="Normal 94" xfId="574"/>
    <cellStyle name="Normal 95" xfId="575"/>
    <cellStyle name="Normal 96" xfId="576"/>
    <cellStyle name="Normal 97" xfId="577"/>
    <cellStyle name="Normal 98" xfId="578"/>
    <cellStyle name="Normal 99" xfId="579"/>
    <cellStyle name="Normal_2183 Regulated Price Out Final 6-7-2012" xfId="12"/>
    <cellStyle name="Normal_Regulated Price Out 9-6-2011 Final HL" xfId="11"/>
    <cellStyle name="Normal_Report" xfId="4"/>
    <cellStyle name="Normal_TheTool_Jeff_v5 2" xfId="6"/>
    <cellStyle name="Note 2" xfId="580"/>
    <cellStyle name="Note 2 2" xfId="581"/>
    <cellStyle name="Note 2 3" xfId="582"/>
    <cellStyle name="Note 3" xfId="583"/>
    <cellStyle name="Note 3 2" xfId="584"/>
    <cellStyle name="Note 3 3" xfId="585"/>
    <cellStyle name="Note 4" xfId="586"/>
    <cellStyle name="Notes" xfId="587"/>
    <cellStyle name="Output 2" xfId="588"/>
    <cellStyle name="Output 3" xfId="589"/>
    <cellStyle name="Output 3 2" xfId="590"/>
    <cellStyle name="Percent" xfId="3" builtinId="5"/>
    <cellStyle name="Percent 10" xfId="591"/>
    <cellStyle name="Percent 2" xfId="592"/>
    <cellStyle name="Percent 2 2" xfId="593"/>
    <cellStyle name="Percent 2 2 2" xfId="594"/>
    <cellStyle name="Percent 2 2 3" xfId="595"/>
    <cellStyle name="Percent 2 3" xfId="596"/>
    <cellStyle name="Percent 2 4" xfId="597"/>
    <cellStyle name="Percent 2 6" xfId="598"/>
    <cellStyle name="Percent 3" xfId="8"/>
    <cellStyle name="Percent 3 2" xfId="599"/>
    <cellStyle name="Percent 3 2 2" xfId="600"/>
    <cellStyle name="Percent 3 3" xfId="601"/>
    <cellStyle name="Percent 4" xfId="602"/>
    <cellStyle name="Percent 4 2" xfId="603"/>
    <cellStyle name="Percent 4 3" xfId="604"/>
    <cellStyle name="Percent 4 4" xfId="605"/>
    <cellStyle name="Percent 5" xfId="606"/>
    <cellStyle name="Percent 5 2" xfId="607"/>
    <cellStyle name="Percent 5 2 2" xfId="608"/>
    <cellStyle name="Percent 5 3" xfId="609"/>
    <cellStyle name="Percent 5 4" xfId="610"/>
    <cellStyle name="Percent 6" xfId="611"/>
    <cellStyle name="Percent 6 2" xfId="612"/>
    <cellStyle name="Percent 7" xfId="613"/>
    <cellStyle name="Percent 7 2" xfId="614"/>
    <cellStyle name="Percent 7 3" xfId="615"/>
    <cellStyle name="Percent 8" xfId="616"/>
    <cellStyle name="Percent 9" xfId="617"/>
    <cellStyle name="Percent(1)" xfId="618"/>
    <cellStyle name="Percent(2)" xfId="619"/>
    <cellStyle name="Posting_Period" xfId="620"/>
    <cellStyle name="PRM" xfId="621"/>
    <cellStyle name="PRM 2" xfId="622"/>
    <cellStyle name="PRM 3" xfId="623"/>
    <cellStyle name="PRM_2011-11" xfId="624"/>
    <cellStyle name="PS_Comma" xfId="625"/>
    <cellStyle name="PSChar" xfId="626"/>
    <cellStyle name="PSDate" xfId="627"/>
    <cellStyle name="PSDec" xfId="628"/>
    <cellStyle name="PSHeading" xfId="629"/>
    <cellStyle name="PSInt" xfId="630"/>
    <cellStyle name="PSSpacer" xfId="631"/>
    <cellStyle name="STYL0 - Style1" xfId="632"/>
    <cellStyle name="STYL1 - Style2" xfId="633"/>
    <cellStyle name="STYL2 - Style3" xfId="634"/>
    <cellStyle name="STYL3 - Style4" xfId="635"/>
    <cellStyle name="STYL4 - Style5" xfId="636"/>
    <cellStyle name="STYL5 - Style6" xfId="637"/>
    <cellStyle name="STYL6 - Style7" xfId="638"/>
    <cellStyle name="STYL7 - Style8" xfId="639"/>
    <cellStyle name="Style 1" xfId="640"/>
    <cellStyle name="Style 1 2" xfId="641"/>
    <cellStyle name="STYLE1" xfId="642"/>
    <cellStyle name="STYLE1 2" xfId="643"/>
    <cellStyle name="sub heading" xfId="644"/>
    <cellStyle name="Tax_Rate" xfId="645"/>
    <cellStyle name="Title 2" xfId="646"/>
    <cellStyle name="Title 3" xfId="647"/>
    <cellStyle name="Title 3 2" xfId="648"/>
    <cellStyle name="Total 2" xfId="649"/>
    <cellStyle name="Total 2 2" xfId="650"/>
    <cellStyle name="Total 2 3" xfId="651"/>
    <cellStyle name="Total 3" xfId="652"/>
    <cellStyle name="Total 3 2" xfId="653"/>
    <cellStyle name="Total 3 3" xfId="654"/>
    <cellStyle name="Total 4" xfId="655"/>
    <cellStyle name="Transcript_Date" xfId="656"/>
    <cellStyle name="Warning Text 2" xfId="657"/>
    <cellStyle name="Warning Text 3" xfId="658"/>
    <cellStyle name="WM_STANDARD" xfId="6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9" Type="http://schemas.openxmlformats.org/officeDocument/2006/relationships/customXml" Target="../customXml/item4.xml"/><Relationship Id="rId21" Type="http://schemas.openxmlformats.org/officeDocument/2006/relationships/externalLink" Target="externalLinks/externalLink10.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ac_db5_srv\SRC\User\REPORTS\STANDARD%20REPORTS\CUSTOM%20REPORTS\PL_RollingTrend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Western%20Region/WUTC/WUTC-Columbia%202025/General%20Filing%204-15-2016/Filed%204-15-16/CRD%20Pro%20forma%203-31-201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Western%20Region/ControllerDir/Brent_Blair_Kortney/PO%20Report%20by%20Division/PO%20Report_v3b%202013-08-26.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Western%20Region/WUTC/WIP%20Files/2195%20Yakima/General%20Rate%20Filings/2017%20Rate%20Filing/.Yakima%20Waste%20Pro%20forma%20YE%206.30.17.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acinf06\sacshare\Data_Automation\DMS\RouteManagerReports\RM_MM001_Query_v4c.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Western%20Region/WUTC/WIP%20Files/2010%20Clark%20County-%202009%20Vancouver/12.31.2010%20Test%20Year/Proforma%20Clark%20County%20101231%20Filing-Draft-FINAL%20VERSION.xlsx"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ExcelFinancials_v3b1"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Annual%20Reports/2180%20LeMay/2009/LeMay%20Annual%20Report%200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acinf04\home$\Annual%20Reports\2180%20LeMay\2009\LeMay%20Annual%20Report%200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LeMay/Master%20Truck%20Schedule/South_LeMay%20Master%20Truck%20Schedule-Shared.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acinf04\home$\LeMay\Master%20Truck%20Schedule\South_LeMay%20Master%20Truck%20Schedule-Shar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disnap\accounting\MODEST~1\20320.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ExcelFinancials_v3c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L_WASTE\SYS\ACCOUNT\CV2000\022000\2000_FEBRUARY_%20GL%20REC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RC%20Reports/SRC%20Format/Bonus%20Schedule/PNWR%20SRC%20Bonus%20Schedule%20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acinf04\home$\SRC%20Reports\SRC%20Format\Bonus%20Schedule\PNWR%20SRC%20Bonus%20Schedule%20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LeMay/2183-1%20Pacific%20Disp,%20Butlers%20Cove/Filing%20Possibly%202012/Filing/Audit/Final%20Outcome%208-14-2012/Pro%20Forma%20Pacific%20Disposal_Staf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ason/Rate%20Increase%201-1-2013/1%20Filing%2011-14-2012/Revised%202-21-2013/staff%20Mason%20Proforma%209-30-2012-Linked%20Cust%20Count%20Fix%2012-2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utcfs2\grp_data\District\Joe_Garza\mark%20gregg\WUTC%20Files\Eastside\Eastside%20Rate%20Case%202006\Eastside%20RC%202006%20Filing%20Docs\Proforma%20Eastside%202005%204.17.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cinf05\DistShares\WCNX%20Stuff\Excel\Financials\Excel%20Financials\ExcelFinancia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refreshError="1"/>
      <sheetData sheetId="1" refreshError="1"/>
      <sheetData sheetId="2" refreshError="1"/>
      <sheetData sheetId="3" refreshError="1">
        <row r="5">
          <cell r="D5">
            <v>10.71</v>
          </cell>
        </row>
        <row r="14">
          <cell r="C14" t="str">
            <v>dist</v>
          </cell>
          <cell r="E14" t="str">
            <v>=</v>
          </cell>
          <cell r="F14">
            <v>2149</v>
          </cell>
        </row>
      </sheetData>
      <sheetData sheetId="4" refreshError="1">
        <row r="6">
          <cell r="F6" t="str">
            <v>Time Series</v>
          </cell>
        </row>
        <row r="17">
          <cell r="B17" t="str">
            <v>ACCT</v>
          </cell>
          <cell r="C17" t="str">
            <v>-</v>
          </cell>
        </row>
        <row r="22">
          <cell r="C22" t="str">
            <v>Financial</v>
          </cell>
        </row>
        <row r="23">
          <cell r="C23" t="str">
            <v>ALL</v>
          </cell>
        </row>
        <row r="24">
          <cell r="C24" t="str">
            <v>Variable</v>
          </cell>
        </row>
      </sheetData>
      <sheetData sheetId="5" refreshError="1">
        <row r="8">
          <cell r="E8" t="str">
            <v>Report</v>
          </cell>
        </row>
        <row r="12">
          <cell r="B12" t="b">
            <v>0</v>
          </cell>
        </row>
      </sheetData>
      <sheetData sheetId="6" refreshError="1"/>
      <sheetData sheetId="7" refreshError="1">
        <row r="11">
          <cell r="D11">
            <v>10002</v>
          </cell>
          <cell r="E11">
            <v>0</v>
          </cell>
          <cell r="F11">
            <v>0</v>
          </cell>
          <cell r="G11">
            <v>0</v>
          </cell>
          <cell r="H11">
            <v>0</v>
          </cell>
          <cell r="I11">
            <v>0</v>
          </cell>
          <cell r="J11">
            <v>0</v>
          </cell>
          <cell r="K11">
            <v>0</v>
          </cell>
          <cell r="L11">
            <v>0</v>
          </cell>
          <cell r="M11">
            <v>0</v>
          </cell>
          <cell r="N11">
            <v>0</v>
          </cell>
          <cell r="O11">
            <v>0</v>
          </cell>
          <cell r="P11">
            <v>0</v>
          </cell>
          <cell r="Q11" t="str">
            <v>Cash</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5 BS"/>
      <sheetName val="2025 IS"/>
      <sheetName val="Consolidated IS"/>
      <sheetName val="Pro-forma"/>
      <sheetName val="Restating Adj"/>
      <sheetName val="Restating Expl"/>
      <sheetName val="Pro Forma Adj"/>
      <sheetName val="Ratios"/>
      <sheetName val="LG"/>
      <sheetName val="LG G-48"/>
      <sheetName val="LG G-51"/>
      <sheetName val="G-48 Price Out"/>
      <sheetName val="G-51 Price Out"/>
      <sheetName val="Rate Schedule G-48"/>
      <sheetName val="References"/>
      <sheetName val="G-48 DF Calc"/>
      <sheetName val="DF Schedule"/>
      <sheetName val="Depr Summary"/>
      <sheetName val="Depreciation"/>
      <sheetName val="Payroll Detail"/>
      <sheetName val="DivCon-DVP Alloc In"/>
      <sheetName val="Corp-OH"/>
      <sheetName val="Region OH Calc"/>
      <sheetName val="Corp-BS"/>
      <sheetName val="Corp-IS"/>
      <sheetName val="38000 Other Rev"/>
      <sheetName val="2025 BS 3-31-2015"/>
    </sheetNames>
    <sheetDataSet>
      <sheetData sheetId="0"/>
      <sheetData sheetId="1"/>
      <sheetData sheetId="2"/>
      <sheetData sheetId="3" refreshError="1"/>
      <sheetData sheetId="4"/>
      <sheetData sheetId="5">
        <row r="78">
          <cell r="D78">
            <v>13340.018881532844</v>
          </cell>
        </row>
      </sheetData>
      <sheetData sheetId="6">
        <row r="27">
          <cell r="B27">
            <v>353.32367365298381</v>
          </cell>
        </row>
      </sheetData>
      <sheetData sheetId="7">
        <row r="13">
          <cell r="B13">
            <v>0.89361089902323576</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60">
          <cell r="C60">
            <v>178633.12500000003</v>
          </cell>
        </row>
      </sheetData>
      <sheetData sheetId="17">
        <row r="1">
          <cell r="A1" t="str">
            <v>Columbia River Disposal, Inc. G-48/G-51</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ow r="6">
          <cell r="D6">
            <v>10000</v>
          </cell>
        </row>
        <row r="8">
          <cell r="H8" t="str">
            <v>2016-06</v>
          </cell>
        </row>
        <row r="12">
          <cell r="G12" t="str">
            <v>2015-04</v>
          </cell>
        </row>
        <row r="13">
          <cell r="G13" t="str">
            <v>2016-03</v>
          </cell>
        </row>
      </sheetData>
      <sheetData sheetId="2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Tables"/>
      <sheetName val="Data"/>
      <sheetName val="By Division"/>
      <sheetName val="&quot;Invioced&quot;"/>
      <sheetName val="Invoice_Drill"/>
      <sheetName val="PO_Drill"/>
      <sheetName val="District-Division Listing"/>
    </sheetNames>
    <sheetDataSet>
      <sheetData sheetId="0">
        <row r="1">
          <cell r="A1" t="str">
            <v>All</v>
          </cell>
        </row>
        <row r="2">
          <cell r="A2" t="str">
            <v>2008-01</v>
          </cell>
        </row>
        <row r="3">
          <cell r="A3" t="str">
            <v>2008-02</v>
          </cell>
        </row>
        <row r="4">
          <cell r="A4" t="str">
            <v>2008-03</v>
          </cell>
        </row>
        <row r="5">
          <cell r="A5" t="str">
            <v>2008-04</v>
          </cell>
        </row>
        <row r="6">
          <cell r="A6" t="str">
            <v>2008-05</v>
          </cell>
        </row>
        <row r="7">
          <cell r="A7" t="str">
            <v>2008-06</v>
          </cell>
        </row>
        <row r="8">
          <cell r="A8" t="str">
            <v>2008-07</v>
          </cell>
        </row>
        <row r="9">
          <cell r="A9" t="str">
            <v>2008-08</v>
          </cell>
        </row>
        <row r="10">
          <cell r="A10" t="str">
            <v>2008-09</v>
          </cell>
        </row>
        <row r="11">
          <cell r="A11" t="str">
            <v>2008-10</v>
          </cell>
        </row>
        <row r="12">
          <cell r="A12" t="str">
            <v>2008-11</v>
          </cell>
        </row>
        <row r="13">
          <cell r="A13" t="str">
            <v>2008-12</v>
          </cell>
        </row>
      </sheetData>
      <sheetData sheetId="1">
        <row r="3">
          <cell r="E3" t="str">
            <v>Western</v>
          </cell>
        </row>
      </sheetData>
      <sheetData sheetId="2" refreshError="1"/>
      <sheetData sheetId="3" refreshError="1"/>
      <sheetData sheetId="4"/>
      <sheetData sheetId="5" refreshError="1"/>
      <sheetData sheetId="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akima BS"/>
      <sheetName val="Yakima IS"/>
      <sheetName val="References"/>
      <sheetName val="Yakima Consolidated IS"/>
      <sheetName val="Ratios"/>
      <sheetName val="Restating Adj's"/>
      <sheetName val="Pro-forma Adj's"/>
      <sheetName val="LG-Total Reg"/>
      <sheetName val="LG-Garbage"/>
      <sheetName val="LG-Recycle"/>
      <sheetName val="LG-Yardwaste"/>
      <sheetName val="Yakima Regulated Price Out"/>
      <sheetName val="Proposed Rates"/>
      <sheetName val="Revenue Summary"/>
      <sheetName val="Depr Summary"/>
      <sheetName val="Yakima Payroll"/>
      <sheetName val="Disposal"/>
      <sheetName val="Fuel Schedule"/>
      <sheetName val="A-Team Summary"/>
      <sheetName val="Roll Off Cust Count"/>
      <sheetName val="DivCon-DVP Alloc In"/>
      <sheetName val="Region OH Calc"/>
      <sheetName val="WCI P&amp;L"/>
      <sheetName val="WCI BS"/>
      <sheetName val="Corp OH"/>
      <sheetName val="July Fuel"/>
      <sheetName val="70149 Detail"/>
      <sheetName val="70095 Detail"/>
      <sheetName val="70195 Detail"/>
      <sheetName val="70255 Detail"/>
      <sheetName val="6.30.17 BS"/>
    </sheetNames>
    <sheetDataSet>
      <sheetData sheetId="0">
        <row r="30">
          <cell r="AC30">
            <v>749099.65</v>
          </cell>
        </row>
      </sheetData>
      <sheetData sheetId="1"/>
      <sheetData sheetId="2"/>
      <sheetData sheetId="3">
        <row r="1">
          <cell r="A1" t="str">
            <v>Yakima Waste Systems, Inc G-89</v>
          </cell>
        </row>
      </sheetData>
      <sheetData sheetId="4">
        <row r="54">
          <cell r="C54">
            <v>0.76270767538458284</v>
          </cell>
        </row>
      </sheetData>
      <sheetData sheetId="5">
        <row r="25">
          <cell r="T25">
            <v>4979.7016041509887</v>
          </cell>
        </row>
      </sheetData>
      <sheetData sheetId="6"/>
      <sheetData sheetId="7"/>
      <sheetData sheetId="8">
        <row r="36">
          <cell r="E36">
            <v>8.8546485705000733E-2</v>
          </cell>
        </row>
      </sheetData>
      <sheetData sheetId="9">
        <row r="36">
          <cell r="E36">
            <v>-5.2505146465273579E-2</v>
          </cell>
        </row>
      </sheetData>
      <sheetData sheetId="10">
        <row r="6">
          <cell r="J6">
            <v>-5.3162356997751466E-2</v>
          </cell>
        </row>
      </sheetData>
      <sheetData sheetId="11"/>
      <sheetData sheetId="12"/>
      <sheetData sheetId="13">
        <row r="21">
          <cell r="F21">
            <v>1708297.48</v>
          </cell>
        </row>
      </sheetData>
      <sheetData sheetId="14"/>
      <sheetData sheetId="15">
        <row r="64">
          <cell r="Y64">
            <v>22919.914580870409</v>
          </cell>
        </row>
      </sheetData>
      <sheetData sheetId="16">
        <row r="10">
          <cell r="B10">
            <v>3635.19</v>
          </cell>
        </row>
      </sheetData>
      <sheetData sheetId="17">
        <row r="39">
          <cell r="B39">
            <v>2349.7995013614564</v>
          </cell>
        </row>
      </sheetData>
      <sheetData sheetId="18">
        <row r="13">
          <cell r="L13">
            <v>3949.02</v>
          </cell>
        </row>
      </sheetData>
      <sheetData sheetId="19"/>
      <sheetData sheetId="20">
        <row r="25">
          <cell r="C25">
            <v>22665.762188783203</v>
          </cell>
        </row>
      </sheetData>
      <sheetData sheetId="21"/>
      <sheetData sheetId="22"/>
      <sheetData sheetId="23"/>
      <sheetData sheetId="24"/>
      <sheetData sheetId="25"/>
      <sheetData sheetId="26"/>
      <sheetData sheetId="27">
        <row r="173">
          <cell r="E173">
            <v>218</v>
          </cell>
        </row>
      </sheetData>
      <sheetData sheetId="28">
        <row r="64">
          <cell r="D64">
            <v>1271</v>
          </cell>
        </row>
      </sheetData>
      <sheetData sheetId="29">
        <row r="128">
          <cell r="E128">
            <v>4587.2300000000005</v>
          </cell>
        </row>
      </sheetData>
      <sheetData sheetId="30">
        <row r="35">
          <cell r="P35">
            <v>655883.93000000005</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M001Tranx"/>
      <sheetName val="JEexport"/>
      <sheetName val="Intro Memo"/>
      <sheetName val="JE_Summary"/>
      <sheetName val="Mth00"/>
      <sheetName val="Mth01"/>
      <sheetName val="Mth02"/>
      <sheetName val="Mth03"/>
      <sheetName val="Mth04"/>
      <sheetName val="Mth05"/>
      <sheetName val="Mth06"/>
      <sheetName val="Mth07"/>
      <sheetName val="Mth08"/>
      <sheetName val="Mth09"/>
      <sheetName val="Mth10"/>
      <sheetName val="Mth11"/>
      <sheetName val="Mth12"/>
      <sheetName val="TEST"/>
      <sheetName val="To Do"/>
      <sheetName val="GLMapping"/>
      <sheetName val="BatchLog"/>
      <sheetName val="Reference"/>
    </sheetNames>
    <sheetDataSet>
      <sheetData sheetId="0"/>
      <sheetData sheetId="1" refreshError="1">
        <row r="9">
          <cell r="L9">
            <v>11501</v>
          </cell>
        </row>
        <row r="10">
          <cell r="L10" t="str">
            <v>11501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IS"/>
      <sheetName val="2009 BS"/>
      <sheetName val="2010 BS"/>
      <sheetName val="Combined BS"/>
      <sheetName val="2009 IS"/>
      <sheetName val="2010 IS"/>
      <sheetName val="Combined 12 mo IS"/>
      <sheetName val="Consolidated IS 2009 2010"/>
      <sheetName val="Consolidated IS - IRMGARD"/>
      <sheetName val="Pro forma "/>
      <sheetName val="Pro forma-Line of Service"/>
      <sheetName val="Restatements"/>
      <sheetName val="Proforma Adjusts"/>
      <sheetName val="2009 Price Out (REG)"/>
      <sheetName val="GL Recon"/>
      <sheetName val="Customer Count Summary"/>
      <sheetName val="2009 Payroll"/>
      <sheetName val="2010 Payroll"/>
      <sheetName val="2009,2010 Depr Summary"/>
      <sheetName val="Time Study"/>
      <sheetName val="2009 Insurance"/>
      <sheetName val="2010 Insurance"/>
      <sheetName val="2009 Disposal"/>
      <sheetName val="2010 Disposal"/>
      <sheetName val="2009 Fuel"/>
      <sheetName val="2009 Depr Summary"/>
      <sheetName val="2009 Trks"/>
      <sheetName val="2009 Cont, DB"/>
      <sheetName val="2009 Serv, Shop"/>
      <sheetName val="2009 Office"/>
      <sheetName val="2009 Leasehold"/>
      <sheetName val="2010 Fuel"/>
      <sheetName val="2010 Deprec Summary"/>
      <sheetName val="2010 Trks"/>
      <sheetName val="2010 Cont, DB"/>
      <sheetName val="2010 Serv, Shop"/>
      <sheetName val="2010 Office"/>
      <sheetName val="2010 Leasehold"/>
      <sheetName val="Region Allocation (2)"/>
      <sheetName val="LG-Total Company before DF"/>
      <sheetName val="LG-Packer Rts before DF"/>
      <sheetName val="LG-RO Rts before DF"/>
      <sheetName val="LG-Total Company"/>
      <sheetName val="LG-Packer Rts"/>
      <sheetName val="LG-RO Rts"/>
      <sheetName val="LG-Recycl"/>
      <sheetName val="Scenarios"/>
      <sheetName val="Scenarios (2)"/>
      <sheetName val="Notes"/>
    </sheetNames>
    <sheetDataSet>
      <sheetData sheetId="0" refreshError="1"/>
      <sheetData sheetId="1" refreshError="1"/>
      <sheetData sheetId="2" refreshError="1"/>
      <sheetData sheetId="3" refreshError="1"/>
      <sheetData sheetId="4" refreshError="1">
        <row r="12">
          <cell r="A12" t="str">
            <v>Revenue</v>
          </cell>
        </row>
        <row r="13">
          <cell r="A13" t="str">
            <v>Hauling</v>
          </cell>
        </row>
        <row r="14">
          <cell r="A14">
            <v>31000</v>
          </cell>
          <cell r="B14" t="str">
            <v>Hauling Revenue - Roll Off Permanent</v>
          </cell>
          <cell r="E14">
            <v>41429.11</v>
          </cell>
          <cell r="F14">
            <v>39826.22</v>
          </cell>
          <cell r="G14">
            <v>49022.75</v>
          </cell>
          <cell r="H14">
            <v>45137.86</v>
          </cell>
          <cell r="I14">
            <v>48263.81</v>
          </cell>
          <cell r="J14">
            <v>55314.5</v>
          </cell>
          <cell r="K14">
            <v>60046.02</v>
          </cell>
          <cell r="L14">
            <v>64582.7</v>
          </cell>
          <cell r="M14">
            <v>55932.07</v>
          </cell>
          <cell r="N14">
            <v>50932.34</v>
          </cell>
          <cell r="O14">
            <v>38587.67</v>
          </cell>
          <cell r="P14">
            <v>43420.76</v>
          </cell>
          <cell r="Q14">
            <v>592495.81000000006</v>
          </cell>
        </row>
        <row r="15">
          <cell r="A15">
            <v>31001</v>
          </cell>
          <cell r="B15" t="str">
            <v>Hauling Revenue - Roll Off Temporary</v>
          </cell>
          <cell r="E15">
            <v>0</v>
          </cell>
          <cell r="F15">
            <v>0</v>
          </cell>
          <cell r="G15">
            <v>0</v>
          </cell>
          <cell r="H15">
            <v>0</v>
          </cell>
          <cell r="I15">
            <v>0</v>
          </cell>
          <cell r="J15">
            <v>0</v>
          </cell>
          <cell r="K15">
            <v>0</v>
          </cell>
          <cell r="L15">
            <v>0</v>
          </cell>
          <cell r="M15">
            <v>0</v>
          </cell>
          <cell r="N15">
            <v>0</v>
          </cell>
          <cell r="O15">
            <v>0</v>
          </cell>
          <cell r="P15">
            <v>0</v>
          </cell>
          <cell r="Q15">
            <v>0</v>
          </cell>
        </row>
        <row r="16">
          <cell r="A16">
            <v>31002</v>
          </cell>
          <cell r="B16" t="str">
            <v>Hauling Revenue - Roll Off Rental</v>
          </cell>
          <cell r="E16">
            <v>0</v>
          </cell>
          <cell r="F16">
            <v>0</v>
          </cell>
          <cell r="G16">
            <v>0</v>
          </cell>
          <cell r="H16">
            <v>0</v>
          </cell>
          <cell r="I16">
            <v>0</v>
          </cell>
          <cell r="J16">
            <v>0</v>
          </cell>
          <cell r="K16">
            <v>0</v>
          </cell>
          <cell r="L16">
            <v>0</v>
          </cell>
          <cell r="M16">
            <v>0</v>
          </cell>
          <cell r="N16">
            <v>0</v>
          </cell>
          <cell r="O16">
            <v>0</v>
          </cell>
          <cell r="P16">
            <v>0</v>
          </cell>
          <cell r="Q16">
            <v>0</v>
          </cell>
        </row>
        <row r="17">
          <cell r="A17">
            <v>31003</v>
          </cell>
          <cell r="B17" t="str">
            <v>Hauling Revenue - Roll Off Compactor Ren</v>
          </cell>
          <cell r="E17">
            <v>0</v>
          </cell>
          <cell r="F17">
            <v>0</v>
          </cell>
          <cell r="G17">
            <v>0</v>
          </cell>
          <cell r="H17">
            <v>0</v>
          </cell>
          <cell r="I17">
            <v>0</v>
          </cell>
          <cell r="J17">
            <v>0</v>
          </cell>
          <cell r="K17">
            <v>0</v>
          </cell>
          <cell r="L17">
            <v>0</v>
          </cell>
          <cell r="M17">
            <v>0</v>
          </cell>
          <cell r="N17">
            <v>0</v>
          </cell>
          <cell r="O17">
            <v>0</v>
          </cell>
          <cell r="P17">
            <v>0</v>
          </cell>
          <cell r="Q17">
            <v>0</v>
          </cell>
        </row>
        <row r="18">
          <cell r="A18">
            <v>31004</v>
          </cell>
          <cell r="B18" t="str">
            <v>Hauling Revenue - Roll Off Recycling</v>
          </cell>
          <cell r="E18">
            <v>0</v>
          </cell>
          <cell r="F18">
            <v>0</v>
          </cell>
          <cell r="G18">
            <v>0</v>
          </cell>
          <cell r="H18">
            <v>0</v>
          </cell>
          <cell r="I18">
            <v>0</v>
          </cell>
          <cell r="J18">
            <v>0</v>
          </cell>
          <cell r="K18">
            <v>0</v>
          </cell>
          <cell r="L18">
            <v>0</v>
          </cell>
          <cell r="M18">
            <v>0</v>
          </cell>
          <cell r="N18">
            <v>0</v>
          </cell>
          <cell r="O18">
            <v>0</v>
          </cell>
          <cell r="P18">
            <v>0</v>
          </cell>
          <cell r="Q18">
            <v>0</v>
          </cell>
        </row>
        <row r="19">
          <cell r="A19">
            <v>31005</v>
          </cell>
          <cell r="B19" t="str">
            <v>Corporate Roll Off Disposal Charge</v>
          </cell>
          <cell r="E19">
            <v>93946.63</v>
          </cell>
          <cell r="F19">
            <v>91101.8</v>
          </cell>
          <cell r="G19">
            <v>108743.12</v>
          </cell>
          <cell r="H19">
            <v>100411.54</v>
          </cell>
          <cell r="I19">
            <v>109421.85</v>
          </cell>
          <cell r="J19">
            <v>119111.11</v>
          </cell>
          <cell r="K19">
            <v>114939.05</v>
          </cell>
          <cell r="L19">
            <v>123201.29</v>
          </cell>
          <cell r="M19">
            <v>128616.56</v>
          </cell>
          <cell r="N19">
            <v>103849.76</v>
          </cell>
          <cell r="O19">
            <v>87162.7</v>
          </cell>
          <cell r="P19">
            <v>101585.44</v>
          </cell>
          <cell r="Q19">
            <v>1282090.8499999999</v>
          </cell>
        </row>
        <row r="20">
          <cell r="A20">
            <v>31008</v>
          </cell>
          <cell r="B20" t="str">
            <v>Hauling Revenue - Roll Off Adjustments</v>
          </cell>
          <cell r="E20">
            <v>0</v>
          </cell>
          <cell r="F20">
            <v>0</v>
          </cell>
          <cell r="G20">
            <v>0</v>
          </cell>
          <cell r="H20">
            <v>0</v>
          </cell>
          <cell r="I20">
            <v>0</v>
          </cell>
          <cell r="J20">
            <v>0</v>
          </cell>
          <cell r="K20">
            <v>0</v>
          </cell>
          <cell r="L20">
            <v>0</v>
          </cell>
          <cell r="M20">
            <v>0</v>
          </cell>
          <cell r="N20">
            <v>0</v>
          </cell>
          <cell r="O20">
            <v>0</v>
          </cell>
          <cell r="P20">
            <v>0</v>
          </cell>
          <cell r="Q20">
            <v>0</v>
          </cell>
        </row>
        <row r="21">
          <cell r="A21">
            <v>31009</v>
          </cell>
          <cell r="B21" t="str">
            <v>Hauling Revenue - Roll Off Intercompany</v>
          </cell>
          <cell r="E21">
            <v>0</v>
          </cell>
          <cell r="F21">
            <v>0</v>
          </cell>
          <cell r="G21">
            <v>0</v>
          </cell>
          <cell r="H21">
            <v>0</v>
          </cell>
          <cell r="I21">
            <v>0</v>
          </cell>
          <cell r="J21">
            <v>0</v>
          </cell>
          <cell r="K21">
            <v>0</v>
          </cell>
          <cell r="L21">
            <v>0</v>
          </cell>
          <cell r="M21">
            <v>0</v>
          </cell>
          <cell r="N21">
            <v>0</v>
          </cell>
          <cell r="O21">
            <v>0</v>
          </cell>
          <cell r="P21">
            <v>0</v>
          </cell>
          <cell r="Q21">
            <v>0</v>
          </cell>
        </row>
        <row r="22">
          <cell r="A22">
            <v>31010</v>
          </cell>
          <cell r="B22" t="str">
            <v>Hauling Revenue - Roll Off Extras</v>
          </cell>
          <cell r="E22">
            <v>16354.41</v>
          </cell>
          <cell r="F22">
            <v>16430.849999999999</v>
          </cell>
          <cell r="G22">
            <v>18226.63</v>
          </cell>
          <cell r="H22">
            <v>17972.400000000001</v>
          </cell>
          <cell r="I22">
            <v>18790.919999999998</v>
          </cell>
          <cell r="J22">
            <v>19705.3</v>
          </cell>
          <cell r="K22">
            <v>21354.080000000002</v>
          </cell>
          <cell r="L22">
            <v>22365.29</v>
          </cell>
          <cell r="M22">
            <v>20804.36</v>
          </cell>
          <cell r="N22">
            <v>18374.21</v>
          </cell>
          <cell r="O22">
            <v>17346.11</v>
          </cell>
          <cell r="P22">
            <v>15627.2</v>
          </cell>
          <cell r="Q22">
            <v>223351.76</v>
          </cell>
        </row>
        <row r="23">
          <cell r="A23">
            <v>31020</v>
          </cell>
          <cell r="B23" t="str">
            <v>Hauling Revenue - Roll Off Special Waste</v>
          </cell>
          <cell r="E23">
            <v>0</v>
          </cell>
          <cell r="F23">
            <v>0</v>
          </cell>
          <cell r="G23">
            <v>0</v>
          </cell>
          <cell r="H23">
            <v>0</v>
          </cell>
          <cell r="I23">
            <v>0</v>
          </cell>
          <cell r="J23">
            <v>0</v>
          </cell>
          <cell r="K23">
            <v>0</v>
          </cell>
          <cell r="L23">
            <v>0</v>
          </cell>
          <cell r="M23">
            <v>0</v>
          </cell>
          <cell r="N23">
            <v>0</v>
          </cell>
          <cell r="O23">
            <v>0</v>
          </cell>
          <cell r="P23">
            <v>0</v>
          </cell>
          <cell r="Q23">
            <v>0</v>
          </cell>
        </row>
        <row r="24">
          <cell r="A24">
            <v>31021</v>
          </cell>
          <cell r="B24" t="str">
            <v>Hauling Revenue - Roll Off Special Waste</v>
          </cell>
          <cell r="E24">
            <v>0</v>
          </cell>
          <cell r="F24">
            <v>0</v>
          </cell>
          <cell r="G24">
            <v>0</v>
          </cell>
          <cell r="H24">
            <v>0</v>
          </cell>
          <cell r="I24">
            <v>0</v>
          </cell>
          <cell r="J24">
            <v>0</v>
          </cell>
          <cell r="K24">
            <v>0</v>
          </cell>
          <cell r="L24">
            <v>0</v>
          </cell>
          <cell r="M24">
            <v>0</v>
          </cell>
          <cell r="N24">
            <v>0</v>
          </cell>
          <cell r="O24">
            <v>0</v>
          </cell>
          <cell r="P24">
            <v>0</v>
          </cell>
          <cell r="Q24">
            <v>0</v>
          </cell>
        </row>
        <row r="25">
          <cell r="A25">
            <v>31029</v>
          </cell>
          <cell r="B25" t="str">
            <v>Hauling Revenue - Roll Off Special Waste</v>
          </cell>
          <cell r="E25">
            <v>0</v>
          </cell>
          <cell r="F25">
            <v>0</v>
          </cell>
          <cell r="G25">
            <v>0</v>
          </cell>
          <cell r="H25">
            <v>0</v>
          </cell>
          <cell r="I25">
            <v>0</v>
          </cell>
          <cell r="J25">
            <v>0</v>
          </cell>
          <cell r="K25">
            <v>0</v>
          </cell>
          <cell r="L25">
            <v>0</v>
          </cell>
          <cell r="M25">
            <v>0</v>
          </cell>
          <cell r="N25">
            <v>0</v>
          </cell>
          <cell r="O25">
            <v>0</v>
          </cell>
          <cell r="P25">
            <v>0</v>
          </cell>
          <cell r="Q25">
            <v>0</v>
          </cell>
        </row>
        <row r="26">
          <cell r="A26">
            <v>32000</v>
          </cell>
          <cell r="B26" t="str">
            <v>Hauling Revenue - Residential MSW</v>
          </cell>
          <cell r="E26">
            <v>754535.74</v>
          </cell>
          <cell r="F26">
            <v>750848.79</v>
          </cell>
          <cell r="G26">
            <v>751484.07</v>
          </cell>
          <cell r="H26">
            <v>759461.88</v>
          </cell>
          <cell r="I26">
            <v>756344.84</v>
          </cell>
          <cell r="J26">
            <v>762351.19</v>
          </cell>
          <cell r="K26">
            <v>763571.04</v>
          </cell>
          <cell r="L26">
            <v>762014.08</v>
          </cell>
          <cell r="M26">
            <v>763381.19</v>
          </cell>
          <cell r="N26">
            <v>760410.82</v>
          </cell>
          <cell r="O26">
            <v>760222.53</v>
          </cell>
          <cell r="P26">
            <v>757663.07</v>
          </cell>
          <cell r="Q26">
            <v>9102289.2400000002</v>
          </cell>
        </row>
        <row r="27">
          <cell r="A27">
            <v>32001</v>
          </cell>
          <cell r="B27" t="str">
            <v>Hauling Revenue - Residential MSW Extras</v>
          </cell>
          <cell r="E27">
            <v>48676.93</v>
          </cell>
          <cell r="F27">
            <v>46005.81</v>
          </cell>
          <cell r="G27">
            <v>44057.39</v>
          </cell>
          <cell r="H27">
            <v>54145.79</v>
          </cell>
          <cell r="I27">
            <v>47089.22</v>
          </cell>
          <cell r="J27">
            <v>62711.39</v>
          </cell>
          <cell r="K27">
            <v>60222.84</v>
          </cell>
          <cell r="L27">
            <v>63321.38</v>
          </cell>
          <cell r="M27">
            <v>48663.92</v>
          </cell>
          <cell r="N27">
            <v>45750.71</v>
          </cell>
          <cell r="O27">
            <v>44578.41</v>
          </cell>
          <cell r="P27">
            <v>66011.64</v>
          </cell>
          <cell r="Q27">
            <v>631235.43000000005</v>
          </cell>
        </row>
        <row r="28">
          <cell r="A28">
            <v>32002</v>
          </cell>
          <cell r="B28" t="str">
            <v>Hauling Revenue - Residential MSW Adjust</v>
          </cell>
          <cell r="E28">
            <v>0</v>
          </cell>
          <cell r="F28">
            <v>0</v>
          </cell>
          <cell r="G28">
            <v>0</v>
          </cell>
          <cell r="H28">
            <v>0</v>
          </cell>
          <cell r="I28">
            <v>0</v>
          </cell>
          <cell r="J28">
            <v>0</v>
          </cell>
          <cell r="K28">
            <v>0</v>
          </cell>
          <cell r="L28">
            <v>0</v>
          </cell>
          <cell r="M28">
            <v>0</v>
          </cell>
          <cell r="N28">
            <v>0</v>
          </cell>
          <cell r="O28">
            <v>0</v>
          </cell>
          <cell r="P28">
            <v>0</v>
          </cell>
          <cell r="Q28">
            <v>0</v>
          </cell>
        </row>
        <row r="29">
          <cell r="A29">
            <v>32003</v>
          </cell>
          <cell r="B29" t="str">
            <v>Hauling Revenue - Residential MSW Specia</v>
          </cell>
          <cell r="E29">
            <v>0</v>
          </cell>
          <cell r="F29">
            <v>0</v>
          </cell>
          <cell r="G29">
            <v>0</v>
          </cell>
          <cell r="H29">
            <v>0</v>
          </cell>
          <cell r="I29">
            <v>0</v>
          </cell>
          <cell r="J29">
            <v>0</v>
          </cell>
          <cell r="K29">
            <v>0</v>
          </cell>
          <cell r="L29">
            <v>0</v>
          </cell>
          <cell r="M29">
            <v>0</v>
          </cell>
          <cell r="N29">
            <v>0</v>
          </cell>
          <cell r="O29">
            <v>0</v>
          </cell>
          <cell r="P29">
            <v>0</v>
          </cell>
          <cell r="Q29">
            <v>0</v>
          </cell>
        </row>
        <row r="30">
          <cell r="A30">
            <v>32009</v>
          </cell>
          <cell r="B30" t="str">
            <v>Hauling Revenue - Residential MSW Interc</v>
          </cell>
          <cell r="E30">
            <v>0</v>
          </cell>
          <cell r="F30">
            <v>0</v>
          </cell>
          <cell r="G30">
            <v>0</v>
          </cell>
          <cell r="H30">
            <v>0</v>
          </cell>
          <cell r="I30">
            <v>0</v>
          </cell>
          <cell r="J30">
            <v>0</v>
          </cell>
          <cell r="K30">
            <v>0</v>
          </cell>
          <cell r="L30">
            <v>0</v>
          </cell>
          <cell r="M30">
            <v>0</v>
          </cell>
          <cell r="N30">
            <v>0</v>
          </cell>
          <cell r="O30">
            <v>0</v>
          </cell>
          <cell r="P30">
            <v>0</v>
          </cell>
          <cell r="Q30">
            <v>0</v>
          </cell>
        </row>
        <row r="31">
          <cell r="A31">
            <v>32100</v>
          </cell>
          <cell r="B31" t="str">
            <v>Hauling Revenue - Residential Recycling</v>
          </cell>
          <cell r="E31">
            <v>0</v>
          </cell>
          <cell r="F31">
            <v>0</v>
          </cell>
          <cell r="G31">
            <v>0</v>
          </cell>
          <cell r="H31">
            <v>0</v>
          </cell>
          <cell r="I31">
            <v>0</v>
          </cell>
          <cell r="J31">
            <v>0</v>
          </cell>
          <cell r="K31">
            <v>0</v>
          </cell>
          <cell r="L31">
            <v>0</v>
          </cell>
          <cell r="M31">
            <v>0</v>
          </cell>
          <cell r="N31">
            <v>0</v>
          </cell>
          <cell r="O31">
            <v>0</v>
          </cell>
          <cell r="P31">
            <v>0</v>
          </cell>
          <cell r="Q31">
            <v>0</v>
          </cell>
        </row>
        <row r="32">
          <cell r="A32">
            <v>32101</v>
          </cell>
          <cell r="B32" t="str">
            <v>Hauling Revenue - Residential Recycling</v>
          </cell>
          <cell r="E32">
            <v>0</v>
          </cell>
          <cell r="F32">
            <v>0</v>
          </cell>
          <cell r="G32">
            <v>0</v>
          </cell>
          <cell r="H32">
            <v>0</v>
          </cell>
          <cell r="I32">
            <v>0</v>
          </cell>
          <cell r="J32">
            <v>0</v>
          </cell>
          <cell r="K32">
            <v>0</v>
          </cell>
          <cell r="L32">
            <v>0</v>
          </cell>
          <cell r="M32">
            <v>0</v>
          </cell>
          <cell r="N32">
            <v>0</v>
          </cell>
          <cell r="O32">
            <v>0</v>
          </cell>
          <cell r="P32">
            <v>0</v>
          </cell>
          <cell r="Q32">
            <v>0</v>
          </cell>
        </row>
        <row r="33">
          <cell r="A33">
            <v>32102</v>
          </cell>
          <cell r="B33" t="str">
            <v>Hauling Revenue - Residential Recycling</v>
          </cell>
          <cell r="E33">
            <v>0</v>
          </cell>
          <cell r="F33">
            <v>0</v>
          </cell>
          <cell r="G33">
            <v>0</v>
          </cell>
          <cell r="H33">
            <v>0</v>
          </cell>
          <cell r="I33">
            <v>0</v>
          </cell>
          <cell r="J33">
            <v>0</v>
          </cell>
          <cell r="K33">
            <v>0</v>
          </cell>
          <cell r="L33">
            <v>0</v>
          </cell>
          <cell r="M33">
            <v>0</v>
          </cell>
          <cell r="N33">
            <v>0</v>
          </cell>
          <cell r="O33">
            <v>0</v>
          </cell>
          <cell r="P33">
            <v>0</v>
          </cell>
          <cell r="Q33">
            <v>0</v>
          </cell>
        </row>
        <row r="34">
          <cell r="A34">
            <v>32103</v>
          </cell>
          <cell r="B34" t="str">
            <v>Hauling Revenue - Residential Recycling</v>
          </cell>
          <cell r="E34">
            <v>0</v>
          </cell>
          <cell r="F34">
            <v>0</v>
          </cell>
          <cell r="G34">
            <v>0</v>
          </cell>
          <cell r="H34">
            <v>0</v>
          </cell>
          <cell r="I34">
            <v>0</v>
          </cell>
          <cell r="J34">
            <v>0</v>
          </cell>
          <cell r="K34">
            <v>0</v>
          </cell>
          <cell r="L34">
            <v>0</v>
          </cell>
          <cell r="M34">
            <v>0</v>
          </cell>
          <cell r="N34">
            <v>0</v>
          </cell>
          <cell r="O34">
            <v>0</v>
          </cell>
          <cell r="P34">
            <v>0</v>
          </cell>
          <cell r="Q34">
            <v>0</v>
          </cell>
        </row>
        <row r="35">
          <cell r="A35">
            <v>32109</v>
          </cell>
          <cell r="B35" t="str">
            <v>Hauling Revenue - Residential Recycling</v>
          </cell>
          <cell r="E35">
            <v>0</v>
          </cell>
          <cell r="F35">
            <v>0</v>
          </cell>
          <cell r="G35">
            <v>0</v>
          </cell>
          <cell r="H35">
            <v>0</v>
          </cell>
          <cell r="I35">
            <v>0</v>
          </cell>
          <cell r="J35">
            <v>0</v>
          </cell>
          <cell r="K35">
            <v>0</v>
          </cell>
          <cell r="L35">
            <v>0</v>
          </cell>
          <cell r="M35">
            <v>0</v>
          </cell>
          <cell r="N35">
            <v>0</v>
          </cell>
          <cell r="O35">
            <v>0</v>
          </cell>
          <cell r="P35">
            <v>0</v>
          </cell>
          <cell r="Q35">
            <v>0</v>
          </cell>
        </row>
        <row r="36">
          <cell r="A36">
            <v>32110</v>
          </cell>
          <cell r="B36" t="str">
            <v>Hauling Revenue - Residential Composting</v>
          </cell>
          <cell r="E36">
            <v>0</v>
          </cell>
          <cell r="F36">
            <v>0</v>
          </cell>
          <cell r="G36">
            <v>0</v>
          </cell>
          <cell r="H36">
            <v>0</v>
          </cell>
          <cell r="I36">
            <v>0</v>
          </cell>
          <cell r="J36">
            <v>0</v>
          </cell>
          <cell r="K36">
            <v>0</v>
          </cell>
          <cell r="L36">
            <v>0</v>
          </cell>
          <cell r="M36">
            <v>0</v>
          </cell>
          <cell r="N36">
            <v>0</v>
          </cell>
          <cell r="O36">
            <v>0</v>
          </cell>
          <cell r="P36">
            <v>0</v>
          </cell>
          <cell r="Q36">
            <v>0</v>
          </cell>
        </row>
        <row r="37">
          <cell r="A37">
            <v>32111</v>
          </cell>
          <cell r="B37" t="str">
            <v>Hauling Revenue - Residential Composting</v>
          </cell>
          <cell r="E37">
            <v>0</v>
          </cell>
          <cell r="F37">
            <v>0</v>
          </cell>
          <cell r="G37">
            <v>0</v>
          </cell>
          <cell r="H37">
            <v>0</v>
          </cell>
          <cell r="I37">
            <v>0</v>
          </cell>
          <cell r="J37">
            <v>0</v>
          </cell>
          <cell r="K37">
            <v>0</v>
          </cell>
          <cell r="L37">
            <v>0</v>
          </cell>
          <cell r="M37">
            <v>0</v>
          </cell>
          <cell r="N37">
            <v>0</v>
          </cell>
          <cell r="O37">
            <v>0</v>
          </cell>
          <cell r="P37">
            <v>0</v>
          </cell>
          <cell r="Q37">
            <v>0</v>
          </cell>
        </row>
        <row r="38">
          <cell r="A38">
            <v>32112</v>
          </cell>
          <cell r="B38" t="str">
            <v>Hauling Revenue - Residential Composting</v>
          </cell>
          <cell r="E38">
            <v>0</v>
          </cell>
          <cell r="F38">
            <v>0</v>
          </cell>
          <cell r="G38">
            <v>0</v>
          </cell>
          <cell r="H38">
            <v>0</v>
          </cell>
          <cell r="I38">
            <v>0</v>
          </cell>
          <cell r="J38">
            <v>0</v>
          </cell>
          <cell r="K38">
            <v>0</v>
          </cell>
          <cell r="L38">
            <v>0</v>
          </cell>
          <cell r="M38">
            <v>0</v>
          </cell>
          <cell r="N38">
            <v>0</v>
          </cell>
          <cell r="O38">
            <v>0</v>
          </cell>
          <cell r="P38">
            <v>0</v>
          </cell>
          <cell r="Q38">
            <v>0</v>
          </cell>
        </row>
        <row r="39">
          <cell r="A39">
            <v>32113</v>
          </cell>
          <cell r="B39" t="str">
            <v>Hauling Revenue - Residential Composting</v>
          </cell>
          <cell r="E39">
            <v>0</v>
          </cell>
          <cell r="F39">
            <v>0</v>
          </cell>
          <cell r="G39">
            <v>0</v>
          </cell>
          <cell r="H39">
            <v>0</v>
          </cell>
          <cell r="I39">
            <v>0</v>
          </cell>
          <cell r="J39">
            <v>0</v>
          </cell>
          <cell r="K39">
            <v>0</v>
          </cell>
          <cell r="L39">
            <v>0</v>
          </cell>
          <cell r="M39">
            <v>0</v>
          </cell>
          <cell r="N39">
            <v>0</v>
          </cell>
          <cell r="O39">
            <v>0</v>
          </cell>
          <cell r="P39">
            <v>0</v>
          </cell>
          <cell r="Q39">
            <v>0</v>
          </cell>
        </row>
        <row r="40">
          <cell r="A40">
            <v>32119</v>
          </cell>
          <cell r="B40" t="str">
            <v>Hauling Revenue - Residential Composting</v>
          </cell>
          <cell r="E40">
            <v>0</v>
          </cell>
          <cell r="F40">
            <v>0</v>
          </cell>
          <cell r="G40">
            <v>0</v>
          </cell>
          <cell r="H40">
            <v>0</v>
          </cell>
          <cell r="I40">
            <v>0</v>
          </cell>
          <cell r="J40">
            <v>0</v>
          </cell>
          <cell r="K40">
            <v>0</v>
          </cell>
          <cell r="L40">
            <v>0</v>
          </cell>
          <cell r="M40">
            <v>0</v>
          </cell>
          <cell r="N40">
            <v>0</v>
          </cell>
          <cell r="O40">
            <v>0</v>
          </cell>
          <cell r="P40">
            <v>0</v>
          </cell>
          <cell r="Q40">
            <v>0</v>
          </cell>
        </row>
        <row r="41">
          <cell r="A41">
            <v>33000</v>
          </cell>
          <cell r="B41" t="str">
            <v>Hauling Revenue - Commercial FEL</v>
          </cell>
          <cell r="E41">
            <v>414760.73</v>
          </cell>
          <cell r="F41">
            <v>412841.01</v>
          </cell>
          <cell r="G41">
            <v>416757.93</v>
          </cell>
          <cell r="H41">
            <v>417298.76</v>
          </cell>
          <cell r="I41">
            <v>417121.97</v>
          </cell>
          <cell r="J41">
            <v>421939.51</v>
          </cell>
          <cell r="K41">
            <v>420917.49</v>
          </cell>
          <cell r="L41">
            <v>425821.47</v>
          </cell>
          <cell r="M41">
            <v>424192</v>
          </cell>
          <cell r="N41">
            <v>415412.9</v>
          </cell>
          <cell r="O41">
            <v>413023.47</v>
          </cell>
          <cell r="P41">
            <v>411406.25</v>
          </cell>
          <cell r="Q41">
            <v>5011493.49</v>
          </cell>
        </row>
        <row r="42">
          <cell r="A42">
            <v>33001</v>
          </cell>
          <cell r="B42" t="str">
            <v>Hauling Revenue - Commercial FEL Extras</v>
          </cell>
          <cell r="E42">
            <v>16369.94</v>
          </cell>
          <cell r="F42">
            <v>15223.46</v>
          </cell>
          <cell r="G42">
            <v>18054.59</v>
          </cell>
          <cell r="H42">
            <v>17483.330000000002</v>
          </cell>
          <cell r="I42">
            <v>19168.46</v>
          </cell>
          <cell r="J42">
            <v>18357.68</v>
          </cell>
          <cell r="K42">
            <v>21453.19</v>
          </cell>
          <cell r="L42">
            <v>22591.22</v>
          </cell>
          <cell r="M42">
            <v>16352.74</v>
          </cell>
          <cell r="N42">
            <v>17430.650000000001</v>
          </cell>
          <cell r="O42">
            <v>16278.67</v>
          </cell>
          <cell r="P42">
            <v>16972.88</v>
          </cell>
          <cell r="Q42">
            <v>215736.81</v>
          </cell>
        </row>
        <row r="43">
          <cell r="A43">
            <v>33002</v>
          </cell>
          <cell r="B43" t="str">
            <v>Hauling Revenue - Commercial FEL Adjustm</v>
          </cell>
          <cell r="E43">
            <v>0</v>
          </cell>
          <cell r="F43">
            <v>0</v>
          </cell>
          <cell r="G43">
            <v>0</v>
          </cell>
          <cell r="H43">
            <v>0</v>
          </cell>
          <cell r="I43">
            <v>0</v>
          </cell>
          <cell r="J43">
            <v>0</v>
          </cell>
          <cell r="K43">
            <v>0</v>
          </cell>
          <cell r="L43">
            <v>0</v>
          </cell>
          <cell r="M43">
            <v>0</v>
          </cell>
          <cell r="N43">
            <v>0</v>
          </cell>
          <cell r="O43">
            <v>0</v>
          </cell>
          <cell r="P43">
            <v>0</v>
          </cell>
          <cell r="Q43">
            <v>0</v>
          </cell>
        </row>
        <row r="44">
          <cell r="A44">
            <v>33009</v>
          </cell>
          <cell r="B44" t="str">
            <v>Hauling Revenue - Commercial FEL Interco</v>
          </cell>
          <cell r="E44">
            <v>0</v>
          </cell>
          <cell r="F44">
            <v>0</v>
          </cell>
          <cell r="G44">
            <v>0</v>
          </cell>
          <cell r="H44">
            <v>0</v>
          </cell>
          <cell r="I44">
            <v>0</v>
          </cell>
          <cell r="J44">
            <v>0</v>
          </cell>
          <cell r="K44">
            <v>0</v>
          </cell>
          <cell r="L44">
            <v>0</v>
          </cell>
          <cell r="M44">
            <v>0</v>
          </cell>
          <cell r="N44">
            <v>0</v>
          </cell>
          <cell r="O44">
            <v>0</v>
          </cell>
          <cell r="P44">
            <v>0</v>
          </cell>
          <cell r="Q44">
            <v>0</v>
          </cell>
        </row>
        <row r="45">
          <cell r="A45">
            <v>33010</v>
          </cell>
          <cell r="B45" t="str">
            <v>Hauling Revenue - Commercial REL</v>
          </cell>
          <cell r="E45">
            <v>0</v>
          </cell>
          <cell r="F45">
            <v>0</v>
          </cell>
          <cell r="G45">
            <v>0</v>
          </cell>
          <cell r="H45">
            <v>0</v>
          </cell>
          <cell r="I45">
            <v>0</v>
          </cell>
          <cell r="J45">
            <v>0</v>
          </cell>
          <cell r="K45">
            <v>0</v>
          </cell>
          <cell r="L45">
            <v>0</v>
          </cell>
          <cell r="M45">
            <v>0</v>
          </cell>
          <cell r="N45">
            <v>0</v>
          </cell>
          <cell r="O45">
            <v>0</v>
          </cell>
          <cell r="P45">
            <v>0</v>
          </cell>
          <cell r="Q45">
            <v>0</v>
          </cell>
        </row>
        <row r="46">
          <cell r="A46">
            <v>33011</v>
          </cell>
          <cell r="B46" t="str">
            <v>Hauling Revenue - Commercial REL Extras</v>
          </cell>
          <cell r="E46">
            <v>0</v>
          </cell>
          <cell r="F46">
            <v>0</v>
          </cell>
          <cell r="G46">
            <v>0</v>
          </cell>
          <cell r="H46">
            <v>0</v>
          </cell>
          <cell r="I46">
            <v>0</v>
          </cell>
          <cell r="J46">
            <v>0</v>
          </cell>
          <cell r="K46">
            <v>0</v>
          </cell>
          <cell r="L46">
            <v>0</v>
          </cell>
          <cell r="M46">
            <v>0</v>
          </cell>
          <cell r="N46">
            <v>0</v>
          </cell>
          <cell r="O46">
            <v>0</v>
          </cell>
          <cell r="P46">
            <v>0</v>
          </cell>
          <cell r="Q46">
            <v>0</v>
          </cell>
        </row>
        <row r="47">
          <cell r="A47">
            <v>33012</v>
          </cell>
          <cell r="B47" t="str">
            <v>Hauling Revenue - Commercial REL Adjustm</v>
          </cell>
          <cell r="E47">
            <v>0</v>
          </cell>
          <cell r="F47">
            <v>0</v>
          </cell>
          <cell r="G47">
            <v>0</v>
          </cell>
          <cell r="H47">
            <v>0</v>
          </cell>
          <cell r="I47">
            <v>0</v>
          </cell>
          <cell r="J47">
            <v>0</v>
          </cell>
          <cell r="K47">
            <v>0</v>
          </cell>
          <cell r="L47">
            <v>0</v>
          </cell>
          <cell r="M47">
            <v>0</v>
          </cell>
          <cell r="N47">
            <v>0</v>
          </cell>
          <cell r="O47">
            <v>0</v>
          </cell>
          <cell r="P47">
            <v>0</v>
          </cell>
          <cell r="Q47">
            <v>0</v>
          </cell>
        </row>
        <row r="48">
          <cell r="A48">
            <v>33019</v>
          </cell>
          <cell r="B48" t="str">
            <v>Hauling Revenue - Commercial REL Interco</v>
          </cell>
          <cell r="E48">
            <v>0</v>
          </cell>
          <cell r="F48">
            <v>0</v>
          </cell>
          <cell r="G48">
            <v>0</v>
          </cell>
          <cell r="H48">
            <v>0</v>
          </cell>
          <cell r="I48">
            <v>0</v>
          </cell>
          <cell r="J48">
            <v>0</v>
          </cell>
          <cell r="K48">
            <v>0</v>
          </cell>
          <cell r="L48">
            <v>0</v>
          </cell>
          <cell r="M48">
            <v>0</v>
          </cell>
          <cell r="N48">
            <v>0</v>
          </cell>
          <cell r="O48">
            <v>0</v>
          </cell>
          <cell r="P48">
            <v>0</v>
          </cell>
          <cell r="Q48">
            <v>0</v>
          </cell>
        </row>
        <row r="49">
          <cell r="A49">
            <v>33020</v>
          </cell>
          <cell r="B49" t="str">
            <v>Hauling Revenue - Commercial Recycling F</v>
          </cell>
          <cell r="E49">
            <v>0</v>
          </cell>
          <cell r="F49">
            <v>0</v>
          </cell>
          <cell r="G49">
            <v>0</v>
          </cell>
          <cell r="H49">
            <v>0</v>
          </cell>
          <cell r="I49">
            <v>0</v>
          </cell>
          <cell r="J49">
            <v>0</v>
          </cell>
          <cell r="K49">
            <v>0</v>
          </cell>
          <cell r="L49">
            <v>0</v>
          </cell>
          <cell r="M49">
            <v>0</v>
          </cell>
          <cell r="N49">
            <v>0</v>
          </cell>
          <cell r="O49">
            <v>0</v>
          </cell>
          <cell r="P49">
            <v>0</v>
          </cell>
          <cell r="Q49">
            <v>0</v>
          </cell>
        </row>
        <row r="50">
          <cell r="A50">
            <v>33021</v>
          </cell>
          <cell r="B50" t="str">
            <v>Hauling Revenue - Commercial Recycling F</v>
          </cell>
          <cell r="E50">
            <v>0</v>
          </cell>
          <cell r="F50">
            <v>0</v>
          </cell>
          <cell r="G50">
            <v>0</v>
          </cell>
          <cell r="H50">
            <v>0</v>
          </cell>
          <cell r="I50">
            <v>0</v>
          </cell>
          <cell r="J50">
            <v>0</v>
          </cell>
          <cell r="K50">
            <v>0</v>
          </cell>
          <cell r="L50">
            <v>0</v>
          </cell>
          <cell r="M50">
            <v>0</v>
          </cell>
          <cell r="N50">
            <v>0</v>
          </cell>
          <cell r="O50">
            <v>0</v>
          </cell>
          <cell r="P50">
            <v>0</v>
          </cell>
          <cell r="Q50">
            <v>0</v>
          </cell>
        </row>
        <row r="51">
          <cell r="A51">
            <v>33022</v>
          </cell>
          <cell r="B51" t="str">
            <v>Hauling Revenue - Commercial Recycling F</v>
          </cell>
          <cell r="E51">
            <v>0</v>
          </cell>
          <cell r="F51">
            <v>0</v>
          </cell>
          <cell r="G51">
            <v>0</v>
          </cell>
          <cell r="H51">
            <v>0</v>
          </cell>
          <cell r="I51">
            <v>0</v>
          </cell>
          <cell r="J51">
            <v>0</v>
          </cell>
          <cell r="K51">
            <v>0</v>
          </cell>
          <cell r="L51">
            <v>0</v>
          </cell>
          <cell r="M51">
            <v>0</v>
          </cell>
          <cell r="N51">
            <v>0</v>
          </cell>
          <cell r="O51">
            <v>0</v>
          </cell>
          <cell r="P51">
            <v>0</v>
          </cell>
          <cell r="Q51">
            <v>0</v>
          </cell>
        </row>
        <row r="52">
          <cell r="A52">
            <v>33029</v>
          </cell>
          <cell r="B52" t="str">
            <v>Hauling Revenue - Commercial Recycling F</v>
          </cell>
          <cell r="E52">
            <v>0</v>
          </cell>
          <cell r="F52">
            <v>0</v>
          </cell>
          <cell r="G52">
            <v>0</v>
          </cell>
          <cell r="H52">
            <v>0</v>
          </cell>
          <cell r="I52">
            <v>0</v>
          </cell>
          <cell r="J52">
            <v>0</v>
          </cell>
          <cell r="K52">
            <v>0</v>
          </cell>
          <cell r="L52">
            <v>0</v>
          </cell>
          <cell r="M52">
            <v>0</v>
          </cell>
          <cell r="N52">
            <v>0</v>
          </cell>
          <cell r="O52">
            <v>0</v>
          </cell>
          <cell r="P52">
            <v>0</v>
          </cell>
          <cell r="Q52">
            <v>0</v>
          </cell>
        </row>
        <row r="53">
          <cell r="A53">
            <v>33030</v>
          </cell>
          <cell r="B53" t="str">
            <v>Hauling Revenue - Commercial Recycling R</v>
          </cell>
          <cell r="E53">
            <v>0</v>
          </cell>
          <cell r="F53">
            <v>0</v>
          </cell>
          <cell r="G53">
            <v>0</v>
          </cell>
          <cell r="H53">
            <v>0</v>
          </cell>
          <cell r="I53">
            <v>0</v>
          </cell>
          <cell r="J53">
            <v>0</v>
          </cell>
          <cell r="K53">
            <v>0</v>
          </cell>
          <cell r="L53">
            <v>0</v>
          </cell>
          <cell r="M53">
            <v>0</v>
          </cell>
          <cell r="N53">
            <v>0</v>
          </cell>
          <cell r="O53">
            <v>0</v>
          </cell>
          <cell r="P53">
            <v>0</v>
          </cell>
          <cell r="Q53">
            <v>0</v>
          </cell>
        </row>
        <row r="54">
          <cell r="A54">
            <v>33031</v>
          </cell>
          <cell r="B54" t="str">
            <v>Hauling Revenue - Commercial Recycling R</v>
          </cell>
          <cell r="E54">
            <v>0</v>
          </cell>
          <cell r="F54">
            <v>0</v>
          </cell>
          <cell r="G54">
            <v>0</v>
          </cell>
          <cell r="H54">
            <v>0</v>
          </cell>
          <cell r="I54">
            <v>0</v>
          </cell>
          <cell r="J54">
            <v>0</v>
          </cell>
          <cell r="K54">
            <v>0</v>
          </cell>
          <cell r="L54">
            <v>0</v>
          </cell>
          <cell r="M54">
            <v>0</v>
          </cell>
          <cell r="N54">
            <v>0</v>
          </cell>
          <cell r="O54">
            <v>0</v>
          </cell>
          <cell r="P54">
            <v>0</v>
          </cell>
          <cell r="Q54">
            <v>0</v>
          </cell>
        </row>
        <row r="55">
          <cell r="A55">
            <v>33032</v>
          </cell>
          <cell r="B55" t="str">
            <v>Hauling Revenue - Commercial Recycling R</v>
          </cell>
          <cell r="E55">
            <v>0</v>
          </cell>
          <cell r="F55">
            <v>0</v>
          </cell>
          <cell r="G55">
            <v>0</v>
          </cell>
          <cell r="H55">
            <v>0</v>
          </cell>
          <cell r="I55">
            <v>0</v>
          </cell>
          <cell r="J55">
            <v>0</v>
          </cell>
          <cell r="K55">
            <v>0</v>
          </cell>
          <cell r="L55">
            <v>0</v>
          </cell>
          <cell r="M55">
            <v>0</v>
          </cell>
          <cell r="N55">
            <v>0</v>
          </cell>
          <cell r="O55">
            <v>0</v>
          </cell>
          <cell r="P55">
            <v>0</v>
          </cell>
          <cell r="Q55">
            <v>0</v>
          </cell>
        </row>
        <row r="56">
          <cell r="A56">
            <v>33039</v>
          </cell>
          <cell r="B56" t="str">
            <v>Hauling Revenue - Commercial Recycling R</v>
          </cell>
          <cell r="E56">
            <v>0</v>
          </cell>
          <cell r="F56">
            <v>0</v>
          </cell>
          <cell r="G56">
            <v>0</v>
          </cell>
          <cell r="H56">
            <v>0</v>
          </cell>
          <cell r="I56">
            <v>0</v>
          </cell>
          <cell r="J56">
            <v>0</v>
          </cell>
          <cell r="K56">
            <v>0</v>
          </cell>
          <cell r="L56">
            <v>0</v>
          </cell>
          <cell r="M56">
            <v>0</v>
          </cell>
          <cell r="N56">
            <v>0</v>
          </cell>
          <cell r="O56">
            <v>0</v>
          </cell>
          <cell r="P56">
            <v>0</v>
          </cell>
          <cell r="Q56">
            <v>0</v>
          </cell>
        </row>
        <row r="57">
          <cell r="A57">
            <v>33500</v>
          </cell>
          <cell r="B57" t="str">
            <v>Portable Toilet Revenue</v>
          </cell>
          <cell r="E57">
            <v>0</v>
          </cell>
          <cell r="F57">
            <v>0</v>
          </cell>
          <cell r="G57">
            <v>0</v>
          </cell>
          <cell r="H57">
            <v>0</v>
          </cell>
          <cell r="I57">
            <v>0</v>
          </cell>
          <cell r="J57">
            <v>0</v>
          </cell>
          <cell r="K57">
            <v>0</v>
          </cell>
          <cell r="L57">
            <v>0</v>
          </cell>
          <cell r="M57">
            <v>0</v>
          </cell>
          <cell r="N57">
            <v>0</v>
          </cell>
          <cell r="O57">
            <v>0</v>
          </cell>
          <cell r="P57">
            <v>0</v>
          </cell>
          <cell r="Q57">
            <v>0</v>
          </cell>
        </row>
        <row r="58">
          <cell r="A58">
            <v>33501</v>
          </cell>
          <cell r="B58" t="str">
            <v>Portable Toilet Extras</v>
          </cell>
          <cell r="E58">
            <v>0</v>
          </cell>
          <cell r="F58">
            <v>0</v>
          </cell>
          <cell r="G58">
            <v>0</v>
          </cell>
          <cell r="H58">
            <v>0</v>
          </cell>
          <cell r="I58">
            <v>0</v>
          </cell>
          <cell r="J58">
            <v>0</v>
          </cell>
          <cell r="K58">
            <v>0</v>
          </cell>
          <cell r="L58">
            <v>0</v>
          </cell>
          <cell r="M58">
            <v>0</v>
          </cell>
          <cell r="N58">
            <v>0</v>
          </cell>
          <cell r="O58">
            <v>0</v>
          </cell>
          <cell r="P58">
            <v>0</v>
          </cell>
          <cell r="Q58">
            <v>0</v>
          </cell>
        </row>
        <row r="59">
          <cell r="A59">
            <v>33502</v>
          </cell>
          <cell r="B59" t="str">
            <v>Portable Toilet Adjustments</v>
          </cell>
          <cell r="E59">
            <v>0</v>
          </cell>
          <cell r="F59">
            <v>0</v>
          </cell>
          <cell r="G59">
            <v>0</v>
          </cell>
          <cell r="H59">
            <v>0</v>
          </cell>
          <cell r="I59">
            <v>0</v>
          </cell>
          <cell r="J59">
            <v>0</v>
          </cell>
          <cell r="K59">
            <v>0</v>
          </cell>
          <cell r="L59">
            <v>0</v>
          </cell>
          <cell r="M59">
            <v>0</v>
          </cell>
          <cell r="N59">
            <v>0</v>
          </cell>
          <cell r="O59">
            <v>0</v>
          </cell>
          <cell r="P59">
            <v>0</v>
          </cell>
          <cell r="Q59">
            <v>0</v>
          </cell>
        </row>
        <row r="60">
          <cell r="A60">
            <v>33509</v>
          </cell>
          <cell r="B60" t="str">
            <v>Portable Toilet Intercompany</v>
          </cell>
          <cell r="E60">
            <v>0</v>
          </cell>
          <cell r="F60">
            <v>0</v>
          </cell>
          <cell r="G60">
            <v>0</v>
          </cell>
          <cell r="H60">
            <v>0</v>
          </cell>
          <cell r="I60">
            <v>0</v>
          </cell>
          <cell r="J60">
            <v>0</v>
          </cell>
          <cell r="K60">
            <v>0</v>
          </cell>
          <cell r="L60">
            <v>0</v>
          </cell>
          <cell r="M60">
            <v>0</v>
          </cell>
          <cell r="N60">
            <v>0</v>
          </cell>
          <cell r="O60">
            <v>0</v>
          </cell>
          <cell r="P60">
            <v>0</v>
          </cell>
          <cell r="Q60">
            <v>0</v>
          </cell>
        </row>
        <row r="61">
          <cell r="A61" t="str">
            <v>Total Hauling</v>
          </cell>
          <cell r="E61">
            <v>1386073.49</v>
          </cell>
          <cell r="F61">
            <v>1372277.94</v>
          </cell>
          <cell r="G61">
            <v>1406346.48</v>
          </cell>
          <cell r="H61">
            <v>1411911.56</v>
          </cell>
          <cell r="I61">
            <v>1416201.0699999998</v>
          </cell>
          <cell r="J61">
            <v>1459490.68</v>
          </cell>
          <cell r="K61">
            <v>1462503.71</v>
          </cell>
          <cell r="L61">
            <v>1483897.43</v>
          </cell>
          <cell r="M61">
            <v>1457942.84</v>
          </cell>
          <cell r="N61">
            <v>1412161.3899999997</v>
          </cell>
          <cell r="O61">
            <v>1377199.56</v>
          </cell>
          <cell r="P61">
            <v>1412687.2399999998</v>
          </cell>
          <cell r="Q61">
            <v>17058693.389999997</v>
          </cell>
        </row>
        <row r="63">
          <cell r="A63" t="str">
            <v>Transfer</v>
          </cell>
        </row>
        <row r="64">
          <cell r="A64">
            <v>35000</v>
          </cell>
          <cell r="B64" t="str">
            <v>Transfer Station - Third Party</v>
          </cell>
          <cell r="E64">
            <v>0</v>
          </cell>
          <cell r="F64">
            <v>0</v>
          </cell>
          <cell r="G64">
            <v>0</v>
          </cell>
          <cell r="H64">
            <v>0</v>
          </cell>
          <cell r="I64">
            <v>0</v>
          </cell>
          <cell r="J64">
            <v>0</v>
          </cell>
          <cell r="K64">
            <v>0</v>
          </cell>
          <cell r="L64">
            <v>0</v>
          </cell>
          <cell r="M64">
            <v>0</v>
          </cell>
          <cell r="N64">
            <v>0</v>
          </cell>
          <cell r="O64">
            <v>0</v>
          </cell>
          <cell r="P64">
            <v>0</v>
          </cell>
          <cell r="Q64">
            <v>0</v>
          </cell>
        </row>
        <row r="65">
          <cell r="A65">
            <v>35001</v>
          </cell>
          <cell r="B65" t="str">
            <v>Transfer Station - Third Party Adjustmen</v>
          </cell>
          <cell r="E65">
            <v>0</v>
          </cell>
          <cell r="F65">
            <v>0</v>
          </cell>
          <cell r="G65">
            <v>0</v>
          </cell>
          <cell r="H65">
            <v>0</v>
          </cell>
          <cell r="I65">
            <v>0</v>
          </cell>
          <cell r="J65">
            <v>0</v>
          </cell>
          <cell r="K65">
            <v>0</v>
          </cell>
          <cell r="L65">
            <v>0</v>
          </cell>
          <cell r="M65">
            <v>0</v>
          </cell>
          <cell r="N65">
            <v>0</v>
          </cell>
          <cell r="O65">
            <v>0</v>
          </cell>
          <cell r="P65">
            <v>0</v>
          </cell>
          <cell r="Q65">
            <v>0</v>
          </cell>
        </row>
        <row r="66">
          <cell r="A66">
            <v>35009</v>
          </cell>
          <cell r="B66" t="str">
            <v>Transfer Station - Intercompany</v>
          </cell>
          <cell r="E66">
            <v>0</v>
          </cell>
          <cell r="F66">
            <v>0</v>
          </cell>
          <cell r="G66">
            <v>0</v>
          </cell>
          <cell r="H66">
            <v>0</v>
          </cell>
          <cell r="I66">
            <v>0</v>
          </cell>
          <cell r="J66">
            <v>0</v>
          </cell>
          <cell r="K66">
            <v>0</v>
          </cell>
          <cell r="L66">
            <v>0</v>
          </cell>
          <cell r="M66">
            <v>0</v>
          </cell>
          <cell r="N66">
            <v>0</v>
          </cell>
          <cell r="O66">
            <v>0</v>
          </cell>
          <cell r="P66">
            <v>0</v>
          </cell>
          <cell r="Q66">
            <v>0</v>
          </cell>
        </row>
        <row r="67">
          <cell r="A67">
            <v>35500</v>
          </cell>
          <cell r="B67" t="str">
            <v>MRF Processing Charge</v>
          </cell>
          <cell r="E67">
            <v>0</v>
          </cell>
          <cell r="F67">
            <v>0</v>
          </cell>
          <cell r="G67">
            <v>0</v>
          </cell>
          <cell r="H67">
            <v>0</v>
          </cell>
          <cell r="I67">
            <v>0</v>
          </cell>
          <cell r="J67">
            <v>0</v>
          </cell>
          <cell r="K67">
            <v>0</v>
          </cell>
          <cell r="L67">
            <v>0</v>
          </cell>
          <cell r="M67">
            <v>0</v>
          </cell>
          <cell r="N67">
            <v>0</v>
          </cell>
          <cell r="O67">
            <v>0</v>
          </cell>
          <cell r="P67">
            <v>0</v>
          </cell>
          <cell r="Q67">
            <v>0</v>
          </cell>
        </row>
        <row r="68">
          <cell r="A68">
            <v>35501</v>
          </cell>
          <cell r="B68" t="str">
            <v>MRF Processing Charge Adjustments</v>
          </cell>
          <cell r="E68">
            <v>0</v>
          </cell>
          <cell r="F68">
            <v>0</v>
          </cell>
          <cell r="G68">
            <v>0</v>
          </cell>
          <cell r="H68">
            <v>0</v>
          </cell>
          <cell r="I68">
            <v>0</v>
          </cell>
          <cell r="J68">
            <v>0</v>
          </cell>
          <cell r="K68">
            <v>0</v>
          </cell>
          <cell r="L68">
            <v>0</v>
          </cell>
          <cell r="M68">
            <v>0</v>
          </cell>
          <cell r="N68">
            <v>0</v>
          </cell>
          <cell r="O68">
            <v>0</v>
          </cell>
          <cell r="P68">
            <v>0</v>
          </cell>
          <cell r="Q68">
            <v>0</v>
          </cell>
        </row>
        <row r="69">
          <cell r="A69">
            <v>35509</v>
          </cell>
          <cell r="B69" t="str">
            <v>MRF Processing Charge Intercompany</v>
          </cell>
          <cell r="E69">
            <v>0</v>
          </cell>
          <cell r="F69">
            <v>0</v>
          </cell>
          <cell r="G69">
            <v>0</v>
          </cell>
          <cell r="H69">
            <v>0</v>
          </cell>
          <cell r="I69">
            <v>0</v>
          </cell>
          <cell r="J69">
            <v>0</v>
          </cell>
          <cell r="K69">
            <v>0</v>
          </cell>
          <cell r="L69">
            <v>0</v>
          </cell>
          <cell r="M69">
            <v>0</v>
          </cell>
          <cell r="N69">
            <v>0</v>
          </cell>
          <cell r="O69">
            <v>0</v>
          </cell>
          <cell r="P69">
            <v>0</v>
          </cell>
          <cell r="Q69">
            <v>0</v>
          </cell>
        </row>
        <row r="70">
          <cell r="A70" t="str">
            <v>Total Transfer</v>
          </cell>
          <cell r="E70">
            <v>0</v>
          </cell>
          <cell r="F70">
            <v>0</v>
          </cell>
          <cell r="G70">
            <v>0</v>
          </cell>
          <cell r="H70">
            <v>0</v>
          </cell>
          <cell r="I70">
            <v>0</v>
          </cell>
          <cell r="J70">
            <v>0</v>
          </cell>
          <cell r="K70">
            <v>0</v>
          </cell>
          <cell r="L70">
            <v>0</v>
          </cell>
          <cell r="M70">
            <v>0</v>
          </cell>
          <cell r="N70">
            <v>0</v>
          </cell>
          <cell r="O70">
            <v>0</v>
          </cell>
          <cell r="P70">
            <v>0</v>
          </cell>
          <cell r="Q70">
            <v>0</v>
          </cell>
        </row>
        <row r="72">
          <cell r="A72" t="str">
            <v>MRF</v>
          </cell>
        </row>
        <row r="73">
          <cell r="A73">
            <v>35510</v>
          </cell>
          <cell r="B73" t="str">
            <v>Proceeds - OCC</v>
          </cell>
          <cell r="E73">
            <v>0</v>
          </cell>
          <cell r="F73">
            <v>0</v>
          </cell>
          <cell r="G73">
            <v>0</v>
          </cell>
          <cell r="H73">
            <v>0</v>
          </cell>
          <cell r="I73">
            <v>0</v>
          </cell>
          <cell r="J73">
            <v>0</v>
          </cell>
          <cell r="K73">
            <v>0</v>
          </cell>
          <cell r="L73">
            <v>0</v>
          </cell>
          <cell r="M73">
            <v>0</v>
          </cell>
          <cell r="N73">
            <v>0</v>
          </cell>
          <cell r="O73">
            <v>0</v>
          </cell>
          <cell r="P73">
            <v>0</v>
          </cell>
          <cell r="Q73">
            <v>0</v>
          </cell>
        </row>
        <row r="74">
          <cell r="A74">
            <v>35511</v>
          </cell>
          <cell r="B74" t="str">
            <v>Proceeds - ONP</v>
          </cell>
          <cell r="E74">
            <v>0</v>
          </cell>
          <cell r="F74">
            <v>0</v>
          </cell>
          <cell r="G74">
            <v>0</v>
          </cell>
          <cell r="H74">
            <v>0</v>
          </cell>
          <cell r="I74">
            <v>0</v>
          </cell>
          <cell r="J74">
            <v>0</v>
          </cell>
          <cell r="K74">
            <v>0</v>
          </cell>
          <cell r="L74">
            <v>0</v>
          </cell>
          <cell r="M74">
            <v>0</v>
          </cell>
          <cell r="N74">
            <v>0</v>
          </cell>
          <cell r="O74">
            <v>0</v>
          </cell>
          <cell r="P74">
            <v>0</v>
          </cell>
          <cell r="Q74">
            <v>0</v>
          </cell>
        </row>
        <row r="75">
          <cell r="A75">
            <v>35512</v>
          </cell>
          <cell r="B75" t="str">
            <v>Proceeds - Other Paper</v>
          </cell>
          <cell r="E75">
            <v>0</v>
          </cell>
          <cell r="F75">
            <v>0</v>
          </cell>
          <cell r="G75">
            <v>0</v>
          </cell>
          <cell r="H75">
            <v>0</v>
          </cell>
          <cell r="I75">
            <v>0</v>
          </cell>
          <cell r="J75">
            <v>0</v>
          </cell>
          <cell r="K75">
            <v>0</v>
          </cell>
          <cell r="L75">
            <v>0</v>
          </cell>
          <cell r="M75">
            <v>0</v>
          </cell>
          <cell r="N75">
            <v>0</v>
          </cell>
          <cell r="O75">
            <v>0</v>
          </cell>
          <cell r="P75">
            <v>0</v>
          </cell>
          <cell r="Q75">
            <v>0</v>
          </cell>
        </row>
        <row r="76">
          <cell r="A76">
            <v>35513</v>
          </cell>
          <cell r="B76" t="str">
            <v>Proceeds - Aluminum</v>
          </cell>
          <cell r="E76">
            <v>0</v>
          </cell>
          <cell r="F76">
            <v>0</v>
          </cell>
          <cell r="G76">
            <v>0</v>
          </cell>
          <cell r="H76">
            <v>0</v>
          </cell>
          <cell r="I76">
            <v>0</v>
          </cell>
          <cell r="J76">
            <v>0</v>
          </cell>
          <cell r="K76">
            <v>0</v>
          </cell>
          <cell r="L76">
            <v>0</v>
          </cell>
          <cell r="M76">
            <v>0</v>
          </cell>
          <cell r="N76">
            <v>0</v>
          </cell>
          <cell r="O76">
            <v>0</v>
          </cell>
          <cell r="P76">
            <v>0</v>
          </cell>
          <cell r="Q76">
            <v>0</v>
          </cell>
        </row>
        <row r="77">
          <cell r="A77">
            <v>35514</v>
          </cell>
          <cell r="B77" t="str">
            <v>Proceeds - Metal</v>
          </cell>
          <cell r="E77">
            <v>0</v>
          </cell>
          <cell r="F77">
            <v>0</v>
          </cell>
          <cell r="G77">
            <v>0</v>
          </cell>
          <cell r="H77">
            <v>0</v>
          </cell>
          <cell r="I77">
            <v>0</v>
          </cell>
          <cell r="J77">
            <v>0</v>
          </cell>
          <cell r="K77">
            <v>0</v>
          </cell>
          <cell r="L77">
            <v>0</v>
          </cell>
          <cell r="M77">
            <v>0</v>
          </cell>
          <cell r="N77">
            <v>0</v>
          </cell>
          <cell r="O77">
            <v>0</v>
          </cell>
          <cell r="P77">
            <v>0</v>
          </cell>
          <cell r="Q77">
            <v>0</v>
          </cell>
        </row>
        <row r="78">
          <cell r="A78">
            <v>35515</v>
          </cell>
          <cell r="B78" t="str">
            <v>Proceeds - Glass</v>
          </cell>
          <cell r="E78">
            <v>0</v>
          </cell>
          <cell r="F78">
            <v>0</v>
          </cell>
          <cell r="G78">
            <v>0</v>
          </cell>
          <cell r="H78">
            <v>0</v>
          </cell>
          <cell r="I78">
            <v>0</v>
          </cell>
          <cell r="J78">
            <v>0</v>
          </cell>
          <cell r="K78">
            <v>0</v>
          </cell>
          <cell r="L78">
            <v>0</v>
          </cell>
          <cell r="M78">
            <v>0</v>
          </cell>
          <cell r="N78">
            <v>0</v>
          </cell>
          <cell r="O78">
            <v>0</v>
          </cell>
          <cell r="P78">
            <v>0</v>
          </cell>
          <cell r="Q78">
            <v>0</v>
          </cell>
        </row>
        <row r="79">
          <cell r="A79">
            <v>35516</v>
          </cell>
          <cell r="B79" t="str">
            <v>Proceeds - Plastic</v>
          </cell>
          <cell r="E79">
            <v>0</v>
          </cell>
          <cell r="F79">
            <v>0</v>
          </cell>
          <cell r="G79">
            <v>0</v>
          </cell>
          <cell r="H79">
            <v>0</v>
          </cell>
          <cell r="I79">
            <v>0</v>
          </cell>
          <cell r="J79">
            <v>0</v>
          </cell>
          <cell r="K79">
            <v>0</v>
          </cell>
          <cell r="L79">
            <v>0</v>
          </cell>
          <cell r="M79">
            <v>0</v>
          </cell>
          <cell r="N79">
            <v>0</v>
          </cell>
          <cell r="O79">
            <v>0</v>
          </cell>
          <cell r="P79">
            <v>0</v>
          </cell>
          <cell r="Q79">
            <v>0</v>
          </cell>
        </row>
        <row r="80">
          <cell r="A80">
            <v>35517</v>
          </cell>
          <cell r="B80" t="str">
            <v>Proceeds - Other Recyclables</v>
          </cell>
          <cell r="E80">
            <v>0</v>
          </cell>
          <cell r="F80">
            <v>0</v>
          </cell>
          <cell r="G80">
            <v>0</v>
          </cell>
          <cell r="H80">
            <v>0</v>
          </cell>
          <cell r="I80">
            <v>0</v>
          </cell>
          <cell r="J80">
            <v>0</v>
          </cell>
          <cell r="K80">
            <v>0</v>
          </cell>
          <cell r="L80">
            <v>0</v>
          </cell>
          <cell r="M80">
            <v>0</v>
          </cell>
          <cell r="N80">
            <v>0</v>
          </cell>
          <cell r="O80">
            <v>0</v>
          </cell>
          <cell r="P80">
            <v>0</v>
          </cell>
          <cell r="Q80">
            <v>0</v>
          </cell>
        </row>
        <row r="81">
          <cell r="A81">
            <v>35518</v>
          </cell>
          <cell r="B81" t="str">
            <v>Proceeds - Commingled</v>
          </cell>
          <cell r="E81">
            <v>0</v>
          </cell>
          <cell r="F81">
            <v>0</v>
          </cell>
          <cell r="G81">
            <v>0</v>
          </cell>
          <cell r="H81">
            <v>0</v>
          </cell>
          <cell r="I81">
            <v>0</v>
          </cell>
          <cell r="J81">
            <v>0</v>
          </cell>
          <cell r="K81">
            <v>0</v>
          </cell>
          <cell r="L81">
            <v>0</v>
          </cell>
          <cell r="M81">
            <v>0</v>
          </cell>
          <cell r="N81">
            <v>0</v>
          </cell>
          <cell r="O81">
            <v>0</v>
          </cell>
          <cell r="P81">
            <v>0</v>
          </cell>
          <cell r="Q81">
            <v>0</v>
          </cell>
        </row>
        <row r="82">
          <cell r="A82">
            <v>35519</v>
          </cell>
          <cell r="B82" t="str">
            <v>Proceeds - Intercompany Material Sales</v>
          </cell>
          <cell r="E82">
            <v>0</v>
          </cell>
          <cell r="F82">
            <v>0</v>
          </cell>
          <cell r="G82">
            <v>0</v>
          </cell>
          <cell r="H82">
            <v>0</v>
          </cell>
          <cell r="I82">
            <v>0</v>
          </cell>
          <cell r="J82">
            <v>0</v>
          </cell>
          <cell r="K82">
            <v>0</v>
          </cell>
          <cell r="L82">
            <v>0</v>
          </cell>
          <cell r="M82">
            <v>0</v>
          </cell>
          <cell r="N82">
            <v>0</v>
          </cell>
          <cell r="O82">
            <v>0</v>
          </cell>
          <cell r="P82">
            <v>0</v>
          </cell>
          <cell r="Q82">
            <v>0</v>
          </cell>
        </row>
        <row r="83">
          <cell r="A83">
            <v>35520</v>
          </cell>
          <cell r="B83" t="str">
            <v>Support - OCC</v>
          </cell>
          <cell r="E83">
            <v>0</v>
          </cell>
          <cell r="F83">
            <v>0</v>
          </cell>
          <cell r="G83">
            <v>0</v>
          </cell>
          <cell r="H83">
            <v>0</v>
          </cell>
          <cell r="I83">
            <v>0</v>
          </cell>
          <cell r="J83">
            <v>0</v>
          </cell>
          <cell r="K83">
            <v>0</v>
          </cell>
          <cell r="L83">
            <v>0</v>
          </cell>
          <cell r="M83">
            <v>0</v>
          </cell>
          <cell r="N83">
            <v>0</v>
          </cell>
          <cell r="O83">
            <v>0</v>
          </cell>
          <cell r="P83">
            <v>0</v>
          </cell>
          <cell r="Q83">
            <v>0</v>
          </cell>
        </row>
        <row r="84">
          <cell r="A84">
            <v>35521</v>
          </cell>
          <cell r="B84" t="str">
            <v>Support - ONP</v>
          </cell>
          <cell r="E84">
            <v>0</v>
          </cell>
          <cell r="F84">
            <v>0</v>
          </cell>
          <cell r="G84">
            <v>0</v>
          </cell>
          <cell r="H84">
            <v>0</v>
          </cell>
          <cell r="I84">
            <v>0</v>
          </cell>
          <cell r="J84">
            <v>0</v>
          </cell>
          <cell r="K84">
            <v>0</v>
          </cell>
          <cell r="L84">
            <v>0</v>
          </cell>
          <cell r="M84">
            <v>0</v>
          </cell>
          <cell r="N84">
            <v>0</v>
          </cell>
          <cell r="O84">
            <v>0</v>
          </cell>
          <cell r="P84">
            <v>0</v>
          </cell>
          <cell r="Q84">
            <v>0</v>
          </cell>
        </row>
        <row r="85">
          <cell r="A85">
            <v>35522</v>
          </cell>
          <cell r="B85" t="str">
            <v>Support - Other Paper</v>
          </cell>
          <cell r="E85">
            <v>0</v>
          </cell>
          <cell r="F85">
            <v>0</v>
          </cell>
          <cell r="G85">
            <v>0</v>
          </cell>
          <cell r="H85">
            <v>0</v>
          </cell>
          <cell r="I85">
            <v>0</v>
          </cell>
          <cell r="J85">
            <v>0</v>
          </cell>
          <cell r="K85">
            <v>0</v>
          </cell>
          <cell r="L85">
            <v>0</v>
          </cell>
          <cell r="M85">
            <v>0</v>
          </cell>
          <cell r="N85">
            <v>0</v>
          </cell>
          <cell r="O85">
            <v>0</v>
          </cell>
          <cell r="P85">
            <v>0</v>
          </cell>
          <cell r="Q85">
            <v>0</v>
          </cell>
        </row>
        <row r="86">
          <cell r="A86">
            <v>35523</v>
          </cell>
          <cell r="B86" t="str">
            <v>Support - Aluminum</v>
          </cell>
          <cell r="E86">
            <v>0</v>
          </cell>
          <cell r="F86">
            <v>0</v>
          </cell>
          <cell r="G86">
            <v>0</v>
          </cell>
          <cell r="H86">
            <v>0</v>
          </cell>
          <cell r="I86">
            <v>0</v>
          </cell>
          <cell r="J86">
            <v>0</v>
          </cell>
          <cell r="K86">
            <v>0</v>
          </cell>
          <cell r="L86">
            <v>0</v>
          </cell>
          <cell r="M86">
            <v>0</v>
          </cell>
          <cell r="N86">
            <v>0</v>
          </cell>
          <cell r="O86">
            <v>0</v>
          </cell>
          <cell r="P86">
            <v>0</v>
          </cell>
          <cell r="Q86">
            <v>0</v>
          </cell>
        </row>
        <row r="87">
          <cell r="A87">
            <v>35524</v>
          </cell>
          <cell r="B87" t="str">
            <v>Support - Metal</v>
          </cell>
          <cell r="E87">
            <v>0</v>
          </cell>
          <cell r="F87">
            <v>0</v>
          </cell>
          <cell r="G87">
            <v>0</v>
          </cell>
          <cell r="H87">
            <v>0</v>
          </cell>
          <cell r="I87">
            <v>0</v>
          </cell>
          <cell r="J87">
            <v>0</v>
          </cell>
          <cell r="K87">
            <v>0</v>
          </cell>
          <cell r="L87">
            <v>0</v>
          </cell>
          <cell r="M87">
            <v>0</v>
          </cell>
          <cell r="N87">
            <v>0</v>
          </cell>
          <cell r="O87">
            <v>0</v>
          </cell>
          <cell r="P87">
            <v>0</v>
          </cell>
          <cell r="Q87">
            <v>0</v>
          </cell>
        </row>
        <row r="88">
          <cell r="A88">
            <v>35525</v>
          </cell>
          <cell r="B88" t="str">
            <v>Support - Glass</v>
          </cell>
          <cell r="E88">
            <v>0</v>
          </cell>
          <cell r="F88">
            <v>0</v>
          </cell>
          <cell r="G88">
            <v>0</v>
          </cell>
          <cell r="H88">
            <v>0</v>
          </cell>
          <cell r="I88">
            <v>0</v>
          </cell>
          <cell r="J88">
            <v>0</v>
          </cell>
          <cell r="K88">
            <v>0</v>
          </cell>
          <cell r="L88">
            <v>0</v>
          </cell>
          <cell r="M88">
            <v>0</v>
          </cell>
          <cell r="N88">
            <v>0</v>
          </cell>
          <cell r="O88">
            <v>0</v>
          </cell>
          <cell r="P88">
            <v>0</v>
          </cell>
          <cell r="Q88">
            <v>0</v>
          </cell>
        </row>
        <row r="89">
          <cell r="A89">
            <v>35526</v>
          </cell>
          <cell r="B89" t="str">
            <v>Support - Plastic</v>
          </cell>
          <cell r="E89">
            <v>0</v>
          </cell>
          <cell r="F89">
            <v>0</v>
          </cell>
          <cell r="G89">
            <v>0</v>
          </cell>
          <cell r="H89">
            <v>0</v>
          </cell>
          <cell r="I89">
            <v>0</v>
          </cell>
          <cell r="J89">
            <v>0</v>
          </cell>
          <cell r="K89">
            <v>0</v>
          </cell>
          <cell r="L89">
            <v>0</v>
          </cell>
          <cell r="M89">
            <v>0</v>
          </cell>
          <cell r="N89">
            <v>0</v>
          </cell>
          <cell r="O89">
            <v>0</v>
          </cell>
          <cell r="P89">
            <v>0</v>
          </cell>
          <cell r="Q89">
            <v>0</v>
          </cell>
        </row>
        <row r="90">
          <cell r="A90">
            <v>35527</v>
          </cell>
          <cell r="B90" t="str">
            <v>Support - Other Recyclables</v>
          </cell>
          <cell r="E90">
            <v>0</v>
          </cell>
          <cell r="F90">
            <v>0</v>
          </cell>
          <cell r="G90">
            <v>0</v>
          </cell>
          <cell r="H90">
            <v>0</v>
          </cell>
          <cell r="I90">
            <v>0</v>
          </cell>
          <cell r="J90">
            <v>0</v>
          </cell>
          <cell r="K90">
            <v>0</v>
          </cell>
          <cell r="L90">
            <v>0</v>
          </cell>
          <cell r="M90">
            <v>0</v>
          </cell>
          <cell r="N90">
            <v>0</v>
          </cell>
          <cell r="O90">
            <v>0</v>
          </cell>
          <cell r="P90">
            <v>0</v>
          </cell>
          <cell r="Q90">
            <v>0</v>
          </cell>
        </row>
        <row r="91">
          <cell r="A91">
            <v>35529</v>
          </cell>
          <cell r="B91" t="str">
            <v>Support - Intercompany Material Sales</v>
          </cell>
          <cell r="E91">
            <v>0</v>
          </cell>
          <cell r="F91">
            <v>0</v>
          </cell>
          <cell r="G91">
            <v>0</v>
          </cell>
          <cell r="H91">
            <v>0</v>
          </cell>
          <cell r="I91">
            <v>0</v>
          </cell>
          <cell r="J91">
            <v>0</v>
          </cell>
          <cell r="K91">
            <v>0</v>
          </cell>
          <cell r="L91">
            <v>0</v>
          </cell>
          <cell r="M91">
            <v>0</v>
          </cell>
          <cell r="N91">
            <v>0</v>
          </cell>
          <cell r="O91">
            <v>0</v>
          </cell>
          <cell r="P91">
            <v>0</v>
          </cell>
          <cell r="Q91">
            <v>0</v>
          </cell>
        </row>
        <row r="92">
          <cell r="A92">
            <v>35551</v>
          </cell>
          <cell r="B92" t="str">
            <v>Proceeds - Compost</v>
          </cell>
          <cell r="E92">
            <v>0</v>
          </cell>
          <cell r="F92">
            <v>0</v>
          </cell>
          <cell r="G92">
            <v>0</v>
          </cell>
          <cell r="H92">
            <v>0</v>
          </cell>
          <cell r="I92">
            <v>0</v>
          </cell>
          <cell r="J92">
            <v>0</v>
          </cell>
          <cell r="K92">
            <v>0</v>
          </cell>
          <cell r="L92">
            <v>0</v>
          </cell>
          <cell r="M92">
            <v>0</v>
          </cell>
          <cell r="N92">
            <v>0</v>
          </cell>
          <cell r="O92">
            <v>0</v>
          </cell>
          <cell r="P92">
            <v>0</v>
          </cell>
          <cell r="Q92">
            <v>0</v>
          </cell>
        </row>
        <row r="93">
          <cell r="A93">
            <v>35552</v>
          </cell>
          <cell r="B93" t="str">
            <v>Proceeds - Fuel</v>
          </cell>
          <cell r="E93">
            <v>0</v>
          </cell>
          <cell r="F93">
            <v>0</v>
          </cell>
          <cell r="G93">
            <v>0</v>
          </cell>
          <cell r="H93">
            <v>0</v>
          </cell>
          <cell r="I93">
            <v>0</v>
          </cell>
          <cell r="J93">
            <v>0</v>
          </cell>
          <cell r="K93">
            <v>0</v>
          </cell>
          <cell r="L93">
            <v>0</v>
          </cell>
          <cell r="M93">
            <v>0</v>
          </cell>
          <cell r="N93">
            <v>0</v>
          </cell>
          <cell r="O93">
            <v>0</v>
          </cell>
          <cell r="P93">
            <v>0</v>
          </cell>
          <cell r="Q93">
            <v>0</v>
          </cell>
        </row>
        <row r="94">
          <cell r="A94">
            <v>35553</v>
          </cell>
          <cell r="B94" t="str">
            <v>Proceeds - Landscape Materials</v>
          </cell>
          <cell r="E94">
            <v>0</v>
          </cell>
          <cell r="F94">
            <v>0</v>
          </cell>
          <cell r="G94">
            <v>0</v>
          </cell>
          <cell r="H94">
            <v>0</v>
          </cell>
          <cell r="I94">
            <v>0</v>
          </cell>
          <cell r="J94">
            <v>0</v>
          </cell>
          <cell r="K94">
            <v>0</v>
          </cell>
          <cell r="L94">
            <v>0</v>
          </cell>
          <cell r="M94">
            <v>0</v>
          </cell>
          <cell r="N94">
            <v>0</v>
          </cell>
          <cell r="O94">
            <v>0</v>
          </cell>
          <cell r="P94">
            <v>0</v>
          </cell>
          <cell r="Q94">
            <v>0</v>
          </cell>
        </row>
        <row r="95">
          <cell r="A95" t="str">
            <v>Total MRF</v>
          </cell>
          <cell r="E95">
            <v>0</v>
          </cell>
          <cell r="F95">
            <v>0</v>
          </cell>
          <cell r="G95">
            <v>0</v>
          </cell>
          <cell r="H95">
            <v>0</v>
          </cell>
          <cell r="I95">
            <v>0</v>
          </cell>
          <cell r="J95">
            <v>0</v>
          </cell>
          <cell r="K95">
            <v>0</v>
          </cell>
          <cell r="L95">
            <v>0</v>
          </cell>
          <cell r="M95">
            <v>0</v>
          </cell>
          <cell r="N95">
            <v>0</v>
          </cell>
          <cell r="O95">
            <v>0</v>
          </cell>
          <cell r="P95">
            <v>0</v>
          </cell>
          <cell r="Q95">
            <v>0</v>
          </cell>
        </row>
        <row r="97">
          <cell r="A97" t="str">
            <v>Landfill</v>
          </cell>
        </row>
        <row r="98">
          <cell r="A98">
            <v>36000</v>
          </cell>
          <cell r="B98" t="str">
            <v>Landfill Revenue - MSW</v>
          </cell>
          <cell r="E98">
            <v>0</v>
          </cell>
          <cell r="F98">
            <v>0</v>
          </cell>
          <cell r="G98">
            <v>0</v>
          </cell>
          <cell r="H98">
            <v>0</v>
          </cell>
          <cell r="I98">
            <v>0</v>
          </cell>
          <cell r="J98">
            <v>0</v>
          </cell>
          <cell r="K98">
            <v>0</v>
          </cell>
          <cell r="L98">
            <v>0</v>
          </cell>
          <cell r="M98">
            <v>0</v>
          </cell>
          <cell r="N98">
            <v>0</v>
          </cell>
          <cell r="O98">
            <v>0</v>
          </cell>
          <cell r="P98">
            <v>0</v>
          </cell>
          <cell r="Q98">
            <v>0</v>
          </cell>
        </row>
        <row r="99">
          <cell r="A99">
            <v>36001</v>
          </cell>
          <cell r="B99" t="str">
            <v>Landfill Revenue - MSW Adjustments</v>
          </cell>
          <cell r="E99">
            <v>0</v>
          </cell>
          <cell r="F99">
            <v>0</v>
          </cell>
          <cell r="G99">
            <v>0</v>
          </cell>
          <cell r="H99">
            <v>0</v>
          </cell>
          <cell r="I99">
            <v>0</v>
          </cell>
          <cell r="J99">
            <v>0</v>
          </cell>
          <cell r="K99">
            <v>0</v>
          </cell>
          <cell r="L99">
            <v>0</v>
          </cell>
          <cell r="M99">
            <v>0</v>
          </cell>
          <cell r="N99">
            <v>0</v>
          </cell>
          <cell r="O99">
            <v>0</v>
          </cell>
          <cell r="P99">
            <v>0</v>
          </cell>
          <cell r="Q99">
            <v>0</v>
          </cell>
        </row>
        <row r="100">
          <cell r="A100">
            <v>36002</v>
          </cell>
          <cell r="B100" t="str">
            <v>Landfill Revenue - Extras</v>
          </cell>
          <cell r="E100">
            <v>0</v>
          </cell>
          <cell r="F100">
            <v>0</v>
          </cell>
          <cell r="G100">
            <v>0</v>
          </cell>
          <cell r="H100">
            <v>0</v>
          </cell>
          <cell r="I100">
            <v>0</v>
          </cell>
          <cell r="J100">
            <v>0</v>
          </cell>
          <cell r="K100">
            <v>0</v>
          </cell>
          <cell r="L100">
            <v>0</v>
          </cell>
          <cell r="M100">
            <v>0</v>
          </cell>
          <cell r="N100">
            <v>0</v>
          </cell>
          <cell r="O100">
            <v>0</v>
          </cell>
          <cell r="P100">
            <v>0</v>
          </cell>
          <cell r="Q100">
            <v>0</v>
          </cell>
        </row>
        <row r="101">
          <cell r="A101">
            <v>36009</v>
          </cell>
          <cell r="B101" t="str">
            <v>Landfill Revenue - MSW Intercompany</v>
          </cell>
          <cell r="E101">
            <v>0</v>
          </cell>
          <cell r="F101">
            <v>0</v>
          </cell>
          <cell r="G101">
            <v>0</v>
          </cell>
          <cell r="H101">
            <v>0</v>
          </cell>
          <cell r="I101">
            <v>0</v>
          </cell>
          <cell r="J101">
            <v>0</v>
          </cell>
          <cell r="K101">
            <v>0</v>
          </cell>
          <cell r="L101">
            <v>0</v>
          </cell>
          <cell r="M101">
            <v>0</v>
          </cell>
          <cell r="N101">
            <v>0</v>
          </cell>
          <cell r="O101">
            <v>0</v>
          </cell>
          <cell r="P101">
            <v>0</v>
          </cell>
          <cell r="Q101">
            <v>0</v>
          </cell>
        </row>
        <row r="102">
          <cell r="A102">
            <v>36010</v>
          </cell>
          <cell r="B102" t="str">
            <v>Landfill Revenue - C&amp;D</v>
          </cell>
          <cell r="E102">
            <v>0</v>
          </cell>
          <cell r="F102">
            <v>0</v>
          </cell>
          <cell r="G102">
            <v>0</v>
          </cell>
          <cell r="H102">
            <v>0</v>
          </cell>
          <cell r="I102">
            <v>0</v>
          </cell>
          <cell r="J102">
            <v>0</v>
          </cell>
          <cell r="K102">
            <v>0</v>
          </cell>
          <cell r="L102">
            <v>0</v>
          </cell>
          <cell r="M102">
            <v>0</v>
          </cell>
          <cell r="N102">
            <v>0</v>
          </cell>
          <cell r="O102">
            <v>0</v>
          </cell>
          <cell r="P102">
            <v>0</v>
          </cell>
          <cell r="Q102">
            <v>0</v>
          </cell>
        </row>
        <row r="103">
          <cell r="A103">
            <v>36011</v>
          </cell>
          <cell r="B103" t="str">
            <v>Landfill Revenue - C&amp;D Adjustments</v>
          </cell>
          <cell r="E103">
            <v>0</v>
          </cell>
          <cell r="F103">
            <v>0</v>
          </cell>
          <cell r="G103">
            <v>0</v>
          </cell>
          <cell r="H103">
            <v>0</v>
          </cell>
          <cell r="I103">
            <v>0</v>
          </cell>
          <cell r="J103">
            <v>0</v>
          </cell>
          <cell r="K103">
            <v>0</v>
          </cell>
          <cell r="L103">
            <v>0</v>
          </cell>
          <cell r="M103">
            <v>0</v>
          </cell>
          <cell r="N103">
            <v>0</v>
          </cell>
          <cell r="O103">
            <v>0</v>
          </cell>
          <cell r="P103">
            <v>0</v>
          </cell>
          <cell r="Q103">
            <v>0</v>
          </cell>
        </row>
        <row r="104">
          <cell r="A104">
            <v>36019</v>
          </cell>
          <cell r="B104" t="str">
            <v>Landfill Revenue - C&amp;D Intercompany</v>
          </cell>
          <cell r="E104">
            <v>0</v>
          </cell>
          <cell r="F104">
            <v>0</v>
          </cell>
          <cell r="G104">
            <v>0</v>
          </cell>
          <cell r="H104">
            <v>0</v>
          </cell>
          <cell r="I104">
            <v>0</v>
          </cell>
          <cell r="J104">
            <v>0</v>
          </cell>
          <cell r="K104">
            <v>0</v>
          </cell>
          <cell r="L104">
            <v>0</v>
          </cell>
          <cell r="M104">
            <v>0</v>
          </cell>
          <cell r="N104">
            <v>0</v>
          </cell>
          <cell r="O104">
            <v>0</v>
          </cell>
          <cell r="P104">
            <v>0</v>
          </cell>
          <cell r="Q104">
            <v>0</v>
          </cell>
        </row>
        <row r="105">
          <cell r="A105">
            <v>36020</v>
          </cell>
          <cell r="B105" t="str">
            <v>Landfill Revenue - Special Waste</v>
          </cell>
          <cell r="E105">
            <v>0</v>
          </cell>
          <cell r="F105">
            <v>0</v>
          </cell>
          <cell r="G105">
            <v>0</v>
          </cell>
          <cell r="H105">
            <v>0</v>
          </cell>
          <cell r="I105">
            <v>0</v>
          </cell>
          <cell r="J105">
            <v>0</v>
          </cell>
          <cell r="K105">
            <v>0</v>
          </cell>
          <cell r="L105">
            <v>0</v>
          </cell>
          <cell r="M105">
            <v>0</v>
          </cell>
          <cell r="N105">
            <v>0</v>
          </cell>
          <cell r="O105">
            <v>0</v>
          </cell>
          <cell r="P105">
            <v>0</v>
          </cell>
          <cell r="Q105">
            <v>0</v>
          </cell>
        </row>
        <row r="106">
          <cell r="A106">
            <v>36021</v>
          </cell>
          <cell r="B106" t="str">
            <v>Landfill Revenue - Special Waste Adjustm</v>
          </cell>
          <cell r="E106">
            <v>0</v>
          </cell>
          <cell r="F106">
            <v>0</v>
          </cell>
          <cell r="G106">
            <v>0</v>
          </cell>
          <cell r="H106">
            <v>0</v>
          </cell>
          <cell r="I106">
            <v>0</v>
          </cell>
          <cell r="J106">
            <v>0</v>
          </cell>
          <cell r="K106">
            <v>0</v>
          </cell>
          <cell r="L106">
            <v>0</v>
          </cell>
          <cell r="M106">
            <v>0</v>
          </cell>
          <cell r="N106">
            <v>0</v>
          </cell>
          <cell r="O106">
            <v>0</v>
          </cell>
          <cell r="P106">
            <v>0</v>
          </cell>
          <cell r="Q106">
            <v>0</v>
          </cell>
        </row>
        <row r="107">
          <cell r="A107">
            <v>36029</v>
          </cell>
          <cell r="B107" t="str">
            <v>Landfill Revenue - Special Waste Interco</v>
          </cell>
          <cell r="E107">
            <v>0</v>
          </cell>
          <cell r="F107">
            <v>0</v>
          </cell>
          <cell r="G107">
            <v>0</v>
          </cell>
          <cell r="H107">
            <v>0</v>
          </cell>
          <cell r="I107">
            <v>0</v>
          </cell>
          <cell r="J107">
            <v>0</v>
          </cell>
          <cell r="K107">
            <v>0</v>
          </cell>
          <cell r="L107">
            <v>0</v>
          </cell>
          <cell r="M107">
            <v>0</v>
          </cell>
          <cell r="N107">
            <v>0</v>
          </cell>
          <cell r="O107">
            <v>0</v>
          </cell>
          <cell r="P107">
            <v>0</v>
          </cell>
          <cell r="Q107">
            <v>0</v>
          </cell>
        </row>
        <row r="108">
          <cell r="A108">
            <v>36030</v>
          </cell>
          <cell r="B108" t="str">
            <v>Landfill Revenue - Asbestos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A109">
            <v>36031</v>
          </cell>
          <cell r="B109" t="str">
            <v>Landfill Revenue - Asbestos Adjustments</v>
          </cell>
          <cell r="E109">
            <v>0</v>
          </cell>
          <cell r="F109">
            <v>0</v>
          </cell>
          <cell r="G109">
            <v>0</v>
          </cell>
          <cell r="H109">
            <v>0</v>
          </cell>
          <cell r="I109">
            <v>0</v>
          </cell>
          <cell r="J109">
            <v>0</v>
          </cell>
          <cell r="K109">
            <v>0</v>
          </cell>
          <cell r="L109">
            <v>0</v>
          </cell>
          <cell r="M109">
            <v>0</v>
          </cell>
          <cell r="N109">
            <v>0</v>
          </cell>
          <cell r="O109">
            <v>0</v>
          </cell>
          <cell r="P109">
            <v>0</v>
          </cell>
          <cell r="Q109">
            <v>0</v>
          </cell>
        </row>
        <row r="110">
          <cell r="A110">
            <v>36039</v>
          </cell>
          <cell r="B110" t="str">
            <v>Landfill Revenue - Asbestos Intercompany</v>
          </cell>
          <cell r="E110">
            <v>0</v>
          </cell>
          <cell r="F110">
            <v>0</v>
          </cell>
          <cell r="G110">
            <v>0</v>
          </cell>
          <cell r="H110">
            <v>0</v>
          </cell>
          <cell r="I110">
            <v>0</v>
          </cell>
          <cell r="J110">
            <v>0</v>
          </cell>
          <cell r="K110">
            <v>0</v>
          </cell>
          <cell r="L110">
            <v>0</v>
          </cell>
          <cell r="M110">
            <v>0</v>
          </cell>
          <cell r="N110">
            <v>0</v>
          </cell>
          <cell r="O110">
            <v>0</v>
          </cell>
          <cell r="P110">
            <v>0</v>
          </cell>
          <cell r="Q110">
            <v>0</v>
          </cell>
        </row>
        <row r="111">
          <cell r="A111">
            <v>36040</v>
          </cell>
          <cell r="B111" t="str">
            <v>Landfill Revenue - Contaminated Soil</v>
          </cell>
          <cell r="E111">
            <v>0</v>
          </cell>
          <cell r="F111">
            <v>0</v>
          </cell>
          <cell r="G111">
            <v>0</v>
          </cell>
          <cell r="H111">
            <v>0</v>
          </cell>
          <cell r="I111">
            <v>0</v>
          </cell>
          <cell r="J111">
            <v>0</v>
          </cell>
          <cell r="K111">
            <v>0</v>
          </cell>
          <cell r="L111">
            <v>0</v>
          </cell>
          <cell r="M111">
            <v>0</v>
          </cell>
          <cell r="N111">
            <v>0</v>
          </cell>
          <cell r="O111">
            <v>0</v>
          </cell>
          <cell r="P111">
            <v>0</v>
          </cell>
          <cell r="Q111">
            <v>0</v>
          </cell>
        </row>
        <row r="112">
          <cell r="A112">
            <v>36041</v>
          </cell>
          <cell r="B112" t="str">
            <v>Landfill Revenue - Contaminated Soil Adj</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A113">
            <v>36049</v>
          </cell>
          <cell r="B113" t="str">
            <v>Landfill Revenue - Contaminated Soil Int</v>
          </cell>
          <cell r="E113">
            <v>0</v>
          </cell>
          <cell r="F113">
            <v>0</v>
          </cell>
          <cell r="G113">
            <v>0</v>
          </cell>
          <cell r="H113">
            <v>0</v>
          </cell>
          <cell r="I113">
            <v>0</v>
          </cell>
          <cell r="J113">
            <v>0</v>
          </cell>
          <cell r="K113">
            <v>0</v>
          </cell>
          <cell r="L113">
            <v>0</v>
          </cell>
          <cell r="M113">
            <v>0</v>
          </cell>
          <cell r="N113">
            <v>0</v>
          </cell>
          <cell r="O113">
            <v>0</v>
          </cell>
          <cell r="P113">
            <v>0</v>
          </cell>
          <cell r="Q113">
            <v>0</v>
          </cell>
        </row>
        <row r="114">
          <cell r="A114">
            <v>36050</v>
          </cell>
          <cell r="B114" t="str">
            <v>Landfill Revenue - Yard Waste</v>
          </cell>
          <cell r="E114">
            <v>0</v>
          </cell>
          <cell r="F114">
            <v>0</v>
          </cell>
          <cell r="G114">
            <v>0</v>
          </cell>
          <cell r="H114">
            <v>0</v>
          </cell>
          <cell r="I114">
            <v>0</v>
          </cell>
          <cell r="J114">
            <v>0</v>
          </cell>
          <cell r="K114">
            <v>0</v>
          </cell>
          <cell r="L114">
            <v>0</v>
          </cell>
          <cell r="M114">
            <v>0</v>
          </cell>
          <cell r="N114">
            <v>0</v>
          </cell>
          <cell r="O114">
            <v>0</v>
          </cell>
          <cell r="P114">
            <v>0</v>
          </cell>
          <cell r="Q114">
            <v>0</v>
          </cell>
        </row>
        <row r="115">
          <cell r="A115">
            <v>36051</v>
          </cell>
          <cell r="B115" t="str">
            <v>Landfill Revenue - Yard Waste Adjustment</v>
          </cell>
          <cell r="E115">
            <v>0</v>
          </cell>
          <cell r="F115">
            <v>0</v>
          </cell>
          <cell r="G115">
            <v>0</v>
          </cell>
          <cell r="H115">
            <v>0</v>
          </cell>
          <cell r="I115">
            <v>0</v>
          </cell>
          <cell r="J115">
            <v>0</v>
          </cell>
          <cell r="K115">
            <v>0</v>
          </cell>
          <cell r="L115">
            <v>0</v>
          </cell>
          <cell r="M115">
            <v>0</v>
          </cell>
          <cell r="N115">
            <v>0</v>
          </cell>
          <cell r="O115">
            <v>0</v>
          </cell>
          <cell r="P115">
            <v>0</v>
          </cell>
          <cell r="Q115">
            <v>0</v>
          </cell>
        </row>
        <row r="116">
          <cell r="A116">
            <v>36059</v>
          </cell>
          <cell r="B116" t="str">
            <v>Landfill Revenue - Yard Waste Intercompa</v>
          </cell>
          <cell r="E116">
            <v>0</v>
          </cell>
          <cell r="F116">
            <v>0</v>
          </cell>
          <cell r="G116">
            <v>0</v>
          </cell>
          <cell r="H116">
            <v>0</v>
          </cell>
          <cell r="I116">
            <v>0</v>
          </cell>
          <cell r="J116">
            <v>0</v>
          </cell>
          <cell r="K116">
            <v>0</v>
          </cell>
          <cell r="L116">
            <v>0</v>
          </cell>
          <cell r="M116">
            <v>0</v>
          </cell>
          <cell r="N116">
            <v>0</v>
          </cell>
          <cell r="O116">
            <v>0</v>
          </cell>
          <cell r="P116">
            <v>0</v>
          </cell>
          <cell r="Q116">
            <v>0</v>
          </cell>
        </row>
        <row r="117">
          <cell r="A117">
            <v>36090</v>
          </cell>
          <cell r="B117" t="str">
            <v>Landfill Pass Through Revenue</v>
          </cell>
          <cell r="E117">
            <v>0</v>
          </cell>
          <cell r="F117">
            <v>0</v>
          </cell>
          <cell r="G117">
            <v>0</v>
          </cell>
          <cell r="H117">
            <v>0</v>
          </cell>
          <cell r="I117">
            <v>0</v>
          </cell>
          <cell r="J117">
            <v>0</v>
          </cell>
          <cell r="K117">
            <v>0</v>
          </cell>
          <cell r="L117">
            <v>0</v>
          </cell>
          <cell r="M117">
            <v>0</v>
          </cell>
          <cell r="N117">
            <v>0</v>
          </cell>
          <cell r="O117">
            <v>0</v>
          </cell>
          <cell r="P117">
            <v>0</v>
          </cell>
          <cell r="Q117">
            <v>0</v>
          </cell>
        </row>
        <row r="118">
          <cell r="A118">
            <v>36099</v>
          </cell>
          <cell r="B118" t="str">
            <v>Landfill Pass Through Revenue Intercompany</v>
          </cell>
          <cell r="E118">
            <v>0</v>
          </cell>
          <cell r="F118">
            <v>0</v>
          </cell>
          <cell r="G118">
            <v>0</v>
          </cell>
          <cell r="H118">
            <v>0</v>
          </cell>
          <cell r="I118">
            <v>0</v>
          </cell>
          <cell r="J118">
            <v>0</v>
          </cell>
          <cell r="K118">
            <v>0</v>
          </cell>
          <cell r="L118">
            <v>0</v>
          </cell>
          <cell r="M118">
            <v>0</v>
          </cell>
          <cell r="N118">
            <v>0</v>
          </cell>
          <cell r="O118">
            <v>0</v>
          </cell>
          <cell r="P118">
            <v>0</v>
          </cell>
          <cell r="Q118">
            <v>0</v>
          </cell>
        </row>
        <row r="119">
          <cell r="A119">
            <v>36301</v>
          </cell>
          <cell r="B119" t="str">
            <v>E&amp;P Liquids - Non Count Waste</v>
          </cell>
          <cell r="E119">
            <v>0</v>
          </cell>
          <cell r="F119">
            <v>0</v>
          </cell>
          <cell r="G119">
            <v>0</v>
          </cell>
          <cell r="H119">
            <v>0</v>
          </cell>
          <cell r="I119">
            <v>0</v>
          </cell>
          <cell r="J119">
            <v>0</v>
          </cell>
          <cell r="K119">
            <v>0</v>
          </cell>
          <cell r="L119">
            <v>0</v>
          </cell>
          <cell r="M119">
            <v>0</v>
          </cell>
          <cell r="N119">
            <v>0</v>
          </cell>
          <cell r="O119">
            <v>0</v>
          </cell>
          <cell r="P119">
            <v>0</v>
          </cell>
          <cell r="Q119">
            <v>0</v>
          </cell>
        </row>
        <row r="120">
          <cell r="A120">
            <v>36309</v>
          </cell>
          <cell r="B120" t="str">
            <v>E&amp;P Liquids - Non Count Waste Intercompany</v>
          </cell>
          <cell r="E120">
            <v>0</v>
          </cell>
          <cell r="F120">
            <v>0</v>
          </cell>
          <cell r="G120">
            <v>0</v>
          </cell>
          <cell r="H120">
            <v>0</v>
          </cell>
          <cell r="I120">
            <v>0</v>
          </cell>
          <cell r="J120">
            <v>0</v>
          </cell>
          <cell r="K120">
            <v>0</v>
          </cell>
          <cell r="L120">
            <v>0</v>
          </cell>
          <cell r="M120">
            <v>0</v>
          </cell>
          <cell r="N120">
            <v>0</v>
          </cell>
          <cell r="O120">
            <v>0</v>
          </cell>
          <cell r="P120">
            <v>0</v>
          </cell>
          <cell r="Q120">
            <v>0</v>
          </cell>
        </row>
        <row r="121">
          <cell r="A121">
            <v>36311</v>
          </cell>
          <cell r="B121" t="str">
            <v>E&amp;P Liquids - Count Waste</v>
          </cell>
          <cell r="E121">
            <v>0</v>
          </cell>
          <cell r="F121">
            <v>0</v>
          </cell>
          <cell r="G121">
            <v>0</v>
          </cell>
          <cell r="H121">
            <v>0</v>
          </cell>
          <cell r="I121">
            <v>0</v>
          </cell>
          <cell r="J121">
            <v>0</v>
          </cell>
          <cell r="K121">
            <v>0</v>
          </cell>
          <cell r="L121">
            <v>0</v>
          </cell>
          <cell r="M121">
            <v>0</v>
          </cell>
          <cell r="N121">
            <v>0</v>
          </cell>
          <cell r="O121">
            <v>0</v>
          </cell>
          <cell r="P121">
            <v>0</v>
          </cell>
          <cell r="Q121">
            <v>0</v>
          </cell>
        </row>
        <row r="122">
          <cell r="A122">
            <v>36319</v>
          </cell>
          <cell r="B122" t="str">
            <v>E&amp;P Liquids - Count Waste Intercompany</v>
          </cell>
          <cell r="E122">
            <v>0</v>
          </cell>
          <cell r="F122">
            <v>0</v>
          </cell>
          <cell r="G122">
            <v>0</v>
          </cell>
          <cell r="H122">
            <v>0</v>
          </cell>
          <cell r="I122">
            <v>0</v>
          </cell>
          <cell r="J122">
            <v>0</v>
          </cell>
          <cell r="K122">
            <v>0</v>
          </cell>
          <cell r="L122">
            <v>0</v>
          </cell>
          <cell r="M122">
            <v>0</v>
          </cell>
          <cell r="N122">
            <v>0</v>
          </cell>
          <cell r="O122">
            <v>0</v>
          </cell>
          <cell r="P122">
            <v>0</v>
          </cell>
          <cell r="Q122">
            <v>0</v>
          </cell>
        </row>
        <row r="123">
          <cell r="A123">
            <v>36321</v>
          </cell>
          <cell r="B123" t="str">
            <v>Other Liquids - Non E&amp;P</v>
          </cell>
          <cell r="E123">
            <v>0</v>
          </cell>
          <cell r="F123">
            <v>0</v>
          </cell>
          <cell r="G123">
            <v>0</v>
          </cell>
          <cell r="H123">
            <v>0</v>
          </cell>
          <cell r="I123">
            <v>0</v>
          </cell>
          <cell r="J123">
            <v>0</v>
          </cell>
          <cell r="K123">
            <v>0</v>
          </cell>
          <cell r="L123">
            <v>0</v>
          </cell>
          <cell r="M123">
            <v>0</v>
          </cell>
          <cell r="N123">
            <v>0</v>
          </cell>
          <cell r="O123">
            <v>0</v>
          </cell>
          <cell r="P123">
            <v>0</v>
          </cell>
          <cell r="Q123">
            <v>0</v>
          </cell>
        </row>
        <row r="124">
          <cell r="A124">
            <v>36329</v>
          </cell>
          <cell r="B124" t="str">
            <v>Other Liquids - Non E&amp;P Intercompany</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A125">
            <v>36331</v>
          </cell>
          <cell r="B125" t="str">
            <v>E&amp;P Solids - Count Waste</v>
          </cell>
          <cell r="E125">
            <v>0</v>
          </cell>
          <cell r="F125">
            <v>0</v>
          </cell>
          <cell r="G125">
            <v>0</v>
          </cell>
          <cell r="H125">
            <v>0</v>
          </cell>
          <cell r="I125">
            <v>0</v>
          </cell>
          <cell r="J125">
            <v>0</v>
          </cell>
          <cell r="K125">
            <v>0</v>
          </cell>
          <cell r="L125">
            <v>0</v>
          </cell>
          <cell r="M125">
            <v>0</v>
          </cell>
          <cell r="N125">
            <v>0</v>
          </cell>
          <cell r="O125">
            <v>0</v>
          </cell>
          <cell r="P125">
            <v>0</v>
          </cell>
          <cell r="Q125">
            <v>0</v>
          </cell>
        </row>
        <row r="126">
          <cell r="A126">
            <v>36339</v>
          </cell>
          <cell r="B126" t="str">
            <v>E&amp;P Solids - Count Waste Intercompany</v>
          </cell>
          <cell r="E126">
            <v>0</v>
          </cell>
          <cell r="F126">
            <v>0</v>
          </cell>
          <cell r="G126">
            <v>0</v>
          </cell>
          <cell r="H126">
            <v>0</v>
          </cell>
          <cell r="I126">
            <v>0</v>
          </cell>
          <cell r="J126">
            <v>0</v>
          </cell>
          <cell r="K126">
            <v>0</v>
          </cell>
          <cell r="L126">
            <v>0</v>
          </cell>
          <cell r="M126">
            <v>0</v>
          </cell>
          <cell r="N126">
            <v>0</v>
          </cell>
          <cell r="O126">
            <v>0</v>
          </cell>
          <cell r="P126">
            <v>0</v>
          </cell>
          <cell r="Q126">
            <v>0</v>
          </cell>
        </row>
        <row r="127">
          <cell r="A127" t="str">
            <v>Total Landfill</v>
          </cell>
          <cell r="E127">
            <v>0</v>
          </cell>
          <cell r="F127">
            <v>0</v>
          </cell>
          <cell r="G127">
            <v>0</v>
          </cell>
          <cell r="H127">
            <v>0</v>
          </cell>
          <cell r="I127">
            <v>0</v>
          </cell>
          <cell r="J127">
            <v>0</v>
          </cell>
          <cell r="K127">
            <v>0</v>
          </cell>
          <cell r="L127">
            <v>0</v>
          </cell>
          <cell r="M127">
            <v>0</v>
          </cell>
          <cell r="N127">
            <v>0</v>
          </cell>
          <cell r="O127">
            <v>0</v>
          </cell>
          <cell r="P127">
            <v>0</v>
          </cell>
          <cell r="Q127">
            <v>0</v>
          </cell>
        </row>
        <row r="129">
          <cell r="A129" t="str">
            <v>Intermodal</v>
          </cell>
        </row>
        <row r="130">
          <cell r="A130">
            <v>36101</v>
          </cell>
          <cell r="B130" t="str">
            <v>Rail Drayage Revenue</v>
          </cell>
          <cell r="E130">
            <v>0</v>
          </cell>
          <cell r="F130">
            <v>0</v>
          </cell>
          <cell r="G130">
            <v>0</v>
          </cell>
          <cell r="H130">
            <v>0</v>
          </cell>
          <cell r="I130">
            <v>0</v>
          </cell>
          <cell r="J130">
            <v>0</v>
          </cell>
          <cell r="K130">
            <v>0</v>
          </cell>
          <cell r="L130">
            <v>0</v>
          </cell>
          <cell r="M130">
            <v>0</v>
          </cell>
          <cell r="N130">
            <v>0</v>
          </cell>
          <cell r="O130">
            <v>0</v>
          </cell>
          <cell r="P130">
            <v>0</v>
          </cell>
          <cell r="Q130">
            <v>0</v>
          </cell>
        </row>
        <row r="131">
          <cell r="A131">
            <v>36109</v>
          </cell>
          <cell r="B131" t="str">
            <v>Rail Drayage Revenue - Intercompany</v>
          </cell>
          <cell r="E131">
            <v>0</v>
          </cell>
          <cell r="F131">
            <v>0</v>
          </cell>
          <cell r="G131">
            <v>0</v>
          </cell>
          <cell r="H131">
            <v>0</v>
          </cell>
          <cell r="I131">
            <v>0</v>
          </cell>
          <cell r="J131">
            <v>0</v>
          </cell>
          <cell r="K131">
            <v>0</v>
          </cell>
          <cell r="L131">
            <v>0</v>
          </cell>
          <cell r="M131">
            <v>0</v>
          </cell>
          <cell r="N131">
            <v>0</v>
          </cell>
          <cell r="O131">
            <v>0</v>
          </cell>
          <cell r="P131">
            <v>0</v>
          </cell>
          <cell r="Q131">
            <v>0</v>
          </cell>
        </row>
        <row r="132">
          <cell r="A132">
            <v>36111</v>
          </cell>
          <cell r="B132" t="str">
            <v>Truck Drayage Revenue</v>
          </cell>
          <cell r="E132">
            <v>0</v>
          </cell>
          <cell r="F132">
            <v>0</v>
          </cell>
          <cell r="G132">
            <v>0</v>
          </cell>
          <cell r="H132">
            <v>0</v>
          </cell>
          <cell r="I132">
            <v>0</v>
          </cell>
          <cell r="J132">
            <v>0</v>
          </cell>
          <cell r="K132">
            <v>0</v>
          </cell>
          <cell r="L132">
            <v>0</v>
          </cell>
          <cell r="M132">
            <v>0</v>
          </cell>
          <cell r="N132">
            <v>0</v>
          </cell>
          <cell r="O132">
            <v>0</v>
          </cell>
          <cell r="P132">
            <v>0</v>
          </cell>
          <cell r="Q132">
            <v>0</v>
          </cell>
        </row>
        <row r="133">
          <cell r="A133">
            <v>36119</v>
          </cell>
          <cell r="B133" t="str">
            <v>Truck Drayage Revenue - Intercompany</v>
          </cell>
          <cell r="E133">
            <v>0</v>
          </cell>
          <cell r="F133">
            <v>0</v>
          </cell>
          <cell r="G133">
            <v>0</v>
          </cell>
          <cell r="H133">
            <v>0</v>
          </cell>
          <cell r="I133">
            <v>0</v>
          </cell>
          <cell r="J133">
            <v>0</v>
          </cell>
          <cell r="K133">
            <v>0</v>
          </cell>
          <cell r="L133">
            <v>0</v>
          </cell>
          <cell r="M133">
            <v>0</v>
          </cell>
          <cell r="N133">
            <v>0</v>
          </cell>
          <cell r="O133">
            <v>0</v>
          </cell>
          <cell r="P133">
            <v>0</v>
          </cell>
          <cell r="Q133">
            <v>0</v>
          </cell>
        </row>
        <row r="134">
          <cell r="A134">
            <v>36121</v>
          </cell>
          <cell r="B134" t="str">
            <v>Barge Drayage Revenue</v>
          </cell>
          <cell r="E134">
            <v>0</v>
          </cell>
          <cell r="F134">
            <v>0</v>
          </cell>
          <cell r="G134">
            <v>0</v>
          </cell>
          <cell r="H134">
            <v>0</v>
          </cell>
          <cell r="I134">
            <v>0</v>
          </cell>
          <cell r="J134">
            <v>0</v>
          </cell>
          <cell r="K134">
            <v>0</v>
          </cell>
          <cell r="L134">
            <v>0</v>
          </cell>
          <cell r="M134">
            <v>0</v>
          </cell>
          <cell r="N134">
            <v>0</v>
          </cell>
          <cell r="O134">
            <v>0</v>
          </cell>
          <cell r="P134">
            <v>0</v>
          </cell>
          <cell r="Q134">
            <v>0</v>
          </cell>
        </row>
        <row r="135">
          <cell r="A135">
            <v>36131</v>
          </cell>
          <cell r="B135" t="str">
            <v>Service Labor Revenue</v>
          </cell>
          <cell r="E135">
            <v>0</v>
          </cell>
          <cell r="F135">
            <v>0</v>
          </cell>
          <cell r="G135">
            <v>0</v>
          </cell>
          <cell r="H135">
            <v>0</v>
          </cell>
          <cell r="I135">
            <v>0</v>
          </cell>
          <cell r="J135">
            <v>0</v>
          </cell>
          <cell r="K135">
            <v>0</v>
          </cell>
          <cell r="L135">
            <v>0</v>
          </cell>
          <cell r="M135">
            <v>0</v>
          </cell>
          <cell r="N135">
            <v>0</v>
          </cell>
          <cell r="O135">
            <v>0</v>
          </cell>
          <cell r="P135">
            <v>0</v>
          </cell>
          <cell r="Q135">
            <v>0</v>
          </cell>
        </row>
        <row r="136">
          <cell r="A136">
            <v>36141</v>
          </cell>
          <cell r="B136" t="str">
            <v>Refrigeration Labor Revenue</v>
          </cell>
          <cell r="E136">
            <v>0</v>
          </cell>
          <cell r="F136">
            <v>0</v>
          </cell>
          <cell r="G136">
            <v>0</v>
          </cell>
          <cell r="H136">
            <v>0</v>
          </cell>
          <cell r="I136">
            <v>0</v>
          </cell>
          <cell r="J136">
            <v>0</v>
          </cell>
          <cell r="K136">
            <v>0</v>
          </cell>
          <cell r="L136">
            <v>0</v>
          </cell>
          <cell r="M136">
            <v>0</v>
          </cell>
          <cell r="N136">
            <v>0</v>
          </cell>
          <cell r="O136">
            <v>0</v>
          </cell>
          <cell r="P136">
            <v>0</v>
          </cell>
          <cell r="Q136">
            <v>0</v>
          </cell>
        </row>
        <row r="137">
          <cell r="A137">
            <v>36145</v>
          </cell>
          <cell r="B137" t="str">
            <v>Parts Revenue</v>
          </cell>
          <cell r="E137">
            <v>0</v>
          </cell>
          <cell r="F137">
            <v>0</v>
          </cell>
          <cell r="G137">
            <v>0</v>
          </cell>
          <cell r="H137">
            <v>0</v>
          </cell>
          <cell r="I137">
            <v>0</v>
          </cell>
          <cell r="J137">
            <v>0</v>
          </cell>
          <cell r="K137">
            <v>0</v>
          </cell>
          <cell r="L137">
            <v>0</v>
          </cell>
          <cell r="M137">
            <v>0</v>
          </cell>
          <cell r="N137">
            <v>0</v>
          </cell>
          <cell r="O137">
            <v>0</v>
          </cell>
          <cell r="P137">
            <v>0</v>
          </cell>
          <cell r="Q137">
            <v>0</v>
          </cell>
        </row>
        <row r="138">
          <cell r="A138">
            <v>36151</v>
          </cell>
          <cell r="B138" t="str">
            <v>Container Sales Revenue</v>
          </cell>
          <cell r="E138">
            <v>0</v>
          </cell>
          <cell r="F138">
            <v>0</v>
          </cell>
          <cell r="G138">
            <v>0</v>
          </cell>
          <cell r="H138">
            <v>0</v>
          </cell>
          <cell r="I138">
            <v>0</v>
          </cell>
          <cell r="J138">
            <v>0</v>
          </cell>
          <cell r="K138">
            <v>0</v>
          </cell>
          <cell r="L138">
            <v>0</v>
          </cell>
          <cell r="M138">
            <v>0</v>
          </cell>
          <cell r="N138">
            <v>0</v>
          </cell>
          <cell r="O138">
            <v>0</v>
          </cell>
          <cell r="P138">
            <v>0</v>
          </cell>
          <cell r="Q138">
            <v>0</v>
          </cell>
        </row>
        <row r="139">
          <cell r="A139">
            <v>36161</v>
          </cell>
          <cell r="B139" t="str">
            <v>Container Rental Revenue</v>
          </cell>
          <cell r="E139">
            <v>0</v>
          </cell>
          <cell r="F139">
            <v>0</v>
          </cell>
          <cell r="G139">
            <v>0</v>
          </cell>
          <cell r="H139">
            <v>0</v>
          </cell>
          <cell r="I139">
            <v>0</v>
          </cell>
          <cell r="J139">
            <v>0</v>
          </cell>
          <cell r="K139">
            <v>0</v>
          </cell>
          <cell r="L139">
            <v>0</v>
          </cell>
          <cell r="M139">
            <v>0</v>
          </cell>
          <cell r="N139">
            <v>0</v>
          </cell>
          <cell r="O139">
            <v>0</v>
          </cell>
          <cell r="P139">
            <v>0</v>
          </cell>
          <cell r="Q139">
            <v>0</v>
          </cell>
        </row>
        <row r="140">
          <cell r="A140">
            <v>36171</v>
          </cell>
          <cell r="B140" t="str">
            <v>Intermodal Revenue</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A141">
            <v>36181</v>
          </cell>
          <cell r="B141" t="str">
            <v>Chassis Lease Revenue</v>
          </cell>
          <cell r="E141">
            <v>0</v>
          </cell>
          <cell r="F141">
            <v>0</v>
          </cell>
          <cell r="G141">
            <v>0</v>
          </cell>
          <cell r="H141">
            <v>0</v>
          </cell>
          <cell r="I141">
            <v>0</v>
          </cell>
          <cell r="J141">
            <v>0</v>
          </cell>
          <cell r="K141">
            <v>0</v>
          </cell>
          <cell r="L141">
            <v>0</v>
          </cell>
          <cell r="M141">
            <v>0</v>
          </cell>
          <cell r="N141">
            <v>0</v>
          </cell>
          <cell r="O141">
            <v>0</v>
          </cell>
          <cell r="P141">
            <v>0</v>
          </cell>
          <cell r="Q141">
            <v>0</v>
          </cell>
        </row>
        <row r="142">
          <cell r="A142">
            <v>36191</v>
          </cell>
          <cell r="B142" t="str">
            <v>Interchanges Revenue</v>
          </cell>
          <cell r="E142">
            <v>0</v>
          </cell>
          <cell r="F142">
            <v>0</v>
          </cell>
          <cell r="G142">
            <v>0</v>
          </cell>
          <cell r="H142">
            <v>0</v>
          </cell>
          <cell r="I142">
            <v>0</v>
          </cell>
          <cell r="J142">
            <v>0</v>
          </cell>
          <cell r="K142">
            <v>0</v>
          </cell>
          <cell r="L142">
            <v>0</v>
          </cell>
          <cell r="M142">
            <v>0</v>
          </cell>
          <cell r="N142">
            <v>0</v>
          </cell>
          <cell r="O142">
            <v>0</v>
          </cell>
          <cell r="P142">
            <v>0</v>
          </cell>
          <cell r="Q142">
            <v>0</v>
          </cell>
        </row>
        <row r="143">
          <cell r="A143">
            <v>36201</v>
          </cell>
          <cell r="B143" t="str">
            <v>Storage Revenue</v>
          </cell>
          <cell r="E143">
            <v>0</v>
          </cell>
          <cell r="F143">
            <v>0</v>
          </cell>
          <cell r="G143">
            <v>0</v>
          </cell>
          <cell r="H143">
            <v>0</v>
          </cell>
          <cell r="I143">
            <v>0</v>
          </cell>
          <cell r="J143">
            <v>0</v>
          </cell>
          <cell r="K143">
            <v>0</v>
          </cell>
          <cell r="L143">
            <v>0</v>
          </cell>
          <cell r="M143">
            <v>0</v>
          </cell>
          <cell r="N143">
            <v>0</v>
          </cell>
          <cell r="O143">
            <v>0</v>
          </cell>
          <cell r="P143">
            <v>0</v>
          </cell>
          <cell r="Q143">
            <v>0</v>
          </cell>
        </row>
        <row r="144">
          <cell r="A144">
            <v>36211</v>
          </cell>
          <cell r="B144" t="str">
            <v>Empty Lifts Revenue</v>
          </cell>
          <cell r="E144">
            <v>0</v>
          </cell>
          <cell r="F144">
            <v>0</v>
          </cell>
          <cell r="G144">
            <v>0</v>
          </cell>
          <cell r="H144">
            <v>0</v>
          </cell>
          <cell r="I144">
            <v>0</v>
          </cell>
          <cell r="J144">
            <v>0</v>
          </cell>
          <cell r="K144">
            <v>0</v>
          </cell>
          <cell r="L144">
            <v>0</v>
          </cell>
          <cell r="M144">
            <v>0</v>
          </cell>
          <cell r="N144">
            <v>0</v>
          </cell>
          <cell r="O144">
            <v>0</v>
          </cell>
          <cell r="P144">
            <v>0</v>
          </cell>
          <cell r="Q144">
            <v>0</v>
          </cell>
        </row>
        <row r="145">
          <cell r="A145">
            <v>36221</v>
          </cell>
          <cell r="B145" t="str">
            <v>Load Lifts Revenue</v>
          </cell>
          <cell r="E145">
            <v>0</v>
          </cell>
          <cell r="F145">
            <v>0</v>
          </cell>
          <cell r="G145">
            <v>0</v>
          </cell>
          <cell r="H145">
            <v>0</v>
          </cell>
          <cell r="I145">
            <v>0</v>
          </cell>
          <cell r="J145">
            <v>0</v>
          </cell>
          <cell r="K145">
            <v>0</v>
          </cell>
          <cell r="L145">
            <v>0</v>
          </cell>
          <cell r="M145">
            <v>0</v>
          </cell>
          <cell r="N145">
            <v>0</v>
          </cell>
          <cell r="O145">
            <v>0</v>
          </cell>
          <cell r="P145">
            <v>0</v>
          </cell>
          <cell r="Q145">
            <v>0</v>
          </cell>
        </row>
        <row r="146">
          <cell r="A146" t="str">
            <v>Total Intermodal</v>
          </cell>
          <cell r="E146">
            <v>0</v>
          </cell>
          <cell r="F146">
            <v>0</v>
          </cell>
          <cell r="G146">
            <v>0</v>
          </cell>
          <cell r="H146">
            <v>0</v>
          </cell>
          <cell r="I146">
            <v>0</v>
          </cell>
          <cell r="J146">
            <v>0</v>
          </cell>
          <cell r="K146">
            <v>0</v>
          </cell>
          <cell r="L146">
            <v>0</v>
          </cell>
          <cell r="M146">
            <v>0</v>
          </cell>
          <cell r="N146">
            <v>0</v>
          </cell>
          <cell r="O146">
            <v>0</v>
          </cell>
          <cell r="P146">
            <v>0</v>
          </cell>
          <cell r="Q146">
            <v>0</v>
          </cell>
        </row>
        <row r="148">
          <cell r="A148" t="str">
            <v>Other Revenue</v>
          </cell>
        </row>
        <row r="149">
          <cell r="A149">
            <v>37001</v>
          </cell>
          <cell r="B149" t="str">
            <v>Sale of Equipment</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A150">
            <v>37010</v>
          </cell>
          <cell r="B150" t="str">
            <v>Tire Processing Revenue</v>
          </cell>
          <cell r="E150">
            <v>0</v>
          </cell>
          <cell r="F150">
            <v>0</v>
          </cell>
          <cell r="G150">
            <v>0</v>
          </cell>
          <cell r="H150">
            <v>0</v>
          </cell>
          <cell r="I150">
            <v>0</v>
          </cell>
          <cell r="J150">
            <v>0</v>
          </cell>
          <cell r="K150">
            <v>0</v>
          </cell>
          <cell r="L150">
            <v>0</v>
          </cell>
          <cell r="M150">
            <v>0</v>
          </cell>
          <cell r="N150">
            <v>0</v>
          </cell>
          <cell r="O150">
            <v>0</v>
          </cell>
          <cell r="P150">
            <v>0</v>
          </cell>
          <cell r="Q150">
            <v>0</v>
          </cell>
        </row>
        <row r="151">
          <cell r="A151">
            <v>37019</v>
          </cell>
          <cell r="B151" t="str">
            <v>Tire Processing Revenue - Intercompany</v>
          </cell>
          <cell r="E151">
            <v>0</v>
          </cell>
          <cell r="F151">
            <v>0</v>
          </cell>
          <cell r="G151">
            <v>0</v>
          </cell>
          <cell r="H151">
            <v>0</v>
          </cell>
          <cell r="I151">
            <v>0</v>
          </cell>
          <cell r="J151">
            <v>0</v>
          </cell>
          <cell r="K151">
            <v>0</v>
          </cell>
          <cell r="L151">
            <v>0</v>
          </cell>
          <cell r="M151">
            <v>0</v>
          </cell>
          <cell r="N151">
            <v>0</v>
          </cell>
          <cell r="O151">
            <v>0</v>
          </cell>
          <cell r="P151">
            <v>0</v>
          </cell>
          <cell r="Q151">
            <v>0</v>
          </cell>
        </row>
        <row r="152">
          <cell r="A152">
            <v>38000</v>
          </cell>
          <cell r="B152" t="str">
            <v>Corporate Other Revenue</v>
          </cell>
          <cell r="E152">
            <v>3459.12</v>
          </cell>
          <cell r="F152">
            <v>7799.57</v>
          </cell>
          <cell r="G152">
            <v>2100.42</v>
          </cell>
          <cell r="H152">
            <v>7267.51</v>
          </cell>
          <cell r="I152">
            <v>3376.39</v>
          </cell>
          <cell r="J152">
            <v>7176.57</v>
          </cell>
          <cell r="K152">
            <v>3493.22</v>
          </cell>
          <cell r="L152">
            <v>8060.32</v>
          </cell>
          <cell r="M152">
            <v>2594</v>
          </cell>
          <cell r="N152">
            <v>7784.1</v>
          </cell>
          <cell r="O152">
            <v>6369.79</v>
          </cell>
          <cell r="P152">
            <v>9281.82</v>
          </cell>
          <cell r="Q152">
            <v>68762.829999999987</v>
          </cell>
        </row>
        <row r="153">
          <cell r="A153">
            <v>38001</v>
          </cell>
          <cell r="B153" t="str">
            <v>P-Card Rebate Revenue</v>
          </cell>
          <cell r="E153">
            <v>0</v>
          </cell>
          <cell r="F153">
            <v>0</v>
          </cell>
          <cell r="G153">
            <v>0</v>
          </cell>
          <cell r="H153">
            <v>0</v>
          </cell>
          <cell r="I153">
            <v>0</v>
          </cell>
          <cell r="J153">
            <v>0</v>
          </cell>
          <cell r="K153">
            <v>0</v>
          </cell>
          <cell r="L153">
            <v>0</v>
          </cell>
          <cell r="M153">
            <v>0</v>
          </cell>
          <cell r="N153">
            <v>0</v>
          </cell>
          <cell r="O153">
            <v>0</v>
          </cell>
          <cell r="P153">
            <v>0</v>
          </cell>
          <cell r="Q153">
            <v>0</v>
          </cell>
        </row>
        <row r="154">
          <cell r="A154" t="str">
            <v>Total Other Revenue</v>
          </cell>
          <cell r="E154">
            <v>3459.12</v>
          </cell>
          <cell r="F154">
            <v>7799.57</v>
          </cell>
          <cell r="G154">
            <v>2100.42</v>
          </cell>
          <cell r="H154">
            <v>7267.51</v>
          </cell>
          <cell r="I154">
            <v>3376.39</v>
          </cell>
          <cell r="J154">
            <v>7176.57</v>
          </cell>
          <cell r="K154">
            <v>3493.22</v>
          </cell>
          <cell r="L154">
            <v>8060.32</v>
          </cell>
          <cell r="M154">
            <v>2594</v>
          </cell>
          <cell r="N154">
            <v>7784.1</v>
          </cell>
          <cell r="O154">
            <v>6369.79</v>
          </cell>
          <cell r="P154">
            <v>9281.82</v>
          </cell>
          <cell r="Q154">
            <v>68762.829999999987</v>
          </cell>
        </row>
        <row r="156">
          <cell r="A156" t="str">
            <v>Total Revenue</v>
          </cell>
          <cell r="E156">
            <v>1389532.61</v>
          </cell>
          <cell r="F156">
            <v>1380077.51</v>
          </cell>
          <cell r="G156">
            <v>1408446.9</v>
          </cell>
          <cell r="H156">
            <v>1419179.07</v>
          </cell>
          <cell r="I156">
            <v>1419577.4599999997</v>
          </cell>
          <cell r="J156">
            <v>1466667.25</v>
          </cell>
          <cell r="K156">
            <v>1465996.93</v>
          </cell>
          <cell r="L156">
            <v>1491957.75</v>
          </cell>
          <cell r="M156">
            <v>1460536.84</v>
          </cell>
          <cell r="N156">
            <v>1419945.4899999998</v>
          </cell>
          <cell r="O156">
            <v>1383569.35</v>
          </cell>
          <cell r="P156">
            <v>1421969.0599999998</v>
          </cell>
          <cell r="Q156">
            <v>17127456.219999995</v>
          </cell>
        </row>
        <row r="158">
          <cell r="A158" t="str">
            <v>Revenue Reductions</v>
          </cell>
        </row>
        <row r="159">
          <cell r="A159" t="str">
            <v>Disposal</v>
          </cell>
        </row>
        <row r="160">
          <cell r="A160">
            <v>40101</v>
          </cell>
          <cell r="B160" t="str">
            <v>Disposal Landfill</v>
          </cell>
          <cell r="E160">
            <v>0</v>
          </cell>
          <cell r="F160">
            <v>0</v>
          </cell>
          <cell r="G160">
            <v>0</v>
          </cell>
          <cell r="H160">
            <v>0</v>
          </cell>
          <cell r="I160">
            <v>0</v>
          </cell>
          <cell r="J160">
            <v>0</v>
          </cell>
          <cell r="K160">
            <v>0</v>
          </cell>
          <cell r="L160">
            <v>0</v>
          </cell>
          <cell r="M160">
            <v>0</v>
          </cell>
          <cell r="N160">
            <v>0</v>
          </cell>
          <cell r="O160">
            <v>0</v>
          </cell>
          <cell r="P160">
            <v>0</v>
          </cell>
          <cell r="Q160">
            <v>0</v>
          </cell>
        </row>
        <row r="161">
          <cell r="A161">
            <v>40109</v>
          </cell>
          <cell r="B161" t="str">
            <v>Disposal Landfill Intercompany</v>
          </cell>
          <cell r="E161">
            <v>0</v>
          </cell>
          <cell r="F161">
            <v>0</v>
          </cell>
          <cell r="G161">
            <v>0</v>
          </cell>
          <cell r="H161">
            <v>0</v>
          </cell>
          <cell r="I161">
            <v>0</v>
          </cell>
          <cell r="J161">
            <v>0</v>
          </cell>
          <cell r="K161">
            <v>0</v>
          </cell>
          <cell r="L161">
            <v>0</v>
          </cell>
          <cell r="M161">
            <v>0</v>
          </cell>
          <cell r="N161">
            <v>0</v>
          </cell>
          <cell r="O161">
            <v>0</v>
          </cell>
          <cell r="P161">
            <v>0</v>
          </cell>
          <cell r="Q161">
            <v>0</v>
          </cell>
        </row>
        <row r="162">
          <cell r="A162">
            <v>40121</v>
          </cell>
          <cell r="B162" t="str">
            <v>Disposal Incineration</v>
          </cell>
          <cell r="E162">
            <v>0</v>
          </cell>
          <cell r="F162">
            <v>0</v>
          </cell>
          <cell r="G162">
            <v>0</v>
          </cell>
          <cell r="H162">
            <v>0</v>
          </cell>
          <cell r="I162">
            <v>0</v>
          </cell>
          <cell r="J162">
            <v>0</v>
          </cell>
          <cell r="K162">
            <v>0</v>
          </cell>
          <cell r="L162">
            <v>0</v>
          </cell>
          <cell r="M162">
            <v>0</v>
          </cell>
          <cell r="N162">
            <v>0</v>
          </cell>
          <cell r="O162">
            <v>0</v>
          </cell>
          <cell r="P162">
            <v>0</v>
          </cell>
          <cell r="Q162">
            <v>0</v>
          </cell>
        </row>
        <row r="163">
          <cell r="A163">
            <v>40122</v>
          </cell>
          <cell r="B163" t="str">
            <v>Disposal Other</v>
          </cell>
          <cell r="E163">
            <v>0</v>
          </cell>
          <cell r="F163">
            <v>0</v>
          </cell>
          <cell r="G163">
            <v>0</v>
          </cell>
          <cell r="H163">
            <v>0</v>
          </cell>
          <cell r="I163">
            <v>0</v>
          </cell>
          <cell r="J163">
            <v>0</v>
          </cell>
          <cell r="K163">
            <v>0</v>
          </cell>
          <cell r="L163">
            <v>0</v>
          </cell>
          <cell r="M163">
            <v>0</v>
          </cell>
          <cell r="N163">
            <v>0</v>
          </cell>
          <cell r="O163">
            <v>0</v>
          </cell>
          <cell r="P163">
            <v>0</v>
          </cell>
          <cell r="Q163">
            <v>0</v>
          </cell>
        </row>
        <row r="164">
          <cell r="A164">
            <v>40129</v>
          </cell>
          <cell r="B164" t="str">
            <v>Disposal Other</v>
          </cell>
          <cell r="E164">
            <v>0</v>
          </cell>
          <cell r="F164">
            <v>0</v>
          </cell>
          <cell r="G164">
            <v>0</v>
          </cell>
          <cell r="H164">
            <v>0</v>
          </cell>
          <cell r="I164">
            <v>0</v>
          </cell>
          <cell r="J164">
            <v>0</v>
          </cell>
          <cell r="K164">
            <v>0</v>
          </cell>
          <cell r="L164">
            <v>0</v>
          </cell>
          <cell r="M164">
            <v>0</v>
          </cell>
          <cell r="N164">
            <v>0</v>
          </cell>
          <cell r="O164">
            <v>0</v>
          </cell>
          <cell r="P164">
            <v>0</v>
          </cell>
          <cell r="Q164">
            <v>0</v>
          </cell>
        </row>
        <row r="165">
          <cell r="A165">
            <v>40131</v>
          </cell>
          <cell r="B165" t="str">
            <v>Disposal Transfer</v>
          </cell>
          <cell r="E165">
            <v>0</v>
          </cell>
          <cell r="F165">
            <v>0</v>
          </cell>
          <cell r="G165">
            <v>0</v>
          </cell>
          <cell r="H165">
            <v>0</v>
          </cell>
          <cell r="I165">
            <v>0</v>
          </cell>
          <cell r="J165">
            <v>0</v>
          </cell>
          <cell r="K165">
            <v>0</v>
          </cell>
          <cell r="L165">
            <v>0</v>
          </cell>
          <cell r="M165">
            <v>0</v>
          </cell>
          <cell r="N165">
            <v>0</v>
          </cell>
          <cell r="O165">
            <v>0</v>
          </cell>
          <cell r="P165">
            <v>0</v>
          </cell>
          <cell r="Q165">
            <v>0</v>
          </cell>
        </row>
        <row r="166">
          <cell r="A166">
            <v>40139</v>
          </cell>
          <cell r="B166" t="str">
            <v>Disposal Transfer Intercompany</v>
          </cell>
          <cell r="E166">
            <v>522940.33</v>
          </cell>
          <cell r="F166">
            <v>473522.39</v>
          </cell>
          <cell r="G166">
            <v>554204.89</v>
          </cell>
          <cell r="H166">
            <v>538277.64</v>
          </cell>
          <cell r="I166">
            <v>535071.71</v>
          </cell>
          <cell r="J166">
            <v>582693.4</v>
          </cell>
          <cell r="K166">
            <v>571614.11</v>
          </cell>
          <cell r="L166">
            <v>571380.55000000005</v>
          </cell>
          <cell r="M166">
            <v>569779.74</v>
          </cell>
          <cell r="N166">
            <v>537814.68999999994</v>
          </cell>
          <cell r="O166">
            <v>530807.82999999996</v>
          </cell>
          <cell r="P166">
            <v>576009.71</v>
          </cell>
          <cell r="Q166">
            <v>6564116.9899999993</v>
          </cell>
        </row>
        <row r="167">
          <cell r="A167" t="str">
            <v>Total Disposal</v>
          </cell>
          <cell r="E167">
            <v>522940.33</v>
          </cell>
          <cell r="F167">
            <v>473522.39</v>
          </cell>
          <cell r="G167">
            <v>554204.89</v>
          </cell>
          <cell r="H167">
            <v>538277.64</v>
          </cell>
          <cell r="I167">
            <v>535071.71</v>
          </cell>
          <cell r="J167">
            <v>582693.4</v>
          </cell>
          <cell r="K167">
            <v>571614.11</v>
          </cell>
          <cell r="L167">
            <v>571380.55000000005</v>
          </cell>
          <cell r="M167">
            <v>569779.74</v>
          </cell>
          <cell r="N167">
            <v>537814.68999999994</v>
          </cell>
          <cell r="O167">
            <v>530807.82999999996</v>
          </cell>
          <cell r="P167">
            <v>576009.71</v>
          </cell>
          <cell r="Q167">
            <v>6564116.9899999993</v>
          </cell>
        </row>
        <row r="169">
          <cell r="A169" t="str">
            <v>MRF Processing</v>
          </cell>
        </row>
        <row r="170">
          <cell r="A170">
            <v>40861</v>
          </cell>
          <cell r="B170" t="str">
            <v>Processing Fees MRF</v>
          </cell>
          <cell r="E170">
            <v>0</v>
          </cell>
          <cell r="F170">
            <v>0</v>
          </cell>
          <cell r="G170">
            <v>0</v>
          </cell>
          <cell r="H170">
            <v>0</v>
          </cell>
          <cell r="I170">
            <v>0</v>
          </cell>
          <cell r="J170">
            <v>0</v>
          </cell>
          <cell r="K170">
            <v>0</v>
          </cell>
          <cell r="L170">
            <v>0</v>
          </cell>
          <cell r="M170">
            <v>0</v>
          </cell>
          <cell r="N170">
            <v>0</v>
          </cell>
          <cell r="O170">
            <v>0</v>
          </cell>
          <cell r="P170">
            <v>0</v>
          </cell>
          <cell r="Q170">
            <v>0</v>
          </cell>
        </row>
        <row r="171">
          <cell r="A171">
            <v>40869</v>
          </cell>
          <cell r="B171" t="str">
            <v>Processing Fees MRF Intercompany</v>
          </cell>
          <cell r="E171">
            <v>0</v>
          </cell>
          <cell r="F171">
            <v>0</v>
          </cell>
          <cell r="G171">
            <v>0</v>
          </cell>
          <cell r="H171">
            <v>0</v>
          </cell>
          <cell r="I171">
            <v>0</v>
          </cell>
          <cell r="J171">
            <v>0</v>
          </cell>
          <cell r="K171">
            <v>0</v>
          </cell>
          <cell r="L171">
            <v>0</v>
          </cell>
          <cell r="M171">
            <v>0</v>
          </cell>
          <cell r="N171">
            <v>0</v>
          </cell>
          <cell r="O171">
            <v>0</v>
          </cell>
          <cell r="P171">
            <v>0</v>
          </cell>
          <cell r="Q171">
            <v>0</v>
          </cell>
        </row>
        <row r="172">
          <cell r="A172" t="str">
            <v>Total MRF Processing</v>
          </cell>
          <cell r="E172">
            <v>0</v>
          </cell>
          <cell r="F172">
            <v>0</v>
          </cell>
          <cell r="G172">
            <v>0</v>
          </cell>
          <cell r="H172">
            <v>0</v>
          </cell>
          <cell r="I172">
            <v>0</v>
          </cell>
          <cell r="J172">
            <v>0</v>
          </cell>
          <cell r="K172">
            <v>0</v>
          </cell>
          <cell r="L172">
            <v>0</v>
          </cell>
          <cell r="M172">
            <v>0</v>
          </cell>
          <cell r="N172">
            <v>0</v>
          </cell>
          <cell r="O172">
            <v>0</v>
          </cell>
          <cell r="P172">
            <v>0</v>
          </cell>
          <cell r="Q172">
            <v>0</v>
          </cell>
        </row>
        <row r="174">
          <cell r="A174" t="str">
            <v>Brokerage, Rebates and Taxes</v>
          </cell>
        </row>
        <row r="175">
          <cell r="A175">
            <v>41121</v>
          </cell>
          <cell r="B175" t="str">
            <v>Brokerage Cost</v>
          </cell>
          <cell r="E175">
            <v>0</v>
          </cell>
          <cell r="F175">
            <v>0</v>
          </cell>
          <cell r="G175">
            <v>0</v>
          </cell>
          <cell r="H175">
            <v>0</v>
          </cell>
          <cell r="I175">
            <v>0</v>
          </cell>
          <cell r="J175">
            <v>0</v>
          </cell>
          <cell r="K175">
            <v>0</v>
          </cell>
          <cell r="L175">
            <v>0</v>
          </cell>
          <cell r="M175">
            <v>0</v>
          </cell>
          <cell r="N175">
            <v>0</v>
          </cell>
          <cell r="O175">
            <v>0</v>
          </cell>
          <cell r="P175">
            <v>0</v>
          </cell>
          <cell r="Q175">
            <v>0</v>
          </cell>
        </row>
        <row r="176">
          <cell r="A176">
            <v>41129</v>
          </cell>
          <cell r="B176" t="str">
            <v>Brokerage Cost Intercompany</v>
          </cell>
          <cell r="E176">
            <v>0</v>
          </cell>
          <cell r="F176">
            <v>0</v>
          </cell>
          <cell r="G176">
            <v>0</v>
          </cell>
          <cell r="H176">
            <v>0</v>
          </cell>
          <cell r="I176">
            <v>0</v>
          </cell>
          <cell r="J176">
            <v>0</v>
          </cell>
          <cell r="K176">
            <v>0</v>
          </cell>
          <cell r="L176">
            <v>0</v>
          </cell>
          <cell r="M176">
            <v>0</v>
          </cell>
          <cell r="N176">
            <v>0</v>
          </cell>
          <cell r="O176">
            <v>0</v>
          </cell>
          <cell r="P176">
            <v>0</v>
          </cell>
          <cell r="Q176">
            <v>0</v>
          </cell>
        </row>
        <row r="177">
          <cell r="A177">
            <v>41131</v>
          </cell>
          <cell r="B177" t="str">
            <v>Rail Drayage Expenses</v>
          </cell>
          <cell r="E177">
            <v>0</v>
          </cell>
          <cell r="F177">
            <v>0</v>
          </cell>
          <cell r="G177">
            <v>0</v>
          </cell>
          <cell r="H177">
            <v>0</v>
          </cell>
          <cell r="I177">
            <v>0</v>
          </cell>
          <cell r="J177">
            <v>0</v>
          </cell>
          <cell r="K177">
            <v>0</v>
          </cell>
          <cell r="L177">
            <v>0</v>
          </cell>
          <cell r="M177">
            <v>0</v>
          </cell>
          <cell r="N177">
            <v>0</v>
          </cell>
          <cell r="O177">
            <v>0</v>
          </cell>
          <cell r="P177">
            <v>0</v>
          </cell>
          <cell r="Q177">
            <v>0</v>
          </cell>
        </row>
        <row r="178">
          <cell r="A178">
            <v>41135</v>
          </cell>
          <cell r="B178" t="str">
            <v>Resale Parts - Cost of Goods Sold</v>
          </cell>
          <cell r="E178">
            <v>0</v>
          </cell>
          <cell r="F178">
            <v>0</v>
          </cell>
          <cell r="G178">
            <v>0</v>
          </cell>
          <cell r="H178">
            <v>0</v>
          </cell>
          <cell r="I178">
            <v>0</v>
          </cell>
          <cell r="J178">
            <v>0</v>
          </cell>
          <cell r="K178">
            <v>0</v>
          </cell>
          <cell r="L178">
            <v>0</v>
          </cell>
          <cell r="M178">
            <v>0</v>
          </cell>
          <cell r="N178">
            <v>0</v>
          </cell>
          <cell r="O178">
            <v>0</v>
          </cell>
          <cell r="P178">
            <v>0</v>
          </cell>
          <cell r="Q178">
            <v>0</v>
          </cell>
        </row>
        <row r="179">
          <cell r="A179">
            <v>41139</v>
          </cell>
          <cell r="B179" t="str">
            <v>Rail Drayage Expenses - Intercompany</v>
          </cell>
          <cell r="E179">
            <v>0</v>
          </cell>
          <cell r="F179">
            <v>0</v>
          </cell>
          <cell r="G179">
            <v>0</v>
          </cell>
          <cell r="H179">
            <v>0</v>
          </cell>
          <cell r="I179">
            <v>0</v>
          </cell>
          <cell r="J179">
            <v>0</v>
          </cell>
          <cell r="K179">
            <v>0</v>
          </cell>
          <cell r="L179">
            <v>0</v>
          </cell>
          <cell r="M179">
            <v>0</v>
          </cell>
          <cell r="N179">
            <v>0</v>
          </cell>
          <cell r="O179">
            <v>0</v>
          </cell>
          <cell r="P179">
            <v>0</v>
          </cell>
          <cell r="Q179">
            <v>0</v>
          </cell>
        </row>
        <row r="180">
          <cell r="A180">
            <v>41141</v>
          </cell>
          <cell r="B180" t="str">
            <v>Truck Drayage Expenses</v>
          </cell>
          <cell r="E180">
            <v>0</v>
          </cell>
          <cell r="F180">
            <v>0</v>
          </cell>
          <cell r="G180">
            <v>0</v>
          </cell>
          <cell r="H180">
            <v>0</v>
          </cell>
          <cell r="I180">
            <v>0</v>
          </cell>
          <cell r="J180">
            <v>0</v>
          </cell>
          <cell r="K180">
            <v>0</v>
          </cell>
          <cell r="L180">
            <v>0</v>
          </cell>
          <cell r="M180">
            <v>0</v>
          </cell>
          <cell r="N180">
            <v>0</v>
          </cell>
          <cell r="O180">
            <v>0</v>
          </cell>
          <cell r="P180">
            <v>0</v>
          </cell>
          <cell r="Q180">
            <v>0</v>
          </cell>
        </row>
        <row r="181">
          <cell r="A181">
            <v>41149</v>
          </cell>
          <cell r="B181" t="str">
            <v>Truck Drayage Expenses - Intercompany</v>
          </cell>
          <cell r="E181">
            <v>0</v>
          </cell>
          <cell r="F181">
            <v>0</v>
          </cell>
          <cell r="G181">
            <v>0</v>
          </cell>
          <cell r="H181">
            <v>0</v>
          </cell>
          <cell r="I181">
            <v>0</v>
          </cell>
          <cell r="J181">
            <v>0</v>
          </cell>
          <cell r="K181">
            <v>0</v>
          </cell>
          <cell r="L181">
            <v>0</v>
          </cell>
          <cell r="M181">
            <v>0</v>
          </cell>
          <cell r="N181">
            <v>0</v>
          </cell>
          <cell r="O181">
            <v>0</v>
          </cell>
          <cell r="P181">
            <v>0</v>
          </cell>
          <cell r="Q181">
            <v>0</v>
          </cell>
        </row>
        <row r="182">
          <cell r="A182">
            <v>41151</v>
          </cell>
          <cell r="B182" t="str">
            <v>Intermodal Expenses</v>
          </cell>
          <cell r="E182">
            <v>0</v>
          </cell>
          <cell r="F182">
            <v>0</v>
          </cell>
          <cell r="G182">
            <v>0</v>
          </cell>
          <cell r="H182">
            <v>0</v>
          </cell>
          <cell r="I182">
            <v>0</v>
          </cell>
          <cell r="J182">
            <v>0</v>
          </cell>
          <cell r="K182">
            <v>0</v>
          </cell>
          <cell r="L182">
            <v>0</v>
          </cell>
          <cell r="M182">
            <v>0</v>
          </cell>
          <cell r="N182">
            <v>0</v>
          </cell>
          <cell r="O182">
            <v>0</v>
          </cell>
          <cell r="P182">
            <v>0</v>
          </cell>
          <cell r="Q182">
            <v>0</v>
          </cell>
        </row>
        <row r="183">
          <cell r="A183">
            <v>41201</v>
          </cell>
          <cell r="B183" t="str">
            <v>Rebates and Revenue Sharing</v>
          </cell>
          <cell r="E183">
            <v>0</v>
          </cell>
          <cell r="F183">
            <v>0</v>
          </cell>
          <cell r="G183">
            <v>0</v>
          </cell>
          <cell r="H183">
            <v>0</v>
          </cell>
          <cell r="I183">
            <v>0</v>
          </cell>
          <cell r="J183">
            <v>0</v>
          </cell>
          <cell r="K183">
            <v>0</v>
          </cell>
          <cell r="L183">
            <v>0</v>
          </cell>
          <cell r="M183">
            <v>0</v>
          </cell>
          <cell r="N183">
            <v>0</v>
          </cell>
          <cell r="O183">
            <v>0</v>
          </cell>
          <cell r="P183">
            <v>0</v>
          </cell>
          <cell r="Q183">
            <v>0</v>
          </cell>
        </row>
        <row r="184">
          <cell r="A184">
            <v>43001</v>
          </cell>
          <cell r="B184" t="str">
            <v>Taxes and Pass Thru Fees</v>
          </cell>
          <cell r="E184">
            <v>21087.73</v>
          </cell>
          <cell r="F184">
            <v>20959.080000000002</v>
          </cell>
          <cell r="G184">
            <v>21310.05</v>
          </cell>
          <cell r="H184">
            <v>15944.56</v>
          </cell>
          <cell r="I184">
            <v>23292.27</v>
          </cell>
          <cell r="J184">
            <v>26639.14</v>
          </cell>
          <cell r="K184">
            <v>26629.39</v>
          </cell>
          <cell r="L184">
            <v>27074.49</v>
          </cell>
          <cell r="M184">
            <v>26539.13</v>
          </cell>
          <cell r="N184">
            <v>25799.21</v>
          </cell>
          <cell r="O184">
            <v>25079.16</v>
          </cell>
          <cell r="P184">
            <v>25860.43</v>
          </cell>
          <cell r="Q184">
            <v>286214.64</v>
          </cell>
        </row>
        <row r="185">
          <cell r="A185">
            <v>43002</v>
          </cell>
          <cell r="B185" t="str">
            <v>WUTC Taxes</v>
          </cell>
          <cell r="E185">
            <v>5546.62</v>
          </cell>
          <cell r="F185">
            <v>5496.04</v>
          </cell>
          <cell r="G185">
            <v>5619.91</v>
          </cell>
          <cell r="H185">
            <v>5691.97</v>
          </cell>
          <cell r="I185">
            <v>5646.5</v>
          </cell>
          <cell r="J185">
            <v>5841.42</v>
          </cell>
          <cell r="K185">
            <v>5857.81</v>
          </cell>
          <cell r="L185">
            <v>5948.97</v>
          </cell>
          <cell r="M185">
            <v>5802.43</v>
          </cell>
          <cell r="N185">
            <v>5678.9</v>
          </cell>
          <cell r="O185">
            <v>5511.15</v>
          </cell>
          <cell r="P185">
            <v>5695</v>
          </cell>
          <cell r="Q185">
            <v>68336.72</v>
          </cell>
        </row>
        <row r="186">
          <cell r="A186">
            <v>43090</v>
          </cell>
          <cell r="B186" t="str">
            <v>Pass Through Expenses</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A187">
            <v>43099</v>
          </cell>
          <cell r="B187" t="str">
            <v>Pass Through Expenses Intercompany</v>
          </cell>
          <cell r="E187">
            <v>0</v>
          </cell>
          <cell r="F187">
            <v>0</v>
          </cell>
          <cell r="G187">
            <v>0</v>
          </cell>
          <cell r="H187">
            <v>0</v>
          </cell>
          <cell r="I187">
            <v>0</v>
          </cell>
          <cell r="J187">
            <v>0</v>
          </cell>
          <cell r="K187">
            <v>0</v>
          </cell>
          <cell r="L187">
            <v>0</v>
          </cell>
          <cell r="M187">
            <v>0</v>
          </cell>
          <cell r="N187">
            <v>0</v>
          </cell>
          <cell r="O187">
            <v>0</v>
          </cell>
          <cell r="P187">
            <v>0</v>
          </cell>
          <cell r="Q187">
            <v>0</v>
          </cell>
        </row>
        <row r="188">
          <cell r="A188" t="str">
            <v>Total Brokerage, Rebates and Taxes</v>
          </cell>
          <cell r="E188">
            <v>26634.35</v>
          </cell>
          <cell r="F188">
            <v>26455.120000000003</v>
          </cell>
          <cell r="G188">
            <v>26929.96</v>
          </cell>
          <cell r="H188">
            <v>21636.53</v>
          </cell>
          <cell r="I188">
            <v>28938.77</v>
          </cell>
          <cell r="J188">
            <v>32480.559999999998</v>
          </cell>
          <cell r="K188">
            <v>32487.200000000001</v>
          </cell>
          <cell r="L188">
            <v>33023.46</v>
          </cell>
          <cell r="M188">
            <v>32341.56</v>
          </cell>
          <cell r="N188">
            <v>31478.11</v>
          </cell>
          <cell r="O188">
            <v>30590.309999999998</v>
          </cell>
          <cell r="P188">
            <v>31555.43</v>
          </cell>
          <cell r="Q188">
            <v>354551.36</v>
          </cell>
        </row>
        <row r="190">
          <cell r="A190" t="str">
            <v>Recycling Materials Expense</v>
          </cell>
        </row>
        <row r="191">
          <cell r="A191">
            <v>44161</v>
          </cell>
          <cell r="B191" t="str">
            <v>Cost of Materials - OCC</v>
          </cell>
          <cell r="E191">
            <v>0</v>
          </cell>
          <cell r="F191">
            <v>0</v>
          </cell>
          <cell r="G191">
            <v>0</v>
          </cell>
          <cell r="H191">
            <v>0</v>
          </cell>
          <cell r="I191">
            <v>0</v>
          </cell>
          <cell r="J191">
            <v>0</v>
          </cell>
          <cell r="K191">
            <v>0</v>
          </cell>
          <cell r="L191">
            <v>0</v>
          </cell>
          <cell r="M191">
            <v>0</v>
          </cell>
          <cell r="N191">
            <v>0</v>
          </cell>
          <cell r="O191">
            <v>0</v>
          </cell>
          <cell r="P191">
            <v>0</v>
          </cell>
          <cell r="Q191">
            <v>0</v>
          </cell>
        </row>
        <row r="192">
          <cell r="A192">
            <v>44162</v>
          </cell>
          <cell r="B192" t="str">
            <v>Cost of Materials - ONP</v>
          </cell>
          <cell r="E192">
            <v>0</v>
          </cell>
          <cell r="F192">
            <v>0</v>
          </cell>
          <cell r="G192">
            <v>0</v>
          </cell>
          <cell r="H192">
            <v>0</v>
          </cell>
          <cell r="I192">
            <v>0</v>
          </cell>
          <cell r="J192">
            <v>0</v>
          </cell>
          <cell r="K192">
            <v>0</v>
          </cell>
          <cell r="L192">
            <v>0</v>
          </cell>
          <cell r="M192">
            <v>0</v>
          </cell>
          <cell r="N192">
            <v>0</v>
          </cell>
          <cell r="O192">
            <v>0</v>
          </cell>
          <cell r="P192">
            <v>0</v>
          </cell>
          <cell r="Q192">
            <v>0</v>
          </cell>
        </row>
        <row r="193">
          <cell r="A193">
            <v>44163</v>
          </cell>
          <cell r="B193" t="str">
            <v>Cost of Materials - Other Paper</v>
          </cell>
          <cell r="E193">
            <v>0</v>
          </cell>
          <cell r="F193">
            <v>0</v>
          </cell>
          <cell r="G193">
            <v>0</v>
          </cell>
          <cell r="H193">
            <v>0</v>
          </cell>
          <cell r="I193">
            <v>0</v>
          </cell>
          <cell r="J193">
            <v>0</v>
          </cell>
          <cell r="K193">
            <v>0</v>
          </cell>
          <cell r="L193">
            <v>0</v>
          </cell>
          <cell r="M193">
            <v>0</v>
          </cell>
          <cell r="N193">
            <v>0</v>
          </cell>
          <cell r="O193">
            <v>0</v>
          </cell>
          <cell r="P193">
            <v>0</v>
          </cell>
          <cell r="Q193">
            <v>0</v>
          </cell>
        </row>
        <row r="194">
          <cell r="A194">
            <v>44164</v>
          </cell>
          <cell r="B194" t="str">
            <v>Cost of Materials - Aluminum</v>
          </cell>
          <cell r="E194">
            <v>0</v>
          </cell>
          <cell r="F194">
            <v>0</v>
          </cell>
          <cell r="G194">
            <v>0</v>
          </cell>
          <cell r="H194">
            <v>0</v>
          </cell>
          <cell r="I194">
            <v>0</v>
          </cell>
          <cell r="J194">
            <v>0</v>
          </cell>
          <cell r="K194">
            <v>0</v>
          </cell>
          <cell r="L194">
            <v>0</v>
          </cell>
          <cell r="M194">
            <v>0</v>
          </cell>
          <cell r="N194">
            <v>0</v>
          </cell>
          <cell r="O194">
            <v>0</v>
          </cell>
          <cell r="P194">
            <v>0</v>
          </cell>
          <cell r="Q194">
            <v>0</v>
          </cell>
        </row>
        <row r="195">
          <cell r="A195">
            <v>44165</v>
          </cell>
          <cell r="B195" t="str">
            <v>Cost of Materials - Metal</v>
          </cell>
          <cell r="E195">
            <v>0</v>
          </cell>
          <cell r="F195">
            <v>0</v>
          </cell>
          <cell r="G195">
            <v>0</v>
          </cell>
          <cell r="H195">
            <v>0</v>
          </cell>
          <cell r="I195">
            <v>0</v>
          </cell>
          <cell r="J195">
            <v>0</v>
          </cell>
          <cell r="K195">
            <v>0</v>
          </cell>
          <cell r="L195">
            <v>0</v>
          </cell>
          <cell r="M195">
            <v>0</v>
          </cell>
          <cell r="N195">
            <v>0</v>
          </cell>
          <cell r="O195">
            <v>0</v>
          </cell>
          <cell r="P195">
            <v>0</v>
          </cell>
          <cell r="Q195">
            <v>0</v>
          </cell>
        </row>
        <row r="196">
          <cell r="A196">
            <v>44166</v>
          </cell>
          <cell r="B196" t="str">
            <v>Cost of Materials - Glass</v>
          </cell>
          <cell r="E196">
            <v>0</v>
          </cell>
          <cell r="F196">
            <v>0</v>
          </cell>
          <cell r="G196">
            <v>0</v>
          </cell>
          <cell r="H196">
            <v>0</v>
          </cell>
          <cell r="I196">
            <v>0</v>
          </cell>
          <cell r="J196">
            <v>0</v>
          </cell>
          <cell r="K196">
            <v>0</v>
          </cell>
          <cell r="L196">
            <v>0</v>
          </cell>
          <cell r="M196">
            <v>0</v>
          </cell>
          <cell r="N196">
            <v>0</v>
          </cell>
          <cell r="O196">
            <v>0</v>
          </cell>
          <cell r="P196">
            <v>0</v>
          </cell>
          <cell r="Q196">
            <v>0</v>
          </cell>
        </row>
        <row r="197">
          <cell r="A197">
            <v>44167</v>
          </cell>
          <cell r="B197" t="str">
            <v>Cost of Materials - Plastic</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A198">
            <v>44168</v>
          </cell>
          <cell r="B198" t="str">
            <v>Cost of Materials - Other Recyclables</v>
          </cell>
          <cell r="E198">
            <v>0</v>
          </cell>
          <cell r="F198">
            <v>0</v>
          </cell>
          <cell r="G198">
            <v>0</v>
          </cell>
          <cell r="H198">
            <v>0</v>
          </cell>
          <cell r="I198">
            <v>0</v>
          </cell>
          <cell r="J198">
            <v>0</v>
          </cell>
          <cell r="K198">
            <v>0</v>
          </cell>
          <cell r="L198">
            <v>0</v>
          </cell>
          <cell r="M198">
            <v>0</v>
          </cell>
          <cell r="N198">
            <v>0</v>
          </cell>
          <cell r="O198">
            <v>0</v>
          </cell>
          <cell r="P198">
            <v>0</v>
          </cell>
          <cell r="Q198">
            <v>0</v>
          </cell>
        </row>
        <row r="199">
          <cell r="A199">
            <v>44169</v>
          </cell>
          <cell r="B199" t="str">
            <v>Cost of Materials - Intercompany</v>
          </cell>
          <cell r="E199">
            <v>0</v>
          </cell>
          <cell r="F199">
            <v>0</v>
          </cell>
          <cell r="G199">
            <v>0</v>
          </cell>
          <cell r="H199">
            <v>0</v>
          </cell>
          <cell r="I199">
            <v>0</v>
          </cell>
          <cell r="J199">
            <v>0</v>
          </cell>
          <cell r="K199">
            <v>0</v>
          </cell>
          <cell r="L199">
            <v>0</v>
          </cell>
          <cell r="M199">
            <v>0</v>
          </cell>
          <cell r="N199">
            <v>0</v>
          </cell>
          <cell r="O199">
            <v>0</v>
          </cell>
          <cell r="P199">
            <v>0</v>
          </cell>
          <cell r="Q199">
            <v>0</v>
          </cell>
        </row>
        <row r="200">
          <cell r="A200">
            <v>44261</v>
          </cell>
          <cell r="B200" t="str">
            <v>Cost of Materials - Organics</v>
          </cell>
          <cell r="E200">
            <v>0</v>
          </cell>
          <cell r="F200">
            <v>0</v>
          </cell>
          <cell r="G200">
            <v>0</v>
          </cell>
          <cell r="H200">
            <v>0</v>
          </cell>
          <cell r="I200">
            <v>0</v>
          </cell>
          <cell r="J200">
            <v>0</v>
          </cell>
          <cell r="K200">
            <v>0</v>
          </cell>
          <cell r="L200">
            <v>0</v>
          </cell>
          <cell r="M200">
            <v>0</v>
          </cell>
          <cell r="N200">
            <v>0</v>
          </cell>
          <cell r="O200">
            <v>0</v>
          </cell>
          <cell r="P200">
            <v>0</v>
          </cell>
          <cell r="Q200">
            <v>0</v>
          </cell>
        </row>
        <row r="201">
          <cell r="A201">
            <v>44262</v>
          </cell>
          <cell r="B201" t="str">
            <v>Cost of Materials - Clean Wood</v>
          </cell>
          <cell r="E201">
            <v>0</v>
          </cell>
          <cell r="F201">
            <v>0</v>
          </cell>
          <cell r="G201">
            <v>0</v>
          </cell>
          <cell r="H201">
            <v>0</v>
          </cell>
          <cell r="I201">
            <v>0</v>
          </cell>
          <cell r="J201">
            <v>0</v>
          </cell>
          <cell r="K201">
            <v>0</v>
          </cell>
          <cell r="L201">
            <v>0</v>
          </cell>
          <cell r="M201">
            <v>0</v>
          </cell>
          <cell r="N201">
            <v>0</v>
          </cell>
          <cell r="O201">
            <v>0</v>
          </cell>
          <cell r="P201">
            <v>0</v>
          </cell>
          <cell r="Q201">
            <v>0</v>
          </cell>
        </row>
        <row r="202">
          <cell r="A202">
            <v>44263</v>
          </cell>
          <cell r="B202" t="str">
            <v>Cost of Materials - Landscaping Materials</v>
          </cell>
          <cell r="E202">
            <v>0</v>
          </cell>
          <cell r="F202">
            <v>0</v>
          </cell>
          <cell r="G202">
            <v>0</v>
          </cell>
          <cell r="H202">
            <v>0</v>
          </cell>
          <cell r="I202">
            <v>0</v>
          </cell>
          <cell r="J202">
            <v>0</v>
          </cell>
          <cell r="K202">
            <v>0</v>
          </cell>
          <cell r="L202">
            <v>0</v>
          </cell>
          <cell r="M202">
            <v>0</v>
          </cell>
          <cell r="N202">
            <v>0</v>
          </cell>
          <cell r="O202">
            <v>0</v>
          </cell>
          <cell r="P202">
            <v>0</v>
          </cell>
          <cell r="Q202">
            <v>0</v>
          </cell>
        </row>
        <row r="203">
          <cell r="A203" t="str">
            <v>Total Recycling Materials Expense</v>
          </cell>
          <cell r="E203">
            <v>0</v>
          </cell>
          <cell r="F203">
            <v>0</v>
          </cell>
          <cell r="G203">
            <v>0</v>
          </cell>
          <cell r="H203">
            <v>0</v>
          </cell>
          <cell r="I203">
            <v>0</v>
          </cell>
          <cell r="J203">
            <v>0</v>
          </cell>
          <cell r="K203">
            <v>0</v>
          </cell>
          <cell r="L203">
            <v>0</v>
          </cell>
          <cell r="M203">
            <v>0</v>
          </cell>
          <cell r="N203">
            <v>0</v>
          </cell>
          <cell r="O203">
            <v>0</v>
          </cell>
          <cell r="P203">
            <v>0</v>
          </cell>
          <cell r="Q203">
            <v>0</v>
          </cell>
        </row>
        <row r="205">
          <cell r="A205" t="str">
            <v>Other Expense</v>
          </cell>
        </row>
        <row r="206">
          <cell r="A206">
            <v>47000</v>
          </cell>
          <cell r="B206" t="str">
            <v>Cost of Containers Sold</v>
          </cell>
          <cell r="E206">
            <v>0</v>
          </cell>
          <cell r="F206">
            <v>0</v>
          </cell>
          <cell r="G206">
            <v>0</v>
          </cell>
          <cell r="H206">
            <v>0</v>
          </cell>
          <cell r="I206">
            <v>0</v>
          </cell>
          <cell r="J206">
            <v>0</v>
          </cell>
          <cell r="K206">
            <v>0</v>
          </cell>
          <cell r="L206">
            <v>0</v>
          </cell>
          <cell r="M206">
            <v>0</v>
          </cell>
          <cell r="N206">
            <v>0</v>
          </cell>
          <cell r="O206">
            <v>0</v>
          </cell>
          <cell r="P206">
            <v>0</v>
          </cell>
          <cell r="Q206">
            <v>0</v>
          </cell>
        </row>
        <row r="207">
          <cell r="A207">
            <v>47001</v>
          </cell>
          <cell r="B207" t="str">
            <v>Cost of Equipment Sold</v>
          </cell>
          <cell r="E207">
            <v>0</v>
          </cell>
          <cell r="F207">
            <v>0</v>
          </cell>
          <cell r="G207">
            <v>0</v>
          </cell>
          <cell r="H207">
            <v>0</v>
          </cell>
          <cell r="I207">
            <v>0</v>
          </cell>
          <cell r="J207">
            <v>0</v>
          </cell>
          <cell r="K207">
            <v>0</v>
          </cell>
          <cell r="L207">
            <v>0</v>
          </cell>
          <cell r="M207">
            <v>0</v>
          </cell>
          <cell r="N207">
            <v>0</v>
          </cell>
          <cell r="O207">
            <v>0</v>
          </cell>
          <cell r="P207">
            <v>0</v>
          </cell>
          <cell r="Q207">
            <v>0</v>
          </cell>
        </row>
        <row r="208">
          <cell r="A208">
            <v>47010</v>
          </cell>
          <cell r="B208" t="str">
            <v>Tire Processing Expenses</v>
          </cell>
          <cell r="E208">
            <v>0</v>
          </cell>
          <cell r="F208">
            <v>0</v>
          </cell>
          <cell r="G208">
            <v>0</v>
          </cell>
          <cell r="H208">
            <v>0</v>
          </cell>
          <cell r="I208">
            <v>0</v>
          </cell>
          <cell r="J208">
            <v>0</v>
          </cell>
          <cell r="K208">
            <v>0</v>
          </cell>
          <cell r="L208">
            <v>0</v>
          </cell>
          <cell r="M208">
            <v>0</v>
          </cell>
          <cell r="N208">
            <v>0</v>
          </cell>
          <cell r="O208">
            <v>0</v>
          </cell>
          <cell r="P208">
            <v>0</v>
          </cell>
          <cell r="Q208">
            <v>0</v>
          </cell>
        </row>
        <row r="209">
          <cell r="A209">
            <v>47019</v>
          </cell>
          <cell r="B209" t="str">
            <v>Tire Processing Expenses - Intercompany</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A210" t="str">
            <v>Total Other Expense</v>
          </cell>
          <cell r="E210">
            <v>0</v>
          </cell>
          <cell r="F210">
            <v>0</v>
          </cell>
          <cell r="G210">
            <v>0</v>
          </cell>
          <cell r="H210">
            <v>0</v>
          </cell>
          <cell r="I210">
            <v>0</v>
          </cell>
          <cell r="J210">
            <v>0</v>
          </cell>
          <cell r="K210">
            <v>0</v>
          </cell>
          <cell r="L210">
            <v>0</v>
          </cell>
          <cell r="M210">
            <v>0</v>
          </cell>
          <cell r="N210">
            <v>0</v>
          </cell>
          <cell r="O210">
            <v>0</v>
          </cell>
          <cell r="P210">
            <v>0</v>
          </cell>
          <cell r="Q210">
            <v>0</v>
          </cell>
        </row>
        <row r="212">
          <cell r="A212" t="str">
            <v>Total Revenue Reductions</v>
          </cell>
          <cell r="E212">
            <v>549574.68000000005</v>
          </cell>
          <cell r="F212">
            <v>499977.51</v>
          </cell>
          <cell r="G212">
            <v>581134.85</v>
          </cell>
          <cell r="H212">
            <v>559914.17000000004</v>
          </cell>
          <cell r="I212">
            <v>564010.48</v>
          </cell>
          <cell r="J212">
            <v>615173.96</v>
          </cell>
          <cell r="K212">
            <v>604101.30999999994</v>
          </cell>
          <cell r="L212">
            <v>604404.01</v>
          </cell>
          <cell r="M212">
            <v>602121.30000000005</v>
          </cell>
          <cell r="N212">
            <v>569292.79999999993</v>
          </cell>
          <cell r="O212">
            <v>561398.1399999999</v>
          </cell>
          <cell r="P212">
            <v>607565.14</v>
          </cell>
          <cell r="Q212">
            <v>6918668.3499999996</v>
          </cell>
        </row>
        <row r="214">
          <cell r="A214" t="str">
            <v>Net Revenue</v>
          </cell>
          <cell r="E214">
            <v>839957.93</v>
          </cell>
          <cell r="F214">
            <v>880100</v>
          </cell>
          <cell r="G214">
            <v>827312.04999999993</v>
          </cell>
          <cell r="H214">
            <v>859264.9</v>
          </cell>
          <cell r="I214">
            <v>855566.97999999975</v>
          </cell>
          <cell r="J214">
            <v>851493.29</v>
          </cell>
          <cell r="K214">
            <v>861895.62</v>
          </cell>
          <cell r="L214">
            <v>887553.74</v>
          </cell>
          <cell r="M214">
            <v>858415.54</v>
          </cell>
          <cell r="N214">
            <v>850652.68999999983</v>
          </cell>
          <cell r="O214">
            <v>822171.2100000002</v>
          </cell>
          <cell r="P214">
            <v>814403.91999999981</v>
          </cell>
          <cell r="Q214">
            <v>10208787.869999995</v>
          </cell>
        </row>
        <row r="216">
          <cell r="A216" t="str">
            <v>Cost of Operations</v>
          </cell>
        </row>
        <row r="217">
          <cell r="A217" t="str">
            <v>Labor</v>
          </cell>
        </row>
        <row r="218">
          <cell r="A218">
            <v>50010</v>
          </cell>
          <cell r="B218" t="str">
            <v>Salaries</v>
          </cell>
          <cell r="E218">
            <v>0</v>
          </cell>
          <cell r="F218">
            <v>0</v>
          </cell>
          <cell r="G218">
            <v>0</v>
          </cell>
          <cell r="H218">
            <v>0</v>
          </cell>
          <cell r="I218">
            <v>0</v>
          </cell>
          <cell r="J218">
            <v>0</v>
          </cell>
          <cell r="K218">
            <v>0</v>
          </cell>
          <cell r="L218">
            <v>0</v>
          </cell>
          <cell r="M218">
            <v>0</v>
          </cell>
          <cell r="N218">
            <v>0</v>
          </cell>
          <cell r="O218">
            <v>0</v>
          </cell>
          <cell r="P218">
            <v>0</v>
          </cell>
          <cell r="Q218">
            <v>0</v>
          </cell>
        </row>
        <row r="219">
          <cell r="A219">
            <v>50020</v>
          </cell>
          <cell r="B219" t="str">
            <v>Wages Regular</v>
          </cell>
          <cell r="E219">
            <v>148506.62</v>
          </cell>
          <cell r="F219">
            <v>147781.52000000002</v>
          </cell>
          <cell r="G219">
            <v>162872.48000000001</v>
          </cell>
          <cell r="H219">
            <v>152426.56</v>
          </cell>
          <cell r="I219">
            <v>133250.6</v>
          </cell>
          <cell r="J219">
            <v>141014.94</v>
          </cell>
          <cell r="K219">
            <v>138800.41999999998</v>
          </cell>
          <cell r="L219">
            <v>144467.28999999998</v>
          </cell>
          <cell r="M219">
            <v>139411.4</v>
          </cell>
          <cell r="N219">
            <v>131255.16</v>
          </cell>
          <cell r="O219">
            <v>135440.33000000002</v>
          </cell>
          <cell r="P219">
            <v>141049.91999999998</v>
          </cell>
          <cell r="Q219">
            <v>1716277.2399999998</v>
          </cell>
        </row>
        <row r="220">
          <cell r="A220">
            <v>50025</v>
          </cell>
          <cell r="B220" t="str">
            <v>Wages O.T.</v>
          </cell>
          <cell r="E220">
            <v>22975.54</v>
          </cell>
          <cell r="F220">
            <v>6810.35</v>
          </cell>
          <cell r="G220">
            <v>14008.81</v>
          </cell>
          <cell r="H220">
            <v>20795.96</v>
          </cell>
          <cell r="I220">
            <v>28625.24</v>
          </cell>
          <cell r="J220">
            <v>22652.750000000004</v>
          </cell>
          <cell r="K220">
            <v>20035.850000000002</v>
          </cell>
          <cell r="L220">
            <v>20754.88</v>
          </cell>
          <cell r="M220">
            <v>29699.32</v>
          </cell>
          <cell r="N220">
            <v>20332.329999999998</v>
          </cell>
          <cell r="O220">
            <v>32459.590000000004</v>
          </cell>
          <cell r="P220">
            <v>20007.580000000002</v>
          </cell>
          <cell r="Q220">
            <v>259158.2</v>
          </cell>
        </row>
        <row r="221">
          <cell r="A221">
            <v>50035</v>
          </cell>
          <cell r="B221" t="str">
            <v>Safety Bonuses</v>
          </cell>
          <cell r="E221">
            <v>3200</v>
          </cell>
          <cell r="F221">
            <v>3200</v>
          </cell>
          <cell r="G221">
            <v>3200</v>
          </cell>
          <cell r="H221">
            <v>3200</v>
          </cell>
          <cell r="I221">
            <v>3950</v>
          </cell>
          <cell r="J221">
            <v>3950</v>
          </cell>
          <cell r="K221">
            <v>3950</v>
          </cell>
          <cell r="L221">
            <v>3950</v>
          </cell>
          <cell r="M221">
            <v>2000</v>
          </cell>
          <cell r="N221">
            <v>2000</v>
          </cell>
          <cell r="O221">
            <v>3200</v>
          </cell>
          <cell r="P221">
            <v>0</v>
          </cell>
          <cell r="Q221">
            <v>35800</v>
          </cell>
        </row>
        <row r="222">
          <cell r="A222">
            <v>50036</v>
          </cell>
          <cell r="B222" t="str">
            <v>Other Bonus/Commission - Non-Safety</v>
          </cell>
          <cell r="E222">
            <v>0</v>
          </cell>
          <cell r="F222">
            <v>0</v>
          </cell>
          <cell r="G222">
            <v>1125</v>
          </cell>
          <cell r="H222">
            <v>0</v>
          </cell>
          <cell r="I222">
            <v>0</v>
          </cell>
          <cell r="J222">
            <v>0</v>
          </cell>
          <cell r="K222">
            <v>0</v>
          </cell>
          <cell r="L222">
            <v>0</v>
          </cell>
          <cell r="M222">
            <v>0</v>
          </cell>
          <cell r="N222">
            <v>0</v>
          </cell>
          <cell r="O222">
            <v>0</v>
          </cell>
          <cell r="P222">
            <v>0</v>
          </cell>
          <cell r="Q222">
            <v>1125</v>
          </cell>
        </row>
        <row r="223">
          <cell r="A223">
            <v>50045</v>
          </cell>
          <cell r="B223" t="str">
            <v>Contract Labor</v>
          </cell>
          <cell r="E223">
            <v>0</v>
          </cell>
          <cell r="F223">
            <v>0</v>
          </cell>
          <cell r="G223">
            <v>0</v>
          </cell>
          <cell r="H223">
            <v>0</v>
          </cell>
          <cell r="I223">
            <v>0</v>
          </cell>
          <cell r="J223">
            <v>0</v>
          </cell>
          <cell r="K223">
            <v>0</v>
          </cell>
          <cell r="L223">
            <v>0</v>
          </cell>
          <cell r="M223">
            <v>0</v>
          </cell>
          <cell r="N223">
            <v>0</v>
          </cell>
          <cell r="O223">
            <v>0</v>
          </cell>
          <cell r="P223">
            <v>0</v>
          </cell>
          <cell r="Q223">
            <v>0</v>
          </cell>
        </row>
        <row r="224">
          <cell r="A224">
            <v>50050</v>
          </cell>
          <cell r="B224" t="str">
            <v>Payroll Taxes</v>
          </cell>
          <cell r="E224">
            <v>21085.43</v>
          </cell>
          <cell r="F224">
            <v>16517.190000000002</v>
          </cell>
          <cell r="G224">
            <v>17618.89</v>
          </cell>
          <cell r="H224">
            <v>17201.14</v>
          </cell>
          <cell r="I224">
            <v>16035.320000000002</v>
          </cell>
          <cell r="J224">
            <v>17468.87</v>
          </cell>
          <cell r="K224">
            <v>16392.41</v>
          </cell>
          <cell r="L224">
            <v>16351.01</v>
          </cell>
          <cell r="M224">
            <v>17217.28</v>
          </cell>
          <cell r="N224">
            <v>14701.12</v>
          </cell>
          <cell r="O224">
            <v>17942.59</v>
          </cell>
          <cell r="P224">
            <v>10482.15</v>
          </cell>
          <cell r="Q224">
            <v>199013.4</v>
          </cell>
        </row>
        <row r="225">
          <cell r="A225">
            <v>50060</v>
          </cell>
          <cell r="B225" t="str">
            <v>Group Insurance</v>
          </cell>
          <cell r="E225">
            <v>1330</v>
          </cell>
          <cell r="F225">
            <v>1226</v>
          </cell>
          <cell r="G225">
            <v>729.5</v>
          </cell>
          <cell r="H225">
            <v>1026.5</v>
          </cell>
          <cell r="I225">
            <v>878</v>
          </cell>
          <cell r="J225">
            <v>878</v>
          </cell>
          <cell r="K225">
            <v>878.77</v>
          </cell>
          <cell r="L225">
            <v>826</v>
          </cell>
          <cell r="M225">
            <v>1077.5</v>
          </cell>
          <cell r="N225">
            <v>1826.5</v>
          </cell>
          <cell r="O225">
            <v>1678.77</v>
          </cell>
          <cell r="P225">
            <v>1088.4199999999998</v>
          </cell>
          <cell r="Q225">
            <v>13443.960000000001</v>
          </cell>
        </row>
        <row r="226">
          <cell r="A226">
            <v>50065</v>
          </cell>
          <cell r="B226" t="str">
            <v>Vacation Pay</v>
          </cell>
          <cell r="E226">
            <v>13381.59</v>
          </cell>
          <cell r="F226">
            <v>8706.9500000000007</v>
          </cell>
          <cell r="G226">
            <v>9543.1899999999987</v>
          </cell>
          <cell r="H226">
            <v>7013.4</v>
          </cell>
          <cell r="I226">
            <v>14309.95</v>
          </cell>
          <cell r="J226">
            <v>8179.11</v>
          </cell>
          <cell r="K226">
            <v>14227.68</v>
          </cell>
          <cell r="L226">
            <v>7288.4699999999993</v>
          </cell>
          <cell r="M226">
            <v>15009.16</v>
          </cell>
          <cell r="N226">
            <v>10400.879999999999</v>
          </cell>
          <cell r="O226">
            <v>16702.490000000002</v>
          </cell>
          <cell r="P226">
            <v>14167.710000000001</v>
          </cell>
          <cell r="Q226">
            <v>138930.58000000002</v>
          </cell>
        </row>
        <row r="227">
          <cell r="A227">
            <v>50070</v>
          </cell>
          <cell r="B227" t="str">
            <v>Sick Pay</v>
          </cell>
          <cell r="E227">
            <v>510.84</v>
          </cell>
          <cell r="F227">
            <v>-249.9</v>
          </cell>
          <cell r="G227">
            <v>257.39999999999998</v>
          </cell>
          <cell r="H227">
            <v>14.4</v>
          </cell>
          <cell r="I227">
            <v>0</v>
          </cell>
          <cell r="J227">
            <v>722.88</v>
          </cell>
          <cell r="K227">
            <v>80.319999999999993</v>
          </cell>
          <cell r="L227">
            <v>92</v>
          </cell>
          <cell r="M227">
            <v>0</v>
          </cell>
          <cell r="N227">
            <v>200.8</v>
          </cell>
          <cell r="O227">
            <v>156.4</v>
          </cell>
          <cell r="P227">
            <v>27.6</v>
          </cell>
          <cell r="Q227">
            <v>1812.7399999999998</v>
          </cell>
        </row>
        <row r="228">
          <cell r="A228">
            <v>50086</v>
          </cell>
          <cell r="B228" t="str">
            <v>Safety and Training</v>
          </cell>
          <cell r="E228">
            <v>52.5</v>
          </cell>
          <cell r="F228">
            <v>57.5</v>
          </cell>
          <cell r="G228">
            <v>269.42</v>
          </cell>
          <cell r="H228">
            <v>-147.5</v>
          </cell>
          <cell r="I228">
            <v>423.2</v>
          </cell>
          <cell r="J228">
            <v>0</v>
          </cell>
          <cell r="K228">
            <v>0</v>
          </cell>
          <cell r="L228">
            <v>0</v>
          </cell>
          <cell r="M228">
            <v>1724.48</v>
          </cell>
          <cell r="N228">
            <v>1092.78</v>
          </cell>
          <cell r="O228">
            <v>642.78</v>
          </cell>
          <cell r="P228">
            <v>0</v>
          </cell>
          <cell r="Q228">
            <v>4115.16</v>
          </cell>
        </row>
        <row r="229">
          <cell r="A229">
            <v>50087</v>
          </cell>
          <cell r="B229" t="str">
            <v>Drug Testing</v>
          </cell>
          <cell r="E229">
            <v>60</v>
          </cell>
          <cell r="F229">
            <v>0</v>
          </cell>
          <cell r="G229">
            <v>0</v>
          </cell>
          <cell r="H229">
            <v>240</v>
          </cell>
          <cell r="I229">
            <v>120</v>
          </cell>
          <cell r="J229">
            <v>240</v>
          </cell>
          <cell r="K229">
            <v>694</v>
          </cell>
          <cell r="L229">
            <v>180</v>
          </cell>
          <cell r="M229">
            <v>420</v>
          </cell>
          <cell r="N229">
            <v>60</v>
          </cell>
          <cell r="O229">
            <v>360</v>
          </cell>
          <cell r="P229">
            <v>60</v>
          </cell>
          <cell r="Q229">
            <v>2434</v>
          </cell>
        </row>
        <row r="230">
          <cell r="A230">
            <v>50090</v>
          </cell>
          <cell r="B230" t="str">
            <v>Uniforms</v>
          </cell>
          <cell r="E230">
            <v>6868.59</v>
          </cell>
          <cell r="F230">
            <v>9292.77</v>
          </cell>
          <cell r="G230">
            <v>8124.38</v>
          </cell>
          <cell r="H230">
            <v>7694.95</v>
          </cell>
          <cell r="I230">
            <v>4128.24</v>
          </cell>
          <cell r="J230">
            <v>12100.73</v>
          </cell>
          <cell r="K230">
            <v>9167.7900000000009</v>
          </cell>
          <cell r="L230">
            <v>12042.49</v>
          </cell>
          <cell r="M230">
            <v>8237.0400000000009</v>
          </cell>
          <cell r="N230">
            <v>8038.55</v>
          </cell>
          <cell r="O230">
            <v>7814.48</v>
          </cell>
          <cell r="P230">
            <v>9358.16</v>
          </cell>
          <cell r="Q230">
            <v>102868.17000000001</v>
          </cell>
        </row>
        <row r="231">
          <cell r="A231">
            <v>50115</v>
          </cell>
          <cell r="B231" t="str">
            <v>Pension and Profit Sharing</v>
          </cell>
          <cell r="E231">
            <v>20881.310000000001</v>
          </cell>
          <cell r="F231">
            <v>19908.310000000001</v>
          </cell>
          <cell r="G231">
            <v>22571.059999999998</v>
          </cell>
          <cell r="H231">
            <v>20908.93</v>
          </cell>
          <cell r="I231">
            <v>20644.87</v>
          </cell>
          <cell r="J231">
            <v>20431.82</v>
          </cell>
          <cell r="K231">
            <v>19793.68</v>
          </cell>
          <cell r="L231">
            <v>25409.94</v>
          </cell>
          <cell r="M231">
            <v>19345.43</v>
          </cell>
          <cell r="N231">
            <v>18963.18</v>
          </cell>
          <cell r="O231">
            <v>19131.61</v>
          </cell>
          <cell r="P231">
            <v>16610.04</v>
          </cell>
          <cell r="Q231">
            <v>244600.17999999996</v>
          </cell>
        </row>
        <row r="232">
          <cell r="A232">
            <v>50116</v>
          </cell>
          <cell r="B232" t="str">
            <v>Union Benefit Expense</v>
          </cell>
          <cell r="E232">
            <v>55955.6</v>
          </cell>
          <cell r="F232">
            <v>54981.08</v>
          </cell>
          <cell r="G232">
            <v>57124.76</v>
          </cell>
          <cell r="H232">
            <v>59521.61</v>
          </cell>
          <cell r="I232">
            <v>55020.61</v>
          </cell>
          <cell r="J232">
            <v>53907.77</v>
          </cell>
          <cell r="K232">
            <v>51487.79</v>
          </cell>
          <cell r="L232">
            <v>50364.490000000005</v>
          </cell>
          <cell r="M232">
            <v>51135.950000000004</v>
          </cell>
          <cell r="N232">
            <v>51271.57</v>
          </cell>
          <cell r="O232">
            <v>52010.640000000007</v>
          </cell>
          <cell r="P232">
            <v>49943.11</v>
          </cell>
          <cell r="Q232">
            <v>642724.98</v>
          </cell>
        </row>
        <row r="233">
          <cell r="A233">
            <v>50117</v>
          </cell>
          <cell r="B233" t="str">
            <v>Union Pension</v>
          </cell>
          <cell r="E233">
            <v>0</v>
          </cell>
          <cell r="F233">
            <v>0</v>
          </cell>
          <cell r="G233">
            <v>0</v>
          </cell>
          <cell r="H233">
            <v>0</v>
          </cell>
          <cell r="I233">
            <v>0</v>
          </cell>
          <cell r="J233">
            <v>0</v>
          </cell>
          <cell r="K233">
            <v>0</v>
          </cell>
          <cell r="L233">
            <v>0</v>
          </cell>
          <cell r="M233">
            <v>0</v>
          </cell>
          <cell r="N233">
            <v>0</v>
          </cell>
          <cell r="O233">
            <v>0</v>
          </cell>
          <cell r="P233">
            <v>0</v>
          </cell>
          <cell r="Q233">
            <v>0</v>
          </cell>
        </row>
        <row r="234">
          <cell r="A234">
            <v>50148</v>
          </cell>
          <cell r="B234" t="str">
            <v>Allocated Exp In - District</v>
          </cell>
          <cell r="E234">
            <v>0</v>
          </cell>
          <cell r="F234">
            <v>0</v>
          </cell>
          <cell r="G234">
            <v>0</v>
          </cell>
          <cell r="H234">
            <v>0</v>
          </cell>
          <cell r="I234">
            <v>0</v>
          </cell>
          <cell r="J234">
            <v>0</v>
          </cell>
          <cell r="K234">
            <v>0</v>
          </cell>
          <cell r="L234">
            <v>0</v>
          </cell>
          <cell r="M234">
            <v>0</v>
          </cell>
          <cell r="N234">
            <v>0</v>
          </cell>
          <cell r="O234">
            <v>0</v>
          </cell>
          <cell r="P234">
            <v>0</v>
          </cell>
          <cell r="Q234">
            <v>0</v>
          </cell>
        </row>
        <row r="235">
          <cell r="A235">
            <v>50149</v>
          </cell>
          <cell r="B235" t="str">
            <v>Allocated Exp In Out - District</v>
          </cell>
          <cell r="E235">
            <v>0</v>
          </cell>
          <cell r="F235">
            <v>0</v>
          </cell>
          <cell r="G235">
            <v>0</v>
          </cell>
          <cell r="H235">
            <v>0</v>
          </cell>
          <cell r="I235">
            <v>0</v>
          </cell>
          <cell r="J235">
            <v>0</v>
          </cell>
          <cell r="K235">
            <v>0</v>
          </cell>
          <cell r="L235">
            <v>0</v>
          </cell>
          <cell r="M235">
            <v>0</v>
          </cell>
          <cell r="N235">
            <v>0</v>
          </cell>
          <cell r="O235">
            <v>0</v>
          </cell>
          <cell r="P235">
            <v>0</v>
          </cell>
          <cell r="Q235">
            <v>0</v>
          </cell>
        </row>
        <row r="236">
          <cell r="A236">
            <v>50335</v>
          </cell>
          <cell r="B236" t="str">
            <v>Miscellaneous</v>
          </cell>
          <cell r="E236">
            <v>0</v>
          </cell>
          <cell r="F236">
            <v>0</v>
          </cell>
          <cell r="G236">
            <v>0</v>
          </cell>
          <cell r="H236">
            <v>0</v>
          </cell>
          <cell r="I236">
            <v>0</v>
          </cell>
          <cell r="J236">
            <v>0</v>
          </cell>
          <cell r="K236">
            <v>0</v>
          </cell>
          <cell r="L236">
            <v>0</v>
          </cell>
          <cell r="M236">
            <v>0</v>
          </cell>
          <cell r="N236">
            <v>0</v>
          </cell>
          <cell r="O236">
            <v>0</v>
          </cell>
          <cell r="P236">
            <v>0</v>
          </cell>
          <cell r="Q236">
            <v>0</v>
          </cell>
        </row>
        <row r="237">
          <cell r="A237">
            <v>50900</v>
          </cell>
          <cell r="B237" t="str">
            <v>Capitalized Costs</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A238">
            <v>50998</v>
          </cell>
          <cell r="B238" t="str">
            <v>Allocation Out - District</v>
          </cell>
          <cell r="E238">
            <v>0</v>
          </cell>
          <cell r="F238">
            <v>0</v>
          </cell>
          <cell r="G238">
            <v>0</v>
          </cell>
          <cell r="H238">
            <v>0</v>
          </cell>
          <cell r="I238">
            <v>0</v>
          </cell>
          <cell r="J238">
            <v>0</v>
          </cell>
          <cell r="K238">
            <v>0</v>
          </cell>
          <cell r="L238">
            <v>0</v>
          </cell>
          <cell r="M238">
            <v>0</v>
          </cell>
          <cell r="N238">
            <v>0</v>
          </cell>
          <cell r="O238">
            <v>0</v>
          </cell>
          <cell r="P238">
            <v>0</v>
          </cell>
          <cell r="Q238">
            <v>0</v>
          </cell>
        </row>
        <row r="239">
          <cell r="A239">
            <v>50999</v>
          </cell>
          <cell r="B239" t="str">
            <v>Allocation Out - Out District</v>
          </cell>
          <cell r="E239">
            <v>0</v>
          </cell>
          <cell r="F239">
            <v>0</v>
          </cell>
          <cell r="G239">
            <v>0</v>
          </cell>
          <cell r="H239">
            <v>0</v>
          </cell>
          <cell r="I239">
            <v>0</v>
          </cell>
          <cell r="J239">
            <v>0</v>
          </cell>
          <cell r="K239">
            <v>0</v>
          </cell>
          <cell r="L239">
            <v>0</v>
          </cell>
          <cell r="M239">
            <v>0</v>
          </cell>
          <cell r="N239">
            <v>0</v>
          </cell>
          <cell r="O239">
            <v>0</v>
          </cell>
          <cell r="P239">
            <v>0</v>
          </cell>
          <cell r="Q239">
            <v>0</v>
          </cell>
        </row>
        <row r="240">
          <cell r="A240" t="str">
            <v>Total Labor</v>
          </cell>
          <cell r="E240">
            <v>294808.01999999996</v>
          </cell>
          <cell r="F240">
            <v>268231.77</v>
          </cell>
          <cell r="G240">
            <v>297444.89</v>
          </cell>
          <cell r="H240">
            <v>289895.94999999995</v>
          </cell>
          <cell r="I240">
            <v>277386.03000000003</v>
          </cell>
          <cell r="J240">
            <v>281546.87</v>
          </cell>
          <cell r="K240">
            <v>275508.70999999996</v>
          </cell>
          <cell r="L240">
            <v>281726.57</v>
          </cell>
          <cell r="M240">
            <v>285277.56</v>
          </cell>
          <cell r="N240">
            <v>260142.86999999997</v>
          </cell>
          <cell r="O240">
            <v>287539.68</v>
          </cell>
          <cell r="P240">
            <v>262794.69</v>
          </cell>
          <cell r="Q240">
            <v>3362303.6100000003</v>
          </cell>
        </row>
        <row r="242">
          <cell r="A242" t="str">
            <v>Truck Fixed Expenses</v>
          </cell>
        </row>
        <row r="243">
          <cell r="A243">
            <v>51148</v>
          </cell>
          <cell r="B243" t="str">
            <v>Allocation In - District</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A244">
            <v>51149</v>
          </cell>
          <cell r="B244" t="str">
            <v>Allocation In - Out District</v>
          </cell>
          <cell r="E244">
            <v>0</v>
          </cell>
          <cell r="F244">
            <v>0</v>
          </cell>
          <cell r="G244">
            <v>0</v>
          </cell>
          <cell r="H244">
            <v>0</v>
          </cell>
          <cell r="I244">
            <v>0</v>
          </cell>
          <cell r="J244">
            <v>0</v>
          </cell>
          <cell r="K244">
            <v>0</v>
          </cell>
          <cell r="L244">
            <v>0</v>
          </cell>
          <cell r="M244">
            <v>0</v>
          </cell>
          <cell r="N244">
            <v>0</v>
          </cell>
          <cell r="O244">
            <v>0</v>
          </cell>
          <cell r="P244">
            <v>0</v>
          </cell>
          <cell r="Q244">
            <v>0</v>
          </cell>
        </row>
        <row r="245">
          <cell r="A245">
            <v>51175</v>
          </cell>
          <cell r="B245" t="str">
            <v>Equipment/Vehicle Rental</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A246">
            <v>51275</v>
          </cell>
          <cell r="B246" t="str">
            <v>Property Taxes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A247">
            <v>51295</v>
          </cell>
          <cell r="B247" t="str">
            <v>Licenses</v>
          </cell>
          <cell r="E247">
            <v>2602.56</v>
          </cell>
          <cell r="F247">
            <v>2531.56</v>
          </cell>
          <cell r="G247">
            <v>2595.5500000000002</v>
          </cell>
          <cell r="H247">
            <v>2489.9299999999998</v>
          </cell>
          <cell r="I247">
            <v>2160.58</v>
          </cell>
          <cell r="J247">
            <v>2256.83</v>
          </cell>
          <cell r="K247">
            <v>2128.83</v>
          </cell>
          <cell r="L247">
            <v>2085.83</v>
          </cell>
          <cell r="M247">
            <v>2085.83</v>
          </cell>
          <cell r="N247">
            <v>2190.83</v>
          </cell>
          <cell r="O247">
            <v>2085.83</v>
          </cell>
          <cell r="P247">
            <v>2550.89</v>
          </cell>
          <cell r="Q247">
            <v>27765.050000000003</v>
          </cell>
        </row>
        <row r="248">
          <cell r="A248">
            <v>51335</v>
          </cell>
          <cell r="B248" t="str">
            <v>Miscellaneous</v>
          </cell>
          <cell r="E248">
            <v>0</v>
          </cell>
          <cell r="F248">
            <v>0</v>
          </cell>
          <cell r="G248">
            <v>0</v>
          </cell>
          <cell r="H248">
            <v>0</v>
          </cell>
          <cell r="I248">
            <v>0</v>
          </cell>
          <cell r="J248">
            <v>0</v>
          </cell>
          <cell r="K248">
            <v>0</v>
          </cell>
          <cell r="L248">
            <v>0</v>
          </cell>
          <cell r="M248">
            <v>0</v>
          </cell>
          <cell r="N248">
            <v>0</v>
          </cell>
          <cell r="O248">
            <v>0</v>
          </cell>
          <cell r="P248">
            <v>0</v>
          </cell>
          <cell r="Q248">
            <v>0</v>
          </cell>
        </row>
        <row r="249">
          <cell r="A249">
            <v>51998</v>
          </cell>
          <cell r="B249" t="str">
            <v>Allocation Out - District</v>
          </cell>
          <cell r="E249">
            <v>0</v>
          </cell>
          <cell r="F249">
            <v>0</v>
          </cell>
          <cell r="G249">
            <v>0</v>
          </cell>
          <cell r="H249">
            <v>0</v>
          </cell>
          <cell r="I249">
            <v>0</v>
          </cell>
          <cell r="J249">
            <v>0</v>
          </cell>
          <cell r="K249">
            <v>0</v>
          </cell>
          <cell r="L249">
            <v>0</v>
          </cell>
          <cell r="M249">
            <v>0</v>
          </cell>
          <cell r="N249">
            <v>0</v>
          </cell>
          <cell r="O249">
            <v>0</v>
          </cell>
          <cell r="P249">
            <v>0</v>
          </cell>
          <cell r="Q249">
            <v>0</v>
          </cell>
        </row>
        <row r="250">
          <cell r="A250">
            <v>51999</v>
          </cell>
          <cell r="B250" t="str">
            <v>Allocation Out - Out District</v>
          </cell>
          <cell r="E250">
            <v>0</v>
          </cell>
          <cell r="F250">
            <v>0</v>
          </cell>
          <cell r="G250">
            <v>0</v>
          </cell>
          <cell r="H250">
            <v>0</v>
          </cell>
          <cell r="I250">
            <v>0</v>
          </cell>
          <cell r="J250">
            <v>0</v>
          </cell>
          <cell r="K250">
            <v>0</v>
          </cell>
          <cell r="L250">
            <v>0</v>
          </cell>
          <cell r="M250">
            <v>0</v>
          </cell>
          <cell r="N250">
            <v>0</v>
          </cell>
          <cell r="O250">
            <v>0</v>
          </cell>
          <cell r="P250">
            <v>0</v>
          </cell>
          <cell r="Q250">
            <v>0</v>
          </cell>
        </row>
        <row r="251">
          <cell r="A251" t="str">
            <v>Total Truck Fixed Expenses</v>
          </cell>
          <cell r="E251">
            <v>2602.56</v>
          </cell>
          <cell r="F251">
            <v>2531.56</v>
          </cell>
          <cell r="G251">
            <v>2595.5500000000002</v>
          </cell>
          <cell r="H251">
            <v>2489.9299999999998</v>
          </cell>
          <cell r="I251">
            <v>2160.58</v>
          </cell>
          <cell r="J251">
            <v>2256.83</v>
          </cell>
          <cell r="K251">
            <v>2128.83</v>
          </cell>
          <cell r="L251">
            <v>2085.83</v>
          </cell>
          <cell r="M251">
            <v>2085.83</v>
          </cell>
          <cell r="N251">
            <v>2190.83</v>
          </cell>
          <cell r="O251">
            <v>2085.83</v>
          </cell>
          <cell r="P251">
            <v>2550.89</v>
          </cell>
          <cell r="Q251">
            <v>27765.050000000003</v>
          </cell>
        </row>
        <row r="253">
          <cell r="A253" t="str">
            <v>Truck Variable Expenses</v>
          </cell>
        </row>
        <row r="254">
          <cell r="A254">
            <v>52010</v>
          </cell>
          <cell r="B254" t="str">
            <v>Salaries</v>
          </cell>
          <cell r="E254">
            <v>6209.13</v>
          </cell>
          <cell r="F254">
            <v>5913.46</v>
          </cell>
          <cell r="G254">
            <v>6800.48</v>
          </cell>
          <cell r="H254">
            <v>6504.81</v>
          </cell>
          <cell r="I254">
            <v>6209.13</v>
          </cell>
          <cell r="J254">
            <v>6504.8</v>
          </cell>
          <cell r="K254">
            <v>6504.81</v>
          </cell>
          <cell r="L254">
            <v>6504.81</v>
          </cell>
          <cell r="M254">
            <v>6504.8</v>
          </cell>
          <cell r="N254">
            <v>6209.14</v>
          </cell>
          <cell r="O254">
            <v>6504.8</v>
          </cell>
          <cell r="P254">
            <v>6800.48</v>
          </cell>
          <cell r="Q254">
            <v>77170.649999999994</v>
          </cell>
        </row>
        <row r="255">
          <cell r="A255">
            <v>52020</v>
          </cell>
          <cell r="B255" t="str">
            <v>Wages Regular</v>
          </cell>
          <cell r="E255">
            <v>11640.62</v>
          </cell>
          <cell r="F255">
            <v>14929.71</v>
          </cell>
          <cell r="G255">
            <v>14082.73</v>
          </cell>
          <cell r="H255">
            <v>13654.74</v>
          </cell>
          <cell r="I255">
            <v>14918.37</v>
          </cell>
          <cell r="J255">
            <v>14754.95</v>
          </cell>
          <cell r="K255">
            <v>12181.44</v>
          </cell>
          <cell r="L255">
            <v>11315.17</v>
          </cell>
          <cell r="M255">
            <v>11931.83</v>
          </cell>
          <cell r="N255">
            <v>11946.65</v>
          </cell>
          <cell r="O255">
            <v>12371.33</v>
          </cell>
          <cell r="P255">
            <v>15662.7</v>
          </cell>
          <cell r="Q255">
            <v>159390.24</v>
          </cell>
        </row>
        <row r="256">
          <cell r="A256">
            <v>52025</v>
          </cell>
          <cell r="B256" t="str">
            <v>Wages O.T.</v>
          </cell>
          <cell r="E256">
            <v>2614.52</v>
          </cell>
          <cell r="F256">
            <v>2473.63</v>
          </cell>
          <cell r="G256">
            <v>2117.09</v>
          </cell>
          <cell r="H256">
            <v>2164.7199999999998</v>
          </cell>
          <cell r="I256">
            <v>2848.44</v>
          </cell>
          <cell r="J256">
            <v>3075.19</v>
          </cell>
          <cell r="K256">
            <v>3378.52</v>
          </cell>
          <cell r="L256">
            <v>1747.37</v>
          </cell>
          <cell r="M256">
            <v>2402.91</v>
          </cell>
          <cell r="N256">
            <v>2322.34</v>
          </cell>
          <cell r="O256">
            <v>3755.06</v>
          </cell>
          <cell r="P256">
            <v>2288.11</v>
          </cell>
          <cell r="Q256">
            <v>31187.9</v>
          </cell>
        </row>
        <row r="257">
          <cell r="A257">
            <v>52035</v>
          </cell>
          <cell r="B257" t="str">
            <v>Safety Bonuses</v>
          </cell>
          <cell r="E257">
            <v>833</v>
          </cell>
          <cell r="F257">
            <v>833</v>
          </cell>
          <cell r="G257">
            <v>833</v>
          </cell>
          <cell r="H257">
            <v>833</v>
          </cell>
          <cell r="I257">
            <v>1583</v>
          </cell>
          <cell r="J257">
            <v>1583</v>
          </cell>
          <cell r="K257">
            <v>1583</v>
          </cell>
          <cell r="L257">
            <v>1583</v>
          </cell>
          <cell r="M257">
            <v>500</v>
          </cell>
          <cell r="N257">
            <v>500</v>
          </cell>
          <cell r="O257">
            <v>1000</v>
          </cell>
          <cell r="P257">
            <v>0</v>
          </cell>
          <cell r="Q257">
            <v>11664</v>
          </cell>
        </row>
        <row r="258">
          <cell r="A258">
            <v>52036</v>
          </cell>
          <cell r="B258" t="str">
            <v>Other Bonus/Commission - Non-Safety</v>
          </cell>
          <cell r="E258">
            <v>0</v>
          </cell>
          <cell r="F258">
            <v>0</v>
          </cell>
          <cell r="G258">
            <v>0</v>
          </cell>
          <cell r="H258">
            <v>0</v>
          </cell>
          <cell r="I258">
            <v>0</v>
          </cell>
          <cell r="J258">
            <v>0</v>
          </cell>
          <cell r="K258">
            <v>0</v>
          </cell>
          <cell r="L258">
            <v>0</v>
          </cell>
          <cell r="M258">
            <v>0</v>
          </cell>
          <cell r="N258">
            <v>0</v>
          </cell>
          <cell r="O258">
            <v>0</v>
          </cell>
          <cell r="P258">
            <v>0</v>
          </cell>
          <cell r="Q258">
            <v>0</v>
          </cell>
        </row>
        <row r="259">
          <cell r="A259">
            <v>52045</v>
          </cell>
          <cell r="B259" t="str">
            <v>Contract Labor</v>
          </cell>
          <cell r="E259">
            <v>0</v>
          </cell>
          <cell r="F259">
            <v>0</v>
          </cell>
          <cell r="G259">
            <v>0</v>
          </cell>
          <cell r="H259">
            <v>0</v>
          </cell>
          <cell r="I259">
            <v>0</v>
          </cell>
          <cell r="J259">
            <v>0</v>
          </cell>
          <cell r="K259">
            <v>0</v>
          </cell>
          <cell r="L259">
            <v>0</v>
          </cell>
          <cell r="M259">
            <v>0</v>
          </cell>
          <cell r="N259">
            <v>0</v>
          </cell>
          <cell r="O259">
            <v>0</v>
          </cell>
          <cell r="P259">
            <v>0</v>
          </cell>
          <cell r="Q259">
            <v>0</v>
          </cell>
        </row>
        <row r="260">
          <cell r="A260">
            <v>52050</v>
          </cell>
          <cell r="B260" t="str">
            <v>Payroll Taxes</v>
          </cell>
          <cell r="E260">
            <v>2869.35</v>
          </cell>
          <cell r="F260">
            <v>2242.16</v>
          </cell>
          <cell r="G260">
            <v>2468.5100000000002</v>
          </cell>
          <cell r="H260">
            <v>2064.63</v>
          </cell>
          <cell r="I260">
            <v>2186.88</v>
          </cell>
          <cell r="J260">
            <v>2344.56</v>
          </cell>
          <cell r="K260">
            <v>1962.2</v>
          </cell>
          <cell r="L260">
            <v>1763.36</v>
          </cell>
          <cell r="M260">
            <v>1881.81</v>
          </cell>
          <cell r="N260">
            <v>1731.74</v>
          </cell>
          <cell r="O260">
            <v>2453.91</v>
          </cell>
          <cell r="P260">
            <v>1757.74</v>
          </cell>
          <cell r="Q260">
            <v>25726.850000000006</v>
          </cell>
        </row>
        <row r="261">
          <cell r="A261">
            <v>52060</v>
          </cell>
          <cell r="B261" t="str">
            <v>Group Insurance</v>
          </cell>
          <cell r="E261">
            <v>1441</v>
          </cell>
          <cell r="F261">
            <v>1441</v>
          </cell>
          <cell r="G261">
            <v>561.5</v>
          </cell>
          <cell r="H261">
            <v>720.5</v>
          </cell>
          <cell r="I261">
            <v>641</v>
          </cell>
          <cell r="J261">
            <v>641</v>
          </cell>
          <cell r="K261">
            <v>641</v>
          </cell>
          <cell r="L261">
            <v>641</v>
          </cell>
          <cell r="M261">
            <v>561.5</v>
          </cell>
          <cell r="N261">
            <v>720.5</v>
          </cell>
          <cell r="O261">
            <v>641</v>
          </cell>
          <cell r="P261">
            <v>583.48</v>
          </cell>
          <cell r="Q261">
            <v>9234.48</v>
          </cell>
        </row>
        <row r="262">
          <cell r="A262">
            <v>52065</v>
          </cell>
          <cell r="B262" t="str">
            <v>Vacation Pay</v>
          </cell>
          <cell r="E262">
            <v>1511.38</v>
          </cell>
          <cell r="F262">
            <v>-838.54</v>
          </cell>
          <cell r="G262">
            <v>2800.68</v>
          </cell>
          <cell r="H262">
            <v>381.27</v>
          </cell>
          <cell r="I262">
            <v>800.29</v>
          </cell>
          <cell r="J262">
            <v>1912.65</v>
          </cell>
          <cell r="K262">
            <v>745.69</v>
          </cell>
          <cell r="L262">
            <v>1755.74</v>
          </cell>
          <cell r="M262">
            <v>996.88</v>
          </cell>
          <cell r="N262">
            <v>1492.04</v>
          </cell>
          <cell r="O262">
            <v>2476.17</v>
          </cell>
          <cell r="P262">
            <v>1846.32</v>
          </cell>
          <cell r="Q262">
            <v>15880.569999999998</v>
          </cell>
        </row>
        <row r="263">
          <cell r="A263">
            <v>52070</v>
          </cell>
          <cell r="B263" t="str">
            <v>Sick Pay</v>
          </cell>
          <cell r="E263">
            <v>0</v>
          </cell>
          <cell r="F263">
            <v>0</v>
          </cell>
          <cell r="G263">
            <v>0</v>
          </cell>
          <cell r="H263">
            <v>0</v>
          </cell>
          <cell r="I263">
            <v>0</v>
          </cell>
          <cell r="J263">
            <v>0</v>
          </cell>
          <cell r="K263">
            <v>0</v>
          </cell>
          <cell r="L263">
            <v>0</v>
          </cell>
          <cell r="M263">
            <v>0</v>
          </cell>
          <cell r="N263">
            <v>0</v>
          </cell>
          <cell r="O263">
            <v>0</v>
          </cell>
          <cell r="P263">
            <v>0</v>
          </cell>
          <cell r="Q263">
            <v>0</v>
          </cell>
        </row>
        <row r="264">
          <cell r="A264">
            <v>52086</v>
          </cell>
          <cell r="B264" t="str">
            <v>Safety and Training</v>
          </cell>
          <cell r="E264">
            <v>104.55</v>
          </cell>
          <cell r="F264">
            <v>112.64</v>
          </cell>
          <cell r="G264">
            <v>154.71</v>
          </cell>
          <cell r="H264">
            <v>299.60000000000002</v>
          </cell>
          <cell r="I264">
            <v>846.98</v>
          </cell>
          <cell r="J264">
            <v>185.38</v>
          </cell>
          <cell r="K264">
            <v>78.989999999999995</v>
          </cell>
          <cell r="L264">
            <v>145.65</v>
          </cell>
          <cell r="M264">
            <v>0</v>
          </cell>
          <cell r="N264">
            <v>876.33</v>
          </cell>
          <cell r="O264">
            <v>-395.59</v>
          </cell>
          <cell r="P264">
            <v>1720.49</v>
          </cell>
          <cell r="Q264">
            <v>4129.7300000000005</v>
          </cell>
        </row>
        <row r="265">
          <cell r="A265">
            <v>52087</v>
          </cell>
          <cell r="B265" t="str">
            <v>Drug Screening</v>
          </cell>
          <cell r="E265">
            <v>0</v>
          </cell>
          <cell r="F265">
            <v>0</v>
          </cell>
          <cell r="G265">
            <v>0</v>
          </cell>
          <cell r="H265">
            <v>0</v>
          </cell>
          <cell r="I265">
            <v>0</v>
          </cell>
          <cell r="J265">
            <v>0</v>
          </cell>
          <cell r="K265">
            <v>0</v>
          </cell>
          <cell r="L265">
            <v>0</v>
          </cell>
          <cell r="M265">
            <v>0</v>
          </cell>
          <cell r="N265">
            <v>0</v>
          </cell>
          <cell r="O265">
            <v>0</v>
          </cell>
          <cell r="P265">
            <v>0</v>
          </cell>
          <cell r="Q265">
            <v>0</v>
          </cell>
        </row>
        <row r="266">
          <cell r="A266">
            <v>52090</v>
          </cell>
          <cell r="B266" t="str">
            <v>Uniforms</v>
          </cell>
          <cell r="E266">
            <v>1040.42</v>
          </cell>
          <cell r="F266">
            <v>1033.9000000000001</v>
          </cell>
          <cell r="G266">
            <v>1397.48</v>
          </cell>
          <cell r="H266">
            <v>1377.31</v>
          </cell>
          <cell r="I266">
            <v>475.1</v>
          </cell>
          <cell r="J266">
            <v>1617.7</v>
          </cell>
          <cell r="K266">
            <v>910.5</v>
          </cell>
          <cell r="L266">
            <v>1633.6</v>
          </cell>
          <cell r="M266">
            <v>1021.73</v>
          </cell>
          <cell r="N266">
            <v>756.54</v>
          </cell>
          <cell r="O266">
            <v>828.81</v>
          </cell>
          <cell r="P266">
            <v>987.61</v>
          </cell>
          <cell r="Q266">
            <v>13080.699999999999</v>
          </cell>
        </row>
        <row r="267">
          <cell r="A267">
            <v>52115</v>
          </cell>
          <cell r="B267" t="str">
            <v>Pension and Profit Sharing</v>
          </cell>
          <cell r="E267">
            <v>2995.29</v>
          </cell>
          <cell r="F267">
            <v>2862.61</v>
          </cell>
          <cell r="G267">
            <v>3299.63</v>
          </cell>
          <cell r="H267">
            <v>2999.06</v>
          </cell>
          <cell r="I267">
            <v>2963.05</v>
          </cell>
          <cell r="J267">
            <v>2934</v>
          </cell>
          <cell r="K267">
            <v>2846.98</v>
          </cell>
          <cell r="L267">
            <v>2774.57</v>
          </cell>
          <cell r="M267">
            <v>2785.85</v>
          </cell>
          <cell r="N267">
            <v>2807.65</v>
          </cell>
          <cell r="O267">
            <v>2756.7</v>
          </cell>
          <cell r="P267">
            <v>2412.85</v>
          </cell>
          <cell r="Q267">
            <v>34438.239999999998</v>
          </cell>
        </row>
        <row r="268">
          <cell r="A268">
            <v>52116</v>
          </cell>
          <cell r="B268" t="str">
            <v>Union Benefit Expense</v>
          </cell>
          <cell r="E268">
            <v>7876.76</v>
          </cell>
          <cell r="F268">
            <v>7880.62</v>
          </cell>
          <cell r="G268">
            <v>7872.8</v>
          </cell>
          <cell r="H268">
            <v>7884.58</v>
          </cell>
          <cell r="I268">
            <v>7878.69</v>
          </cell>
          <cell r="J268">
            <v>7878.69</v>
          </cell>
          <cell r="K268">
            <v>7881.97</v>
          </cell>
          <cell r="L268">
            <v>6752.1</v>
          </cell>
          <cell r="M268">
            <v>6747.85</v>
          </cell>
          <cell r="N268">
            <v>6756.35</v>
          </cell>
          <cell r="O268">
            <v>7182.94</v>
          </cell>
          <cell r="P268">
            <v>7779.69</v>
          </cell>
          <cell r="Q268">
            <v>90373.040000000023</v>
          </cell>
        </row>
        <row r="269">
          <cell r="A269">
            <v>52117</v>
          </cell>
          <cell r="B269" t="str">
            <v>Union Pension</v>
          </cell>
          <cell r="E269">
            <v>0</v>
          </cell>
          <cell r="F269">
            <v>0</v>
          </cell>
          <cell r="G269">
            <v>0</v>
          </cell>
          <cell r="H269">
            <v>0</v>
          </cell>
          <cell r="I269">
            <v>0</v>
          </cell>
          <cell r="J269">
            <v>0</v>
          </cell>
          <cell r="K269">
            <v>0</v>
          </cell>
          <cell r="L269">
            <v>0</v>
          </cell>
          <cell r="M269">
            <v>0</v>
          </cell>
          <cell r="N269">
            <v>0</v>
          </cell>
          <cell r="O269">
            <v>0</v>
          </cell>
          <cell r="P269">
            <v>0</v>
          </cell>
          <cell r="Q269">
            <v>0</v>
          </cell>
        </row>
        <row r="270">
          <cell r="A270">
            <v>52120</v>
          </cell>
          <cell r="B270" t="str">
            <v>Parts and Materials</v>
          </cell>
          <cell r="E270">
            <v>13715.59</v>
          </cell>
          <cell r="F270">
            <v>21102.71</v>
          </cell>
          <cell r="G270">
            <v>18678.920000000006</v>
          </cell>
          <cell r="H270">
            <v>30064.99</v>
          </cell>
          <cell r="I270">
            <v>11133.51</v>
          </cell>
          <cell r="J270">
            <v>9706.94</v>
          </cell>
          <cell r="K270">
            <v>12873.069999999998</v>
          </cell>
          <cell r="L270">
            <v>12811.720000000001</v>
          </cell>
          <cell r="M270">
            <v>13514.23</v>
          </cell>
          <cell r="N270">
            <v>8953.7200000000012</v>
          </cell>
          <cell r="O270">
            <v>16547.27</v>
          </cell>
          <cell r="P270">
            <v>15817.25</v>
          </cell>
          <cell r="Q270">
            <v>184919.91999999998</v>
          </cell>
        </row>
        <row r="271">
          <cell r="A271">
            <v>52125</v>
          </cell>
          <cell r="B271" t="str">
            <v>Operating Supplies</v>
          </cell>
          <cell r="E271">
            <v>568.15</v>
          </cell>
          <cell r="F271">
            <v>288.02999999999997</v>
          </cell>
          <cell r="G271">
            <v>385.62</v>
          </cell>
          <cell r="H271">
            <v>179.18</v>
          </cell>
          <cell r="I271">
            <v>339.98</v>
          </cell>
          <cell r="J271">
            <v>264.08</v>
          </cell>
          <cell r="K271">
            <v>131.13</v>
          </cell>
          <cell r="L271">
            <v>13.55</v>
          </cell>
          <cell r="M271">
            <v>9.8699999999999992</v>
          </cell>
          <cell r="N271">
            <v>372.92</v>
          </cell>
          <cell r="O271">
            <v>819.61</v>
          </cell>
          <cell r="P271">
            <v>414.71</v>
          </cell>
          <cell r="Q271">
            <v>3786.8300000000004</v>
          </cell>
        </row>
        <row r="272">
          <cell r="A272">
            <v>52135</v>
          </cell>
          <cell r="B272" t="str">
            <v>Equipment and Maint Repair</v>
          </cell>
          <cell r="E272">
            <v>0</v>
          </cell>
          <cell r="F272">
            <v>0</v>
          </cell>
          <cell r="G272">
            <v>149.16</v>
          </cell>
          <cell r="H272">
            <v>681.98</v>
          </cell>
          <cell r="I272">
            <v>545.25</v>
          </cell>
          <cell r="J272">
            <v>332.59</v>
          </cell>
          <cell r="K272">
            <v>984.37</v>
          </cell>
          <cell r="L272">
            <v>173.37</v>
          </cell>
          <cell r="M272">
            <v>0</v>
          </cell>
          <cell r="N272">
            <v>156.19999999999999</v>
          </cell>
          <cell r="O272">
            <v>-156.19999999999999</v>
          </cell>
          <cell r="P272">
            <v>27.01</v>
          </cell>
          <cell r="Q272">
            <v>2893.73</v>
          </cell>
        </row>
        <row r="273">
          <cell r="A273">
            <v>52140</v>
          </cell>
          <cell r="B273" t="str">
            <v>Tires</v>
          </cell>
          <cell r="E273">
            <v>11282.69</v>
          </cell>
          <cell r="F273">
            <v>1664.63</v>
          </cell>
          <cell r="G273">
            <v>5175.3999999999996</v>
          </cell>
          <cell r="H273">
            <v>8753.43</v>
          </cell>
          <cell r="I273">
            <v>9084.64</v>
          </cell>
          <cell r="J273">
            <v>1370.04</v>
          </cell>
          <cell r="K273">
            <v>8864.5</v>
          </cell>
          <cell r="L273">
            <v>438.2</v>
          </cell>
          <cell r="M273">
            <v>5010.1400000000003</v>
          </cell>
          <cell r="N273">
            <v>1896.06</v>
          </cell>
          <cell r="O273">
            <v>7161.25</v>
          </cell>
          <cell r="P273">
            <v>3395.56</v>
          </cell>
          <cell r="Q273">
            <v>64096.539999999994</v>
          </cell>
        </row>
        <row r="274">
          <cell r="A274">
            <v>52142</v>
          </cell>
          <cell r="B274" t="str">
            <v>Fuel Expense</v>
          </cell>
          <cell r="E274">
            <v>54158.289999999994</v>
          </cell>
          <cell r="F274">
            <v>50956.94</v>
          </cell>
          <cell r="G274">
            <v>60111.49</v>
          </cell>
          <cell r="H274">
            <v>62505</v>
          </cell>
          <cell r="I274">
            <v>58155.18</v>
          </cell>
          <cell r="J274">
            <v>61304.36</v>
          </cell>
          <cell r="K274">
            <v>60908.59</v>
          </cell>
          <cell r="L274">
            <v>64096.240000000005</v>
          </cell>
          <cell r="M274">
            <v>63144.08</v>
          </cell>
          <cell r="N274">
            <v>63868.340000000004</v>
          </cell>
          <cell r="O274">
            <v>56605.93</v>
          </cell>
          <cell r="P274">
            <v>67191.64</v>
          </cell>
          <cell r="Q274">
            <v>723006.08</v>
          </cell>
        </row>
        <row r="275">
          <cell r="A275">
            <v>52143</v>
          </cell>
          <cell r="B275" t="str">
            <v>Transmontagne Fuel</v>
          </cell>
          <cell r="E275">
            <v>0</v>
          </cell>
          <cell r="F275">
            <v>0</v>
          </cell>
          <cell r="G275">
            <v>0</v>
          </cell>
          <cell r="H275">
            <v>0</v>
          </cell>
          <cell r="I275">
            <v>0</v>
          </cell>
          <cell r="J275">
            <v>0</v>
          </cell>
          <cell r="K275">
            <v>0</v>
          </cell>
          <cell r="L275">
            <v>0</v>
          </cell>
          <cell r="M275">
            <v>0</v>
          </cell>
          <cell r="N275">
            <v>0</v>
          </cell>
          <cell r="O275">
            <v>0</v>
          </cell>
          <cell r="P275">
            <v>0</v>
          </cell>
          <cell r="Q275">
            <v>0</v>
          </cell>
        </row>
        <row r="276">
          <cell r="A276">
            <v>52144</v>
          </cell>
          <cell r="B276" t="str">
            <v>Urea Expense</v>
          </cell>
          <cell r="E276">
            <v>0</v>
          </cell>
          <cell r="F276">
            <v>0</v>
          </cell>
          <cell r="G276">
            <v>0</v>
          </cell>
          <cell r="H276">
            <v>0</v>
          </cell>
          <cell r="I276">
            <v>0</v>
          </cell>
          <cell r="J276">
            <v>0</v>
          </cell>
          <cell r="K276">
            <v>0</v>
          </cell>
          <cell r="L276">
            <v>0</v>
          </cell>
          <cell r="M276">
            <v>0</v>
          </cell>
          <cell r="N276">
            <v>0</v>
          </cell>
          <cell r="O276">
            <v>0</v>
          </cell>
          <cell r="P276">
            <v>0</v>
          </cell>
          <cell r="Q276">
            <v>0</v>
          </cell>
        </row>
        <row r="277">
          <cell r="A277">
            <v>52146</v>
          </cell>
          <cell r="B277" t="str">
            <v>Oil and Grease</v>
          </cell>
          <cell r="E277">
            <v>3179.71</v>
          </cell>
          <cell r="F277">
            <v>7401.66</v>
          </cell>
          <cell r="G277">
            <v>5696.15</v>
          </cell>
          <cell r="H277">
            <v>6990.25</v>
          </cell>
          <cell r="I277">
            <v>4918.58</v>
          </cell>
          <cell r="J277">
            <v>3341.27</v>
          </cell>
          <cell r="K277">
            <v>1599.94</v>
          </cell>
          <cell r="L277">
            <v>9095.31</v>
          </cell>
          <cell r="M277">
            <v>5629.35</v>
          </cell>
          <cell r="N277">
            <v>4937.97</v>
          </cell>
          <cell r="O277">
            <v>5285.37</v>
          </cell>
          <cell r="P277">
            <v>5402.36</v>
          </cell>
          <cell r="Q277">
            <v>63477.919999999998</v>
          </cell>
        </row>
        <row r="278">
          <cell r="A278">
            <v>52147</v>
          </cell>
          <cell r="B278" t="str">
            <v>Outside Repairs</v>
          </cell>
          <cell r="E278">
            <v>2520.1099999999997</v>
          </cell>
          <cell r="F278">
            <v>148.44</v>
          </cell>
          <cell r="G278">
            <v>4753.75</v>
          </cell>
          <cell r="H278">
            <v>2049.4</v>
          </cell>
          <cell r="I278">
            <v>568.04999999999995</v>
          </cell>
          <cell r="J278">
            <v>4319.34</v>
          </cell>
          <cell r="K278">
            <v>3088.65</v>
          </cell>
          <cell r="L278">
            <v>4131.92</v>
          </cell>
          <cell r="M278">
            <v>939.12</v>
          </cell>
          <cell r="N278">
            <v>4227.5600000000004</v>
          </cell>
          <cell r="O278">
            <v>38.909999999999997</v>
          </cell>
          <cell r="P278">
            <v>448.88</v>
          </cell>
          <cell r="Q278">
            <v>27234.129999999997</v>
          </cell>
        </row>
        <row r="279">
          <cell r="A279">
            <v>52148</v>
          </cell>
          <cell r="B279" t="str">
            <v>Allocated Exp In - District</v>
          </cell>
          <cell r="E279">
            <v>0</v>
          </cell>
          <cell r="F279">
            <v>0</v>
          </cell>
          <cell r="G279">
            <v>0</v>
          </cell>
          <cell r="H279">
            <v>0</v>
          </cell>
          <cell r="I279">
            <v>0</v>
          </cell>
          <cell r="J279">
            <v>0</v>
          </cell>
          <cell r="K279">
            <v>0</v>
          </cell>
          <cell r="L279">
            <v>0</v>
          </cell>
          <cell r="M279">
            <v>0</v>
          </cell>
          <cell r="N279">
            <v>0</v>
          </cell>
          <cell r="O279">
            <v>0</v>
          </cell>
          <cell r="P279">
            <v>0</v>
          </cell>
          <cell r="Q279">
            <v>0</v>
          </cell>
        </row>
        <row r="280">
          <cell r="A280">
            <v>52149</v>
          </cell>
          <cell r="B280" t="str">
            <v>Allocated Exp In Out - District</v>
          </cell>
          <cell r="E280">
            <v>0</v>
          </cell>
          <cell r="F280">
            <v>0</v>
          </cell>
          <cell r="G280">
            <v>0</v>
          </cell>
          <cell r="H280">
            <v>0</v>
          </cell>
          <cell r="I280">
            <v>0</v>
          </cell>
          <cell r="J280">
            <v>0</v>
          </cell>
          <cell r="K280">
            <v>0</v>
          </cell>
          <cell r="L280">
            <v>0</v>
          </cell>
          <cell r="M280">
            <v>0</v>
          </cell>
          <cell r="N280">
            <v>0</v>
          </cell>
          <cell r="O280">
            <v>0</v>
          </cell>
          <cell r="P280">
            <v>0</v>
          </cell>
          <cell r="Q280">
            <v>0</v>
          </cell>
        </row>
        <row r="281">
          <cell r="A281">
            <v>52150</v>
          </cell>
          <cell r="B281" t="str">
            <v>Utilities</v>
          </cell>
          <cell r="E281">
            <v>1060.3800000000001</v>
          </cell>
          <cell r="F281">
            <v>764.22</v>
          </cell>
          <cell r="G281">
            <v>713.08</v>
          </cell>
          <cell r="H281">
            <v>617.6</v>
          </cell>
          <cell r="I281">
            <v>412.22</v>
          </cell>
          <cell r="J281">
            <v>355.41</v>
          </cell>
          <cell r="K281">
            <v>1187.46</v>
          </cell>
          <cell r="L281">
            <v>314.74</v>
          </cell>
          <cell r="M281">
            <v>291.92</v>
          </cell>
          <cell r="N281">
            <v>296.52999999999997</v>
          </cell>
          <cell r="O281">
            <v>545.01</v>
          </cell>
          <cell r="P281">
            <v>997.3</v>
          </cell>
          <cell r="Q281">
            <v>7555.87</v>
          </cell>
        </row>
        <row r="282">
          <cell r="A282">
            <v>52165</v>
          </cell>
          <cell r="B282" t="str">
            <v>Communications</v>
          </cell>
          <cell r="E282">
            <v>497.52</v>
          </cell>
          <cell r="F282">
            <v>509.58</v>
          </cell>
          <cell r="G282">
            <v>521.71</v>
          </cell>
          <cell r="H282">
            <v>497.47</v>
          </cell>
          <cell r="I282">
            <v>622.69000000000005</v>
          </cell>
          <cell r="J282">
            <v>534.09</v>
          </cell>
          <cell r="K282">
            <v>-388.32</v>
          </cell>
          <cell r="L282">
            <v>662.93</v>
          </cell>
          <cell r="M282">
            <v>678.76</v>
          </cell>
          <cell r="N282">
            <v>509.78</v>
          </cell>
          <cell r="O282">
            <v>678.67</v>
          </cell>
          <cell r="P282">
            <v>546.71</v>
          </cell>
          <cell r="Q282">
            <v>5871.59</v>
          </cell>
        </row>
        <row r="283">
          <cell r="A283">
            <v>52170</v>
          </cell>
          <cell r="B283" t="str">
            <v>Real Estate Rentals</v>
          </cell>
          <cell r="E283">
            <v>0</v>
          </cell>
          <cell r="F283">
            <v>0</v>
          </cell>
          <cell r="G283">
            <v>0</v>
          </cell>
          <cell r="H283">
            <v>0</v>
          </cell>
          <cell r="I283">
            <v>0</v>
          </cell>
          <cell r="J283">
            <v>0</v>
          </cell>
          <cell r="K283">
            <v>0</v>
          </cell>
          <cell r="L283">
            <v>0</v>
          </cell>
          <cell r="M283">
            <v>0</v>
          </cell>
          <cell r="N283">
            <v>0</v>
          </cell>
          <cell r="O283">
            <v>0</v>
          </cell>
          <cell r="P283">
            <v>0</v>
          </cell>
          <cell r="Q283">
            <v>0</v>
          </cell>
        </row>
        <row r="284">
          <cell r="A284">
            <v>52172</v>
          </cell>
          <cell r="B284" t="str">
            <v>Chassis Lease Expense</v>
          </cell>
          <cell r="E284">
            <v>0</v>
          </cell>
          <cell r="F284">
            <v>0</v>
          </cell>
          <cell r="G284">
            <v>0</v>
          </cell>
          <cell r="H284">
            <v>0</v>
          </cell>
          <cell r="I284">
            <v>0</v>
          </cell>
          <cell r="J284">
            <v>0</v>
          </cell>
          <cell r="K284">
            <v>0</v>
          </cell>
          <cell r="L284">
            <v>0</v>
          </cell>
          <cell r="M284">
            <v>0</v>
          </cell>
          <cell r="N284">
            <v>0</v>
          </cell>
          <cell r="O284">
            <v>0</v>
          </cell>
          <cell r="P284">
            <v>0</v>
          </cell>
          <cell r="Q284">
            <v>0</v>
          </cell>
        </row>
        <row r="285">
          <cell r="A285">
            <v>52175</v>
          </cell>
          <cell r="B285" t="str">
            <v>Equip/Vehicle Rental</v>
          </cell>
          <cell r="E285">
            <v>0</v>
          </cell>
          <cell r="F285">
            <v>0</v>
          </cell>
          <cell r="G285">
            <v>0</v>
          </cell>
          <cell r="H285">
            <v>0</v>
          </cell>
          <cell r="I285">
            <v>0</v>
          </cell>
          <cell r="J285">
            <v>0</v>
          </cell>
          <cell r="K285">
            <v>0</v>
          </cell>
          <cell r="L285">
            <v>0</v>
          </cell>
          <cell r="M285">
            <v>0</v>
          </cell>
          <cell r="N285">
            <v>0</v>
          </cell>
          <cell r="O285">
            <v>0</v>
          </cell>
          <cell r="P285">
            <v>0</v>
          </cell>
          <cell r="Q285">
            <v>0</v>
          </cell>
        </row>
        <row r="286">
          <cell r="A286">
            <v>52181</v>
          </cell>
          <cell r="B286" t="str">
            <v>Freight</v>
          </cell>
          <cell r="E286">
            <v>0</v>
          </cell>
          <cell r="F286">
            <v>0</v>
          </cell>
          <cell r="G286">
            <v>0</v>
          </cell>
          <cell r="H286">
            <v>0</v>
          </cell>
          <cell r="I286">
            <v>0</v>
          </cell>
          <cell r="J286">
            <v>0</v>
          </cell>
          <cell r="K286">
            <v>0</v>
          </cell>
          <cell r="L286">
            <v>0</v>
          </cell>
          <cell r="M286">
            <v>0</v>
          </cell>
          <cell r="N286">
            <v>0</v>
          </cell>
          <cell r="O286">
            <v>0</v>
          </cell>
          <cell r="P286">
            <v>0</v>
          </cell>
          <cell r="Q286">
            <v>0</v>
          </cell>
        </row>
        <row r="287">
          <cell r="A287">
            <v>52182</v>
          </cell>
          <cell r="B287" t="str">
            <v>Towing Expense</v>
          </cell>
          <cell r="E287">
            <v>243.9</v>
          </cell>
          <cell r="F287">
            <v>678.32</v>
          </cell>
          <cell r="G287">
            <v>518.41999999999996</v>
          </cell>
          <cell r="H287">
            <v>0</v>
          </cell>
          <cell r="I287">
            <v>0</v>
          </cell>
          <cell r="J287">
            <v>271</v>
          </cell>
          <cell r="K287">
            <v>0</v>
          </cell>
          <cell r="L287">
            <v>211.38</v>
          </cell>
          <cell r="M287">
            <v>563.67999999999995</v>
          </cell>
          <cell r="N287">
            <v>0</v>
          </cell>
          <cell r="O287">
            <v>0</v>
          </cell>
          <cell r="P287">
            <v>243.9</v>
          </cell>
          <cell r="Q287">
            <v>2730.6</v>
          </cell>
        </row>
        <row r="288">
          <cell r="A288">
            <v>52185</v>
          </cell>
          <cell r="B288" t="str">
            <v>Travel</v>
          </cell>
          <cell r="E288">
            <v>0</v>
          </cell>
          <cell r="F288">
            <v>0</v>
          </cell>
          <cell r="G288">
            <v>0</v>
          </cell>
          <cell r="H288">
            <v>0</v>
          </cell>
          <cell r="I288">
            <v>0</v>
          </cell>
          <cell r="J288">
            <v>0</v>
          </cell>
          <cell r="K288">
            <v>0</v>
          </cell>
          <cell r="L288">
            <v>0</v>
          </cell>
          <cell r="M288">
            <v>0</v>
          </cell>
          <cell r="N288">
            <v>397.98</v>
          </cell>
          <cell r="O288">
            <v>-397.98</v>
          </cell>
          <cell r="P288">
            <v>0</v>
          </cell>
          <cell r="Q288">
            <v>0</v>
          </cell>
        </row>
        <row r="289">
          <cell r="A289">
            <v>52200</v>
          </cell>
          <cell r="B289" t="str">
            <v>Office Supply and Equip</v>
          </cell>
          <cell r="E289">
            <v>100.76</v>
          </cell>
          <cell r="F289">
            <v>168.31</v>
          </cell>
          <cell r="G289">
            <v>81.760000000000005</v>
          </cell>
          <cell r="H289">
            <v>538.53</v>
          </cell>
          <cell r="I289">
            <v>50.95</v>
          </cell>
          <cell r="J289">
            <v>51.81</v>
          </cell>
          <cell r="K289">
            <v>0</v>
          </cell>
          <cell r="L289">
            <v>226.01</v>
          </cell>
          <cell r="M289">
            <v>51.5</v>
          </cell>
          <cell r="N289">
            <v>0</v>
          </cell>
          <cell r="O289">
            <v>556.91</v>
          </cell>
          <cell r="P289">
            <v>324.24</v>
          </cell>
          <cell r="Q289">
            <v>2150.7799999999997</v>
          </cell>
        </row>
        <row r="290">
          <cell r="A290">
            <v>52275</v>
          </cell>
          <cell r="B290" t="str">
            <v>Property Taxes</v>
          </cell>
          <cell r="E290">
            <v>0</v>
          </cell>
          <cell r="F290">
            <v>0</v>
          </cell>
          <cell r="G290">
            <v>0</v>
          </cell>
          <cell r="H290">
            <v>0</v>
          </cell>
          <cell r="I290">
            <v>0</v>
          </cell>
          <cell r="J290">
            <v>0</v>
          </cell>
          <cell r="K290">
            <v>0</v>
          </cell>
          <cell r="L290">
            <v>0</v>
          </cell>
          <cell r="M290">
            <v>0</v>
          </cell>
          <cell r="N290">
            <v>0</v>
          </cell>
          <cell r="O290">
            <v>0</v>
          </cell>
          <cell r="P290">
            <v>0</v>
          </cell>
          <cell r="Q290">
            <v>0</v>
          </cell>
        </row>
        <row r="291">
          <cell r="A291">
            <v>52335</v>
          </cell>
          <cell r="B291" t="str">
            <v>Miscellaneous</v>
          </cell>
          <cell r="E291">
            <v>9</v>
          </cell>
          <cell r="F291">
            <v>0</v>
          </cell>
          <cell r="G291">
            <v>4.5</v>
          </cell>
          <cell r="H291">
            <v>0</v>
          </cell>
          <cell r="I291">
            <v>0</v>
          </cell>
          <cell r="J291">
            <v>0</v>
          </cell>
          <cell r="K291">
            <v>0</v>
          </cell>
          <cell r="L291">
            <v>0</v>
          </cell>
          <cell r="M291">
            <v>0</v>
          </cell>
          <cell r="N291">
            <v>0</v>
          </cell>
          <cell r="O291">
            <v>0</v>
          </cell>
          <cell r="P291">
            <v>0</v>
          </cell>
          <cell r="Q291">
            <v>13.5</v>
          </cell>
        </row>
        <row r="292">
          <cell r="A292">
            <v>52900</v>
          </cell>
          <cell r="B292" t="str">
            <v>Capitalized Costs</v>
          </cell>
          <cell r="E292">
            <v>0</v>
          </cell>
          <cell r="F292">
            <v>0</v>
          </cell>
          <cell r="G292">
            <v>0</v>
          </cell>
          <cell r="H292">
            <v>0</v>
          </cell>
          <cell r="I292">
            <v>0</v>
          </cell>
          <cell r="J292">
            <v>0</v>
          </cell>
          <cell r="K292">
            <v>0</v>
          </cell>
          <cell r="L292">
            <v>0</v>
          </cell>
          <cell r="M292">
            <v>0</v>
          </cell>
          <cell r="N292">
            <v>0</v>
          </cell>
          <cell r="O292">
            <v>0</v>
          </cell>
          <cell r="P292">
            <v>0</v>
          </cell>
          <cell r="Q292">
            <v>0</v>
          </cell>
        </row>
        <row r="293">
          <cell r="A293">
            <v>52901</v>
          </cell>
          <cell r="B293" t="str">
            <v>Costs Awaiting Capitilization</v>
          </cell>
          <cell r="E293">
            <v>0</v>
          </cell>
          <cell r="F293">
            <v>0</v>
          </cell>
          <cell r="G293">
            <v>0</v>
          </cell>
          <cell r="H293">
            <v>0</v>
          </cell>
          <cell r="I293">
            <v>0</v>
          </cell>
          <cell r="J293">
            <v>0</v>
          </cell>
          <cell r="K293">
            <v>0</v>
          </cell>
          <cell r="L293">
            <v>0</v>
          </cell>
          <cell r="M293">
            <v>0</v>
          </cell>
          <cell r="N293">
            <v>0</v>
          </cell>
          <cell r="O293">
            <v>0</v>
          </cell>
          <cell r="P293">
            <v>0</v>
          </cell>
          <cell r="Q293">
            <v>0</v>
          </cell>
        </row>
        <row r="294">
          <cell r="A294">
            <v>52998</v>
          </cell>
          <cell r="B294" t="str">
            <v>Allocation Out - District</v>
          </cell>
          <cell r="E294">
            <v>0</v>
          </cell>
          <cell r="F294">
            <v>0</v>
          </cell>
          <cell r="G294">
            <v>0</v>
          </cell>
          <cell r="H294">
            <v>0</v>
          </cell>
          <cell r="I294">
            <v>0</v>
          </cell>
          <cell r="J294">
            <v>0</v>
          </cell>
          <cell r="K294">
            <v>0</v>
          </cell>
          <cell r="L294">
            <v>0</v>
          </cell>
          <cell r="M294">
            <v>0</v>
          </cell>
          <cell r="N294">
            <v>0</v>
          </cell>
          <cell r="O294">
            <v>0</v>
          </cell>
          <cell r="P294">
            <v>0</v>
          </cell>
          <cell r="Q294">
            <v>0</v>
          </cell>
        </row>
        <row r="295">
          <cell r="A295">
            <v>52999</v>
          </cell>
          <cell r="B295" t="str">
            <v>Allocation Out - Out District</v>
          </cell>
          <cell r="E295">
            <v>0</v>
          </cell>
          <cell r="F295">
            <v>0</v>
          </cell>
          <cell r="G295">
            <v>0</v>
          </cell>
          <cell r="H295">
            <v>0</v>
          </cell>
          <cell r="I295">
            <v>0</v>
          </cell>
          <cell r="J295">
            <v>0</v>
          </cell>
          <cell r="K295">
            <v>0</v>
          </cell>
          <cell r="L295">
            <v>0</v>
          </cell>
          <cell r="M295">
            <v>0</v>
          </cell>
          <cell r="N295">
            <v>0</v>
          </cell>
          <cell r="O295">
            <v>0</v>
          </cell>
          <cell r="P295">
            <v>0</v>
          </cell>
          <cell r="Q295">
            <v>0</v>
          </cell>
        </row>
        <row r="296">
          <cell r="A296" t="str">
            <v>Total Truck Variable</v>
          </cell>
          <cell r="E296">
            <v>126472.12</v>
          </cell>
          <cell r="F296">
            <v>122567.03000000001</v>
          </cell>
          <cell r="G296">
            <v>139178.57</v>
          </cell>
          <cell r="H296">
            <v>151762.04999999999</v>
          </cell>
          <cell r="I296">
            <v>127181.98000000001</v>
          </cell>
          <cell r="J296">
            <v>125282.85</v>
          </cell>
          <cell r="K296">
            <v>127964.48999999999</v>
          </cell>
          <cell r="L296">
            <v>128791.74</v>
          </cell>
          <cell r="M296">
            <v>125167.81</v>
          </cell>
          <cell r="N296">
            <v>121736.34</v>
          </cell>
          <cell r="O296">
            <v>127259.88000000002</v>
          </cell>
          <cell r="P296">
            <v>136649.02999999997</v>
          </cell>
          <cell r="Q296">
            <v>1560013.8900000001</v>
          </cell>
        </row>
        <row r="298">
          <cell r="A298" t="str">
            <v>Container</v>
          </cell>
        </row>
        <row r="299">
          <cell r="A299">
            <v>54148</v>
          </cell>
          <cell r="B299" t="str">
            <v>Allocation In - District</v>
          </cell>
          <cell r="E299">
            <v>0</v>
          </cell>
          <cell r="F299">
            <v>0</v>
          </cell>
          <cell r="G299">
            <v>0</v>
          </cell>
          <cell r="H299">
            <v>0</v>
          </cell>
          <cell r="I299">
            <v>0</v>
          </cell>
          <cell r="J299">
            <v>0</v>
          </cell>
          <cell r="K299">
            <v>0</v>
          </cell>
          <cell r="L299">
            <v>0</v>
          </cell>
          <cell r="M299">
            <v>0</v>
          </cell>
          <cell r="N299">
            <v>0</v>
          </cell>
          <cell r="O299">
            <v>0</v>
          </cell>
          <cell r="P299">
            <v>0</v>
          </cell>
          <cell r="Q299">
            <v>0</v>
          </cell>
        </row>
        <row r="300">
          <cell r="A300">
            <v>54149</v>
          </cell>
          <cell r="B300" t="str">
            <v>Allocation In - Out District</v>
          </cell>
          <cell r="E300">
            <v>0</v>
          </cell>
          <cell r="F300">
            <v>0</v>
          </cell>
          <cell r="G300">
            <v>0</v>
          </cell>
          <cell r="H300">
            <v>0</v>
          </cell>
          <cell r="I300">
            <v>0</v>
          </cell>
          <cell r="J300">
            <v>0</v>
          </cell>
          <cell r="K300">
            <v>0</v>
          </cell>
          <cell r="L300">
            <v>0</v>
          </cell>
          <cell r="M300">
            <v>0</v>
          </cell>
          <cell r="N300">
            <v>0</v>
          </cell>
          <cell r="O300">
            <v>0</v>
          </cell>
          <cell r="P300">
            <v>0</v>
          </cell>
          <cell r="Q300">
            <v>0</v>
          </cell>
        </row>
        <row r="301">
          <cell r="A301">
            <v>54175</v>
          </cell>
          <cell r="B301" t="str">
            <v>Equipment/Vehicle Rental</v>
          </cell>
          <cell r="E301">
            <v>0</v>
          </cell>
          <cell r="F301">
            <v>0</v>
          </cell>
          <cell r="G301">
            <v>0</v>
          </cell>
          <cell r="H301">
            <v>0</v>
          </cell>
          <cell r="I301">
            <v>0</v>
          </cell>
          <cell r="J301">
            <v>0</v>
          </cell>
          <cell r="K301">
            <v>0</v>
          </cell>
          <cell r="L301">
            <v>0</v>
          </cell>
          <cell r="M301">
            <v>0</v>
          </cell>
          <cell r="N301">
            <v>0</v>
          </cell>
          <cell r="O301">
            <v>0</v>
          </cell>
          <cell r="P301">
            <v>0</v>
          </cell>
          <cell r="Q301">
            <v>0</v>
          </cell>
        </row>
        <row r="302">
          <cell r="A302">
            <v>54275</v>
          </cell>
          <cell r="B302" t="str">
            <v>Property Taxes</v>
          </cell>
          <cell r="E302">
            <v>0</v>
          </cell>
          <cell r="F302">
            <v>0</v>
          </cell>
          <cell r="G302">
            <v>0</v>
          </cell>
          <cell r="H302">
            <v>0</v>
          </cell>
          <cell r="I302">
            <v>0</v>
          </cell>
          <cell r="J302">
            <v>0</v>
          </cell>
          <cell r="K302">
            <v>0</v>
          </cell>
          <cell r="L302">
            <v>0</v>
          </cell>
          <cell r="M302">
            <v>0</v>
          </cell>
          <cell r="N302">
            <v>0</v>
          </cell>
          <cell r="O302">
            <v>0</v>
          </cell>
          <cell r="P302">
            <v>0</v>
          </cell>
          <cell r="Q302">
            <v>0</v>
          </cell>
        </row>
        <row r="303">
          <cell r="A303">
            <v>54335</v>
          </cell>
          <cell r="B303" t="str">
            <v>Miscellaneous</v>
          </cell>
          <cell r="E303">
            <v>0</v>
          </cell>
          <cell r="F303">
            <v>0</v>
          </cell>
          <cell r="G303">
            <v>0</v>
          </cell>
          <cell r="H303">
            <v>0</v>
          </cell>
          <cell r="I303">
            <v>0</v>
          </cell>
          <cell r="J303">
            <v>0</v>
          </cell>
          <cell r="K303">
            <v>0</v>
          </cell>
          <cell r="L303">
            <v>0</v>
          </cell>
          <cell r="M303">
            <v>0</v>
          </cell>
          <cell r="N303">
            <v>0</v>
          </cell>
          <cell r="O303">
            <v>0</v>
          </cell>
          <cell r="P303">
            <v>0</v>
          </cell>
          <cell r="Q303">
            <v>0</v>
          </cell>
        </row>
        <row r="304">
          <cell r="A304">
            <v>54998</v>
          </cell>
          <cell r="B304" t="str">
            <v>Allocation Out - District</v>
          </cell>
          <cell r="E304">
            <v>0</v>
          </cell>
          <cell r="F304">
            <v>0</v>
          </cell>
          <cell r="G304">
            <v>0</v>
          </cell>
          <cell r="H304">
            <v>0</v>
          </cell>
          <cell r="I304">
            <v>0</v>
          </cell>
          <cell r="J304">
            <v>0</v>
          </cell>
          <cell r="K304">
            <v>0</v>
          </cell>
          <cell r="L304">
            <v>0</v>
          </cell>
          <cell r="M304">
            <v>0</v>
          </cell>
          <cell r="N304">
            <v>0</v>
          </cell>
          <cell r="O304">
            <v>0</v>
          </cell>
          <cell r="P304">
            <v>0</v>
          </cell>
          <cell r="Q304">
            <v>0</v>
          </cell>
        </row>
        <row r="305">
          <cell r="A305">
            <v>54999</v>
          </cell>
          <cell r="B305" t="str">
            <v>Allocation Out - Out District</v>
          </cell>
          <cell r="E305">
            <v>0</v>
          </cell>
          <cell r="F305">
            <v>0</v>
          </cell>
          <cell r="G305">
            <v>0</v>
          </cell>
          <cell r="H305">
            <v>0</v>
          </cell>
          <cell r="I305">
            <v>0</v>
          </cell>
          <cell r="J305">
            <v>0</v>
          </cell>
          <cell r="K305">
            <v>0</v>
          </cell>
          <cell r="L305">
            <v>0</v>
          </cell>
          <cell r="M305">
            <v>0</v>
          </cell>
          <cell r="N305">
            <v>0</v>
          </cell>
          <cell r="O305">
            <v>0</v>
          </cell>
          <cell r="P305">
            <v>0</v>
          </cell>
          <cell r="Q305">
            <v>0</v>
          </cell>
        </row>
        <row r="306">
          <cell r="A306">
            <v>55010</v>
          </cell>
          <cell r="B306" t="str">
            <v>Salaries</v>
          </cell>
          <cell r="E306">
            <v>0</v>
          </cell>
          <cell r="F306">
            <v>0</v>
          </cell>
          <cell r="G306">
            <v>0</v>
          </cell>
          <cell r="H306">
            <v>0</v>
          </cell>
          <cell r="I306">
            <v>0</v>
          </cell>
          <cell r="J306">
            <v>0</v>
          </cell>
          <cell r="K306">
            <v>0</v>
          </cell>
          <cell r="L306">
            <v>0</v>
          </cell>
          <cell r="M306">
            <v>0</v>
          </cell>
          <cell r="N306">
            <v>0</v>
          </cell>
          <cell r="O306">
            <v>0</v>
          </cell>
          <cell r="P306">
            <v>0</v>
          </cell>
          <cell r="Q306">
            <v>0</v>
          </cell>
        </row>
        <row r="307">
          <cell r="A307">
            <v>55020</v>
          </cell>
          <cell r="B307" t="str">
            <v>Wages Regular</v>
          </cell>
          <cell r="E307">
            <v>10121.69</v>
          </cell>
          <cell r="F307">
            <v>8242.4699999999993</v>
          </cell>
          <cell r="G307">
            <v>12061.67</v>
          </cell>
          <cell r="H307">
            <v>10915.7</v>
          </cell>
          <cell r="I307">
            <v>8008.44</v>
          </cell>
          <cell r="J307">
            <v>8531.7900000000009</v>
          </cell>
          <cell r="K307">
            <v>9525.08</v>
          </cell>
          <cell r="L307">
            <v>11641.49</v>
          </cell>
          <cell r="M307">
            <v>9358.9</v>
          </cell>
          <cell r="N307">
            <v>9463.3700000000008</v>
          </cell>
          <cell r="O307">
            <v>10355.24</v>
          </cell>
          <cell r="P307">
            <v>9802.01</v>
          </cell>
          <cell r="Q307">
            <v>118027.84999999999</v>
          </cell>
        </row>
        <row r="308">
          <cell r="A308">
            <v>55025</v>
          </cell>
          <cell r="B308" t="str">
            <v>Wages O.T.</v>
          </cell>
          <cell r="E308">
            <v>636.62</v>
          </cell>
          <cell r="F308">
            <v>425.9</v>
          </cell>
          <cell r="G308">
            <v>278.45999999999998</v>
          </cell>
          <cell r="H308">
            <v>1269.6099999999999</v>
          </cell>
          <cell r="I308">
            <v>580.07000000000005</v>
          </cell>
          <cell r="J308">
            <v>803.54</v>
          </cell>
          <cell r="K308">
            <v>467.98</v>
          </cell>
          <cell r="L308">
            <v>832.02</v>
          </cell>
          <cell r="M308">
            <v>17.989999999999998</v>
          </cell>
          <cell r="N308">
            <v>412.16</v>
          </cell>
          <cell r="O308">
            <v>650.38</v>
          </cell>
          <cell r="P308">
            <v>65.599999999999994</v>
          </cell>
          <cell r="Q308">
            <v>6440.3300000000008</v>
          </cell>
        </row>
        <row r="309">
          <cell r="A309">
            <v>55035</v>
          </cell>
          <cell r="B309" t="str">
            <v>Safety Bonuses</v>
          </cell>
          <cell r="E309">
            <v>0</v>
          </cell>
          <cell r="F309">
            <v>0</v>
          </cell>
          <cell r="G309">
            <v>0</v>
          </cell>
          <cell r="H309">
            <v>0</v>
          </cell>
          <cell r="I309">
            <v>0</v>
          </cell>
          <cell r="J309">
            <v>0</v>
          </cell>
          <cell r="K309">
            <v>0</v>
          </cell>
          <cell r="L309">
            <v>0</v>
          </cell>
          <cell r="M309">
            <v>0</v>
          </cell>
          <cell r="N309">
            <v>0</v>
          </cell>
          <cell r="O309">
            <v>0</v>
          </cell>
          <cell r="P309">
            <v>0</v>
          </cell>
          <cell r="Q309">
            <v>0</v>
          </cell>
        </row>
        <row r="310">
          <cell r="A310">
            <v>55036</v>
          </cell>
          <cell r="B310" t="str">
            <v>Other Bonus/Commission - Non-Safety</v>
          </cell>
          <cell r="E310">
            <v>0</v>
          </cell>
          <cell r="F310">
            <v>0</v>
          </cell>
          <cell r="G310">
            <v>0</v>
          </cell>
          <cell r="H310">
            <v>0</v>
          </cell>
          <cell r="I310">
            <v>0</v>
          </cell>
          <cell r="J310">
            <v>0</v>
          </cell>
          <cell r="K310">
            <v>0</v>
          </cell>
          <cell r="L310">
            <v>0</v>
          </cell>
          <cell r="M310">
            <v>0</v>
          </cell>
          <cell r="N310">
            <v>0</v>
          </cell>
          <cell r="O310">
            <v>0</v>
          </cell>
          <cell r="P310">
            <v>0</v>
          </cell>
          <cell r="Q310">
            <v>0</v>
          </cell>
        </row>
        <row r="311">
          <cell r="A311">
            <v>55045</v>
          </cell>
          <cell r="B311" t="str">
            <v>Contract Labor</v>
          </cell>
          <cell r="E311">
            <v>0</v>
          </cell>
          <cell r="F311">
            <v>0</v>
          </cell>
          <cell r="G311">
            <v>0</v>
          </cell>
          <cell r="H311">
            <v>0</v>
          </cell>
          <cell r="I311">
            <v>0</v>
          </cell>
          <cell r="J311">
            <v>0</v>
          </cell>
          <cell r="K311">
            <v>0</v>
          </cell>
          <cell r="L311">
            <v>0</v>
          </cell>
          <cell r="M311">
            <v>0</v>
          </cell>
          <cell r="N311">
            <v>0</v>
          </cell>
          <cell r="O311">
            <v>0</v>
          </cell>
          <cell r="P311">
            <v>0</v>
          </cell>
          <cell r="Q311">
            <v>0</v>
          </cell>
        </row>
        <row r="312">
          <cell r="A312">
            <v>55050</v>
          </cell>
          <cell r="B312" t="str">
            <v>Payroll Taxes</v>
          </cell>
          <cell r="E312">
            <v>1302.32</v>
          </cell>
          <cell r="F312">
            <v>934.4</v>
          </cell>
          <cell r="G312">
            <v>1150.47</v>
          </cell>
          <cell r="H312">
            <v>1167.9000000000001</v>
          </cell>
          <cell r="I312">
            <v>860.19</v>
          </cell>
          <cell r="J312">
            <v>884.97</v>
          </cell>
          <cell r="K312">
            <v>1058.24</v>
          </cell>
          <cell r="L312">
            <v>1180.19</v>
          </cell>
          <cell r="M312">
            <v>1055.3399999999999</v>
          </cell>
          <cell r="N312">
            <v>1038.93</v>
          </cell>
          <cell r="O312">
            <v>1185.43</v>
          </cell>
          <cell r="P312">
            <v>525.12</v>
          </cell>
          <cell r="Q312">
            <v>12343.500000000002</v>
          </cell>
        </row>
        <row r="313">
          <cell r="A313">
            <v>55060</v>
          </cell>
          <cell r="B313" t="str">
            <v>Group Insurance</v>
          </cell>
          <cell r="E313">
            <v>2215</v>
          </cell>
          <cell r="F313">
            <v>2215</v>
          </cell>
          <cell r="G313">
            <v>1935</v>
          </cell>
          <cell r="H313">
            <v>2495</v>
          </cell>
          <cell r="I313">
            <v>2215</v>
          </cell>
          <cell r="J313">
            <v>1919</v>
          </cell>
          <cell r="K313">
            <v>1919</v>
          </cell>
          <cell r="L313">
            <v>1919</v>
          </cell>
          <cell r="M313">
            <v>1691</v>
          </cell>
          <cell r="N313">
            <v>2147</v>
          </cell>
          <cell r="O313">
            <v>1711</v>
          </cell>
          <cell r="P313">
            <v>2215</v>
          </cell>
          <cell r="Q313">
            <v>24596</v>
          </cell>
        </row>
        <row r="314">
          <cell r="A314">
            <v>55065</v>
          </cell>
          <cell r="B314" t="str">
            <v>Vacation Pay</v>
          </cell>
          <cell r="E314">
            <v>303.81</v>
          </cell>
          <cell r="F314">
            <v>1016.29</v>
          </cell>
          <cell r="G314">
            <v>-198.06</v>
          </cell>
          <cell r="H314">
            <v>1145.3599999999999</v>
          </cell>
          <cell r="I314">
            <v>1042.8699999999999</v>
          </cell>
          <cell r="J314">
            <v>-719.54</v>
          </cell>
          <cell r="K314">
            <v>1222.3399999999999</v>
          </cell>
          <cell r="L314">
            <v>925.15</v>
          </cell>
          <cell r="M314">
            <v>1907.53</v>
          </cell>
          <cell r="N314">
            <v>789.75</v>
          </cell>
          <cell r="O314">
            <v>394.38</v>
          </cell>
          <cell r="P314">
            <v>930.27</v>
          </cell>
          <cell r="Q314">
            <v>8760.15</v>
          </cell>
        </row>
        <row r="315">
          <cell r="A315">
            <v>55070</v>
          </cell>
          <cell r="B315" t="str">
            <v>Sick Pay</v>
          </cell>
          <cell r="E315">
            <v>255.74</v>
          </cell>
          <cell r="F315">
            <v>163.92</v>
          </cell>
          <cell r="G315">
            <v>253.25</v>
          </cell>
          <cell r="H315">
            <v>-42.31</v>
          </cell>
          <cell r="I315">
            <v>0</v>
          </cell>
          <cell r="J315">
            <v>317.39999999999998</v>
          </cell>
          <cell r="K315">
            <v>165.6</v>
          </cell>
          <cell r="L315">
            <v>-138</v>
          </cell>
          <cell r="M315">
            <v>138</v>
          </cell>
          <cell r="N315">
            <v>216.36</v>
          </cell>
          <cell r="O315">
            <v>0</v>
          </cell>
          <cell r="P315">
            <v>317.60000000000002</v>
          </cell>
          <cell r="Q315">
            <v>1647.56</v>
          </cell>
        </row>
        <row r="316">
          <cell r="A316">
            <v>55086</v>
          </cell>
          <cell r="B316" t="str">
            <v>Safety and Training</v>
          </cell>
          <cell r="E316">
            <v>0</v>
          </cell>
          <cell r="F316">
            <v>0</v>
          </cell>
          <cell r="G316">
            <v>0</v>
          </cell>
          <cell r="H316">
            <v>34.299999999999997</v>
          </cell>
          <cell r="I316">
            <v>29.01</v>
          </cell>
          <cell r="J316">
            <v>0</v>
          </cell>
          <cell r="K316">
            <v>0</v>
          </cell>
          <cell r="L316">
            <v>1292.83</v>
          </cell>
          <cell r="M316">
            <v>425.23</v>
          </cell>
          <cell r="N316">
            <v>50</v>
          </cell>
          <cell r="O316">
            <v>0</v>
          </cell>
          <cell r="P316">
            <v>0</v>
          </cell>
          <cell r="Q316">
            <v>1831.37</v>
          </cell>
        </row>
        <row r="317">
          <cell r="A317">
            <v>55090</v>
          </cell>
          <cell r="B317" t="str">
            <v>Uniforms</v>
          </cell>
          <cell r="E317">
            <v>711.08</v>
          </cell>
          <cell r="F317">
            <v>516.91999999999996</v>
          </cell>
          <cell r="G317">
            <v>548.66</v>
          </cell>
          <cell r="H317">
            <v>420.37</v>
          </cell>
          <cell r="I317">
            <v>237.53</v>
          </cell>
          <cell r="J317">
            <v>620.41999999999996</v>
          </cell>
          <cell r="K317">
            <v>488.2</v>
          </cell>
          <cell r="L317">
            <v>1071.5999999999999</v>
          </cell>
          <cell r="M317">
            <v>360.8</v>
          </cell>
          <cell r="N317">
            <v>378.21</v>
          </cell>
          <cell r="O317">
            <v>414.33</v>
          </cell>
          <cell r="P317">
            <v>378.31</v>
          </cell>
          <cell r="Q317">
            <v>6146.43</v>
          </cell>
        </row>
        <row r="318">
          <cell r="A318">
            <v>55115</v>
          </cell>
          <cell r="B318" t="str">
            <v>Pension and Profit Sharing</v>
          </cell>
          <cell r="E318">
            <v>75.61</v>
          </cell>
          <cell r="F318">
            <v>80.2</v>
          </cell>
          <cell r="G318">
            <v>115.17</v>
          </cell>
          <cell r="H318">
            <v>81.77</v>
          </cell>
          <cell r="I318">
            <v>90.46</v>
          </cell>
          <cell r="J318">
            <v>86.97</v>
          </cell>
          <cell r="K318">
            <v>86.46</v>
          </cell>
          <cell r="L318">
            <v>85.09</v>
          </cell>
          <cell r="M318">
            <v>75.69</v>
          </cell>
          <cell r="N318">
            <v>120.4</v>
          </cell>
          <cell r="O318">
            <v>78.64</v>
          </cell>
          <cell r="P318">
            <v>73.08</v>
          </cell>
          <cell r="Q318">
            <v>1049.54</v>
          </cell>
        </row>
        <row r="319">
          <cell r="A319">
            <v>55116</v>
          </cell>
          <cell r="B319" t="str">
            <v>Union Benefit Expense</v>
          </cell>
          <cell r="E319">
            <v>0</v>
          </cell>
          <cell r="F319">
            <v>0</v>
          </cell>
          <cell r="G319">
            <v>0</v>
          </cell>
          <cell r="H319">
            <v>0</v>
          </cell>
          <cell r="I319">
            <v>0</v>
          </cell>
          <cell r="J319">
            <v>0</v>
          </cell>
          <cell r="K319">
            <v>0</v>
          </cell>
          <cell r="L319">
            <v>0</v>
          </cell>
          <cell r="M319">
            <v>0</v>
          </cell>
          <cell r="N319">
            <v>0</v>
          </cell>
          <cell r="O319">
            <v>0</v>
          </cell>
          <cell r="P319">
            <v>0</v>
          </cell>
          <cell r="Q319">
            <v>0</v>
          </cell>
        </row>
        <row r="320">
          <cell r="A320">
            <v>55117</v>
          </cell>
          <cell r="B320" t="str">
            <v>Union Pension</v>
          </cell>
          <cell r="E320">
            <v>0</v>
          </cell>
          <cell r="F320">
            <v>0</v>
          </cell>
          <cell r="G320">
            <v>0</v>
          </cell>
          <cell r="H320">
            <v>0</v>
          </cell>
          <cell r="I320">
            <v>0</v>
          </cell>
          <cell r="J320">
            <v>0</v>
          </cell>
          <cell r="K320">
            <v>0</v>
          </cell>
          <cell r="L320">
            <v>0</v>
          </cell>
          <cell r="M320">
            <v>0</v>
          </cell>
          <cell r="N320">
            <v>0</v>
          </cell>
          <cell r="O320">
            <v>0</v>
          </cell>
          <cell r="P320">
            <v>0</v>
          </cell>
          <cell r="Q320">
            <v>0</v>
          </cell>
        </row>
        <row r="321">
          <cell r="A321">
            <v>55120</v>
          </cell>
          <cell r="B321" t="str">
            <v>Parts and Materials</v>
          </cell>
          <cell r="E321">
            <v>6822.4</v>
          </cell>
          <cell r="F321">
            <v>7408.98</v>
          </cell>
          <cell r="G321">
            <v>6676.59</v>
          </cell>
          <cell r="H321">
            <v>10883.54</v>
          </cell>
          <cell r="I321">
            <v>6756.74</v>
          </cell>
          <cell r="J321">
            <v>6992.66</v>
          </cell>
          <cell r="K321">
            <v>7598.15</v>
          </cell>
          <cell r="L321">
            <v>6124.07</v>
          </cell>
          <cell r="M321">
            <v>6075.32</v>
          </cell>
          <cell r="N321">
            <v>1985.95</v>
          </cell>
          <cell r="O321">
            <v>4110.71</v>
          </cell>
          <cell r="P321">
            <v>5007.25</v>
          </cell>
          <cell r="Q321">
            <v>76442.360000000015</v>
          </cell>
        </row>
        <row r="322">
          <cell r="A322">
            <v>55125</v>
          </cell>
          <cell r="B322" t="str">
            <v>Operating Supplies</v>
          </cell>
          <cell r="E322">
            <v>208.43</v>
          </cell>
          <cell r="F322">
            <v>96</v>
          </cell>
          <cell r="G322">
            <v>0</v>
          </cell>
          <cell r="H322">
            <v>269.91000000000003</v>
          </cell>
          <cell r="I322">
            <v>134.9</v>
          </cell>
          <cell r="J322">
            <v>0</v>
          </cell>
          <cell r="K322">
            <v>0</v>
          </cell>
          <cell r="L322">
            <v>242.16</v>
          </cell>
          <cell r="M322">
            <v>0</v>
          </cell>
          <cell r="N322">
            <v>0</v>
          </cell>
          <cell r="O322">
            <v>0</v>
          </cell>
          <cell r="P322">
            <v>0</v>
          </cell>
          <cell r="Q322">
            <v>951.4</v>
          </cell>
        </row>
        <row r="323">
          <cell r="A323">
            <v>55135</v>
          </cell>
          <cell r="B323" t="str">
            <v>Equipment and Maint Repair</v>
          </cell>
          <cell r="E323">
            <v>0</v>
          </cell>
          <cell r="F323">
            <v>107.12</v>
          </cell>
          <cell r="G323">
            <v>103.06</v>
          </cell>
          <cell r="H323">
            <v>127.6</v>
          </cell>
          <cell r="I323">
            <v>177.2</v>
          </cell>
          <cell r="J323">
            <v>0</v>
          </cell>
          <cell r="K323">
            <v>402.9</v>
          </cell>
          <cell r="L323">
            <v>0</v>
          </cell>
          <cell r="M323">
            <v>1045.6400000000001</v>
          </cell>
          <cell r="N323">
            <v>613.79999999999995</v>
          </cell>
          <cell r="O323">
            <v>0.01</v>
          </cell>
          <cell r="P323">
            <v>0</v>
          </cell>
          <cell r="Q323">
            <v>2577.33</v>
          </cell>
        </row>
        <row r="324">
          <cell r="A324">
            <v>55140</v>
          </cell>
          <cell r="B324" t="str">
            <v>Tires</v>
          </cell>
          <cell r="E324">
            <v>0</v>
          </cell>
          <cell r="F324">
            <v>0</v>
          </cell>
          <cell r="G324">
            <v>0</v>
          </cell>
          <cell r="H324">
            <v>0</v>
          </cell>
          <cell r="I324">
            <v>0</v>
          </cell>
          <cell r="J324">
            <v>0</v>
          </cell>
          <cell r="K324">
            <v>0</v>
          </cell>
          <cell r="L324">
            <v>0</v>
          </cell>
          <cell r="M324">
            <v>0</v>
          </cell>
          <cell r="N324">
            <v>0</v>
          </cell>
          <cell r="O324">
            <v>0</v>
          </cell>
          <cell r="P324">
            <v>0</v>
          </cell>
          <cell r="Q324">
            <v>0</v>
          </cell>
        </row>
        <row r="325">
          <cell r="A325">
            <v>55142</v>
          </cell>
          <cell r="B325" t="str">
            <v>Fuel Expense</v>
          </cell>
          <cell r="E325">
            <v>0</v>
          </cell>
          <cell r="F325">
            <v>0</v>
          </cell>
          <cell r="G325">
            <v>0</v>
          </cell>
          <cell r="H325">
            <v>0</v>
          </cell>
          <cell r="I325">
            <v>0</v>
          </cell>
          <cell r="J325">
            <v>0</v>
          </cell>
          <cell r="K325">
            <v>0</v>
          </cell>
          <cell r="L325">
            <v>0</v>
          </cell>
          <cell r="M325">
            <v>0</v>
          </cell>
          <cell r="N325">
            <v>0</v>
          </cell>
          <cell r="O325">
            <v>0</v>
          </cell>
          <cell r="P325">
            <v>0</v>
          </cell>
          <cell r="Q325">
            <v>0</v>
          </cell>
        </row>
        <row r="326">
          <cell r="A326">
            <v>55143</v>
          </cell>
          <cell r="B326" t="str">
            <v>Corporate Medical Waste Supplies</v>
          </cell>
          <cell r="E326">
            <v>0</v>
          </cell>
          <cell r="F326">
            <v>0</v>
          </cell>
          <cell r="G326">
            <v>0</v>
          </cell>
          <cell r="H326">
            <v>0</v>
          </cell>
          <cell r="I326">
            <v>0</v>
          </cell>
          <cell r="J326">
            <v>0</v>
          </cell>
          <cell r="K326">
            <v>0</v>
          </cell>
          <cell r="L326">
            <v>0</v>
          </cell>
          <cell r="M326">
            <v>0</v>
          </cell>
          <cell r="N326">
            <v>0</v>
          </cell>
          <cell r="O326">
            <v>0</v>
          </cell>
          <cell r="P326">
            <v>0</v>
          </cell>
          <cell r="Q326">
            <v>0</v>
          </cell>
        </row>
        <row r="327">
          <cell r="A327">
            <v>55146</v>
          </cell>
          <cell r="B327" t="str">
            <v>Oil and Grease</v>
          </cell>
          <cell r="E327">
            <v>0</v>
          </cell>
          <cell r="F327">
            <v>0</v>
          </cell>
          <cell r="G327">
            <v>0</v>
          </cell>
          <cell r="H327">
            <v>0</v>
          </cell>
          <cell r="I327">
            <v>0</v>
          </cell>
          <cell r="J327">
            <v>0</v>
          </cell>
          <cell r="K327">
            <v>0</v>
          </cell>
          <cell r="L327">
            <v>0</v>
          </cell>
          <cell r="M327">
            <v>0</v>
          </cell>
          <cell r="N327">
            <v>0</v>
          </cell>
          <cell r="O327">
            <v>0</v>
          </cell>
          <cell r="P327">
            <v>0</v>
          </cell>
          <cell r="Q327">
            <v>0</v>
          </cell>
        </row>
        <row r="328">
          <cell r="A328">
            <v>55147</v>
          </cell>
          <cell r="B328" t="str">
            <v>Outside Repairs</v>
          </cell>
          <cell r="E328">
            <v>0</v>
          </cell>
          <cell r="F328">
            <v>0</v>
          </cell>
          <cell r="G328">
            <v>0</v>
          </cell>
          <cell r="H328">
            <v>0</v>
          </cell>
          <cell r="I328">
            <v>0</v>
          </cell>
          <cell r="J328">
            <v>0</v>
          </cell>
          <cell r="K328">
            <v>0</v>
          </cell>
          <cell r="L328">
            <v>0</v>
          </cell>
          <cell r="M328">
            <v>0</v>
          </cell>
          <cell r="N328">
            <v>0</v>
          </cell>
          <cell r="O328">
            <v>0</v>
          </cell>
          <cell r="P328">
            <v>0</v>
          </cell>
          <cell r="Q328">
            <v>0</v>
          </cell>
        </row>
        <row r="329">
          <cell r="A329">
            <v>55148</v>
          </cell>
          <cell r="B329" t="str">
            <v>Allocated Exp In - District</v>
          </cell>
          <cell r="E329">
            <v>0</v>
          </cell>
          <cell r="F329">
            <v>0</v>
          </cell>
          <cell r="G329">
            <v>0</v>
          </cell>
          <cell r="H329">
            <v>0</v>
          </cell>
          <cell r="I329">
            <v>0</v>
          </cell>
          <cell r="J329">
            <v>0</v>
          </cell>
          <cell r="K329">
            <v>0</v>
          </cell>
          <cell r="L329">
            <v>0</v>
          </cell>
          <cell r="M329">
            <v>0</v>
          </cell>
          <cell r="N329">
            <v>0</v>
          </cell>
          <cell r="O329">
            <v>0</v>
          </cell>
          <cell r="P329">
            <v>0</v>
          </cell>
          <cell r="Q329">
            <v>0</v>
          </cell>
        </row>
        <row r="330">
          <cell r="A330">
            <v>55149</v>
          </cell>
          <cell r="B330" t="str">
            <v>Allocated Exp In Out - District</v>
          </cell>
          <cell r="E330">
            <v>0</v>
          </cell>
          <cell r="F330">
            <v>0</v>
          </cell>
          <cell r="G330">
            <v>0</v>
          </cell>
          <cell r="H330">
            <v>0</v>
          </cell>
          <cell r="I330">
            <v>0</v>
          </cell>
          <cell r="J330">
            <v>0</v>
          </cell>
          <cell r="K330">
            <v>0</v>
          </cell>
          <cell r="L330">
            <v>0</v>
          </cell>
          <cell r="M330">
            <v>0</v>
          </cell>
          <cell r="N330">
            <v>0</v>
          </cell>
          <cell r="O330">
            <v>0</v>
          </cell>
          <cell r="P330">
            <v>0</v>
          </cell>
          <cell r="Q330">
            <v>0</v>
          </cell>
        </row>
        <row r="331">
          <cell r="A331">
            <v>55150</v>
          </cell>
          <cell r="B331" t="str">
            <v>Utilities</v>
          </cell>
          <cell r="E331">
            <v>145.91</v>
          </cell>
          <cell r="F331">
            <v>170</v>
          </cell>
          <cell r="G331">
            <v>160.13999999999999</v>
          </cell>
          <cell r="H331">
            <v>153.57</v>
          </cell>
          <cell r="I331">
            <v>132.77000000000001</v>
          </cell>
          <cell r="J331">
            <v>124.01</v>
          </cell>
          <cell r="K331">
            <v>109.77</v>
          </cell>
          <cell r="L331">
            <v>522.32000000000005</v>
          </cell>
          <cell r="M331">
            <v>123.5</v>
          </cell>
          <cell r="N331">
            <v>114.69</v>
          </cell>
          <cell r="O331">
            <v>122.68</v>
          </cell>
          <cell r="P331">
            <v>122.68</v>
          </cell>
          <cell r="Q331">
            <v>2002.04</v>
          </cell>
        </row>
        <row r="332">
          <cell r="A332">
            <v>55181</v>
          </cell>
          <cell r="B332" t="str">
            <v>Freight</v>
          </cell>
          <cell r="E332">
            <v>0</v>
          </cell>
          <cell r="F332">
            <v>0</v>
          </cell>
          <cell r="G332">
            <v>0</v>
          </cell>
          <cell r="H332">
            <v>0</v>
          </cell>
          <cell r="I332">
            <v>0</v>
          </cell>
          <cell r="J332">
            <v>0</v>
          </cell>
          <cell r="K332">
            <v>0</v>
          </cell>
          <cell r="L332">
            <v>0</v>
          </cell>
          <cell r="M332">
            <v>0</v>
          </cell>
          <cell r="N332">
            <v>0</v>
          </cell>
          <cell r="O332">
            <v>0</v>
          </cell>
          <cell r="P332">
            <v>0</v>
          </cell>
          <cell r="Q332">
            <v>0</v>
          </cell>
        </row>
        <row r="333">
          <cell r="A333">
            <v>55335</v>
          </cell>
          <cell r="B333" t="str">
            <v>Miscellaneous</v>
          </cell>
          <cell r="E333">
            <v>0</v>
          </cell>
          <cell r="F333">
            <v>0</v>
          </cell>
          <cell r="G333">
            <v>0</v>
          </cell>
          <cell r="H333">
            <v>0</v>
          </cell>
          <cell r="I333">
            <v>0</v>
          </cell>
          <cell r="J333">
            <v>0</v>
          </cell>
          <cell r="K333">
            <v>0</v>
          </cell>
          <cell r="L333">
            <v>0</v>
          </cell>
          <cell r="M333">
            <v>0</v>
          </cell>
          <cell r="N333">
            <v>0</v>
          </cell>
          <cell r="O333">
            <v>0</v>
          </cell>
          <cell r="P333">
            <v>0</v>
          </cell>
          <cell r="Q333">
            <v>0</v>
          </cell>
        </row>
        <row r="334">
          <cell r="A334">
            <v>55900</v>
          </cell>
          <cell r="B334" t="str">
            <v>Capitalized Costs</v>
          </cell>
          <cell r="E334">
            <v>0</v>
          </cell>
          <cell r="F334">
            <v>0</v>
          </cell>
          <cell r="G334">
            <v>0</v>
          </cell>
          <cell r="H334">
            <v>0</v>
          </cell>
          <cell r="I334">
            <v>0</v>
          </cell>
          <cell r="J334">
            <v>0</v>
          </cell>
          <cell r="K334">
            <v>0</v>
          </cell>
          <cell r="L334">
            <v>0</v>
          </cell>
          <cell r="M334">
            <v>0</v>
          </cell>
          <cell r="N334">
            <v>0</v>
          </cell>
          <cell r="O334">
            <v>0</v>
          </cell>
          <cell r="P334">
            <v>0</v>
          </cell>
          <cell r="Q334">
            <v>0</v>
          </cell>
        </row>
        <row r="335">
          <cell r="A335">
            <v>55998</v>
          </cell>
          <cell r="B335" t="str">
            <v>Allocation Out - District</v>
          </cell>
          <cell r="E335">
            <v>0</v>
          </cell>
          <cell r="F335">
            <v>0</v>
          </cell>
          <cell r="G335">
            <v>0</v>
          </cell>
          <cell r="H335">
            <v>0</v>
          </cell>
          <cell r="I335">
            <v>0</v>
          </cell>
          <cell r="J335">
            <v>0</v>
          </cell>
          <cell r="K335">
            <v>0</v>
          </cell>
          <cell r="L335">
            <v>0</v>
          </cell>
          <cell r="M335">
            <v>0</v>
          </cell>
          <cell r="N335">
            <v>0</v>
          </cell>
          <cell r="O335">
            <v>0</v>
          </cell>
          <cell r="P335">
            <v>0</v>
          </cell>
          <cell r="Q335">
            <v>0</v>
          </cell>
        </row>
        <row r="336">
          <cell r="A336">
            <v>55999</v>
          </cell>
          <cell r="B336" t="str">
            <v>Allocation Out - Out District</v>
          </cell>
          <cell r="E336">
            <v>0</v>
          </cell>
          <cell r="F336">
            <v>0</v>
          </cell>
          <cell r="G336">
            <v>0</v>
          </cell>
          <cell r="H336">
            <v>0</v>
          </cell>
          <cell r="I336">
            <v>0</v>
          </cell>
          <cell r="J336">
            <v>0</v>
          </cell>
          <cell r="K336">
            <v>0</v>
          </cell>
          <cell r="L336">
            <v>0</v>
          </cell>
          <cell r="M336">
            <v>0</v>
          </cell>
          <cell r="N336">
            <v>0</v>
          </cell>
          <cell r="O336">
            <v>0</v>
          </cell>
          <cell r="P336">
            <v>0</v>
          </cell>
          <cell r="Q336">
            <v>0</v>
          </cell>
        </row>
        <row r="337">
          <cell r="A337" t="str">
            <v>Total Container</v>
          </cell>
          <cell r="E337">
            <v>22798.61</v>
          </cell>
          <cell r="F337">
            <v>21377.199999999997</v>
          </cell>
          <cell r="G337">
            <v>23084.41</v>
          </cell>
          <cell r="H337">
            <v>28922.319999999996</v>
          </cell>
          <cell r="I337">
            <v>20265.18</v>
          </cell>
          <cell r="J337">
            <v>19561.219999999998</v>
          </cell>
          <cell r="K337">
            <v>23043.72</v>
          </cell>
          <cell r="L337">
            <v>25697.919999999998</v>
          </cell>
          <cell r="M337">
            <v>22274.94</v>
          </cell>
          <cell r="N337">
            <v>17330.62</v>
          </cell>
          <cell r="O337">
            <v>19022.799999999996</v>
          </cell>
          <cell r="P337">
            <v>19436.920000000002</v>
          </cell>
          <cell r="Q337">
            <v>262815.86</v>
          </cell>
        </row>
        <row r="339">
          <cell r="A339" t="str">
            <v>Supervisor</v>
          </cell>
        </row>
        <row r="340">
          <cell r="A340">
            <v>56010</v>
          </cell>
          <cell r="B340" t="str">
            <v>Salaries</v>
          </cell>
          <cell r="E340">
            <v>21484.6</v>
          </cell>
          <cell r="F340">
            <v>20461.52</v>
          </cell>
          <cell r="G340">
            <v>23530.74</v>
          </cell>
          <cell r="H340">
            <v>22507.68</v>
          </cell>
          <cell r="I340">
            <v>21484.6</v>
          </cell>
          <cell r="J340">
            <v>22507.66</v>
          </cell>
          <cell r="K340">
            <v>22636.52</v>
          </cell>
          <cell r="L340">
            <v>22649.4</v>
          </cell>
          <cell r="M340">
            <v>22649.39</v>
          </cell>
          <cell r="N340">
            <v>21768.59</v>
          </cell>
          <cell r="O340">
            <v>22733.7</v>
          </cell>
          <cell r="P340">
            <v>23898.34</v>
          </cell>
          <cell r="Q340">
            <v>268312.74</v>
          </cell>
        </row>
        <row r="341">
          <cell r="A341">
            <v>56020</v>
          </cell>
          <cell r="B341" t="str">
            <v>Wages Regular</v>
          </cell>
          <cell r="E341">
            <v>4948.7299999999996</v>
          </cell>
          <cell r="F341">
            <v>4243.8599999999997</v>
          </cell>
          <cell r="G341">
            <v>5249.43</v>
          </cell>
          <cell r="H341">
            <v>5618.66</v>
          </cell>
          <cell r="I341">
            <v>4920.93</v>
          </cell>
          <cell r="J341">
            <v>5799.39</v>
          </cell>
          <cell r="K341">
            <v>5404.71</v>
          </cell>
          <cell r="L341">
            <v>5365.56</v>
          </cell>
          <cell r="M341">
            <v>4903.59</v>
          </cell>
          <cell r="N341">
            <v>5263.01</v>
          </cell>
          <cell r="O341">
            <v>5800.6</v>
          </cell>
          <cell r="P341">
            <v>5428.54</v>
          </cell>
          <cell r="Q341">
            <v>62947.01</v>
          </cell>
        </row>
        <row r="342">
          <cell r="A342">
            <v>56025</v>
          </cell>
          <cell r="B342" t="str">
            <v>Wages O.T.</v>
          </cell>
          <cell r="E342">
            <v>515.38</v>
          </cell>
          <cell r="F342">
            <v>23.34</v>
          </cell>
          <cell r="G342">
            <v>199.47</v>
          </cell>
          <cell r="H342">
            <v>439.74</v>
          </cell>
          <cell r="I342">
            <v>937.69</v>
          </cell>
          <cell r="J342">
            <v>676.04</v>
          </cell>
          <cell r="K342">
            <v>89.23</v>
          </cell>
          <cell r="L342">
            <v>691.05</v>
          </cell>
          <cell r="M342">
            <v>707.32</v>
          </cell>
          <cell r="N342">
            <v>322.20999999999998</v>
          </cell>
          <cell r="O342">
            <v>737.63</v>
          </cell>
          <cell r="P342">
            <v>791.29</v>
          </cell>
          <cell r="Q342">
            <v>6130.3899999999994</v>
          </cell>
        </row>
        <row r="343">
          <cell r="A343">
            <v>56035</v>
          </cell>
          <cell r="B343" t="str">
            <v>Safety Bonuses</v>
          </cell>
          <cell r="E343">
            <v>0</v>
          </cell>
          <cell r="F343">
            <v>0</v>
          </cell>
          <cell r="G343">
            <v>0</v>
          </cell>
          <cell r="H343">
            <v>0</v>
          </cell>
          <cell r="I343">
            <v>0</v>
          </cell>
          <cell r="J343">
            <v>0</v>
          </cell>
          <cell r="K343">
            <v>0</v>
          </cell>
          <cell r="L343">
            <v>0</v>
          </cell>
          <cell r="M343">
            <v>0</v>
          </cell>
          <cell r="N343">
            <v>0</v>
          </cell>
          <cell r="O343">
            <v>0</v>
          </cell>
          <cell r="P343">
            <v>0</v>
          </cell>
          <cell r="Q343">
            <v>0</v>
          </cell>
        </row>
        <row r="344">
          <cell r="A344">
            <v>56036</v>
          </cell>
          <cell r="B344" t="str">
            <v>Other Bonus/Commission - Non-Safety</v>
          </cell>
          <cell r="E344">
            <v>0</v>
          </cell>
          <cell r="F344">
            <v>0</v>
          </cell>
          <cell r="G344">
            <v>0</v>
          </cell>
          <cell r="H344">
            <v>0</v>
          </cell>
          <cell r="I344">
            <v>0</v>
          </cell>
          <cell r="J344">
            <v>0</v>
          </cell>
          <cell r="K344">
            <v>0</v>
          </cell>
          <cell r="L344">
            <v>0</v>
          </cell>
          <cell r="M344">
            <v>0</v>
          </cell>
          <cell r="N344">
            <v>0</v>
          </cell>
          <cell r="O344">
            <v>0</v>
          </cell>
          <cell r="P344">
            <v>0</v>
          </cell>
          <cell r="Q344">
            <v>0</v>
          </cell>
        </row>
        <row r="345">
          <cell r="A345">
            <v>56037</v>
          </cell>
          <cell r="B345" t="str">
            <v>Termination Pay</v>
          </cell>
          <cell r="E345">
            <v>0</v>
          </cell>
          <cell r="F345">
            <v>0</v>
          </cell>
          <cell r="G345">
            <v>0</v>
          </cell>
          <cell r="H345">
            <v>0</v>
          </cell>
          <cell r="I345">
            <v>0</v>
          </cell>
          <cell r="J345">
            <v>0</v>
          </cell>
          <cell r="K345">
            <v>0</v>
          </cell>
          <cell r="L345">
            <v>0</v>
          </cell>
          <cell r="M345">
            <v>0</v>
          </cell>
          <cell r="N345">
            <v>0</v>
          </cell>
          <cell r="O345">
            <v>0</v>
          </cell>
          <cell r="P345">
            <v>0</v>
          </cell>
          <cell r="Q345">
            <v>0</v>
          </cell>
        </row>
        <row r="346">
          <cell r="A346">
            <v>56045</v>
          </cell>
          <cell r="B346" t="str">
            <v>Contract Labor</v>
          </cell>
          <cell r="E346">
            <v>0</v>
          </cell>
          <cell r="F346">
            <v>0</v>
          </cell>
          <cell r="G346">
            <v>0</v>
          </cell>
          <cell r="H346">
            <v>0</v>
          </cell>
          <cell r="I346">
            <v>0</v>
          </cell>
          <cell r="J346">
            <v>0</v>
          </cell>
          <cell r="K346">
            <v>0</v>
          </cell>
          <cell r="L346">
            <v>0</v>
          </cell>
          <cell r="M346">
            <v>0</v>
          </cell>
          <cell r="N346">
            <v>0</v>
          </cell>
          <cell r="O346">
            <v>0</v>
          </cell>
          <cell r="P346">
            <v>0</v>
          </cell>
          <cell r="Q346">
            <v>0</v>
          </cell>
        </row>
        <row r="347">
          <cell r="A347">
            <v>56050</v>
          </cell>
          <cell r="B347" t="str">
            <v>Payroll Taxes</v>
          </cell>
          <cell r="E347">
            <v>3178.64</v>
          </cell>
          <cell r="F347">
            <v>2251.66</v>
          </cell>
          <cell r="G347">
            <v>2524.9499999999998</v>
          </cell>
          <cell r="H347">
            <v>2497.5100000000002</v>
          </cell>
          <cell r="I347">
            <v>2309.15</v>
          </cell>
          <cell r="J347">
            <v>2588.5</v>
          </cell>
          <cell r="K347">
            <v>2219.94</v>
          </cell>
          <cell r="L347">
            <v>1586.57</v>
          </cell>
          <cell r="M347">
            <v>1804.92</v>
          </cell>
          <cell r="N347">
            <v>1787.26</v>
          </cell>
          <cell r="O347">
            <v>1971.2</v>
          </cell>
          <cell r="P347">
            <v>1725.76</v>
          </cell>
          <cell r="Q347">
            <v>26446.059999999994</v>
          </cell>
        </row>
        <row r="348">
          <cell r="A348">
            <v>56060</v>
          </cell>
          <cell r="B348" t="str">
            <v>Group Insurance</v>
          </cell>
          <cell r="E348">
            <v>2508.5</v>
          </cell>
          <cell r="F348">
            <v>2315.5</v>
          </cell>
          <cell r="G348">
            <v>2043</v>
          </cell>
          <cell r="H348">
            <v>2781</v>
          </cell>
          <cell r="I348">
            <v>2412</v>
          </cell>
          <cell r="J348">
            <v>1237</v>
          </cell>
          <cell r="K348">
            <v>1237</v>
          </cell>
          <cell r="L348">
            <v>1237</v>
          </cell>
          <cell r="M348">
            <v>868</v>
          </cell>
          <cell r="N348">
            <v>1606</v>
          </cell>
          <cell r="O348">
            <v>1237</v>
          </cell>
          <cell r="P348">
            <v>1237</v>
          </cell>
          <cell r="Q348">
            <v>20719</v>
          </cell>
        </row>
        <row r="349">
          <cell r="A349">
            <v>56065</v>
          </cell>
          <cell r="B349" t="str">
            <v>Vacation Pay</v>
          </cell>
          <cell r="E349">
            <v>2015.83</v>
          </cell>
          <cell r="F349">
            <v>1112.7</v>
          </cell>
          <cell r="G349">
            <v>1240.4000000000001</v>
          </cell>
          <cell r="H349">
            <v>1221.3699999999999</v>
          </cell>
          <cell r="I349">
            <v>1789.21</v>
          </cell>
          <cell r="J349">
            <v>2096.9899999999998</v>
          </cell>
          <cell r="K349">
            <v>-3773.2</v>
          </cell>
          <cell r="L349">
            <v>-940.29</v>
          </cell>
          <cell r="M349">
            <v>2549.7399999999998</v>
          </cell>
          <cell r="N349">
            <v>360.95</v>
          </cell>
          <cell r="O349">
            <v>2162.4499999999998</v>
          </cell>
          <cell r="P349">
            <v>2200.5700000000002</v>
          </cell>
          <cell r="Q349">
            <v>12036.72</v>
          </cell>
        </row>
        <row r="350">
          <cell r="A350">
            <v>56070</v>
          </cell>
          <cell r="B350" t="str">
            <v>Sick Pay</v>
          </cell>
          <cell r="E350">
            <v>-88.92</v>
          </cell>
          <cell r="F350">
            <v>208.16</v>
          </cell>
          <cell r="G350">
            <v>-102.08</v>
          </cell>
          <cell r="H350">
            <v>0</v>
          </cell>
          <cell r="I350">
            <v>487.17</v>
          </cell>
          <cell r="J350">
            <v>-182.69</v>
          </cell>
          <cell r="K350">
            <v>304.48</v>
          </cell>
          <cell r="L350">
            <v>182.69</v>
          </cell>
          <cell r="M350">
            <v>124.67</v>
          </cell>
          <cell r="N350">
            <v>66.48</v>
          </cell>
          <cell r="O350">
            <v>0</v>
          </cell>
          <cell r="P350">
            <v>0</v>
          </cell>
          <cell r="Q350">
            <v>999.96000000000015</v>
          </cell>
        </row>
        <row r="351">
          <cell r="A351">
            <v>56086</v>
          </cell>
          <cell r="B351" t="str">
            <v>Safety and Training</v>
          </cell>
          <cell r="E351">
            <v>86.34</v>
          </cell>
          <cell r="F351">
            <v>16.23</v>
          </cell>
          <cell r="G351">
            <v>31.23</v>
          </cell>
          <cell r="H351">
            <v>21.48</v>
          </cell>
          <cell r="I351">
            <v>0</v>
          </cell>
          <cell r="J351">
            <v>64.92</v>
          </cell>
          <cell r="K351">
            <v>0</v>
          </cell>
          <cell r="L351">
            <v>80.650000000000006</v>
          </cell>
          <cell r="M351">
            <v>0</v>
          </cell>
          <cell r="N351">
            <v>121.71</v>
          </cell>
          <cell r="O351">
            <v>0</v>
          </cell>
          <cell r="P351">
            <v>0</v>
          </cell>
          <cell r="Q351">
            <v>422.56</v>
          </cell>
        </row>
        <row r="352">
          <cell r="A352">
            <v>56090</v>
          </cell>
          <cell r="B352" t="str">
            <v>Uniforms</v>
          </cell>
          <cell r="E352">
            <v>356.19</v>
          </cell>
          <cell r="F352">
            <v>519.97</v>
          </cell>
          <cell r="G352">
            <v>1421.43</v>
          </cell>
          <cell r="H352">
            <v>967.63</v>
          </cell>
          <cell r="I352">
            <v>1153.95</v>
          </cell>
          <cell r="J352">
            <v>1314.26</v>
          </cell>
          <cell r="K352">
            <v>1629.69</v>
          </cell>
          <cell r="L352">
            <v>1082.08</v>
          </cell>
          <cell r="M352">
            <v>1087.67</v>
          </cell>
          <cell r="N352">
            <v>1240.51</v>
          </cell>
          <cell r="O352">
            <v>1230.1199999999999</v>
          </cell>
          <cell r="P352">
            <v>1719.85</v>
          </cell>
          <cell r="Q352">
            <v>13723.35</v>
          </cell>
        </row>
        <row r="353">
          <cell r="A353">
            <v>56095</v>
          </cell>
          <cell r="B353" t="str">
            <v>Empl &amp; Commun Activ</v>
          </cell>
          <cell r="E353">
            <v>242.51</v>
          </cell>
          <cell r="F353">
            <v>-88.98</v>
          </cell>
          <cell r="G353">
            <v>0</v>
          </cell>
          <cell r="H353">
            <v>30.82</v>
          </cell>
          <cell r="I353">
            <v>161.91999999999999</v>
          </cell>
          <cell r="J353">
            <v>154.44999999999999</v>
          </cell>
          <cell r="K353">
            <v>0</v>
          </cell>
          <cell r="L353">
            <v>81.739999999999995</v>
          </cell>
          <cell r="M353">
            <v>97.68</v>
          </cell>
          <cell r="N353">
            <v>250.97</v>
          </cell>
          <cell r="O353">
            <v>-60.35</v>
          </cell>
          <cell r="P353">
            <v>0</v>
          </cell>
          <cell r="Q353">
            <v>870.75999999999988</v>
          </cell>
        </row>
        <row r="354">
          <cell r="A354">
            <v>56105</v>
          </cell>
          <cell r="B354" t="str">
            <v>Employee Relocation</v>
          </cell>
          <cell r="E354">
            <v>0</v>
          </cell>
          <cell r="F354">
            <v>0</v>
          </cell>
          <cell r="G354">
            <v>0</v>
          </cell>
          <cell r="H354">
            <v>0</v>
          </cell>
          <cell r="I354">
            <v>0</v>
          </cell>
          <cell r="J354">
            <v>0</v>
          </cell>
          <cell r="K354">
            <v>0</v>
          </cell>
          <cell r="L354">
            <v>0</v>
          </cell>
          <cell r="M354">
            <v>0</v>
          </cell>
          <cell r="N354">
            <v>0</v>
          </cell>
          <cell r="O354">
            <v>0</v>
          </cell>
          <cell r="P354">
            <v>0</v>
          </cell>
          <cell r="Q354">
            <v>0</v>
          </cell>
        </row>
        <row r="355">
          <cell r="A355">
            <v>56108</v>
          </cell>
          <cell r="B355" t="str">
            <v>School Tuition</v>
          </cell>
          <cell r="E355">
            <v>0</v>
          </cell>
          <cell r="F355">
            <v>0</v>
          </cell>
          <cell r="G355">
            <v>0</v>
          </cell>
          <cell r="H355">
            <v>0</v>
          </cell>
          <cell r="I355">
            <v>0</v>
          </cell>
          <cell r="J355">
            <v>0</v>
          </cell>
          <cell r="K355">
            <v>0</v>
          </cell>
          <cell r="L355">
            <v>0</v>
          </cell>
          <cell r="M355">
            <v>0</v>
          </cell>
          <cell r="N355">
            <v>0</v>
          </cell>
          <cell r="O355">
            <v>0</v>
          </cell>
          <cell r="P355">
            <v>0</v>
          </cell>
          <cell r="Q355">
            <v>0</v>
          </cell>
        </row>
        <row r="356">
          <cell r="A356">
            <v>56115</v>
          </cell>
          <cell r="B356" t="str">
            <v>Pension and Profit Sharing</v>
          </cell>
          <cell r="E356">
            <v>259.32</v>
          </cell>
          <cell r="F356">
            <v>257.68</v>
          </cell>
          <cell r="G356">
            <v>386.43</v>
          </cell>
          <cell r="H356">
            <v>258.10000000000002</v>
          </cell>
          <cell r="I356">
            <v>332.41</v>
          </cell>
          <cell r="J356">
            <v>433.93</v>
          </cell>
          <cell r="K356">
            <v>427.05</v>
          </cell>
          <cell r="L356">
            <v>424.39</v>
          </cell>
          <cell r="M356">
            <v>428.34</v>
          </cell>
          <cell r="N356">
            <v>657.37</v>
          </cell>
          <cell r="O356">
            <v>545.69000000000005</v>
          </cell>
          <cell r="P356">
            <v>433.37</v>
          </cell>
          <cell r="Q356">
            <v>4844.0800000000008</v>
          </cell>
        </row>
        <row r="357">
          <cell r="A357">
            <v>56116</v>
          </cell>
          <cell r="B357" t="str">
            <v>Union Benefit Expense</v>
          </cell>
          <cell r="E357">
            <v>0</v>
          </cell>
          <cell r="F357">
            <v>0</v>
          </cell>
          <cell r="G357">
            <v>0</v>
          </cell>
          <cell r="H357">
            <v>0</v>
          </cell>
          <cell r="I357">
            <v>0</v>
          </cell>
          <cell r="J357">
            <v>0</v>
          </cell>
          <cell r="K357">
            <v>0</v>
          </cell>
          <cell r="L357">
            <v>0</v>
          </cell>
          <cell r="M357">
            <v>0</v>
          </cell>
          <cell r="N357">
            <v>0</v>
          </cell>
          <cell r="O357">
            <v>0</v>
          </cell>
          <cell r="P357">
            <v>0</v>
          </cell>
          <cell r="Q357">
            <v>0</v>
          </cell>
        </row>
        <row r="358">
          <cell r="A358">
            <v>56117</v>
          </cell>
          <cell r="B358" t="str">
            <v>Union Pension</v>
          </cell>
          <cell r="E358">
            <v>0</v>
          </cell>
          <cell r="F358">
            <v>0</v>
          </cell>
          <cell r="G358">
            <v>0</v>
          </cell>
          <cell r="H358">
            <v>0</v>
          </cell>
          <cell r="I358">
            <v>0</v>
          </cell>
          <cell r="J358">
            <v>0</v>
          </cell>
          <cell r="K358">
            <v>0</v>
          </cell>
          <cell r="L358">
            <v>0</v>
          </cell>
          <cell r="M358">
            <v>0</v>
          </cell>
          <cell r="N358">
            <v>0</v>
          </cell>
          <cell r="O358">
            <v>0</v>
          </cell>
          <cell r="P358">
            <v>0</v>
          </cell>
          <cell r="Q358">
            <v>0</v>
          </cell>
        </row>
        <row r="359">
          <cell r="A359">
            <v>56125</v>
          </cell>
          <cell r="B359" t="str">
            <v>Operating Supplies</v>
          </cell>
          <cell r="E359">
            <v>391.66</v>
          </cell>
          <cell r="F359">
            <v>526.79999999999995</v>
          </cell>
          <cell r="G359">
            <v>580.32000000000005</v>
          </cell>
          <cell r="H359">
            <v>1039.98</v>
          </cell>
          <cell r="I359">
            <v>-623.28</v>
          </cell>
          <cell r="J359">
            <v>102.55</v>
          </cell>
          <cell r="K359">
            <v>582.14</v>
          </cell>
          <cell r="L359">
            <v>366.9</v>
          </cell>
          <cell r="M359">
            <v>350.1</v>
          </cell>
          <cell r="N359">
            <v>0</v>
          </cell>
          <cell r="O359">
            <v>255.27</v>
          </cell>
          <cell r="P359">
            <v>127.61</v>
          </cell>
          <cell r="Q359">
            <v>3700.05</v>
          </cell>
        </row>
        <row r="360">
          <cell r="A360">
            <v>56140</v>
          </cell>
          <cell r="B360" t="str">
            <v>Tires</v>
          </cell>
          <cell r="E360">
            <v>0</v>
          </cell>
          <cell r="F360">
            <v>0</v>
          </cell>
          <cell r="G360">
            <v>0</v>
          </cell>
          <cell r="H360">
            <v>0</v>
          </cell>
          <cell r="I360">
            <v>0</v>
          </cell>
          <cell r="J360">
            <v>0</v>
          </cell>
          <cell r="K360">
            <v>0</v>
          </cell>
          <cell r="L360">
            <v>0</v>
          </cell>
          <cell r="M360">
            <v>0</v>
          </cell>
          <cell r="N360">
            <v>0</v>
          </cell>
          <cell r="O360">
            <v>0</v>
          </cell>
          <cell r="P360">
            <v>0</v>
          </cell>
          <cell r="Q360">
            <v>0</v>
          </cell>
        </row>
        <row r="361">
          <cell r="A361">
            <v>56142</v>
          </cell>
          <cell r="B361" t="str">
            <v>Fuel Expense</v>
          </cell>
          <cell r="E361">
            <v>0</v>
          </cell>
          <cell r="F361">
            <v>0</v>
          </cell>
          <cell r="G361">
            <v>0</v>
          </cell>
          <cell r="H361">
            <v>0</v>
          </cell>
          <cell r="I361">
            <v>0</v>
          </cell>
          <cell r="J361">
            <v>0</v>
          </cell>
          <cell r="K361">
            <v>0</v>
          </cell>
          <cell r="L361">
            <v>0</v>
          </cell>
          <cell r="M361">
            <v>0</v>
          </cell>
          <cell r="N361">
            <v>0</v>
          </cell>
          <cell r="O361">
            <v>0</v>
          </cell>
          <cell r="P361">
            <v>0</v>
          </cell>
          <cell r="Q361">
            <v>0</v>
          </cell>
        </row>
        <row r="362">
          <cell r="A362">
            <v>56148</v>
          </cell>
          <cell r="B362" t="str">
            <v>Allocated Exp In - District</v>
          </cell>
          <cell r="E362">
            <v>0</v>
          </cell>
          <cell r="F362">
            <v>0</v>
          </cell>
          <cell r="G362">
            <v>0</v>
          </cell>
          <cell r="H362">
            <v>0</v>
          </cell>
          <cell r="I362">
            <v>0</v>
          </cell>
          <cell r="J362">
            <v>0</v>
          </cell>
          <cell r="K362">
            <v>0</v>
          </cell>
          <cell r="L362">
            <v>0</v>
          </cell>
          <cell r="M362">
            <v>0</v>
          </cell>
          <cell r="N362">
            <v>0</v>
          </cell>
          <cell r="O362">
            <v>0</v>
          </cell>
          <cell r="P362">
            <v>0</v>
          </cell>
          <cell r="Q362">
            <v>0</v>
          </cell>
        </row>
        <row r="363">
          <cell r="A363">
            <v>56149</v>
          </cell>
          <cell r="B363" t="str">
            <v>Allocated Exp In Out - District</v>
          </cell>
          <cell r="E363">
            <v>0</v>
          </cell>
          <cell r="F363">
            <v>0</v>
          </cell>
          <cell r="G363">
            <v>0</v>
          </cell>
          <cell r="H363">
            <v>0</v>
          </cell>
          <cell r="I363">
            <v>0</v>
          </cell>
          <cell r="J363">
            <v>0</v>
          </cell>
          <cell r="K363">
            <v>0</v>
          </cell>
          <cell r="L363">
            <v>0</v>
          </cell>
          <cell r="M363">
            <v>0</v>
          </cell>
          <cell r="N363">
            <v>0</v>
          </cell>
          <cell r="O363">
            <v>0</v>
          </cell>
          <cell r="P363">
            <v>0</v>
          </cell>
          <cell r="Q363">
            <v>0</v>
          </cell>
        </row>
        <row r="364">
          <cell r="A364">
            <v>56165</v>
          </cell>
          <cell r="B364" t="str">
            <v>Communications</v>
          </cell>
          <cell r="E364">
            <v>1519.45</v>
          </cell>
          <cell r="F364">
            <v>1450.07</v>
          </cell>
          <cell r="G364">
            <v>1554.65</v>
          </cell>
          <cell r="H364">
            <v>4434.3500000000004</v>
          </cell>
          <cell r="I364">
            <v>-1597.73</v>
          </cell>
          <cell r="J364">
            <v>1513.67</v>
          </cell>
          <cell r="K364">
            <v>1505.33</v>
          </cell>
          <cell r="L364">
            <v>5156.7</v>
          </cell>
          <cell r="M364">
            <v>1422.01</v>
          </cell>
          <cell r="N364">
            <v>1404.71</v>
          </cell>
          <cell r="O364">
            <v>4969.07</v>
          </cell>
          <cell r="P364">
            <v>2885.81</v>
          </cell>
          <cell r="Q364">
            <v>26218.09</v>
          </cell>
        </row>
        <row r="365">
          <cell r="A365">
            <v>56200</v>
          </cell>
          <cell r="B365" t="str">
            <v>Travel</v>
          </cell>
          <cell r="E365">
            <v>0</v>
          </cell>
          <cell r="F365">
            <v>23</v>
          </cell>
          <cell r="G365">
            <v>32.75</v>
          </cell>
          <cell r="H365">
            <v>17.62</v>
          </cell>
          <cell r="I365">
            <v>0</v>
          </cell>
          <cell r="J365">
            <v>0</v>
          </cell>
          <cell r="K365">
            <v>0</v>
          </cell>
          <cell r="L365">
            <v>0</v>
          </cell>
          <cell r="M365">
            <v>0</v>
          </cell>
          <cell r="N365">
            <v>14.84</v>
          </cell>
          <cell r="O365">
            <v>-12.97</v>
          </cell>
          <cell r="P365">
            <v>0</v>
          </cell>
          <cell r="Q365">
            <v>75.240000000000009</v>
          </cell>
        </row>
        <row r="366">
          <cell r="A366">
            <v>56201</v>
          </cell>
          <cell r="B366" t="str">
            <v>Meal and Entertainment</v>
          </cell>
          <cell r="E366">
            <v>0</v>
          </cell>
          <cell r="F366">
            <v>0</v>
          </cell>
          <cell r="G366">
            <v>0</v>
          </cell>
          <cell r="H366">
            <v>0</v>
          </cell>
          <cell r="I366">
            <v>0</v>
          </cell>
          <cell r="J366">
            <v>34.36</v>
          </cell>
          <cell r="K366">
            <v>0</v>
          </cell>
          <cell r="L366">
            <v>0</v>
          </cell>
          <cell r="M366">
            <v>0</v>
          </cell>
          <cell r="N366">
            <v>348.63</v>
          </cell>
          <cell r="O366">
            <v>-333.79</v>
          </cell>
          <cell r="P366">
            <v>0</v>
          </cell>
          <cell r="Q366">
            <v>49.199999999999989</v>
          </cell>
        </row>
        <row r="367">
          <cell r="A367">
            <v>56210</v>
          </cell>
          <cell r="B367" t="str">
            <v>Office Supply and Equip</v>
          </cell>
          <cell r="E367">
            <v>302.63</v>
          </cell>
          <cell r="F367">
            <v>422.29</v>
          </cell>
          <cell r="G367">
            <v>391.69</v>
          </cell>
          <cell r="H367">
            <v>179.55</v>
          </cell>
          <cell r="I367">
            <v>722.74</v>
          </cell>
          <cell r="J367">
            <v>352.24</v>
          </cell>
          <cell r="K367">
            <v>0</v>
          </cell>
          <cell r="L367">
            <v>741.46</v>
          </cell>
          <cell r="M367">
            <v>364.82</v>
          </cell>
          <cell r="N367">
            <v>0</v>
          </cell>
          <cell r="O367">
            <v>886.4</v>
          </cell>
          <cell r="P367">
            <v>0</v>
          </cell>
          <cell r="Q367">
            <v>4363.8200000000006</v>
          </cell>
        </row>
        <row r="368">
          <cell r="A368">
            <v>56335</v>
          </cell>
          <cell r="B368" t="str">
            <v>Miscellaneous</v>
          </cell>
          <cell r="E368">
            <v>0</v>
          </cell>
          <cell r="F368">
            <v>0</v>
          </cell>
          <cell r="G368">
            <v>0</v>
          </cell>
          <cell r="H368">
            <v>0</v>
          </cell>
          <cell r="I368">
            <v>0</v>
          </cell>
          <cell r="J368">
            <v>0</v>
          </cell>
          <cell r="K368">
            <v>0</v>
          </cell>
          <cell r="L368">
            <v>0</v>
          </cell>
          <cell r="M368">
            <v>0</v>
          </cell>
          <cell r="N368">
            <v>0</v>
          </cell>
          <cell r="O368">
            <v>0</v>
          </cell>
          <cell r="P368">
            <v>0</v>
          </cell>
          <cell r="Q368">
            <v>0</v>
          </cell>
        </row>
        <row r="369">
          <cell r="A369">
            <v>56998</v>
          </cell>
          <cell r="B369" t="str">
            <v>Allocation Out - District</v>
          </cell>
          <cell r="E369">
            <v>0</v>
          </cell>
          <cell r="F369">
            <v>0</v>
          </cell>
          <cell r="G369">
            <v>0</v>
          </cell>
          <cell r="H369">
            <v>0</v>
          </cell>
          <cell r="I369">
            <v>0</v>
          </cell>
          <cell r="J369">
            <v>0</v>
          </cell>
          <cell r="K369">
            <v>0</v>
          </cell>
          <cell r="L369">
            <v>0</v>
          </cell>
          <cell r="M369">
            <v>0</v>
          </cell>
          <cell r="N369">
            <v>0</v>
          </cell>
          <cell r="O369">
            <v>0</v>
          </cell>
          <cell r="P369">
            <v>0</v>
          </cell>
          <cell r="Q369">
            <v>0</v>
          </cell>
        </row>
        <row r="370">
          <cell r="A370">
            <v>56999</v>
          </cell>
          <cell r="B370" t="str">
            <v>Allocation Out - Out District</v>
          </cell>
          <cell r="E370">
            <v>0</v>
          </cell>
          <cell r="F370">
            <v>0</v>
          </cell>
          <cell r="G370">
            <v>0</v>
          </cell>
          <cell r="H370">
            <v>0</v>
          </cell>
          <cell r="I370">
            <v>0</v>
          </cell>
          <cell r="J370">
            <v>0</v>
          </cell>
          <cell r="K370">
            <v>0</v>
          </cell>
          <cell r="L370">
            <v>0</v>
          </cell>
          <cell r="M370">
            <v>0</v>
          </cell>
          <cell r="N370">
            <v>0</v>
          </cell>
          <cell r="O370">
            <v>0</v>
          </cell>
          <cell r="P370">
            <v>0</v>
          </cell>
          <cell r="Q370">
            <v>0</v>
          </cell>
        </row>
        <row r="371">
          <cell r="A371" t="str">
            <v>Total Supervisor</v>
          </cell>
          <cell r="E371">
            <v>37720.86</v>
          </cell>
          <cell r="F371">
            <v>33743.800000000003</v>
          </cell>
          <cell r="G371">
            <v>39084.410000000011</v>
          </cell>
          <cell r="H371">
            <v>42015.490000000013</v>
          </cell>
          <cell r="I371">
            <v>34490.759999999995</v>
          </cell>
          <cell r="J371">
            <v>38693.26999999999</v>
          </cell>
          <cell r="K371">
            <v>32262.889999999992</v>
          </cell>
          <cell r="L371">
            <v>38705.899999999994</v>
          </cell>
          <cell r="M371">
            <v>37358.249999999993</v>
          </cell>
          <cell r="N371">
            <v>35213.239999999991</v>
          </cell>
          <cell r="O371">
            <v>42122.020000000004</v>
          </cell>
          <cell r="P371">
            <v>40448.14</v>
          </cell>
          <cell r="Q371">
            <v>451859.03</v>
          </cell>
        </row>
        <row r="373">
          <cell r="A373" t="str">
            <v>Other Operating Expense</v>
          </cell>
        </row>
        <row r="374">
          <cell r="A374">
            <v>46020</v>
          </cell>
          <cell r="B374" t="str">
            <v>Post Closure Amortization</v>
          </cell>
          <cell r="E374">
            <v>0</v>
          </cell>
          <cell r="F374">
            <v>0</v>
          </cell>
          <cell r="G374">
            <v>0</v>
          </cell>
          <cell r="H374">
            <v>0</v>
          </cell>
          <cell r="I374">
            <v>0</v>
          </cell>
          <cell r="J374">
            <v>0</v>
          </cell>
          <cell r="K374">
            <v>0</v>
          </cell>
          <cell r="L374">
            <v>0</v>
          </cell>
          <cell r="M374">
            <v>0</v>
          </cell>
          <cell r="N374">
            <v>0</v>
          </cell>
          <cell r="O374">
            <v>0</v>
          </cell>
          <cell r="P374">
            <v>0</v>
          </cell>
          <cell r="Q374">
            <v>0</v>
          </cell>
        </row>
        <row r="375">
          <cell r="A375">
            <v>57051</v>
          </cell>
          <cell r="B375" t="str">
            <v>AA Premiums</v>
          </cell>
          <cell r="E375">
            <v>0</v>
          </cell>
          <cell r="F375">
            <v>0</v>
          </cell>
          <cell r="G375">
            <v>0</v>
          </cell>
          <cell r="H375">
            <v>0</v>
          </cell>
          <cell r="I375">
            <v>0</v>
          </cell>
          <cell r="J375">
            <v>0</v>
          </cell>
          <cell r="K375">
            <v>0</v>
          </cell>
          <cell r="L375">
            <v>0</v>
          </cell>
          <cell r="M375">
            <v>0</v>
          </cell>
          <cell r="N375">
            <v>0</v>
          </cell>
          <cell r="O375">
            <v>0</v>
          </cell>
          <cell r="P375">
            <v>0</v>
          </cell>
          <cell r="Q375">
            <v>0</v>
          </cell>
        </row>
        <row r="376">
          <cell r="A376">
            <v>57125</v>
          </cell>
          <cell r="B376" t="str">
            <v>Operating Supplies</v>
          </cell>
          <cell r="E376">
            <v>0</v>
          </cell>
          <cell r="F376">
            <v>0</v>
          </cell>
          <cell r="G376">
            <v>0</v>
          </cell>
          <cell r="H376">
            <v>142.55000000000001</v>
          </cell>
          <cell r="I376">
            <v>0</v>
          </cell>
          <cell r="J376">
            <v>0</v>
          </cell>
          <cell r="K376">
            <v>0</v>
          </cell>
          <cell r="L376">
            <v>0</v>
          </cell>
          <cell r="M376">
            <v>0</v>
          </cell>
          <cell r="N376">
            <v>1177.5899999999999</v>
          </cell>
          <cell r="O376">
            <v>-1102.77</v>
          </cell>
          <cell r="P376">
            <v>0</v>
          </cell>
          <cell r="Q376">
            <v>217.36999999999989</v>
          </cell>
        </row>
        <row r="377">
          <cell r="A377">
            <v>57147</v>
          </cell>
          <cell r="B377" t="str">
            <v>Bldg &amp; Property</v>
          </cell>
          <cell r="E377">
            <v>5273.81</v>
          </cell>
          <cell r="F377">
            <v>1312.43</v>
          </cell>
          <cell r="G377">
            <v>1899.21</v>
          </cell>
          <cell r="H377">
            <v>1309.79</v>
          </cell>
          <cell r="I377">
            <v>1872.61</v>
          </cell>
          <cell r="J377">
            <v>1128</v>
          </cell>
          <cell r="K377">
            <v>1740.26</v>
          </cell>
          <cell r="L377">
            <v>3083.68</v>
          </cell>
          <cell r="M377">
            <v>2114.81</v>
          </cell>
          <cell r="N377">
            <v>1811.92</v>
          </cell>
          <cell r="O377">
            <v>3002.6</v>
          </cell>
          <cell r="P377">
            <v>2169.63</v>
          </cell>
          <cell r="Q377">
            <v>26718.750000000004</v>
          </cell>
        </row>
        <row r="378">
          <cell r="A378">
            <v>57148</v>
          </cell>
          <cell r="B378" t="str">
            <v>Allocated In - District</v>
          </cell>
          <cell r="E378">
            <v>0</v>
          </cell>
          <cell r="F378">
            <v>0</v>
          </cell>
          <cell r="G378">
            <v>0</v>
          </cell>
          <cell r="H378">
            <v>0</v>
          </cell>
          <cell r="I378">
            <v>0</v>
          </cell>
          <cell r="J378">
            <v>0</v>
          </cell>
          <cell r="K378">
            <v>0</v>
          </cell>
          <cell r="L378">
            <v>0</v>
          </cell>
          <cell r="M378">
            <v>0</v>
          </cell>
          <cell r="N378">
            <v>0</v>
          </cell>
          <cell r="O378">
            <v>0</v>
          </cell>
          <cell r="P378">
            <v>0</v>
          </cell>
          <cell r="Q378">
            <v>0</v>
          </cell>
        </row>
        <row r="379">
          <cell r="A379">
            <v>57149</v>
          </cell>
          <cell r="B379" t="str">
            <v>Allocated In - Out District</v>
          </cell>
          <cell r="E379">
            <v>0</v>
          </cell>
          <cell r="F379">
            <v>0</v>
          </cell>
          <cell r="G379">
            <v>0</v>
          </cell>
          <cell r="H379">
            <v>0</v>
          </cell>
          <cell r="I379">
            <v>0</v>
          </cell>
          <cell r="J379">
            <v>0</v>
          </cell>
          <cell r="K379">
            <v>0</v>
          </cell>
          <cell r="L379">
            <v>0</v>
          </cell>
          <cell r="M379">
            <v>0</v>
          </cell>
          <cell r="N379">
            <v>0</v>
          </cell>
          <cell r="O379">
            <v>0</v>
          </cell>
          <cell r="P379">
            <v>0</v>
          </cell>
          <cell r="Q379">
            <v>0</v>
          </cell>
        </row>
        <row r="380">
          <cell r="A380">
            <v>57150</v>
          </cell>
          <cell r="B380" t="str">
            <v>Utilities</v>
          </cell>
          <cell r="E380">
            <v>461.43</v>
          </cell>
          <cell r="F380">
            <v>96.57</v>
          </cell>
          <cell r="G380">
            <v>117.6</v>
          </cell>
          <cell r="H380">
            <v>83.43</v>
          </cell>
          <cell r="I380">
            <v>90.9</v>
          </cell>
          <cell r="J380">
            <v>57.15</v>
          </cell>
          <cell r="K380">
            <v>89.42</v>
          </cell>
          <cell r="L380">
            <v>52.59</v>
          </cell>
          <cell r="M380">
            <v>307.08</v>
          </cell>
          <cell r="N380">
            <v>59.56</v>
          </cell>
          <cell r="O380">
            <v>541.69000000000005</v>
          </cell>
          <cell r="P380">
            <v>104.21</v>
          </cell>
          <cell r="Q380">
            <v>2061.6299999999997</v>
          </cell>
        </row>
        <row r="381">
          <cell r="A381">
            <v>57165</v>
          </cell>
          <cell r="B381" t="str">
            <v>Communications</v>
          </cell>
          <cell r="E381">
            <v>0</v>
          </cell>
          <cell r="F381">
            <v>0</v>
          </cell>
          <cell r="G381">
            <v>0</v>
          </cell>
          <cell r="H381">
            <v>0</v>
          </cell>
          <cell r="I381">
            <v>0</v>
          </cell>
          <cell r="J381">
            <v>0</v>
          </cell>
          <cell r="K381">
            <v>0</v>
          </cell>
          <cell r="L381">
            <v>0</v>
          </cell>
          <cell r="M381">
            <v>0</v>
          </cell>
          <cell r="N381">
            <v>0</v>
          </cell>
          <cell r="O381">
            <v>0</v>
          </cell>
          <cell r="P381">
            <v>0</v>
          </cell>
          <cell r="Q381">
            <v>0</v>
          </cell>
        </row>
        <row r="382">
          <cell r="A382">
            <v>57166</v>
          </cell>
          <cell r="B382" t="str">
            <v>Leachate Treatment</v>
          </cell>
          <cell r="E382">
            <v>0</v>
          </cell>
          <cell r="F382">
            <v>0</v>
          </cell>
          <cell r="G382">
            <v>0</v>
          </cell>
          <cell r="H382">
            <v>0</v>
          </cell>
          <cell r="I382">
            <v>0</v>
          </cell>
          <cell r="J382">
            <v>0</v>
          </cell>
          <cell r="K382">
            <v>0</v>
          </cell>
          <cell r="L382">
            <v>0</v>
          </cell>
          <cell r="M382">
            <v>0</v>
          </cell>
          <cell r="N382">
            <v>0</v>
          </cell>
          <cell r="O382">
            <v>0</v>
          </cell>
          <cell r="P382">
            <v>0</v>
          </cell>
          <cell r="Q382">
            <v>0</v>
          </cell>
        </row>
        <row r="383">
          <cell r="A383">
            <v>57170</v>
          </cell>
          <cell r="B383" t="str">
            <v>Real Estate Rentals</v>
          </cell>
          <cell r="E383">
            <v>5891.03</v>
          </cell>
          <cell r="F383">
            <v>6528.62</v>
          </cell>
          <cell r="G383">
            <v>5891.03</v>
          </cell>
          <cell r="H383">
            <v>5800.95</v>
          </cell>
          <cell r="I383">
            <v>5800.95</v>
          </cell>
          <cell r="J383">
            <v>5800.95</v>
          </cell>
          <cell r="K383">
            <v>5800.95</v>
          </cell>
          <cell r="L383">
            <v>5800.95</v>
          </cell>
          <cell r="M383">
            <v>4412</v>
          </cell>
          <cell r="N383">
            <v>4412</v>
          </cell>
          <cell r="O383">
            <v>5800.95</v>
          </cell>
          <cell r="P383">
            <v>13259</v>
          </cell>
          <cell r="Q383">
            <v>75199.37999999999</v>
          </cell>
        </row>
        <row r="384">
          <cell r="A384">
            <v>57175</v>
          </cell>
          <cell r="B384" t="str">
            <v>Equipment Vehicle Rental</v>
          </cell>
          <cell r="E384">
            <v>0</v>
          </cell>
          <cell r="F384">
            <v>0</v>
          </cell>
          <cell r="G384">
            <v>0</v>
          </cell>
          <cell r="H384">
            <v>0</v>
          </cell>
          <cell r="I384">
            <v>0</v>
          </cell>
          <cell r="J384">
            <v>0</v>
          </cell>
          <cell r="K384">
            <v>0</v>
          </cell>
          <cell r="L384">
            <v>0</v>
          </cell>
          <cell r="M384">
            <v>0</v>
          </cell>
          <cell r="N384">
            <v>0</v>
          </cell>
          <cell r="O384">
            <v>0</v>
          </cell>
          <cell r="P384">
            <v>0</v>
          </cell>
          <cell r="Q384">
            <v>0</v>
          </cell>
        </row>
        <row r="385">
          <cell r="A385">
            <v>57185</v>
          </cell>
          <cell r="B385" t="str">
            <v>Postage</v>
          </cell>
          <cell r="E385">
            <v>0</v>
          </cell>
          <cell r="F385">
            <v>0</v>
          </cell>
          <cell r="G385">
            <v>0</v>
          </cell>
          <cell r="H385">
            <v>0</v>
          </cell>
          <cell r="I385">
            <v>0</v>
          </cell>
          <cell r="J385">
            <v>0</v>
          </cell>
          <cell r="K385">
            <v>0</v>
          </cell>
          <cell r="L385">
            <v>0</v>
          </cell>
          <cell r="M385">
            <v>0</v>
          </cell>
          <cell r="N385">
            <v>0</v>
          </cell>
          <cell r="O385">
            <v>0</v>
          </cell>
          <cell r="P385">
            <v>0</v>
          </cell>
          <cell r="Q385">
            <v>0</v>
          </cell>
        </row>
        <row r="386">
          <cell r="A386">
            <v>57252</v>
          </cell>
          <cell r="B386" t="str">
            <v>Subcontract Expense</v>
          </cell>
          <cell r="E386">
            <v>0</v>
          </cell>
          <cell r="F386">
            <v>0</v>
          </cell>
          <cell r="G386">
            <v>0</v>
          </cell>
          <cell r="H386">
            <v>0</v>
          </cell>
          <cell r="I386">
            <v>0</v>
          </cell>
          <cell r="J386">
            <v>0</v>
          </cell>
          <cell r="K386">
            <v>0</v>
          </cell>
          <cell r="L386">
            <v>0</v>
          </cell>
          <cell r="M386">
            <v>0</v>
          </cell>
          <cell r="N386">
            <v>0</v>
          </cell>
          <cell r="O386">
            <v>0</v>
          </cell>
          <cell r="P386">
            <v>0</v>
          </cell>
          <cell r="Q386">
            <v>0</v>
          </cell>
        </row>
        <row r="387">
          <cell r="A387">
            <v>57254</v>
          </cell>
          <cell r="B387" t="str">
            <v>Drive Cam Fees</v>
          </cell>
          <cell r="E387">
            <v>1912.5</v>
          </cell>
          <cell r="F387">
            <v>1912.5</v>
          </cell>
          <cell r="G387">
            <v>1912.5</v>
          </cell>
          <cell r="H387">
            <v>1912.5</v>
          </cell>
          <cell r="I387">
            <v>2520</v>
          </cell>
          <cell r="J387">
            <v>2520</v>
          </cell>
          <cell r="K387">
            <v>2678.73</v>
          </cell>
          <cell r="L387">
            <v>2580.4699999999998</v>
          </cell>
          <cell r="M387">
            <v>2576.33</v>
          </cell>
          <cell r="N387">
            <v>2636.37</v>
          </cell>
          <cell r="O387">
            <v>2511.33</v>
          </cell>
          <cell r="P387">
            <v>2531.54</v>
          </cell>
          <cell r="Q387">
            <v>28204.769999999997</v>
          </cell>
        </row>
        <row r="388">
          <cell r="A388">
            <v>57255</v>
          </cell>
          <cell r="B388" t="str">
            <v>Other Prof Fees</v>
          </cell>
          <cell r="E388">
            <v>0</v>
          </cell>
          <cell r="F388">
            <v>0</v>
          </cell>
          <cell r="G388">
            <v>4.5</v>
          </cell>
          <cell r="H388">
            <v>4.5</v>
          </cell>
          <cell r="I388">
            <v>4.5</v>
          </cell>
          <cell r="J388">
            <v>4.5</v>
          </cell>
          <cell r="K388">
            <v>18</v>
          </cell>
          <cell r="L388">
            <v>4.5</v>
          </cell>
          <cell r="M388">
            <v>4.5</v>
          </cell>
          <cell r="N388">
            <v>4.5</v>
          </cell>
          <cell r="O388">
            <v>4.5</v>
          </cell>
          <cell r="P388">
            <v>0</v>
          </cell>
          <cell r="Q388">
            <v>54</v>
          </cell>
        </row>
        <row r="389">
          <cell r="A389">
            <v>57256</v>
          </cell>
          <cell r="B389" t="str">
            <v>Laboratory Fees</v>
          </cell>
          <cell r="E389">
            <v>0</v>
          </cell>
          <cell r="F389">
            <v>0</v>
          </cell>
          <cell r="G389">
            <v>0</v>
          </cell>
          <cell r="H389">
            <v>0</v>
          </cell>
          <cell r="I389">
            <v>0</v>
          </cell>
          <cell r="J389">
            <v>0</v>
          </cell>
          <cell r="K389">
            <v>0</v>
          </cell>
          <cell r="L389">
            <v>0</v>
          </cell>
          <cell r="M389">
            <v>0</v>
          </cell>
          <cell r="N389">
            <v>0</v>
          </cell>
          <cell r="O389">
            <v>0</v>
          </cell>
          <cell r="P389">
            <v>0</v>
          </cell>
          <cell r="Q389">
            <v>0</v>
          </cell>
        </row>
        <row r="390">
          <cell r="A390">
            <v>57257</v>
          </cell>
          <cell r="B390" t="str">
            <v>Engineering Fees</v>
          </cell>
          <cell r="E390">
            <v>0</v>
          </cell>
          <cell r="F390">
            <v>0</v>
          </cell>
          <cell r="G390">
            <v>0</v>
          </cell>
          <cell r="H390">
            <v>0</v>
          </cell>
          <cell r="I390">
            <v>0</v>
          </cell>
          <cell r="J390">
            <v>18100.03</v>
          </cell>
          <cell r="K390">
            <v>1254.3699999999999</v>
          </cell>
          <cell r="L390">
            <v>1448.12</v>
          </cell>
          <cell r="M390">
            <v>-11585</v>
          </cell>
          <cell r="N390">
            <v>0</v>
          </cell>
          <cell r="O390">
            <v>0</v>
          </cell>
          <cell r="P390">
            <v>0</v>
          </cell>
          <cell r="Q390">
            <v>9217.5199999999968</v>
          </cell>
        </row>
        <row r="391">
          <cell r="A391">
            <v>57275</v>
          </cell>
          <cell r="B391" t="str">
            <v>Property Taxes</v>
          </cell>
          <cell r="E391">
            <v>0</v>
          </cell>
          <cell r="F391">
            <v>0</v>
          </cell>
          <cell r="G391">
            <v>0</v>
          </cell>
          <cell r="H391">
            <v>0</v>
          </cell>
          <cell r="I391">
            <v>0</v>
          </cell>
          <cell r="J391">
            <v>0</v>
          </cell>
          <cell r="K391">
            <v>0</v>
          </cell>
          <cell r="L391">
            <v>0</v>
          </cell>
          <cell r="M391">
            <v>0</v>
          </cell>
          <cell r="N391">
            <v>0</v>
          </cell>
          <cell r="O391">
            <v>0</v>
          </cell>
          <cell r="P391">
            <v>0</v>
          </cell>
          <cell r="Q391">
            <v>0</v>
          </cell>
        </row>
        <row r="392">
          <cell r="A392">
            <v>57280</v>
          </cell>
          <cell r="B392" t="str">
            <v>Other Taxes</v>
          </cell>
          <cell r="E392">
            <v>459</v>
          </cell>
          <cell r="F392">
            <v>459</v>
          </cell>
          <cell r="G392">
            <v>459</v>
          </cell>
          <cell r="H392">
            <v>459</v>
          </cell>
          <cell r="I392">
            <v>459</v>
          </cell>
          <cell r="J392">
            <v>459</v>
          </cell>
          <cell r="K392">
            <v>459</v>
          </cell>
          <cell r="L392">
            <v>459</v>
          </cell>
          <cell r="M392">
            <v>459</v>
          </cell>
          <cell r="N392">
            <v>459</v>
          </cell>
          <cell r="O392">
            <v>459</v>
          </cell>
          <cell r="P392">
            <v>459</v>
          </cell>
          <cell r="Q392">
            <v>5508</v>
          </cell>
        </row>
        <row r="393">
          <cell r="A393">
            <v>57324</v>
          </cell>
          <cell r="B393" t="str">
            <v>Penalties and Violations</v>
          </cell>
          <cell r="E393">
            <v>0</v>
          </cell>
          <cell r="F393">
            <v>0</v>
          </cell>
          <cell r="G393">
            <v>0</v>
          </cell>
          <cell r="H393">
            <v>0</v>
          </cell>
          <cell r="I393">
            <v>0</v>
          </cell>
          <cell r="J393">
            <v>0</v>
          </cell>
          <cell r="K393">
            <v>0</v>
          </cell>
          <cell r="L393">
            <v>0</v>
          </cell>
          <cell r="M393">
            <v>0</v>
          </cell>
          <cell r="N393">
            <v>266.95</v>
          </cell>
          <cell r="O393">
            <v>0</v>
          </cell>
          <cell r="P393">
            <v>631.95000000000005</v>
          </cell>
          <cell r="Q393">
            <v>898.90000000000009</v>
          </cell>
        </row>
        <row r="394">
          <cell r="A394">
            <v>57335</v>
          </cell>
          <cell r="B394" t="str">
            <v>Miscellaneous</v>
          </cell>
          <cell r="E394">
            <v>0</v>
          </cell>
          <cell r="F394">
            <v>0</v>
          </cell>
          <cell r="G394">
            <v>0</v>
          </cell>
          <cell r="H394">
            <v>0</v>
          </cell>
          <cell r="I394">
            <v>0</v>
          </cell>
          <cell r="J394">
            <v>0</v>
          </cell>
          <cell r="K394">
            <v>0</v>
          </cell>
          <cell r="L394">
            <v>0</v>
          </cell>
          <cell r="M394">
            <v>0</v>
          </cell>
          <cell r="N394">
            <v>0</v>
          </cell>
          <cell r="O394">
            <v>0</v>
          </cell>
          <cell r="P394">
            <v>0</v>
          </cell>
          <cell r="Q394">
            <v>0</v>
          </cell>
        </row>
        <row r="395">
          <cell r="A395">
            <v>57345</v>
          </cell>
          <cell r="B395" t="str">
            <v>Secruity Services</v>
          </cell>
          <cell r="E395">
            <v>62.5</v>
          </cell>
          <cell r="F395">
            <v>62.5</v>
          </cell>
          <cell r="G395">
            <v>62.5</v>
          </cell>
          <cell r="H395">
            <v>62.5</v>
          </cell>
          <cell r="I395">
            <v>62.5</v>
          </cell>
          <cell r="J395">
            <v>62.5</v>
          </cell>
          <cell r="K395">
            <v>62.5</v>
          </cell>
          <cell r="L395">
            <v>62.5</v>
          </cell>
          <cell r="M395">
            <v>62.5</v>
          </cell>
          <cell r="N395">
            <v>0</v>
          </cell>
          <cell r="O395">
            <v>125</v>
          </cell>
          <cell r="P395">
            <v>0</v>
          </cell>
          <cell r="Q395">
            <v>687.5</v>
          </cell>
        </row>
        <row r="396">
          <cell r="A396">
            <v>57353</v>
          </cell>
          <cell r="B396" t="str">
            <v>Monitoring and Maint</v>
          </cell>
          <cell r="E396">
            <v>0</v>
          </cell>
          <cell r="F396">
            <v>0</v>
          </cell>
          <cell r="G396">
            <v>0</v>
          </cell>
          <cell r="H396">
            <v>0</v>
          </cell>
          <cell r="I396">
            <v>0</v>
          </cell>
          <cell r="J396">
            <v>0</v>
          </cell>
          <cell r="K396">
            <v>0</v>
          </cell>
          <cell r="L396">
            <v>0</v>
          </cell>
          <cell r="M396">
            <v>0</v>
          </cell>
          <cell r="N396">
            <v>0</v>
          </cell>
          <cell r="O396">
            <v>0</v>
          </cell>
          <cell r="P396">
            <v>0</v>
          </cell>
          <cell r="Q396">
            <v>0</v>
          </cell>
        </row>
        <row r="397">
          <cell r="A397">
            <v>57356</v>
          </cell>
          <cell r="B397" t="str">
            <v>Cover Cost</v>
          </cell>
          <cell r="E397">
            <v>0</v>
          </cell>
          <cell r="F397">
            <v>0</v>
          </cell>
          <cell r="G397">
            <v>0</v>
          </cell>
          <cell r="H397">
            <v>0</v>
          </cell>
          <cell r="I397">
            <v>0</v>
          </cell>
          <cell r="J397">
            <v>0</v>
          </cell>
          <cell r="K397">
            <v>0</v>
          </cell>
          <cell r="L397">
            <v>0</v>
          </cell>
          <cell r="M397">
            <v>0</v>
          </cell>
          <cell r="N397">
            <v>0</v>
          </cell>
          <cell r="O397">
            <v>0</v>
          </cell>
          <cell r="P397">
            <v>0</v>
          </cell>
          <cell r="Q397">
            <v>0</v>
          </cell>
        </row>
        <row r="398">
          <cell r="A398">
            <v>57357</v>
          </cell>
          <cell r="B398" t="str">
            <v>Permits</v>
          </cell>
          <cell r="E398">
            <v>0</v>
          </cell>
          <cell r="F398">
            <v>0</v>
          </cell>
          <cell r="G398">
            <v>0</v>
          </cell>
          <cell r="H398">
            <v>0</v>
          </cell>
          <cell r="I398">
            <v>0</v>
          </cell>
          <cell r="J398">
            <v>0</v>
          </cell>
          <cell r="K398">
            <v>0</v>
          </cell>
          <cell r="L398">
            <v>0</v>
          </cell>
          <cell r="M398">
            <v>0</v>
          </cell>
          <cell r="N398">
            <v>15</v>
          </cell>
          <cell r="O398">
            <v>0</v>
          </cell>
          <cell r="P398">
            <v>80</v>
          </cell>
          <cell r="Q398">
            <v>95</v>
          </cell>
        </row>
        <row r="399">
          <cell r="A399">
            <v>57360</v>
          </cell>
          <cell r="B399" t="str">
            <v>Royalties</v>
          </cell>
          <cell r="E399">
            <v>0</v>
          </cell>
          <cell r="F399">
            <v>0</v>
          </cell>
          <cell r="G399">
            <v>0</v>
          </cell>
          <cell r="H399">
            <v>0</v>
          </cell>
          <cell r="I399">
            <v>0</v>
          </cell>
          <cell r="J399">
            <v>0</v>
          </cell>
          <cell r="K399">
            <v>0</v>
          </cell>
          <cell r="L399">
            <v>0</v>
          </cell>
          <cell r="M399">
            <v>0</v>
          </cell>
          <cell r="N399">
            <v>0</v>
          </cell>
          <cell r="O399">
            <v>0</v>
          </cell>
          <cell r="P399">
            <v>0</v>
          </cell>
          <cell r="Q399">
            <v>0</v>
          </cell>
        </row>
        <row r="400">
          <cell r="A400">
            <v>57370</v>
          </cell>
          <cell r="B400" t="str">
            <v>Bonds Expense</v>
          </cell>
          <cell r="E400">
            <v>79.209999999999994</v>
          </cell>
          <cell r="F400">
            <v>79.209999999999994</v>
          </cell>
          <cell r="G400">
            <v>79.209999999999994</v>
          </cell>
          <cell r="H400">
            <v>129.57</v>
          </cell>
          <cell r="I400">
            <v>342.55</v>
          </cell>
          <cell r="J400">
            <v>129.55000000000001</v>
          </cell>
          <cell r="K400">
            <v>129.55000000000001</v>
          </cell>
          <cell r="L400">
            <v>129.55000000000001</v>
          </cell>
          <cell r="M400">
            <v>129.55000000000001</v>
          </cell>
          <cell r="N400">
            <v>129.55000000000001</v>
          </cell>
          <cell r="O400">
            <v>129.55000000000001</v>
          </cell>
          <cell r="P400">
            <v>39.549999999999997</v>
          </cell>
          <cell r="Q400">
            <v>1526.5999999999997</v>
          </cell>
        </row>
        <row r="401">
          <cell r="A401">
            <v>57900</v>
          </cell>
          <cell r="B401" t="str">
            <v>Capitalized Costs</v>
          </cell>
          <cell r="E401">
            <v>0</v>
          </cell>
          <cell r="F401">
            <v>0</v>
          </cell>
          <cell r="G401">
            <v>0</v>
          </cell>
          <cell r="H401">
            <v>0</v>
          </cell>
          <cell r="I401">
            <v>0</v>
          </cell>
          <cell r="J401">
            <v>0</v>
          </cell>
          <cell r="K401">
            <v>0</v>
          </cell>
          <cell r="L401">
            <v>0</v>
          </cell>
          <cell r="M401">
            <v>0</v>
          </cell>
          <cell r="N401">
            <v>0</v>
          </cell>
          <cell r="O401">
            <v>0</v>
          </cell>
          <cell r="P401">
            <v>0</v>
          </cell>
          <cell r="Q401">
            <v>0</v>
          </cell>
        </row>
        <row r="402">
          <cell r="A402">
            <v>57998</v>
          </cell>
          <cell r="B402" t="str">
            <v>Allocation Out - District</v>
          </cell>
          <cell r="E402">
            <v>0</v>
          </cell>
          <cell r="F402">
            <v>0</v>
          </cell>
          <cell r="G402">
            <v>0</v>
          </cell>
          <cell r="H402">
            <v>0</v>
          </cell>
          <cell r="I402">
            <v>0</v>
          </cell>
          <cell r="J402">
            <v>0</v>
          </cell>
          <cell r="K402">
            <v>0</v>
          </cell>
          <cell r="L402">
            <v>0</v>
          </cell>
          <cell r="M402">
            <v>0</v>
          </cell>
          <cell r="N402">
            <v>0</v>
          </cell>
          <cell r="O402">
            <v>0</v>
          </cell>
          <cell r="P402">
            <v>0</v>
          </cell>
          <cell r="Q402">
            <v>0</v>
          </cell>
        </row>
        <row r="403">
          <cell r="A403">
            <v>57999</v>
          </cell>
          <cell r="B403" t="str">
            <v>Allocation Out - Out District</v>
          </cell>
          <cell r="E403">
            <v>0</v>
          </cell>
          <cell r="F403">
            <v>0</v>
          </cell>
          <cell r="G403">
            <v>0</v>
          </cell>
          <cell r="H403">
            <v>0</v>
          </cell>
          <cell r="I403">
            <v>0</v>
          </cell>
          <cell r="J403">
            <v>0</v>
          </cell>
          <cell r="K403">
            <v>0</v>
          </cell>
          <cell r="L403">
            <v>0</v>
          </cell>
          <cell r="M403">
            <v>0</v>
          </cell>
          <cell r="N403">
            <v>0</v>
          </cell>
          <cell r="O403">
            <v>0</v>
          </cell>
          <cell r="P403">
            <v>0</v>
          </cell>
          <cell r="Q403">
            <v>0</v>
          </cell>
        </row>
        <row r="404">
          <cell r="A404">
            <v>70265</v>
          </cell>
          <cell r="B404" t="str">
            <v>Amortization of Long Term Contracts</v>
          </cell>
          <cell r="E404">
            <v>0</v>
          </cell>
          <cell r="F404">
            <v>0</v>
          </cell>
          <cell r="G404">
            <v>0</v>
          </cell>
          <cell r="H404">
            <v>0</v>
          </cell>
          <cell r="I404">
            <v>0</v>
          </cell>
          <cell r="J404">
            <v>0</v>
          </cell>
          <cell r="K404">
            <v>0</v>
          </cell>
          <cell r="L404">
            <v>0</v>
          </cell>
          <cell r="M404">
            <v>0</v>
          </cell>
          <cell r="N404">
            <v>0</v>
          </cell>
          <cell r="O404">
            <v>0</v>
          </cell>
          <cell r="P404">
            <v>0</v>
          </cell>
          <cell r="Q404">
            <v>0</v>
          </cell>
        </row>
        <row r="405">
          <cell r="A405">
            <v>80050</v>
          </cell>
          <cell r="B405" t="str">
            <v>Interest Expense Closure/Post Closure</v>
          </cell>
          <cell r="E405">
            <v>0</v>
          </cell>
          <cell r="F405">
            <v>0</v>
          </cell>
          <cell r="G405">
            <v>0</v>
          </cell>
          <cell r="H405">
            <v>0</v>
          </cell>
          <cell r="I405">
            <v>0</v>
          </cell>
          <cell r="J405">
            <v>0</v>
          </cell>
          <cell r="K405">
            <v>0</v>
          </cell>
          <cell r="L405">
            <v>0</v>
          </cell>
          <cell r="M405">
            <v>0</v>
          </cell>
          <cell r="N405">
            <v>0</v>
          </cell>
          <cell r="O405">
            <v>0</v>
          </cell>
          <cell r="P405">
            <v>0</v>
          </cell>
          <cell r="Q405">
            <v>0</v>
          </cell>
        </row>
        <row r="406">
          <cell r="A406" t="str">
            <v>Total Other Operating Expense</v>
          </cell>
          <cell r="E406">
            <v>14139.48</v>
          </cell>
          <cell r="F406">
            <v>10450.829999999998</v>
          </cell>
          <cell r="G406">
            <v>10425.549999999999</v>
          </cell>
          <cell r="H406">
            <v>9904.7899999999991</v>
          </cell>
          <cell r="I406">
            <v>11153.009999999998</v>
          </cell>
          <cell r="J406">
            <v>28261.679999999997</v>
          </cell>
          <cell r="K406">
            <v>12232.779999999999</v>
          </cell>
          <cell r="L406">
            <v>13621.359999999997</v>
          </cell>
          <cell r="M406">
            <v>-1519.2300000000007</v>
          </cell>
          <cell r="N406">
            <v>10972.439999999999</v>
          </cell>
          <cell r="O406">
            <v>11471.849999999999</v>
          </cell>
          <cell r="P406">
            <v>19274.88</v>
          </cell>
          <cell r="Q406">
            <v>150389.41999999998</v>
          </cell>
        </row>
        <row r="408">
          <cell r="A408" t="str">
            <v>Insurance</v>
          </cell>
        </row>
        <row r="409">
          <cell r="A409">
            <v>59148</v>
          </cell>
          <cell r="B409" t="str">
            <v>Allocation In - District</v>
          </cell>
          <cell r="E409">
            <v>0</v>
          </cell>
          <cell r="F409">
            <v>0</v>
          </cell>
          <cell r="G409">
            <v>0</v>
          </cell>
          <cell r="H409">
            <v>0</v>
          </cell>
          <cell r="I409">
            <v>0</v>
          </cell>
          <cell r="J409">
            <v>0</v>
          </cell>
          <cell r="K409">
            <v>0</v>
          </cell>
          <cell r="L409">
            <v>0</v>
          </cell>
          <cell r="M409">
            <v>0</v>
          </cell>
          <cell r="N409">
            <v>0</v>
          </cell>
          <cell r="O409">
            <v>0</v>
          </cell>
          <cell r="P409">
            <v>0</v>
          </cell>
          <cell r="Q409">
            <v>0</v>
          </cell>
        </row>
        <row r="410">
          <cell r="A410">
            <v>59149</v>
          </cell>
          <cell r="B410" t="str">
            <v>Allocation In - Out District</v>
          </cell>
          <cell r="E410">
            <v>0</v>
          </cell>
          <cell r="F410">
            <v>0</v>
          </cell>
          <cell r="G410">
            <v>0</v>
          </cell>
          <cell r="H410">
            <v>0</v>
          </cell>
          <cell r="I410">
            <v>0</v>
          </cell>
          <cell r="J410">
            <v>0</v>
          </cell>
          <cell r="K410">
            <v>0</v>
          </cell>
          <cell r="L410">
            <v>0</v>
          </cell>
          <cell r="M410">
            <v>0</v>
          </cell>
          <cell r="N410">
            <v>0</v>
          </cell>
          <cell r="O410">
            <v>0</v>
          </cell>
          <cell r="P410">
            <v>0</v>
          </cell>
          <cell r="Q410">
            <v>0</v>
          </cell>
        </row>
        <row r="411">
          <cell r="A411">
            <v>59271</v>
          </cell>
          <cell r="B411" t="str">
            <v>Property and Liability Insurance</v>
          </cell>
          <cell r="E411">
            <v>0</v>
          </cell>
          <cell r="F411">
            <v>0</v>
          </cell>
          <cell r="G411">
            <v>0</v>
          </cell>
          <cell r="H411">
            <v>0</v>
          </cell>
          <cell r="I411">
            <v>0</v>
          </cell>
          <cell r="J411">
            <v>0</v>
          </cell>
          <cell r="K411">
            <v>0</v>
          </cell>
          <cell r="L411">
            <v>0</v>
          </cell>
          <cell r="M411">
            <v>0</v>
          </cell>
          <cell r="N411">
            <v>0</v>
          </cell>
          <cell r="O411">
            <v>0</v>
          </cell>
          <cell r="P411">
            <v>0</v>
          </cell>
          <cell r="Q411">
            <v>0</v>
          </cell>
        </row>
        <row r="412">
          <cell r="A412">
            <v>59326</v>
          </cell>
          <cell r="B412" t="str">
            <v>Deductible - Current</v>
          </cell>
          <cell r="E412">
            <v>0</v>
          </cell>
          <cell r="F412">
            <v>0</v>
          </cell>
          <cell r="G412">
            <v>0</v>
          </cell>
          <cell r="H412">
            <v>0</v>
          </cell>
          <cell r="I412">
            <v>0</v>
          </cell>
          <cell r="J412">
            <v>0</v>
          </cell>
          <cell r="K412">
            <v>0</v>
          </cell>
          <cell r="L412">
            <v>0</v>
          </cell>
          <cell r="M412">
            <v>0</v>
          </cell>
          <cell r="N412">
            <v>0</v>
          </cell>
          <cell r="O412">
            <v>0</v>
          </cell>
          <cell r="P412">
            <v>0</v>
          </cell>
          <cell r="Q412">
            <v>0</v>
          </cell>
        </row>
        <row r="413">
          <cell r="A413">
            <v>59327</v>
          </cell>
          <cell r="B413" t="str">
            <v>Deductible - Damage</v>
          </cell>
          <cell r="E413">
            <v>0</v>
          </cell>
          <cell r="F413">
            <v>0</v>
          </cell>
          <cell r="G413">
            <v>0</v>
          </cell>
          <cell r="H413">
            <v>0</v>
          </cell>
          <cell r="I413">
            <v>0</v>
          </cell>
          <cell r="J413">
            <v>0</v>
          </cell>
          <cell r="K413">
            <v>0</v>
          </cell>
          <cell r="L413">
            <v>0</v>
          </cell>
          <cell r="M413">
            <v>0</v>
          </cell>
          <cell r="N413">
            <v>0</v>
          </cell>
          <cell r="O413">
            <v>0</v>
          </cell>
          <cell r="P413">
            <v>0</v>
          </cell>
          <cell r="Q413">
            <v>0</v>
          </cell>
        </row>
        <row r="414">
          <cell r="A414">
            <v>59328</v>
          </cell>
          <cell r="B414" t="str">
            <v>Claim Recoveries</v>
          </cell>
          <cell r="E414">
            <v>0</v>
          </cell>
          <cell r="F414">
            <v>0</v>
          </cell>
          <cell r="G414">
            <v>-2328.46</v>
          </cell>
          <cell r="H414">
            <v>0</v>
          </cell>
          <cell r="I414">
            <v>0</v>
          </cell>
          <cell r="J414">
            <v>0</v>
          </cell>
          <cell r="K414">
            <v>0</v>
          </cell>
          <cell r="L414">
            <v>0</v>
          </cell>
          <cell r="M414">
            <v>0</v>
          </cell>
          <cell r="N414">
            <v>0</v>
          </cell>
          <cell r="O414">
            <v>0</v>
          </cell>
          <cell r="P414">
            <v>0</v>
          </cell>
          <cell r="Q414">
            <v>-2328.46</v>
          </cell>
        </row>
        <row r="415">
          <cell r="A415">
            <v>59330</v>
          </cell>
          <cell r="B415" t="str">
            <v>Deduct - Prior Year</v>
          </cell>
          <cell r="E415">
            <v>0</v>
          </cell>
          <cell r="F415">
            <v>0</v>
          </cell>
          <cell r="G415">
            <v>0</v>
          </cell>
          <cell r="H415">
            <v>0</v>
          </cell>
          <cell r="I415">
            <v>0</v>
          </cell>
          <cell r="J415">
            <v>0</v>
          </cell>
          <cell r="K415">
            <v>0</v>
          </cell>
          <cell r="L415">
            <v>0</v>
          </cell>
          <cell r="M415">
            <v>0</v>
          </cell>
          <cell r="N415">
            <v>0</v>
          </cell>
          <cell r="O415">
            <v>0</v>
          </cell>
          <cell r="P415">
            <v>0</v>
          </cell>
          <cell r="Q415">
            <v>0</v>
          </cell>
        </row>
        <row r="416">
          <cell r="A416">
            <v>59331</v>
          </cell>
          <cell r="B416" t="str">
            <v>RM Fixed Costs</v>
          </cell>
          <cell r="E416">
            <v>0</v>
          </cell>
          <cell r="F416">
            <v>0</v>
          </cell>
          <cell r="G416">
            <v>0</v>
          </cell>
          <cell r="H416">
            <v>0</v>
          </cell>
          <cell r="I416">
            <v>0</v>
          </cell>
          <cell r="J416">
            <v>0</v>
          </cell>
          <cell r="K416">
            <v>0</v>
          </cell>
          <cell r="L416">
            <v>0</v>
          </cell>
          <cell r="M416">
            <v>0</v>
          </cell>
          <cell r="N416">
            <v>0</v>
          </cell>
          <cell r="O416">
            <v>0</v>
          </cell>
          <cell r="P416">
            <v>0</v>
          </cell>
          <cell r="Q416">
            <v>0</v>
          </cell>
        </row>
        <row r="417">
          <cell r="A417">
            <v>59340</v>
          </cell>
          <cell r="B417" t="str">
            <v>Self Insurance Premium</v>
          </cell>
          <cell r="E417">
            <v>6884.94</v>
          </cell>
          <cell r="F417">
            <v>6884.94</v>
          </cell>
          <cell r="G417">
            <v>6884.94</v>
          </cell>
          <cell r="H417">
            <v>6884.94</v>
          </cell>
          <cell r="I417">
            <v>6884.94</v>
          </cell>
          <cell r="J417">
            <v>6884.94</v>
          </cell>
          <cell r="K417">
            <v>6884.94</v>
          </cell>
          <cell r="L417">
            <v>6884.94</v>
          </cell>
          <cell r="M417">
            <v>6884.94</v>
          </cell>
          <cell r="N417">
            <v>6884.94</v>
          </cell>
          <cell r="O417">
            <v>6884.94</v>
          </cell>
          <cell r="P417">
            <v>6884.94</v>
          </cell>
          <cell r="Q417">
            <v>82619.280000000013</v>
          </cell>
        </row>
        <row r="418">
          <cell r="A418">
            <v>59341</v>
          </cell>
          <cell r="B418" t="str">
            <v>A&amp;L - Current Year Claims</v>
          </cell>
          <cell r="E418">
            <v>0</v>
          </cell>
          <cell r="F418">
            <v>0</v>
          </cell>
          <cell r="G418">
            <v>0</v>
          </cell>
          <cell r="H418">
            <v>0</v>
          </cell>
          <cell r="I418">
            <v>0</v>
          </cell>
          <cell r="J418">
            <v>0</v>
          </cell>
          <cell r="K418">
            <v>0</v>
          </cell>
          <cell r="L418">
            <v>0</v>
          </cell>
          <cell r="M418">
            <v>0</v>
          </cell>
          <cell r="N418">
            <v>0</v>
          </cell>
          <cell r="O418">
            <v>0</v>
          </cell>
          <cell r="P418">
            <v>2600</v>
          </cell>
          <cell r="Q418">
            <v>2600</v>
          </cell>
        </row>
        <row r="419">
          <cell r="A419">
            <v>59342</v>
          </cell>
          <cell r="B419" t="str">
            <v>A&amp;L - Prior Year Claims</v>
          </cell>
          <cell r="E419">
            <v>0</v>
          </cell>
          <cell r="F419">
            <v>0</v>
          </cell>
          <cell r="G419">
            <v>0</v>
          </cell>
          <cell r="H419">
            <v>0</v>
          </cell>
          <cell r="I419">
            <v>0.3</v>
          </cell>
          <cell r="J419">
            <v>-0.15</v>
          </cell>
          <cell r="K419">
            <v>1577.07</v>
          </cell>
          <cell r="L419">
            <v>0.05</v>
          </cell>
          <cell r="M419">
            <v>0</v>
          </cell>
          <cell r="N419">
            <v>0</v>
          </cell>
          <cell r="O419">
            <v>0</v>
          </cell>
          <cell r="P419">
            <v>0</v>
          </cell>
          <cell r="Q419">
            <v>1577.27</v>
          </cell>
        </row>
        <row r="420">
          <cell r="A420">
            <v>59343</v>
          </cell>
          <cell r="B420" t="str">
            <v>WC - Current Year Claims</v>
          </cell>
          <cell r="E420">
            <v>53330.6</v>
          </cell>
          <cell r="F420">
            <v>13301</v>
          </cell>
          <cell r="G420">
            <v>13532.93</v>
          </cell>
          <cell r="H420">
            <v>-35945.980000000003</v>
          </cell>
          <cell r="I420">
            <v>151.47999999999999</v>
          </cell>
          <cell r="J420">
            <v>0</v>
          </cell>
          <cell r="K420">
            <v>-5630.29</v>
          </cell>
          <cell r="L420">
            <v>19.420000000000002</v>
          </cell>
          <cell r="M420">
            <v>28.64</v>
          </cell>
          <cell r="N420">
            <v>6955.88</v>
          </cell>
          <cell r="O420">
            <v>11900</v>
          </cell>
          <cell r="P420">
            <v>2180.23</v>
          </cell>
          <cell r="Q420">
            <v>59823.909999999996</v>
          </cell>
        </row>
        <row r="421">
          <cell r="A421">
            <v>59344</v>
          </cell>
          <cell r="B421" t="str">
            <v>WC - Prior Year Claims</v>
          </cell>
          <cell r="E421">
            <v>0</v>
          </cell>
          <cell r="F421">
            <v>0</v>
          </cell>
          <cell r="G421">
            <v>0</v>
          </cell>
          <cell r="H421">
            <v>66006.16</v>
          </cell>
          <cell r="I421">
            <v>2800</v>
          </cell>
          <cell r="J421">
            <v>-3742.81</v>
          </cell>
          <cell r="K421">
            <v>36406.36</v>
          </cell>
          <cell r="L421">
            <v>0</v>
          </cell>
          <cell r="M421">
            <v>28.28</v>
          </cell>
          <cell r="N421">
            <v>4000</v>
          </cell>
          <cell r="O421">
            <v>-547</v>
          </cell>
          <cell r="P421">
            <v>12729.61</v>
          </cell>
          <cell r="Q421">
            <v>117680.6</v>
          </cell>
        </row>
        <row r="422">
          <cell r="A422">
            <v>59350</v>
          </cell>
          <cell r="B422" t="str">
            <v>Self Isurance IBNR Estimates</v>
          </cell>
          <cell r="E422">
            <v>0</v>
          </cell>
          <cell r="F422">
            <v>0</v>
          </cell>
          <cell r="G422">
            <v>0</v>
          </cell>
          <cell r="H422">
            <v>0</v>
          </cell>
          <cell r="I422">
            <v>0</v>
          </cell>
          <cell r="J422">
            <v>0</v>
          </cell>
          <cell r="K422">
            <v>0</v>
          </cell>
          <cell r="L422">
            <v>0</v>
          </cell>
          <cell r="M422">
            <v>0</v>
          </cell>
          <cell r="N422">
            <v>0</v>
          </cell>
          <cell r="O422">
            <v>0</v>
          </cell>
          <cell r="P422">
            <v>0</v>
          </cell>
          <cell r="Q422">
            <v>0</v>
          </cell>
        </row>
        <row r="423">
          <cell r="A423">
            <v>59400</v>
          </cell>
          <cell r="B423" t="str">
            <v>Damages paid by District</v>
          </cell>
          <cell r="E423">
            <v>-3539</v>
          </cell>
          <cell r="F423">
            <v>0</v>
          </cell>
          <cell r="G423">
            <v>0</v>
          </cell>
          <cell r="H423">
            <v>0</v>
          </cell>
          <cell r="I423">
            <v>0</v>
          </cell>
          <cell r="J423">
            <v>0</v>
          </cell>
          <cell r="K423">
            <v>0</v>
          </cell>
          <cell r="L423">
            <v>0</v>
          </cell>
          <cell r="M423">
            <v>0</v>
          </cell>
          <cell r="N423">
            <v>0</v>
          </cell>
          <cell r="O423">
            <v>0</v>
          </cell>
          <cell r="P423">
            <v>2099.67</v>
          </cell>
          <cell r="Q423">
            <v>-1439.33</v>
          </cell>
        </row>
        <row r="424">
          <cell r="A424">
            <v>59401</v>
          </cell>
          <cell r="B424" t="str">
            <v>Insurance claim repairs</v>
          </cell>
          <cell r="E424">
            <v>0</v>
          </cell>
          <cell r="F424">
            <v>0</v>
          </cell>
          <cell r="G424">
            <v>0</v>
          </cell>
          <cell r="H424">
            <v>0</v>
          </cell>
          <cell r="I424">
            <v>0</v>
          </cell>
          <cell r="J424">
            <v>0</v>
          </cell>
          <cell r="K424">
            <v>0</v>
          </cell>
          <cell r="L424">
            <v>0</v>
          </cell>
          <cell r="M424">
            <v>0</v>
          </cell>
          <cell r="N424">
            <v>0</v>
          </cell>
          <cell r="O424">
            <v>0</v>
          </cell>
          <cell r="P424">
            <v>0</v>
          </cell>
          <cell r="Q424">
            <v>0</v>
          </cell>
        </row>
        <row r="425">
          <cell r="A425">
            <v>59500</v>
          </cell>
          <cell r="B425" t="str">
            <v>Workers Comp Prem</v>
          </cell>
          <cell r="E425">
            <v>1104</v>
          </cell>
          <cell r="F425">
            <v>4000</v>
          </cell>
          <cell r="G425">
            <v>4000</v>
          </cell>
          <cell r="H425">
            <v>2000</v>
          </cell>
          <cell r="I425">
            <v>1000</v>
          </cell>
          <cell r="J425">
            <v>2000</v>
          </cell>
          <cell r="K425">
            <v>2000</v>
          </cell>
          <cell r="L425">
            <v>2000</v>
          </cell>
          <cell r="M425">
            <v>3000</v>
          </cell>
          <cell r="N425">
            <v>3000</v>
          </cell>
          <cell r="O425">
            <v>3000</v>
          </cell>
          <cell r="P425">
            <v>0</v>
          </cell>
          <cell r="Q425">
            <v>27104</v>
          </cell>
        </row>
        <row r="426">
          <cell r="A426">
            <v>59998</v>
          </cell>
          <cell r="B426" t="str">
            <v>Allocation Out - District</v>
          </cell>
          <cell r="E426">
            <v>0</v>
          </cell>
          <cell r="F426">
            <v>0</v>
          </cell>
          <cell r="G426">
            <v>0</v>
          </cell>
          <cell r="H426">
            <v>0</v>
          </cell>
          <cell r="I426">
            <v>0</v>
          </cell>
          <cell r="J426">
            <v>0</v>
          </cell>
          <cell r="K426">
            <v>0</v>
          </cell>
          <cell r="L426">
            <v>0</v>
          </cell>
          <cell r="M426">
            <v>0</v>
          </cell>
          <cell r="N426">
            <v>0</v>
          </cell>
          <cell r="O426">
            <v>0</v>
          </cell>
          <cell r="P426">
            <v>0</v>
          </cell>
          <cell r="Q426">
            <v>0</v>
          </cell>
        </row>
        <row r="427">
          <cell r="A427">
            <v>59999</v>
          </cell>
          <cell r="B427" t="str">
            <v>Allocation Out - Out District</v>
          </cell>
          <cell r="E427">
            <v>0</v>
          </cell>
          <cell r="F427">
            <v>0</v>
          </cell>
          <cell r="G427">
            <v>0</v>
          </cell>
          <cell r="H427">
            <v>0</v>
          </cell>
          <cell r="I427">
            <v>0</v>
          </cell>
          <cell r="J427">
            <v>0</v>
          </cell>
          <cell r="K427">
            <v>0</v>
          </cell>
          <cell r="L427">
            <v>0</v>
          </cell>
          <cell r="M427">
            <v>0</v>
          </cell>
          <cell r="N427">
            <v>0</v>
          </cell>
          <cell r="O427">
            <v>0</v>
          </cell>
          <cell r="P427">
            <v>0</v>
          </cell>
          <cell r="Q427">
            <v>0</v>
          </cell>
        </row>
        <row r="428">
          <cell r="A428" t="str">
            <v>Total Insurance</v>
          </cell>
          <cell r="E428">
            <v>57780.54</v>
          </cell>
          <cell r="F428">
            <v>24185.94</v>
          </cell>
          <cell r="G428">
            <v>22089.41</v>
          </cell>
          <cell r="H428">
            <v>38945.119999999995</v>
          </cell>
          <cell r="I428">
            <v>10836.72</v>
          </cell>
          <cell r="J428">
            <v>5141.9799999999996</v>
          </cell>
          <cell r="K428">
            <v>41238.080000000002</v>
          </cell>
          <cell r="L428">
            <v>8904.41</v>
          </cell>
          <cell r="M428">
            <v>9941.86</v>
          </cell>
          <cell r="N428">
            <v>20840.82</v>
          </cell>
          <cell r="O428">
            <v>21237.94</v>
          </cell>
          <cell r="P428">
            <v>26494.449999999997</v>
          </cell>
          <cell r="Q428">
            <v>287637.27</v>
          </cell>
        </row>
        <row r="430">
          <cell r="A430" t="str">
            <v>Disposal of Assets and Operations</v>
          </cell>
        </row>
        <row r="431">
          <cell r="A431">
            <v>72000</v>
          </cell>
          <cell r="B431" t="str">
            <v>Gain/Loss on Disposal of Operations</v>
          </cell>
          <cell r="E431">
            <v>0</v>
          </cell>
          <cell r="F431">
            <v>0</v>
          </cell>
          <cell r="G431">
            <v>0</v>
          </cell>
          <cell r="H431">
            <v>0</v>
          </cell>
          <cell r="I431">
            <v>0</v>
          </cell>
          <cell r="J431">
            <v>0</v>
          </cell>
          <cell r="K431">
            <v>0</v>
          </cell>
          <cell r="L431">
            <v>0</v>
          </cell>
          <cell r="M431">
            <v>0</v>
          </cell>
          <cell r="N431">
            <v>0</v>
          </cell>
          <cell r="O431">
            <v>0</v>
          </cell>
          <cell r="P431">
            <v>0</v>
          </cell>
          <cell r="Q431">
            <v>0</v>
          </cell>
        </row>
        <row r="432">
          <cell r="A432">
            <v>91010</v>
          </cell>
          <cell r="B432" t="str">
            <v>Gain/Loss on Sale of Asset</v>
          </cell>
          <cell r="E432">
            <v>0</v>
          </cell>
          <cell r="F432">
            <v>0</v>
          </cell>
          <cell r="G432">
            <v>0</v>
          </cell>
          <cell r="H432">
            <v>145.82</v>
          </cell>
          <cell r="I432">
            <v>0</v>
          </cell>
          <cell r="J432">
            <v>0</v>
          </cell>
          <cell r="K432">
            <v>0</v>
          </cell>
          <cell r="L432">
            <v>0</v>
          </cell>
          <cell r="M432">
            <v>0</v>
          </cell>
          <cell r="N432">
            <v>0</v>
          </cell>
          <cell r="O432">
            <v>0</v>
          </cell>
          <cell r="P432">
            <v>0</v>
          </cell>
          <cell r="Q432">
            <v>145.82</v>
          </cell>
        </row>
        <row r="433">
          <cell r="A433" t="str">
            <v>Total Disposal of Assets and Operations</v>
          </cell>
          <cell r="E433">
            <v>0</v>
          </cell>
          <cell r="F433">
            <v>0</v>
          </cell>
          <cell r="G433">
            <v>0</v>
          </cell>
          <cell r="H433">
            <v>145.82</v>
          </cell>
          <cell r="I433">
            <v>0</v>
          </cell>
          <cell r="J433">
            <v>0</v>
          </cell>
          <cell r="K433">
            <v>0</v>
          </cell>
          <cell r="L433">
            <v>0</v>
          </cell>
          <cell r="M433">
            <v>0</v>
          </cell>
          <cell r="N433">
            <v>0</v>
          </cell>
          <cell r="O433">
            <v>0</v>
          </cell>
          <cell r="P433">
            <v>0</v>
          </cell>
          <cell r="Q433">
            <v>145.82</v>
          </cell>
        </row>
        <row r="435">
          <cell r="A435" t="str">
            <v>Total Operating Costs</v>
          </cell>
          <cell r="E435">
            <v>556322.18999999994</v>
          </cell>
          <cell r="F435">
            <v>483088.13</v>
          </cell>
          <cell r="G435">
            <v>533902.79</v>
          </cell>
          <cell r="H435">
            <v>564081.47</v>
          </cell>
          <cell r="I435">
            <v>483474.26</v>
          </cell>
          <cell r="J435">
            <v>500744.69999999995</v>
          </cell>
          <cell r="K435">
            <v>514379.49999999994</v>
          </cell>
          <cell r="L435">
            <v>499533.73</v>
          </cell>
          <cell r="M435">
            <v>480587.02</v>
          </cell>
          <cell r="N435">
            <v>468427.15999999992</v>
          </cell>
          <cell r="O435">
            <v>510740</v>
          </cell>
          <cell r="P435">
            <v>507649</v>
          </cell>
          <cell r="Q435">
            <v>6102929.9500000002</v>
          </cell>
        </row>
        <row r="437">
          <cell r="A437" t="str">
            <v>Gross Profit</v>
          </cell>
          <cell r="E437">
            <v>283635.74000000011</v>
          </cell>
          <cell r="F437">
            <v>397011.87</v>
          </cell>
          <cell r="G437">
            <v>293409.25999999989</v>
          </cell>
          <cell r="H437">
            <v>295183.43000000005</v>
          </cell>
          <cell r="I437">
            <v>372092.71999999974</v>
          </cell>
          <cell r="J437">
            <v>350748.59000000008</v>
          </cell>
          <cell r="K437">
            <v>347516.12000000005</v>
          </cell>
          <cell r="L437">
            <v>388020.01</v>
          </cell>
          <cell r="M437">
            <v>377828.52</v>
          </cell>
          <cell r="N437">
            <v>382225.52999999991</v>
          </cell>
          <cell r="O437">
            <v>311431.2100000002</v>
          </cell>
          <cell r="P437">
            <v>306754.91999999981</v>
          </cell>
          <cell r="Q437">
            <v>4105857.9199999953</v>
          </cell>
        </row>
        <row r="439">
          <cell r="A439" t="str">
            <v>SG&amp;A</v>
          </cell>
        </row>
        <row r="440">
          <cell r="A440" t="str">
            <v>Sales</v>
          </cell>
        </row>
        <row r="441">
          <cell r="A441">
            <v>60010</v>
          </cell>
          <cell r="B441" t="str">
            <v>Salaries</v>
          </cell>
          <cell r="E441">
            <v>0</v>
          </cell>
          <cell r="F441">
            <v>0</v>
          </cell>
          <cell r="G441">
            <v>0</v>
          </cell>
          <cell r="H441">
            <v>0</v>
          </cell>
          <cell r="I441">
            <v>0</v>
          </cell>
          <cell r="J441">
            <v>0</v>
          </cell>
          <cell r="K441">
            <v>0</v>
          </cell>
          <cell r="L441">
            <v>0</v>
          </cell>
          <cell r="M441">
            <v>0</v>
          </cell>
          <cell r="N441">
            <v>0</v>
          </cell>
          <cell r="O441">
            <v>0</v>
          </cell>
          <cell r="P441">
            <v>0</v>
          </cell>
          <cell r="Q441">
            <v>0</v>
          </cell>
        </row>
        <row r="442">
          <cell r="A442">
            <v>60020</v>
          </cell>
          <cell r="B442" t="str">
            <v>Wages Regular</v>
          </cell>
          <cell r="E442">
            <v>0</v>
          </cell>
          <cell r="F442">
            <v>0</v>
          </cell>
          <cell r="G442">
            <v>0</v>
          </cell>
          <cell r="H442">
            <v>0</v>
          </cell>
          <cell r="I442">
            <v>0</v>
          </cell>
          <cell r="J442">
            <v>0</v>
          </cell>
          <cell r="K442">
            <v>0</v>
          </cell>
          <cell r="L442">
            <v>0</v>
          </cell>
          <cell r="M442">
            <v>0</v>
          </cell>
          <cell r="N442">
            <v>0</v>
          </cell>
          <cell r="O442">
            <v>0</v>
          </cell>
          <cell r="P442">
            <v>0</v>
          </cell>
          <cell r="Q442">
            <v>0</v>
          </cell>
        </row>
        <row r="443">
          <cell r="A443">
            <v>60025</v>
          </cell>
          <cell r="B443" t="str">
            <v>Wages O.T.</v>
          </cell>
          <cell r="E443">
            <v>0</v>
          </cell>
          <cell r="F443">
            <v>0</v>
          </cell>
          <cell r="G443">
            <v>0</v>
          </cell>
          <cell r="H443">
            <v>0</v>
          </cell>
          <cell r="I443">
            <v>0</v>
          </cell>
          <cell r="J443">
            <v>0</v>
          </cell>
          <cell r="K443">
            <v>0</v>
          </cell>
          <cell r="L443">
            <v>0</v>
          </cell>
          <cell r="M443">
            <v>0</v>
          </cell>
          <cell r="N443">
            <v>0</v>
          </cell>
          <cell r="O443">
            <v>0</v>
          </cell>
          <cell r="P443">
            <v>0</v>
          </cell>
          <cell r="Q443">
            <v>0</v>
          </cell>
        </row>
        <row r="444">
          <cell r="A444">
            <v>60030</v>
          </cell>
          <cell r="B444" t="str">
            <v>Bonuses and Commissions</v>
          </cell>
          <cell r="E444">
            <v>0</v>
          </cell>
          <cell r="F444">
            <v>0</v>
          </cell>
          <cell r="G444">
            <v>0</v>
          </cell>
          <cell r="H444">
            <v>0</v>
          </cell>
          <cell r="I444">
            <v>0</v>
          </cell>
          <cell r="J444">
            <v>0</v>
          </cell>
          <cell r="K444">
            <v>0</v>
          </cell>
          <cell r="L444">
            <v>0</v>
          </cell>
          <cell r="M444">
            <v>0</v>
          </cell>
          <cell r="N444">
            <v>0</v>
          </cell>
          <cell r="O444">
            <v>0</v>
          </cell>
          <cell r="P444">
            <v>0</v>
          </cell>
          <cell r="Q444">
            <v>0</v>
          </cell>
        </row>
        <row r="445">
          <cell r="A445">
            <v>60035</v>
          </cell>
          <cell r="B445" t="str">
            <v>Safety Bonuses</v>
          </cell>
          <cell r="E445">
            <v>0</v>
          </cell>
          <cell r="F445">
            <v>0</v>
          </cell>
          <cell r="G445">
            <v>0</v>
          </cell>
          <cell r="H445">
            <v>0</v>
          </cell>
          <cell r="I445">
            <v>0</v>
          </cell>
          <cell r="J445">
            <v>0</v>
          </cell>
          <cell r="K445">
            <v>0</v>
          </cell>
          <cell r="L445">
            <v>0</v>
          </cell>
          <cell r="M445">
            <v>0</v>
          </cell>
          <cell r="N445">
            <v>0</v>
          </cell>
          <cell r="O445">
            <v>0</v>
          </cell>
          <cell r="P445">
            <v>0</v>
          </cell>
          <cell r="Q445">
            <v>0</v>
          </cell>
        </row>
        <row r="446">
          <cell r="A446">
            <v>60037</v>
          </cell>
          <cell r="B446" t="str">
            <v>Termination Pay</v>
          </cell>
          <cell r="E446">
            <v>0</v>
          </cell>
          <cell r="F446">
            <v>0</v>
          </cell>
          <cell r="G446">
            <v>0</v>
          </cell>
          <cell r="H446">
            <v>0</v>
          </cell>
          <cell r="I446">
            <v>0</v>
          </cell>
          <cell r="J446">
            <v>0</v>
          </cell>
          <cell r="K446">
            <v>0</v>
          </cell>
          <cell r="L446">
            <v>0</v>
          </cell>
          <cell r="M446">
            <v>0</v>
          </cell>
          <cell r="N446">
            <v>0</v>
          </cell>
          <cell r="O446">
            <v>0</v>
          </cell>
          <cell r="P446">
            <v>0</v>
          </cell>
          <cell r="Q446">
            <v>0</v>
          </cell>
        </row>
        <row r="447">
          <cell r="A447">
            <v>60045</v>
          </cell>
          <cell r="B447" t="str">
            <v>Contract Labor</v>
          </cell>
          <cell r="E447">
            <v>0</v>
          </cell>
          <cell r="F447">
            <v>0</v>
          </cell>
          <cell r="G447">
            <v>0</v>
          </cell>
          <cell r="H447">
            <v>0</v>
          </cell>
          <cell r="I447">
            <v>0</v>
          </cell>
          <cell r="J447">
            <v>0</v>
          </cell>
          <cell r="K447">
            <v>0</v>
          </cell>
          <cell r="L447">
            <v>0</v>
          </cell>
          <cell r="M447">
            <v>0</v>
          </cell>
          <cell r="N447">
            <v>0</v>
          </cell>
          <cell r="O447">
            <v>0</v>
          </cell>
          <cell r="P447">
            <v>0</v>
          </cell>
          <cell r="Q447">
            <v>0</v>
          </cell>
        </row>
        <row r="448">
          <cell r="A448">
            <v>60050</v>
          </cell>
          <cell r="B448" t="str">
            <v>Payroll Taxes</v>
          </cell>
          <cell r="E448">
            <v>0</v>
          </cell>
          <cell r="F448">
            <v>0</v>
          </cell>
          <cell r="G448">
            <v>0</v>
          </cell>
          <cell r="H448">
            <v>0</v>
          </cell>
          <cell r="I448">
            <v>0</v>
          </cell>
          <cell r="J448">
            <v>0</v>
          </cell>
          <cell r="K448">
            <v>0</v>
          </cell>
          <cell r="L448">
            <v>0</v>
          </cell>
          <cell r="M448">
            <v>0</v>
          </cell>
          <cell r="N448">
            <v>0</v>
          </cell>
          <cell r="O448">
            <v>0</v>
          </cell>
          <cell r="P448">
            <v>0</v>
          </cell>
          <cell r="Q448">
            <v>0</v>
          </cell>
        </row>
        <row r="449">
          <cell r="A449">
            <v>60060</v>
          </cell>
          <cell r="B449" t="str">
            <v>Group Insurance</v>
          </cell>
          <cell r="E449">
            <v>0</v>
          </cell>
          <cell r="F449">
            <v>0</v>
          </cell>
          <cell r="G449">
            <v>0</v>
          </cell>
          <cell r="H449">
            <v>0</v>
          </cell>
          <cell r="I449">
            <v>0</v>
          </cell>
          <cell r="J449">
            <v>0</v>
          </cell>
          <cell r="K449">
            <v>0</v>
          </cell>
          <cell r="L449">
            <v>0</v>
          </cell>
          <cell r="M449">
            <v>0</v>
          </cell>
          <cell r="N449">
            <v>0</v>
          </cell>
          <cell r="O449">
            <v>0</v>
          </cell>
          <cell r="P449">
            <v>0</v>
          </cell>
          <cell r="Q449">
            <v>0</v>
          </cell>
        </row>
        <row r="450">
          <cell r="A450">
            <v>60065</v>
          </cell>
          <cell r="B450" t="str">
            <v>Vacation Pay</v>
          </cell>
          <cell r="E450">
            <v>0</v>
          </cell>
          <cell r="F450">
            <v>0</v>
          </cell>
          <cell r="G450">
            <v>0</v>
          </cell>
          <cell r="H450">
            <v>0</v>
          </cell>
          <cell r="I450">
            <v>0</v>
          </cell>
          <cell r="J450">
            <v>0</v>
          </cell>
          <cell r="K450">
            <v>0</v>
          </cell>
          <cell r="L450">
            <v>0</v>
          </cell>
          <cell r="M450">
            <v>0</v>
          </cell>
          <cell r="N450">
            <v>0</v>
          </cell>
          <cell r="O450">
            <v>0</v>
          </cell>
          <cell r="P450">
            <v>0</v>
          </cell>
          <cell r="Q450">
            <v>0</v>
          </cell>
        </row>
        <row r="451">
          <cell r="A451">
            <v>60070</v>
          </cell>
          <cell r="B451" t="str">
            <v>Sick Pay</v>
          </cell>
          <cell r="E451">
            <v>0</v>
          </cell>
          <cell r="F451">
            <v>0</v>
          </cell>
          <cell r="G451">
            <v>0</v>
          </cell>
          <cell r="H451">
            <v>0</v>
          </cell>
          <cell r="I451">
            <v>0</v>
          </cell>
          <cell r="J451">
            <v>0</v>
          </cell>
          <cell r="K451">
            <v>0</v>
          </cell>
          <cell r="L451">
            <v>0</v>
          </cell>
          <cell r="M451">
            <v>0</v>
          </cell>
          <cell r="N451">
            <v>0</v>
          </cell>
          <cell r="O451">
            <v>0</v>
          </cell>
          <cell r="P451">
            <v>0</v>
          </cell>
          <cell r="Q451">
            <v>0</v>
          </cell>
        </row>
        <row r="452">
          <cell r="A452">
            <v>60086</v>
          </cell>
          <cell r="B452" t="str">
            <v>Safety and Training</v>
          </cell>
          <cell r="E452">
            <v>0</v>
          </cell>
          <cell r="F452">
            <v>0</v>
          </cell>
          <cell r="G452">
            <v>0</v>
          </cell>
          <cell r="H452">
            <v>0</v>
          </cell>
          <cell r="I452">
            <v>0</v>
          </cell>
          <cell r="J452">
            <v>0</v>
          </cell>
          <cell r="K452">
            <v>0</v>
          </cell>
          <cell r="L452">
            <v>0</v>
          </cell>
          <cell r="M452">
            <v>0</v>
          </cell>
          <cell r="N452">
            <v>0</v>
          </cell>
          <cell r="O452">
            <v>0</v>
          </cell>
          <cell r="P452">
            <v>0</v>
          </cell>
          <cell r="Q452">
            <v>0</v>
          </cell>
        </row>
        <row r="453">
          <cell r="A453">
            <v>60095</v>
          </cell>
          <cell r="B453" t="str">
            <v>Empl &amp; Commun Activ</v>
          </cell>
          <cell r="E453">
            <v>0</v>
          </cell>
          <cell r="F453">
            <v>0</v>
          </cell>
          <cell r="G453">
            <v>0</v>
          </cell>
          <cell r="H453">
            <v>0</v>
          </cell>
          <cell r="I453">
            <v>0</v>
          </cell>
          <cell r="J453">
            <v>0</v>
          </cell>
          <cell r="K453">
            <v>0</v>
          </cell>
          <cell r="L453">
            <v>0</v>
          </cell>
          <cell r="M453">
            <v>0</v>
          </cell>
          <cell r="N453">
            <v>0</v>
          </cell>
          <cell r="O453">
            <v>0</v>
          </cell>
          <cell r="P453">
            <v>0</v>
          </cell>
          <cell r="Q453">
            <v>0</v>
          </cell>
        </row>
        <row r="454">
          <cell r="A454">
            <v>60105</v>
          </cell>
          <cell r="B454" t="str">
            <v>Employee Relocation</v>
          </cell>
          <cell r="E454">
            <v>0</v>
          </cell>
          <cell r="F454">
            <v>0</v>
          </cell>
          <cell r="G454">
            <v>0</v>
          </cell>
          <cell r="H454">
            <v>0</v>
          </cell>
          <cell r="I454">
            <v>0</v>
          </cell>
          <cell r="J454">
            <v>0</v>
          </cell>
          <cell r="K454">
            <v>0</v>
          </cell>
          <cell r="L454">
            <v>0</v>
          </cell>
          <cell r="M454">
            <v>0</v>
          </cell>
          <cell r="N454">
            <v>0</v>
          </cell>
          <cell r="O454">
            <v>0</v>
          </cell>
          <cell r="P454">
            <v>0</v>
          </cell>
          <cell r="Q454">
            <v>0</v>
          </cell>
        </row>
        <row r="455">
          <cell r="A455">
            <v>60115</v>
          </cell>
          <cell r="B455" t="str">
            <v>School Tuition</v>
          </cell>
          <cell r="E455">
            <v>0</v>
          </cell>
          <cell r="F455">
            <v>0</v>
          </cell>
          <cell r="G455">
            <v>0</v>
          </cell>
          <cell r="H455">
            <v>0</v>
          </cell>
          <cell r="I455">
            <v>0</v>
          </cell>
          <cell r="J455">
            <v>0</v>
          </cell>
          <cell r="K455">
            <v>0</v>
          </cell>
          <cell r="L455">
            <v>0</v>
          </cell>
          <cell r="M455">
            <v>0</v>
          </cell>
          <cell r="N455">
            <v>0</v>
          </cell>
          <cell r="O455">
            <v>0</v>
          </cell>
          <cell r="P455">
            <v>0</v>
          </cell>
          <cell r="Q455">
            <v>0</v>
          </cell>
        </row>
        <row r="456">
          <cell r="A456">
            <v>60116</v>
          </cell>
          <cell r="B456" t="str">
            <v>Pension and Profit Sharing</v>
          </cell>
          <cell r="E456">
            <v>0</v>
          </cell>
          <cell r="F456">
            <v>0</v>
          </cell>
          <cell r="G456">
            <v>0</v>
          </cell>
          <cell r="H456">
            <v>0</v>
          </cell>
          <cell r="I456">
            <v>0</v>
          </cell>
          <cell r="J456">
            <v>0</v>
          </cell>
          <cell r="K456">
            <v>0</v>
          </cell>
          <cell r="L456">
            <v>0</v>
          </cell>
          <cell r="M456">
            <v>0</v>
          </cell>
          <cell r="N456">
            <v>0</v>
          </cell>
          <cell r="O456">
            <v>0</v>
          </cell>
          <cell r="P456">
            <v>0</v>
          </cell>
          <cell r="Q456">
            <v>0</v>
          </cell>
        </row>
        <row r="457">
          <cell r="A457">
            <v>60117</v>
          </cell>
          <cell r="B457" t="str">
            <v>Union Pension</v>
          </cell>
          <cell r="E457">
            <v>0</v>
          </cell>
          <cell r="F457">
            <v>0</v>
          </cell>
          <cell r="G457">
            <v>0</v>
          </cell>
          <cell r="H457">
            <v>0</v>
          </cell>
          <cell r="I457">
            <v>0</v>
          </cell>
          <cell r="J457">
            <v>0</v>
          </cell>
          <cell r="K457">
            <v>0</v>
          </cell>
          <cell r="L457">
            <v>0</v>
          </cell>
          <cell r="M457">
            <v>0</v>
          </cell>
          <cell r="N457">
            <v>0</v>
          </cell>
          <cell r="O457">
            <v>0</v>
          </cell>
          <cell r="P457">
            <v>0</v>
          </cell>
          <cell r="Q457">
            <v>0</v>
          </cell>
        </row>
        <row r="458">
          <cell r="A458">
            <v>60148</v>
          </cell>
          <cell r="B458" t="str">
            <v>Allocated Exp In - District</v>
          </cell>
          <cell r="E458">
            <v>0</v>
          </cell>
          <cell r="F458">
            <v>0</v>
          </cell>
          <cell r="G458">
            <v>0</v>
          </cell>
          <cell r="H458">
            <v>0</v>
          </cell>
          <cell r="I458">
            <v>0</v>
          </cell>
          <cell r="J458">
            <v>0</v>
          </cell>
          <cell r="K458">
            <v>0</v>
          </cell>
          <cell r="L458">
            <v>0</v>
          </cell>
          <cell r="M458">
            <v>0</v>
          </cell>
          <cell r="N458">
            <v>0</v>
          </cell>
          <cell r="O458">
            <v>0</v>
          </cell>
          <cell r="P458">
            <v>0</v>
          </cell>
          <cell r="Q458">
            <v>0</v>
          </cell>
        </row>
        <row r="459">
          <cell r="A459">
            <v>60149</v>
          </cell>
          <cell r="B459" t="str">
            <v>Allocated Exp In Out - District</v>
          </cell>
          <cell r="E459">
            <v>0</v>
          </cell>
          <cell r="F459">
            <v>0</v>
          </cell>
          <cell r="G459">
            <v>0</v>
          </cell>
          <cell r="H459">
            <v>0</v>
          </cell>
          <cell r="I459">
            <v>0</v>
          </cell>
          <cell r="J459">
            <v>0</v>
          </cell>
          <cell r="K459">
            <v>0</v>
          </cell>
          <cell r="L459">
            <v>0</v>
          </cell>
          <cell r="M459">
            <v>0</v>
          </cell>
          <cell r="N459">
            <v>0</v>
          </cell>
          <cell r="O459">
            <v>0</v>
          </cell>
          <cell r="P459">
            <v>0</v>
          </cell>
          <cell r="Q459">
            <v>0</v>
          </cell>
        </row>
        <row r="460">
          <cell r="A460">
            <v>60165</v>
          </cell>
          <cell r="B460" t="str">
            <v>Communications</v>
          </cell>
          <cell r="E460">
            <v>0</v>
          </cell>
          <cell r="F460">
            <v>0</v>
          </cell>
          <cell r="G460">
            <v>0</v>
          </cell>
          <cell r="H460">
            <v>0</v>
          </cell>
          <cell r="I460">
            <v>0</v>
          </cell>
          <cell r="J460">
            <v>0</v>
          </cell>
          <cell r="K460">
            <v>0</v>
          </cell>
          <cell r="L460">
            <v>0</v>
          </cell>
          <cell r="M460">
            <v>0</v>
          </cell>
          <cell r="N460">
            <v>0</v>
          </cell>
          <cell r="O460">
            <v>0</v>
          </cell>
          <cell r="P460">
            <v>0</v>
          </cell>
          <cell r="Q460">
            <v>0</v>
          </cell>
        </row>
        <row r="461">
          <cell r="A461">
            <v>60170</v>
          </cell>
          <cell r="B461" t="str">
            <v>Real Estate Rentals</v>
          </cell>
          <cell r="E461">
            <v>0</v>
          </cell>
          <cell r="F461">
            <v>0</v>
          </cell>
          <cell r="G461">
            <v>0</v>
          </cell>
          <cell r="H461">
            <v>0</v>
          </cell>
          <cell r="I461">
            <v>0</v>
          </cell>
          <cell r="J461">
            <v>0</v>
          </cell>
          <cell r="K461">
            <v>0</v>
          </cell>
          <cell r="L461">
            <v>0</v>
          </cell>
          <cell r="M461">
            <v>0</v>
          </cell>
          <cell r="N461">
            <v>0</v>
          </cell>
          <cell r="O461">
            <v>0</v>
          </cell>
          <cell r="P461">
            <v>0</v>
          </cell>
          <cell r="Q461">
            <v>0</v>
          </cell>
        </row>
        <row r="462">
          <cell r="A462">
            <v>60175</v>
          </cell>
          <cell r="B462" t="str">
            <v>Equip/Vehicle Rental</v>
          </cell>
          <cell r="E462">
            <v>0</v>
          </cell>
          <cell r="F462">
            <v>0</v>
          </cell>
          <cell r="G462">
            <v>0</v>
          </cell>
          <cell r="H462">
            <v>0</v>
          </cell>
          <cell r="I462">
            <v>0</v>
          </cell>
          <cell r="J462">
            <v>0</v>
          </cell>
          <cell r="K462">
            <v>0</v>
          </cell>
          <cell r="L462">
            <v>0</v>
          </cell>
          <cell r="M462">
            <v>0</v>
          </cell>
          <cell r="N462">
            <v>0</v>
          </cell>
          <cell r="O462">
            <v>0</v>
          </cell>
          <cell r="P462">
            <v>0</v>
          </cell>
          <cell r="Q462">
            <v>0</v>
          </cell>
        </row>
        <row r="463">
          <cell r="A463">
            <v>60185</v>
          </cell>
          <cell r="B463" t="str">
            <v>Postage</v>
          </cell>
          <cell r="E463">
            <v>0</v>
          </cell>
          <cell r="F463">
            <v>0</v>
          </cell>
          <cell r="G463">
            <v>0</v>
          </cell>
          <cell r="H463">
            <v>0</v>
          </cell>
          <cell r="I463">
            <v>0</v>
          </cell>
          <cell r="J463">
            <v>0</v>
          </cell>
          <cell r="K463">
            <v>0</v>
          </cell>
          <cell r="L463">
            <v>0</v>
          </cell>
          <cell r="M463">
            <v>0</v>
          </cell>
          <cell r="N463">
            <v>0</v>
          </cell>
          <cell r="O463">
            <v>0</v>
          </cell>
          <cell r="P463">
            <v>0</v>
          </cell>
          <cell r="Q463">
            <v>0</v>
          </cell>
        </row>
        <row r="464">
          <cell r="A464">
            <v>60195</v>
          </cell>
          <cell r="B464" t="str">
            <v>Dues and Subscriptions</v>
          </cell>
          <cell r="E464">
            <v>0</v>
          </cell>
          <cell r="F464">
            <v>0</v>
          </cell>
          <cell r="G464">
            <v>0</v>
          </cell>
          <cell r="H464">
            <v>0</v>
          </cell>
          <cell r="I464">
            <v>0</v>
          </cell>
          <cell r="J464">
            <v>0</v>
          </cell>
          <cell r="K464">
            <v>0</v>
          </cell>
          <cell r="L464">
            <v>0</v>
          </cell>
          <cell r="M464">
            <v>0</v>
          </cell>
          <cell r="N464">
            <v>0</v>
          </cell>
          <cell r="O464">
            <v>0</v>
          </cell>
          <cell r="P464">
            <v>0</v>
          </cell>
          <cell r="Q464">
            <v>0</v>
          </cell>
        </row>
        <row r="465">
          <cell r="A465">
            <v>60196</v>
          </cell>
          <cell r="B465" t="str">
            <v>Club Dues</v>
          </cell>
          <cell r="E465">
            <v>0</v>
          </cell>
          <cell r="F465">
            <v>0</v>
          </cell>
          <cell r="G465">
            <v>0</v>
          </cell>
          <cell r="H465">
            <v>0</v>
          </cell>
          <cell r="I465">
            <v>0</v>
          </cell>
          <cell r="J465">
            <v>0</v>
          </cell>
          <cell r="K465">
            <v>0</v>
          </cell>
          <cell r="L465">
            <v>0</v>
          </cell>
          <cell r="M465">
            <v>0</v>
          </cell>
          <cell r="N465">
            <v>0</v>
          </cell>
          <cell r="O465">
            <v>0</v>
          </cell>
          <cell r="P465">
            <v>0</v>
          </cell>
          <cell r="Q465">
            <v>0</v>
          </cell>
        </row>
        <row r="466">
          <cell r="A466">
            <v>60200</v>
          </cell>
          <cell r="B466" t="str">
            <v>Travel</v>
          </cell>
          <cell r="E466">
            <v>0</v>
          </cell>
          <cell r="F466">
            <v>0</v>
          </cell>
          <cell r="G466">
            <v>0</v>
          </cell>
          <cell r="H466">
            <v>0</v>
          </cell>
          <cell r="I466">
            <v>0</v>
          </cell>
          <cell r="J466">
            <v>0</v>
          </cell>
          <cell r="K466">
            <v>0</v>
          </cell>
          <cell r="L466">
            <v>0</v>
          </cell>
          <cell r="M466">
            <v>0</v>
          </cell>
          <cell r="N466">
            <v>0</v>
          </cell>
          <cell r="O466">
            <v>0</v>
          </cell>
          <cell r="P466">
            <v>0</v>
          </cell>
          <cell r="Q466">
            <v>0</v>
          </cell>
        </row>
        <row r="467">
          <cell r="A467">
            <v>60201</v>
          </cell>
          <cell r="B467" t="str">
            <v>Entertainment</v>
          </cell>
          <cell r="E467">
            <v>0</v>
          </cell>
          <cell r="F467">
            <v>0</v>
          </cell>
          <cell r="G467">
            <v>0</v>
          </cell>
          <cell r="H467">
            <v>0</v>
          </cell>
          <cell r="I467">
            <v>0</v>
          </cell>
          <cell r="J467">
            <v>0</v>
          </cell>
          <cell r="K467">
            <v>0</v>
          </cell>
          <cell r="L467">
            <v>0</v>
          </cell>
          <cell r="M467">
            <v>0</v>
          </cell>
          <cell r="N467">
            <v>0</v>
          </cell>
          <cell r="O467">
            <v>0</v>
          </cell>
          <cell r="P467">
            <v>0</v>
          </cell>
          <cell r="Q467">
            <v>0</v>
          </cell>
        </row>
        <row r="468">
          <cell r="A468">
            <v>60205</v>
          </cell>
          <cell r="B468" t="str">
            <v>Travel - Auto</v>
          </cell>
          <cell r="E468">
            <v>0</v>
          </cell>
          <cell r="F468">
            <v>0</v>
          </cell>
          <cell r="G468">
            <v>0</v>
          </cell>
          <cell r="H468">
            <v>0</v>
          </cell>
          <cell r="I468">
            <v>0</v>
          </cell>
          <cell r="J468">
            <v>0</v>
          </cell>
          <cell r="K468">
            <v>0</v>
          </cell>
          <cell r="L468">
            <v>0</v>
          </cell>
          <cell r="M468">
            <v>0</v>
          </cell>
          <cell r="N468">
            <v>0</v>
          </cell>
          <cell r="O468">
            <v>0</v>
          </cell>
          <cell r="P468">
            <v>0</v>
          </cell>
          <cell r="Q468">
            <v>0</v>
          </cell>
        </row>
        <row r="469">
          <cell r="A469">
            <v>60210</v>
          </cell>
          <cell r="B469" t="str">
            <v>Office Supplies and Equip</v>
          </cell>
          <cell r="E469">
            <v>0</v>
          </cell>
          <cell r="F469">
            <v>0</v>
          </cell>
          <cell r="G469">
            <v>0</v>
          </cell>
          <cell r="H469">
            <v>0</v>
          </cell>
          <cell r="I469">
            <v>0</v>
          </cell>
          <cell r="J469">
            <v>0</v>
          </cell>
          <cell r="K469">
            <v>0</v>
          </cell>
          <cell r="L469">
            <v>0</v>
          </cell>
          <cell r="M469">
            <v>0</v>
          </cell>
          <cell r="N469">
            <v>0</v>
          </cell>
          <cell r="O469">
            <v>0</v>
          </cell>
          <cell r="P469">
            <v>0</v>
          </cell>
          <cell r="Q469">
            <v>0</v>
          </cell>
        </row>
        <row r="470">
          <cell r="A470">
            <v>60225</v>
          </cell>
          <cell r="B470" t="str">
            <v>Advertising and Promotions</v>
          </cell>
          <cell r="E470">
            <v>0</v>
          </cell>
          <cell r="F470">
            <v>0</v>
          </cell>
          <cell r="G470">
            <v>0</v>
          </cell>
          <cell r="H470">
            <v>0</v>
          </cell>
          <cell r="I470">
            <v>0</v>
          </cell>
          <cell r="J470">
            <v>0</v>
          </cell>
          <cell r="K470">
            <v>0</v>
          </cell>
          <cell r="L470">
            <v>0</v>
          </cell>
          <cell r="M470">
            <v>0</v>
          </cell>
          <cell r="N470">
            <v>0</v>
          </cell>
          <cell r="O470">
            <v>0</v>
          </cell>
          <cell r="P470">
            <v>3237.6</v>
          </cell>
          <cell r="Q470">
            <v>3237.6</v>
          </cell>
        </row>
        <row r="471">
          <cell r="A471">
            <v>60234</v>
          </cell>
          <cell r="B471" t="str">
            <v>O/S Sales Exp</v>
          </cell>
          <cell r="E471">
            <v>0</v>
          </cell>
          <cell r="F471">
            <v>0</v>
          </cell>
          <cell r="G471">
            <v>0</v>
          </cell>
          <cell r="H471">
            <v>0</v>
          </cell>
          <cell r="I471">
            <v>0</v>
          </cell>
          <cell r="J471">
            <v>0</v>
          </cell>
          <cell r="K471">
            <v>0</v>
          </cell>
          <cell r="L471">
            <v>0</v>
          </cell>
          <cell r="M471">
            <v>0</v>
          </cell>
          <cell r="N471">
            <v>0</v>
          </cell>
          <cell r="O471">
            <v>0</v>
          </cell>
          <cell r="P471">
            <v>0</v>
          </cell>
          <cell r="Q471">
            <v>0</v>
          </cell>
        </row>
        <row r="472">
          <cell r="A472">
            <v>60255</v>
          </cell>
          <cell r="B472" t="str">
            <v>Other Prof Fees</v>
          </cell>
          <cell r="E472">
            <v>0</v>
          </cell>
          <cell r="F472">
            <v>0</v>
          </cell>
          <cell r="G472">
            <v>0</v>
          </cell>
          <cell r="H472">
            <v>0</v>
          </cell>
          <cell r="I472">
            <v>0</v>
          </cell>
          <cell r="J472">
            <v>0</v>
          </cell>
          <cell r="K472">
            <v>0</v>
          </cell>
          <cell r="L472">
            <v>0</v>
          </cell>
          <cell r="M472">
            <v>0</v>
          </cell>
          <cell r="N472">
            <v>0</v>
          </cell>
          <cell r="O472">
            <v>0</v>
          </cell>
          <cell r="P472">
            <v>0</v>
          </cell>
          <cell r="Q472">
            <v>0</v>
          </cell>
        </row>
        <row r="473">
          <cell r="A473">
            <v>60326</v>
          </cell>
          <cell r="B473" t="str">
            <v>Deduct - Current Yr</v>
          </cell>
          <cell r="E473">
            <v>0</v>
          </cell>
          <cell r="F473">
            <v>0</v>
          </cell>
          <cell r="G473">
            <v>0</v>
          </cell>
          <cell r="H473">
            <v>0</v>
          </cell>
          <cell r="I473">
            <v>0</v>
          </cell>
          <cell r="J473">
            <v>0</v>
          </cell>
          <cell r="K473">
            <v>0</v>
          </cell>
          <cell r="L473">
            <v>0</v>
          </cell>
          <cell r="M473">
            <v>0</v>
          </cell>
          <cell r="N473">
            <v>0</v>
          </cell>
          <cell r="O473">
            <v>0</v>
          </cell>
          <cell r="P473">
            <v>0</v>
          </cell>
          <cell r="Q473">
            <v>0</v>
          </cell>
        </row>
        <row r="474">
          <cell r="A474">
            <v>60327</v>
          </cell>
          <cell r="B474" t="str">
            <v>Deduct - Damage</v>
          </cell>
          <cell r="E474">
            <v>0</v>
          </cell>
          <cell r="F474">
            <v>0</v>
          </cell>
          <cell r="G474">
            <v>0</v>
          </cell>
          <cell r="H474">
            <v>0</v>
          </cell>
          <cell r="I474">
            <v>0</v>
          </cell>
          <cell r="J474">
            <v>0</v>
          </cell>
          <cell r="K474">
            <v>0</v>
          </cell>
          <cell r="L474">
            <v>0</v>
          </cell>
          <cell r="M474">
            <v>0</v>
          </cell>
          <cell r="N474">
            <v>0</v>
          </cell>
          <cell r="O474">
            <v>0</v>
          </cell>
          <cell r="P474">
            <v>0</v>
          </cell>
          <cell r="Q474">
            <v>0</v>
          </cell>
        </row>
        <row r="475">
          <cell r="A475">
            <v>60328</v>
          </cell>
          <cell r="B475" t="str">
            <v>Claim Recoveries</v>
          </cell>
          <cell r="E475">
            <v>0</v>
          </cell>
          <cell r="F475">
            <v>0</v>
          </cell>
          <cell r="G475">
            <v>0</v>
          </cell>
          <cell r="H475">
            <v>0</v>
          </cell>
          <cell r="I475">
            <v>0</v>
          </cell>
          <cell r="J475">
            <v>0</v>
          </cell>
          <cell r="K475">
            <v>0</v>
          </cell>
          <cell r="L475">
            <v>0</v>
          </cell>
          <cell r="M475">
            <v>0</v>
          </cell>
          <cell r="N475">
            <v>0</v>
          </cell>
          <cell r="O475">
            <v>0</v>
          </cell>
          <cell r="P475">
            <v>0</v>
          </cell>
          <cell r="Q475">
            <v>0</v>
          </cell>
        </row>
        <row r="476">
          <cell r="A476">
            <v>60330</v>
          </cell>
          <cell r="B476" t="str">
            <v>Deduct Prior Year</v>
          </cell>
          <cell r="E476">
            <v>0</v>
          </cell>
          <cell r="F476">
            <v>0</v>
          </cell>
          <cell r="G476">
            <v>0</v>
          </cell>
          <cell r="H476">
            <v>0</v>
          </cell>
          <cell r="I476">
            <v>0</v>
          </cell>
          <cell r="J476">
            <v>0</v>
          </cell>
          <cell r="K476">
            <v>0</v>
          </cell>
          <cell r="L476">
            <v>0</v>
          </cell>
          <cell r="M476">
            <v>0</v>
          </cell>
          <cell r="N476">
            <v>0</v>
          </cell>
          <cell r="O476">
            <v>0</v>
          </cell>
          <cell r="P476">
            <v>0</v>
          </cell>
          <cell r="Q476">
            <v>0</v>
          </cell>
        </row>
        <row r="477">
          <cell r="A477">
            <v>60335</v>
          </cell>
          <cell r="B477" t="str">
            <v>Miscellaneous</v>
          </cell>
          <cell r="E477">
            <v>0</v>
          </cell>
          <cell r="F477">
            <v>0</v>
          </cell>
          <cell r="G477">
            <v>0</v>
          </cell>
          <cell r="H477">
            <v>0</v>
          </cell>
          <cell r="I477">
            <v>0</v>
          </cell>
          <cell r="J477">
            <v>0</v>
          </cell>
          <cell r="K477">
            <v>0</v>
          </cell>
          <cell r="L477">
            <v>0</v>
          </cell>
          <cell r="M477">
            <v>0</v>
          </cell>
          <cell r="N477">
            <v>0</v>
          </cell>
          <cell r="O477">
            <v>0</v>
          </cell>
          <cell r="P477">
            <v>0</v>
          </cell>
          <cell r="Q477">
            <v>0</v>
          </cell>
        </row>
        <row r="478">
          <cell r="A478">
            <v>60998</v>
          </cell>
          <cell r="B478" t="str">
            <v>Allocation Out - District</v>
          </cell>
          <cell r="E478">
            <v>0</v>
          </cell>
          <cell r="F478">
            <v>0</v>
          </cell>
          <cell r="G478">
            <v>0</v>
          </cell>
          <cell r="H478">
            <v>0</v>
          </cell>
          <cell r="I478">
            <v>0</v>
          </cell>
          <cell r="J478">
            <v>0</v>
          </cell>
          <cell r="K478">
            <v>0</v>
          </cell>
          <cell r="L478">
            <v>0</v>
          </cell>
          <cell r="M478">
            <v>0</v>
          </cell>
          <cell r="N478">
            <v>0</v>
          </cell>
          <cell r="O478">
            <v>0</v>
          </cell>
          <cell r="P478">
            <v>0</v>
          </cell>
          <cell r="Q478">
            <v>0</v>
          </cell>
        </row>
        <row r="479">
          <cell r="A479">
            <v>60999</v>
          </cell>
          <cell r="B479" t="str">
            <v>Allocation Out - Out District</v>
          </cell>
          <cell r="E479">
            <v>0</v>
          </cell>
          <cell r="F479">
            <v>0</v>
          </cell>
          <cell r="G479">
            <v>0</v>
          </cell>
          <cell r="H479">
            <v>0</v>
          </cell>
          <cell r="I479">
            <v>0</v>
          </cell>
          <cell r="J479">
            <v>0</v>
          </cell>
          <cell r="K479">
            <v>0</v>
          </cell>
          <cell r="L479">
            <v>0</v>
          </cell>
          <cell r="M479">
            <v>0</v>
          </cell>
          <cell r="N479">
            <v>0</v>
          </cell>
          <cell r="O479">
            <v>0</v>
          </cell>
          <cell r="P479">
            <v>0</v>
          </cell>
          <cell r="Q479">
            <v>0</v>
          </cell>
        </row>
        <row r="480">
          <cell r="A480" t="str">
            <v>Total Sales</v>
          </cell>
          <cell r="E480">
            <v>0</v>
          </cell>
          <cell r="F480">
            <v>0</v>
          </cell>
          <cell r="G480">
            <v>0</v>
          </cell>
          <cell r="H480">
            <v>0</v>
          </cell>
          <cell r="I480">
            <v>0</v>
          </cell>
          <cell r="J480">
            <v>0</v>
          </cell>
          <cell r="K480">
            <v>0</v>
          </cell>
          <cell r="L480">
            <v>0</v>
          </cell>
          <cell r="M480">
            <v>0</v>
          </cell>
          <cell r="N480">
            <v>0</v>
          </cell>
          <cell r="O480">
            <v>0</v>
          </cell>
          <cell r="P480">
            <v>3237.6</v>
          </cell>
          <cell r="Q480">
            <v>3237.6</v>
          </cell>
        </row>
        <row r="482">
          <cell r="A482" t="str">
            <v>G&amp;A</v>
          </cell>
        </row>
        <row r="483">
          <cell r="A483">
            <v>70010</v>
          </cell>
          <cell r="B483" t="str">
            <v>Salaries</v>
          </cell>
          <cell r="E483">
            <v>28808.37</v>
          </cell>
          <cell r="F483">
            <v>29237.93</v>
          </cell>
          <cell r="G483">
            <v>34055.660000000003</v>
          </cell>
          <cell r="H483">
            <v>32303.54</v>
          </cell>
          <cell r="I483">
            <v>32394.99</v>
          </cell>
          <cell r="J483">
            <v>34374</v>
          </cell>
          <cell r="K483">
            <v>35547.46</v>
          </cell>
          <cell r="L483">
            <v>34794.910000000003</v>
          </cell>
          <cell r="M483">
            <v>35448.120000000003</v>
          </cell>
          <cell r="N483">
            <v>34195.99</v>
          </cell>
          <cell r="O483">
            <v>35269.089999999997</v>
          </cell>
          <cell r="P483">
            <v>37099.64</v>
          </cell>
          <cell r="Q483">
            <v>403529.69999999995</v>
          </cell>
        </row>
        <row r="484">
          <cell r="A484">
            <v>70015</v>
          </cell>
          <cell r="B484" t="str">
            <v>Deferred Comp Earnings</v>
          </cell>
          <cell r="E484">
            <v>0</v>
          </cell>
          <cell r="F484">
            <v>0</v>
          </cell>
          <cell r="G484">
            <v>0</v>
          </cell>
          <cell r="H484">
            <v>0</v>
          </cell>
          <cell r="I484">
            <v>0</v>
          </cell>
          <cell r="J484">
            <v>0</v>
          </cell>
          <cell r="K484">
            <v>0</v>
          </cell>
          <cell r="L484">
            <v>0</v>
          </cell>
          <cell r="M484">
            <v>0</v>
          </cell>
          <cell r="N484">
            <v>0</v>
          </cell>
          <cell r="O484">
            <v>0</v>
          </cell>
          <cell r="P484">
            <v>0</v>
          </cell>
          <cell r="Q484">
            <v>0</v>
          </cell>
        </row>
        <row r="485">
          <cell r="A485">
            <v>70020</v>
          </cell>
          <cell r="B485" t="str">
            <v>Wages Regular</v>
          </cell>
          <cell r="E485">
            <v>28572.240000000002</v>
          </cell>
          <cell r="F485">
            <v>30096.06</v>
          </cell>
          <cell r="G485">
            <v>32883.68</v>
          </cell>
          <cell r="H485">
            <v>33553.279999999999</v>
          </cell>
          <cell r="I485">
            <v>27323.32</v>
          </cell>
          <cell r="J485">
            <v>31281.360000000001</v>
          </cell>
          <cell r="K485">
            <v>28636.82</v>
          </cell>
          <cell r="L485">
            <v>32591.07</v>
          </cell>
          <cell r="M485">
            <v>25152.99</v>
          </cell>
          <cell r="N485">
            <v>26476.49</v>
          </cell>
          <cell r="O485">
            <v>29556.5</v>
          </cell>
          <cell r="P485">
            <v>26409.97</v>
          </cell>
          <cell r="Q485">
            <v>352533.78</v>
          </cell>
        </row>
        <row r="486">
          <cell r="A486">
            <v>70025</v>
          </cell>
          <cell r="B486" t="str">
            <v>Wages O.T.</v>
          </cell>
          <cell r="E486">
            <v>1534.05</v>
          </cell>
          <cell r="F486">
            <v>1546.14</v>
          </cell>
          <cell r="G486">
            <v>1142.1400000000001</v>
          </cell>
          <cell r="H486">
            <v>1991.39</v>
          </cell>
          <cell r="I486">
            <v>1423.14</v>
          </cell>
          <cell r="J486">
            <v>1581.5</v>
          </cell>
          <cell r="K486">
            <v>577.54</v>
          </cell>
          <cell r="L486">
            <v>3583.2</v>
          </cell>
          <cell r="M486">
            <v>1079.97</v>
          </cell>
          <cell r="N486">
            <v>1516.27</v>
          </cell>
          <cell r="O486">
            <v>2000.96</v>
          </cell>
          <cell r="P486">
            <v>1477.46</v>
          </cell>
          <cell r="Q486">
            <v>19453.760000000002</v>
          </cell>
        </row>
        <row r="487">
          <cell r="A487">
            <v>70030</v>
          </cell>
          <cell r="B487" t="str">
            <v>Corp Allocated Bonus</v>
          </cell>
          <cell r="E487">
            <v>0</v>
          </cell>
          <cell r="F487">
            <v>0</v>
          </cell>
          <cell r="G487">
            <v>0</v>
          </cell>
          <cell r="H487">
            <v>0</v>
          </cell>
          <cell r="I487">
            <v>0</v>
          </cell>
          <cell r="J487">
            <v>0</v>
          </cell>
          <cell r="K487">
            <v>0</v>
          </cell>
          <cell r="L487">
            <v>0</v>
          </cell>
          <cell r="M487">
            <v>0</v>
          </cell>
          <cell r="N487">
            <v>0</v>
          </cell>
          <cell r="O487">
            <v>0</v>
          </cell>
          <cell r="P487">
            <v>0</v>
          </cell>
          <cell r="Q487">
            <v>0</v>
          </cell>
        </row>
        <row r="488">
          <cell r="A488">
            <v>70035</v>
          </cell>
          <cell r="B488" t="str">
            <v>Safety Bonuses</v>
          </cell>
          <cell r="E488">
            <v>0</v>
          </cell>
          <cell r="F488">
            <v>0</v>
          </cell>
          <cell r="G488">
            <v>0</v>
          </cell>
          <cell r="H488">
            <v>0</v>
          </cell>
          <cell r="I488">
            <v>0</v>
          </cell>
          <cell r="J488">
            <v>0</v>
          </cell>
          <cell r="K488">
            <v>0</v>
          </cell>
          <cell r="L488">
            <v>0</v>
          </cell>
          <cell r="M488">
            <v>0</v>
          </cell>
          <cell r="N488">
            <v>0</v>
          </cell>
          <cell r="O488">
            <v>0</v>
          </cell>
          <cell r="P488">
            <v>0</v>
          </cell>
          <cell r="Q488">
            <v>0</v>
          </cell>
        </row>
        <row r="489">
          <cell r="A489">
            <v>70036</v>
          </cell>
          <cell r="B489" t="str">
            <v>Other Bonus/Commission - Non-Safety</v>
          </cell>
          <cell r="E489">
            <v>1075</v>
          </cell>
          <cell r="F489">
            <v>1675</v>
          </cell>
          <cell r="G489">
            <v>7455.5</v>
          </cell>
          <cell r="H489">
            <v>3066.38</v>
          </cell>
          <cell r="I489">
            <v>1438.95</v>
          </cell>
          <cell r="J489">
            <v>3016.36</v>
          </cell>
          <cell r="K489">
            <v>2625</v>
          </cell>
          <cell r="L489">
            <v>2678.43</v>
          </cell>
          <cell r="M489">
            <v>2913.79</v>
          </cell>
          <cell r="N489">
            <v>1746.4</v>
          </cell>
          <cell r="O489">
            <v>2652.32</v>
          </cell>
          <cell r="P489">
            <v>5362.05</v>
          </cell>
          <cell r="Q489">
            <v>35705.180000000008</v>
          </cell>
        </row>
        <row r="490">
          <cell r="A490">
            <v>70037</v>
          </cell>
          <cell r="B490" t="str">
            <v>Termination Pay</v>
          </cell>
          <cell r="E490">
            <v>0</v>
          </cell>
          <cell r="F490">
            <v>0</v>
          </cell>
          <cell r="G490">
            <v>0</v>
          </cell>
          <cell r="H490">
            <v>0</v>
          </cell>
          <cell r="I490">
            <v>0</v>
          </cell>
          <cell r="J490">
            <v>0</v>
          </cell>
          <cell r="K490">
            <v>0</v>
          </cell>
          <cell r="L490">
            <v>0</v>
          </cell>
          <cell r="M490">
            <v>0</v>
          </cell>
          <cell r="N490">
            <v>0</v>
          </cell>
          <cell r="O490">
            <v>0</v>
          </cell>
          <cell r="P490">
            <v>0</v>
          </cell>
          <cell r="Q490">
            <v>0</v>
          </cell>
        </row>
        <row r="491">
          <cell r="A491">
            <v>70045</v>
          </cell>
          <cell r="B491" t="str">
            <v>Contract Labor</v>
          </cell>
          <cell r="E491">
            <v>0</v>
          </cell>
          <cell r="F491">
            <v>0</v>
          </cell>
          <cell r="G491">
            <v>0</v>
          </cell>
          <cell r="H491">
            <v>0</v>
          </cell>
          <cell r="I491">
            <v>0</v>
          </cell>
          <cell r="J491">
            <v>0</v>
          </cell>
          <cell r="K491">
            <v>0</v>
          </cell>
          <cell r="L491">
            <v>0</v>
          </cell>
          <cell r="M491">
            <v>0</v>
          </cell>
          <cell r="N491">
            <v>0</v>
          </cell>
          <cell r="O491">
            <v>0</v>
          </cell>
          <cell r="P491">
            <v>0</v>
          </cell>
          <cell r="Q491">
            <v>0</v>
          </cell>
        </row>
        <row r="492">
          <cell r="A492">
            <v>70050</v>
          </cell>
          <cell r="B492" t="str">
            <v>Payroll Taxes</v>
          </cell>
          <cell r="E492">
            <v>7335.33</v>
          </cell>
          <cell r="F492">
            <v>5253.85</v>
          </cell>
          <cell r="G492">
            <v>6887.21</v>
          </cell>
          <cell r="H492">
            <v>5839.13</v>
          </cell>
          <cell r="I492">
            <v>4643.53</v>
          </cell>
          <cell r="J492">
            <v>5669.76</v>
          </cell>
          <cell r="K492">
            <v>4555.33</v>
          </cell>
          <cell r="L492">
            <v>5742.05</v>
          </cell>
          <cell r="M492">
            <v>4517.6899999999996</v>
          </cell>
          <cell r="N492">
            <v>4408.2</v>
          </cell>
          <cell r="O492">
            <v>4942.4399999999996</v>
          </cell>
          <cell r="P492">
            <v>5199.09</v>
          </cell>
          <cell r="Q492">
            <v>64993.61</v>
          </cell>
        </row>
        <row r="493">
          <cell r="A493">
            <v>70060</v>
          </cell>
          <cell r="B493" t="str">
            <v>Group Insurance</v>
          </cell>
          <cell r="E493">
            <v>11410.52</v>
          </cell>
          <cell r="F493">
            <v>11524.58</v>
          </cell>
          <cell r="G493">
            <v>10554.24</v>
          </cell>
          <cell r="H493">
            <v>13084.2</v>
          </cell>
          <cell r="I493">
            <v>12115.75</v>
          </cell>
          <cell r="J493">
            <v>12494.37</v>
          </cell>
          <cell r="K493">
            <v>12559.75</v>
          </cell>
          <cell r="L493">
            <v>12415.93</v>
          </cell>
          <cell r="M493">
            <v>11362.28</v>
          </cell>
          <cell r="N493">
            <v>13749.11</v>
          </cell>
          <cell r="O493">
            <v>12593.52</v>
          </cell>
          <cell r="P493">
            <v>12600.59</v>
          </cell>
          <cell r="Q493">
            <v>146464.84</v>
          </cell>
        </row>
        <row r="494">
          <cell r="A494">
            <v>70065</v>
          </cell>
          <cell r="B494" t="str">
            <v>Vacation Pay</v>
          </cell>
          <cell r="E494">
            <v>1582.88</v>
          </cell>
          <cell r="F494">
            <v>4413.99</v>
          </cell>
          <cell r="G494">
            <v>48.78</v>
          </cell>
          <cell r="H494">
            <v>2185.79</v>
          </cell>
          <cell r="I494">
            <v>4000.59</v>
          </cell>
          <cell r="J494">
            <v>-891.88</v>
          </cell>
          <cell r="K494">
            <v>4756.8500000000004</v>
          </cell>
          <cell r="L494">
            <v>2920.08</v>
          </cell>
          <cell r="M494">
            <v>4784.29</v>
          </cell>
          <cell r="N494">
            <v>3124.36</v>
          </cell>
          <cell r="O494">
            <v>2610.1999999999998</v>
          </cell>
          <cell r="P494">
            <v>4173.68</v>
          </cell>
          <cell r="Q494">
            <v>33709.61</v>
          </cell>
        </row>
        <row r="495">
          <cell r="A495">
            <v>70070</v>
          </cell>
          <cell r="B495" t="str">
            <v>Sick Pay</v>
          </cell>
          <cell r="E495">
            <v>396.68</v>
          </cell>
          <cell r="F495">
            <v>680.36</v>
          </cell>
          <cell r="G495">
            <v>1133.57</v>
          </cell>
          <cell r="H495">
            <v>674.93</v>
          </cell>
          <cell r="I495">
            <v>892.47</v>
          </cell>
          <cell r="J495">
            <v>554.58000000000004</v>
          </cell>
          <cell r="K495">
            <v>198.93</v>
          </cell>
          <cell r="L495">
            <v>122.21</v>
          </cell>
          <cell r="M495">
            <v>727.21</v>
          </cell>
          <cell r="N495">
            <v>366.82</v>
          </cell>
          <cell r="O495">
            <v>768.29</v>
          </cell>
          <cell r="P495">
            <v>121.28</v>
          </cell>
          <cell r="Q495">
            <v>6637.329999999999</v>
          </cell>
        </row>
        <row r="496">
          <cell r="A496">
            <v>70086</v>
          </cell>
          <cell r="B496" t="str">
            <v>Safety and Training</v>
          </cell>
          <cell r="E496">
            <v>14.8</v>
          </cell>
          <cell r="F496">
            <v>0</v>
          </cell>
          <cell r="G496">
            <v>0</v>
          </cell>
          <cell r="H496">
            <v>0</v>
          </cell>
          <cell r="I496">
            <v>0</v>
          </cell>
          <cell r="J496">
            <v>35.6</v>
          </cell>
          <cell r="K496">
            <v>0</v>
          </cell>
          <cell r="L496">
            <v>70</v>
          </cell>
          <cell r="M496">
            <v>0</v>
          </cell>
          <cell r="N496">
            <v>0</v>
          </cell>
          <cell r="O496">
            <v>0</v>
          </cell>
          <cell r="P496">
            <v>0</v>
          </cell>
          <cell r="Q496">
            <v>120.4</v>
          </cell>
        </row>
        <row r="497">
          <cell r="A497">
            <v>70090</v>
          </cell>
          <cell r="B497" t="str">
            <v>WCN Training</v>
          </cell>
          <cell r="E497">
            <v>0</v>
          </cell>
          <cell r="F497">
            <v>0</v>
          </cell>
          <cell r="G497">
            <v>0</v>
          </cell>
          <cell r="H497">
            <v>0</v>
          </cell>
          <cell r="I497">
            <v>0</v>
          </cell>
          <cell r="J497">
            <v>0</v>
          </cell>
          <cell r="K497">
            <v>0</v>
          </cell>
          <cell r="L497">
            <v>0</v>
          </cell>
          <cell r="M497">
            <v>0</v>
          </cell>
          <cell r="N497">
            <v>708.81</v>
          </cell>
          <cell r="O497">
            <v>-708.81</v>
          </cell>
          <cell r="P497">
            <v>0</v>
          </cell>
          <cell r="Q497">
            <v>0</v>
          </cell>
        </row>
        <row r="498">
          <cell r="A498">
            <v>70095</v>
          </cell>
          <cell r="B498" t="str">
            <v>Empl &amp; Commun Activ</v>
          </cell>
          <cell r="E498">
            <v>16986.41</v>
          </cell>
          <cell r="F498">
            <v>158.86000000000001</v>
          </cell>
          <cell r="G498">
            <v>1019.92</v>
          </cell>
          <cell r="H498">
            <v>210.51</v>
          </cell>
          <cell r="I498">
            <v>1580.13</v>
          </cell>
          <cell r="J498">
            <v>4162.7</v>
          </cell>
          <cell r="K498">
            <v>660.39</v>
          </cell>
          <cell r="L498">
            <v>2656.19</v>
          </cell>
          <cell r="M498">
            <v>517.80999999999995</v>
          </cell>
          <cell r="N498">
            <v>54.01</v>
          </cell>
          <cell r="O498">
            <v>1519.35</v>
          </cell>
          <cell r="P498">
            <v>3351.61</v>
          </cell>
          <cell r="Q498">
            <v>32877.889999999992</v>
          </cell>
        </row>
        <row r="499">
          <cell r="A499">
            <v>70105</v>
          </cell>
          <cell r="B499" t="str">
            <v>Employee Relocation</v>
          </cell>
          <cell r="E499">
            <v>381.64</v>
          </cell>
          <cell r="F499">
            <v>381.64</v>
          </cell>
          <cell r="G499">
            <v>381.64</v>
          </cell>
          <cell r="H499">
            <v>381.64</v>
          </cell>
          <cell r="I499">
            <v>381.64</v>
          </cell>
          <cell r="J499">
            <v>381.64</v>
          </cell>
          <cell r="K499">
            <v>381.64</v>
          </cell>
          <cell r="L499">
            <v>381.64</v>
          </cell>
          <cell r="M499">
            <v>381.64</v>
          </cell>
          <cell r="N499">
            <v>381.64</v>
          </cell>
          <cell r="O499">
            <v>381.64</v>
          </cell>
          <cell r="P499">
            <v>381.64</v>
          </cell>
          <cell r="Q499">
            <v>4579.6799999999994</v>
          </cell>
        </row>
        <row r="500">
          <cell r="A500">
            <v>70107</v>
          </cell>
          <cell r="B500" t="str">
            <v>Housing Subsidy</v>
          </cell>
          <cell r="E500">
            <v>0</v>
          </cell>
          <cell r="F500">
            <v>0</v>
          </cell>
          <cell r="G500">
            <v>0</v>
          </cell>
          <cell r="H500">
            <v>0</v>
          </cell>
          <cell r="I500">
            <v>0</v>
          </cell>
          <cell r="J500">
            <v>0</v>
          </cell>
          <cell r="K500">
            <v>0</v>
          </cell>
          <cell r="L500">
            <v>0</v>
          </cell>
          <cell r="M500">
            <v>0</v>
          </cell>
          <cell r="N500">
            <v>0</v>
          </cell>
          <cell r="O500">
            <v>0</v>
          </cell>
          <cell r="P500">
            <v>0</v>
          </cell>
          <cell r="Q500">
            <v>0</v>
          </cell>
        </row>
        <row r="501">
          <cell r="A501">
            <v>70108</v>
          </cell>
          <cell r="B501" t="str">
            <v>School Tuition</v>
          </cell>
          <cell r="E501">
            <v>0</v>
          </cell>
          <cell r="F501">
            <v>0</v>
          </cell>
          <cell r="G501">
            <v>0</v>
          </cell>
          <cell r="H501">
            <v>0</v>
          </cell>
          <cell r="I501">
            <v>0</v>
          </cell>
          <cell r="J501">
            <v>0</v>
          </cell>
          <cell r="K501">
            <v>0</v>
          </cell>
          <cell r="L501">
            <v>0</v>
          </cell>
          <cell r="M501">
            <v>0</v>
          </cell>
          <cell r="N501">
            <v>0</v>
          </cell>
          <cell r="O501">
            <v>0</v>
          </cell>
          <cell r="P501">
            <v>0</v>
          </cell>
          <cell r="Q501">
            <v>0</v>
          </cell>
        </row>
        <row r="502">
          <cell r="A502">
            <v>70110</v>
          </cell>
          <cell r="B502" t="str">
            <v>Contributions</v>
          </cell>
          <cell r="E502">
            <v>312.5</v>
          </cell>
          <cell r="F502">
            <v>5000</v>
          </cell>
          <cell r="G502">
            <v>0</v>
          </cell>
          <cell r="H502">
            <v>0</v>
          </cell>
          <cell r="I502">
            <v>0</v>
          </cell>
          <cell r="J502">
            <v>0</v>
          </cell>
          <cell r="K502">
            <v>1308.46</v>
          </cell>
          <cell r="L502">
            <v>0</v>
          </cell>
          <cell r="M502">
            <v>250</v>
          </cell>
          <cell r="N502">
            <v>0</v>
          </cell>
          <cell r="O502">
            <v>0</v>
          </cell>
          <cell r="P502">
            <v>0</v>
          </cell>
          <cell r="Q502">
            <v>6870.96</v>
          </cell>
        </row>
        <row r="503">
          <cell r="A503">
            <v>70111</v>
          </cell>
          <cell r="B503" t="str">
            <v>Non Cash Charitable</v>
          </cell>
          <cell r="E503">
            <v>0</v>
          </cell>
          <cell r="F503">
            <v>0</v>
          </cell>
          <cell r="G503">
            <v>0</v>
          </cell>
          <cell r="H503">
            <v>0</v>
          </cell>
          <cell r="I503">
            <v>0</v>
          </cell>
          <cell r="J503">
            <v>0</v>
          </cell>
          <cell r="K503">
            <v>0</v>
          </cell>
          <cell r="L503">
            <v>0</v>
          </cell>
          <cell r="M503">
            <v>0</v>
          </cell>
          <cell r="N503">
            <v>0</v>
          </cell>
          <cell r="O503">
            <v>0</v>
          </cell>
          <cell r="P503">
            <v>0</v>
          </cell>
          <cell r="Q503">
            <v>0</v>
          </cell>
        </row>
        <row r="504">
          <cell r="A504">
            <v>70112</v>
          </cell>
          <cell r="B504" t="str">
            <v>Political Contributions</v>
          </cell>
          <cell r="E504">
            <v>0</v>
          </cell>
          <cell r="F504">
            <v>0</v>
          </cell>
          <cell r="G504">
            <v>0</v>
          </cell>
          <cell r="H504">
            <v>0</v>
          </cell>
          <cell r="I504">
            <v>0</v>
          </cell>
          <cell r="J504">
            <v>0</v>
          </cell>
          <cell r="K504">
            <v>0</v>
          </cell>
          <cell r="L504">
            <v>0</v>
          </cell>
          <cell r="M504">
            <v>0</v>
          </cell>
          <cell r="N504">
            <v>0</v>
          </cell>
          <cell r="O504">
            <v>0</v>
          </cell>
          <cell r="P504">
            <v>0</v>
          </cell>
          <cell r="Q504">
            <v>0</v>
          </cell>
        </row>
        <row r="505">
          <cell r="A505">
            <v>70116</v>
          </cell>
          <cell r="B505" t="str">
            <v>Pension and Profit Sharing</v>
          </cell>
          <cell r="E505">
            <v>775.31</v>
          </cell>
          <cell r="F505">
            <v>784.92</v>
          </cell>
          <cell r="G505">
            <v>1191.3900000000001</v>
          </cell>
          <cell r="H505">
            <v>882.19</v>
          </cell>
          <cell r="I505">
            <v>848.69</v>
          </cell>
          <cell r="J505">
            <v>942.95</v>
          </cell>
          <cell r="K505">
            <v>949.67</v>
          </cell>
          <cell r="L505">
            <v>1042.08</v>
          </cell>
          <cell r="M505">
            <v>979.97</v>
          </cell>
          <cell r="N505">
            <v>1418.44</v>
          </cell>
          <cell r="O505">
            <v>969.88</v>
          </cell>
          <cell r="P505">
            <v>1066.9100000000001</v>
          </cell>
          <cell r="Q505">
            <v>11852.4</v>
          </cell>
        </row>
        <row r="506">
          <cell r="A506">
            <v>70117</v>
          </cell>
          <cell r="B506" t="str">
            <v>Union Pension</v>
          </cell>
          <cell r="E506">
            <v>0</v>
          </cell>
          <cell r="F506">
            <v>0</v>
          </cell>
          <cell r="G506">
            <v>0</v>
          </cell>
          <cell r="H506">
            <v>0</v>
          </cell>
          <cell r="I506">
            <v>0</v>
          </cell>
          <cell r="J506">
            <v>0</v>
          </cell>
          <cell r="K506">
            <v>0</v>
          </cell>
          <cell r="L506">
            <v>0</v>
          </cell>
          <cell r="M506">
            <v>0</v>
          </cell>
          <cell r="N506">
            <v>0</v>
          </cell>
          <cell r="O506">
            <v>0</v>
          </cell>
          <cell r="P506">
            <v>0</v>
          </cell>
          <cell r="Q506">
            <v>0</v>
          </cell>
        </row>
        <row r="507">
          <cell r="A507">
            <v>70142</v>
          </cell>
          <cell r="B507" t="str">
            <v>Fuel Expense</v>
          </cell>
          <cell r="E507">
            <v>0</v>
          </cell>
          <cell r="F507">
            <v>0</v>
          </cell>
          <cell r="G507">
            <v>0</v>
          </cell>
          <cell r="H507">
            <v>0</v>
          </cell>
          <cell r="I507">
            <v>0</v>
          </cell>
          <cell r="J507">
            <v>0</v>
          </cell>
          <cell r="K507">
            <v>0</v>
          </cell>
          <cell r="L507">
            <v>0</v>
          </cell>
          <cell r="M507">
            <v>0</v>
          </cell>
          <cell r="N507">
            <v>0</v>
          </cell>
          <cell r="O507">
            <v>0</v>
          </cell>
          <cell r="P507">
            <v>0</v>
          </cell>
          <cell r="Q507">
            <v>0</v>
          </cell>
        </row>
        <row r="508">
          <cell r="A508">
            <v>70145</v>
          </cell>
          <cell r="B508" t="str">
            <v>Outside Repairs</v>
          </cell>
          <cell r="E508">
            <v>0</v>
          </cell>
          <cell r="F508">
            <v>0</v>
          </cell>
          <cell r="G508">
            <v>0</v>
          </cell>
          <cell r="H508">
            <v>0</v>
          </cell>
          <cell r="I508">
            <v>0</v>
          </cell>
          <cell r="J508">
            <v>0</v>
          </cell>
          <cell r="K508">
            <v>0</v>
          </cell>
          <cell r="L508">
            <v>0</v>
          </cell>
          <cell r="M508">
            <v>0</v>
          </cell>
          <cell r="N508">
            <v>0</v>
          </cell>
          <cell r="O508">
            <v>0</v>
          </cell>
          <cell r="P508">
            <v>0</v>
          </cell>
          <cell r="Q508">
            <v>0</v>
          </cell>
        </row>
        <row r="509">
          <cell r="A509">
            <v>70147</v>
          </cell>
          <cell r="B509" t="str">
            <v>Bldg &amp; Property Maint</v>
          </cell>
          <cell r="E509">
            <v>0</v>
          </cell>
          <cell r="F509">
            <v>0</v>
          </cell>
          <cell r="G509">
            <v>0</v>
          </cell>
          <cell r="H509">
            <v>0</v>
          </cell>
          <cell r="I509">
            <v>0</v>
          </cell>
          <cell r="J509">
            <v>0</v>
          </cell>
          <cell r="K509">
            <v>0</v>
          </cell>
          <cell r="L509">
            <v>0</v>
          </cell>
          <cell r="M509">
            <v>0</v>
          </cell>
          <cell r="N509">
            <v>0</v>
          </cell>
          <cell r="O509">
            <v>0</v>
          </cell>
          <cell r="P509">
            <v>0</v>
          </cell>
          <cell r="Q509">
            <v>0</v>
          </cell>
        </row>
        <row r="510">
          <cell r="A510">
            <v>70148</v>
          </cell>
          <cell r="B510" t="str">
            <v>Allocated Exp In - District</v>
          </cell>
          <cell r="E510">
            <v>2932.61</v>
          </cell>
          <cell r="F510">
            <v>3215.3</v>
          </cell>
          <cell r="G510">
            <v>3962.99</v>
          </cell>
          <cell r="H510">
            <v>2924.73</v>
          </cell>
          <cell r="I510">
            <v>1275.23</v>
          </cell>
          <cell r="J510">
            <v>4265.58</v>
          </cell>
          <cell r="K510">
            <v>8940.42</v>
          </cell>
          <cell r="L510">
            <v>7247.4</v>
          </cell>
          <cell r="M510">
            <v>-383</v>
          </cell>
          <cell r="N510">
            <v>2709.33</v>
          </cell>
          <cell r="O510">
            <v>3459.2</v>
          </cell>
          <cell r="P510">
            <v>2793.15</v>
          </cell>
          <cell r="Q510">
            <v>43342.94</v>
          </cell>
        </row>
        <row r="511">
          <cell r="A511">
            <v>70150</v>
          </cell>
          <cell r="B511" t="str">
            <v>Utilities</v>
          </cell>
          <cell r="E511">
            <v>380.73</v>
          </cell>
          <cell r="F511">
            <v>364.13</v>
          </cell>
          <cell r="G511">
            <v>364.19</v>
          </cell>
          <cell r="H511">
            <v>352.07</v>
          </cell>
          <cell r="I511">
            <v>323.74</v>
          </cell>
          <cell r="J511">
            <v>309.05</v>
          </cell>
          <cell r="K511">
            <v>1116.01</v>
          </cell>
          <cell r="L511">
            <v>325.92</v>
          </cell>
          <cell r="M511">
            <v>289.63</v>
          </cell>
          <cell r="N511">
            <v>300.67</v>
          </cell>
          <cell r="O511">
            <v>324.64999999999998</v>
          </cell>
          <cell r="P511">
            <v>559.65</v>
          </cell>
          <cell r="Q511">
            <v>5010.4399999999996</v>
          </cell>
        </row>
        <row r="512">
          <cell r="A512">
            <v>70165</v>
          </cell>
          <cell r="B512" t="str">
            <v>Communications</v>
          </cell>
          <cell r="E512">
            <v>471.39</v>
          </cell>
          <cell r="F512">
            <v>299.95</v>
          </cell>
          <cell r="G512">
            <v>548.38</v>
          </cell>
          <cell r="H512">
            <v>403.25</v>
          </cell>
          <cell r="I512">
            <v>472.01</v>
          </cell>
          <cell r="J512">
            <v>532</v>
          </cell>
          <cell r="K512">
            <v>463.52</v>
          </cell>
          <cell r="L512">
            <v>1173.68</v>
          </cell>
          <cell r="M512">
            <v>539.39</v>
          </cell>
          <cell r="N512">
            <v>124.82</v>
          </cell>
          <cell r="O512">
            <v>370.1</v>
          </cell>
          <cell r="P512">
            <v>2409.2399999999998</v>
          </cell>
          <cell r="Q512">
            <v>7807.73</v>
          </cell>
        </row>
        <row r="513">
          <cell r="A513">
            <v>70166</v>
          </cell>
          <cell r="B513" t="str">
            <v>Office Telephone</v>
          </cell>
          <cell r="E513">
            <v>0</v>
          </cell>
          <cell r="F513">
            <v>0</v>
          </cell>
          <cell r="G513">
            <v>0</v>
          </cell>
          <cell r="H513">
            <v>0</v>
          </cell>
          <cell r="I513">
            <v>0</v>
          </cell>
          <cell r="J513">
            <v>0</v>
          </cell>
          <cell r="K513">
            <v>0</v>
          </cell>
          <cell r="L513">
            <v>0</v>
          </cell>
          <cell r="M513">
            <v>0</v>
          </cell>
          <cell r="N513">
            <v>0</v>
          </cell>
          <cell r="O513">
            <v>0</v>
          </cell>
          <cell r="P513">
            <v>0</v>
          </cell>
          <cell r="Q513">
            <v>0</v>
          </cell>
        </row>
        <row r="514">
          <cell r="A514">
            <v>70167</v>
          </cell>
          <cell r="B514" t="str">
            <v>Cellular Telephone</v>
          </cell>
          <cell r="E514">
            <v>18.989999999999998</v>
          </cell>
          <cell r="F514">
            <v>62.24</v>
          </cell>
          <cell r="G514">
            <v>118.47</v>
          </cell>
          <cell r="H514">
            <v>68.52</v>
          </cell>
          <cell r="I514">
            <v>56.02</v>
          </cell>
          <cell r="J514">
            <v>68.52</v>
          </cell>
          <cell r="K514">
            <v>118.98</v>
          </cell>
          <cell r="L514">
            <v>62.5</v>
          </cell>
          <cell r="M514">
            <v>25</v>
          </cell>
          <cell r="N514">
            <v>-73.709999999999994</v>
          </cell>
          <cell r="O514">
            <v>223.71</v>
          </cell>
          <cell r="P514">
            <v>50</v>
          </cell>
          <cell r="Q514">
            <v>799.24</v>
          </cell>
        </row>
        <row r="515">
          <cell r="A515">
            <v>70170</v>
          </cell>
          <cell r="B515" t="str">
            <v>Real Estate Rentals</v>
          </cell>
          <cell r="E515">
            <v>0</v>
          </cell>
          <cell r="F515">
            <v>0</v>
          </cell>
          <cell r="G515">
            <v>0</v>
          </cell>
          <cell r="H515">
            <v>0</v>
          </cell>
          <cell r="I515">
            <v>0</v>
          </cell>
          <cell r="J515">
            <v>0</v>
          </cell>
          <cell r="K515">
            <v>0</v>
          </cell>
          <cell r="L515">
            <v>0</v>
          </cell>
          <cell r="M515">
            <v>0</v>
          </cell>
          <cell r="N515">
            <v>0</v>
          </cell>
          <cell r="O515">
            <v>0</v>
          </cell>
          <cell r="P515">
            <v>3168.8</v>
          </cell>
          <cell r="Q515">
            <v>3168.8</v>
          </cell>
        </row>
        <row r="516">
          <cell r="A516">
            <v>70175</v>
          </cell>
          <cell r="B516" t="str">
            <v>Equip/Vehicle Rental</v>
          </cell>
          <cell r="E516">
            <v>0</v>
          </cell>
          <cell r="F516">
            <v>0</v>
          </cell>
          <cell r="G516">
            <v>0</v>
          </cell>
          <cell r="H516">
            <v>0</v>
          </cell>
          <cell r="I516">
            <v>0</v>
          </cell>
          <cell r="J516">
            <v>0</v>
          </cell>
          <cell r="K516">
            <v>0</v>
          </cell>
          <cell r="L516">
            <v>0</v>
          </cell>
          <cell r="M516">
            <v>0</v>
          </cell>
          <cell r="N516">
            <v>0</v>
          </cell>
          <cell r="O516">
            <v>0</v>
          </cell>
          <cell r="P516">
            <v>0</v>
          </cell>
          <cell r="Q516">
            <v>0</v>
          </cell>
        </row>
        <row r="517">
          <cell r="A517">
            <v>70185</v>
          </cell>
          <cell r="B517" t="str">
            <v>Postage</v>
          </cell>
          <cell r="E517">
            <v>554.46</v>
          </cell>
          <cell r="F517">
            <v>488.09</v>
          </cell>
          <cell r="G517">
            <v>167.53</v>
          </cell>
          <cell r="H517">
            <v>594.19000000000005</v>
          </cell>
          <cell r="I517">
            <v>578.76</v>
          </cell>
          <cell r="J517">
            <v>533.45000000000005</v>
          </cell>
          <cell r="K517">
            <v>916.47</v>
          </cell>
          <cell r="L517">
            <v>529.91</v>
          </cell>
          <cell r="M517">
            <v>533.41</v>
          </cell>
          <cell r="N517">
            <v>625</v>
          </cell>
          <cell r="O517">
            <v>547.6</v>
          </cell>
          <cell r="P517">
            <v>547.17999999999995</v>
          </cell>
          <cell r="Q517">
            <v>6616.05</v>
          </cell>
        </row>
        <row r="518">
          <cell r="A518">
            <v>70190</v>
          </cell>
          <cell r="B518" t="str">
            <v>Registration Fees</v>
          </cell>
          <cell r="E518">
            <v>0</v>
          </cell>
          <cell r="F518">
            <v>0</v>
          </cell>
          <cell r="G518">
            <v>0</v>
          </cell>
          <cell r="H518">
            <v>0</v>
          </cell>
          <cell r="I518">
            <v>0</v>
          </cell>
          <cell r="J518">
            <v>0</v>
          </cell>
          <cell r="K518">
            <v>0</v>
          </cell>
          <cell r="L518">
            <v>0</v>
          </cell>
          <cell r="M518">
            <v>0</v>
          </cell>
          <cell r="N518">
            <v>0</v>
          </cell>
          <cell r="O518">
            <v>0</v>
          </cell>
          <cell r="P518">
            <v>0</v>
          </cell>
          <cell r="Q518">
            <v>0</v>
          </cell>
        </row>
        <row r="519">
          <cell r="A519">
            <v>70195</v>
          </cell>
          <cell r="B519" t="str">
            <v>Dues and Subscriptions</v>
          </cell>
          <cell r="E519">
            <v>913</v>
          </cell>
          <cell r="F519">
            <v>1939.67</v>
          </cell>
          <cell r="G519">
            <v>663</v>
          </cell>
          <cell r="H519">
            <v>2175.4699999999998</v>
          </cell>
          <cell r="I519">
            <v>775.41</v>
          </cell>
          <cell r="J519">
            <v>1375.47</v>
          </cell>
          <cell r="K519">
            <v>833</v>
          </cell>
          <cell r="L519">
            <v>2029.58</v>
          </cell>
          <cell r="M519">
            <v>672.93</v>
          </cell>
          <cell r="N519">
            <v>1244.56</v>
          </cell>
          <cell r="O519">
            <v>2034.76</v>
          </cell>
          <cell r="P519">
            <v>974.76</v>
          </cell>
          <cell r="Q519">
            <v>15631.61</v>
          </cell>
        </row>
        <row r="520">
          <cell r="A520">
            <v>70196</v>
          </cell>
          <cell r="B520" t="str">
            <v>Club Dues</v>
          </cell>
          <cell r="E520">
            <v>0</v>
          </cell>
          <cell r="F520">
            <v>0</v>
          </cell>
          <cell r="G520">
            <v>0</v>
          </cell>
          <cell r="H520">
            <v>0</v>
          </cell>
          <cell r="I520">
            <v>0</v>
          </cell>
          <cell r="J520">
            <v>0</v>
          </cell>
          <cell r="K520">
            <v>0</v>
          </cell>
          <cell r="L520">
            <v>0</v>
          </cell>
          <cell r="M520">
            <v>0</v>
          </cell>
          <cell r="N520">
            <v>0</v>
          </cell>
          <cell r="O520">
            <v>0</v>
          </cell>
          <cell r="P520">
            <v>0</v>
          </cell>
          <cell r="Q520">
            <v>0</v>
          </cell>
        </row>
        <row r="521">
          <cell r="A521">
            <v>70200</v>
          </cell>
          <cell r="B521" t="str">
            <v>Travel</v>
          </cell>
          <cell r="E521">
            <v>284.18</v>
          </cell>
          <cell r="F521">
            <v>570.14</v>
          </cell>
          <cell r="G521">
            <v>-220.29</v>
          </cell>
          <cell r="H521">
            <v>1900</v>
          </cell>
          <cell r="I521">
            <v>-1665.7</v>
          </cell>
          <cell r="J521">
            <v>263.64999999999998</v>
          </cell>
          <cell r="K521">
            <v>203.4</v>
          </cell>
          <cell r="L521">
            <v>-15.5</v>
          </cell>
          <cell r="M521">
            <v>340.62</v>
          </cell>
          <cell r="N521">
            <v>348.94</v>
          </cell>
          <cell r="O521">
            <v>14.75</v>
          </cell>
          <cell r="P521">
            <v>68.2</v>
          </cell>
          <cell r="Q521">
            <v>2092.3899999999994</v>
          </cell>
        </row>
        <row r="522">
          <cell r="A522">
            <v>70201</v>
          </cell>
          <cell r="B522" t="str">
            <v>Entertainment</v>
          </cell>
          <cell r="E522">
            <v>0</v>
          </cell>
          <cell r="F522">
            <v>7.85</v>
          </cell>
          <cell r="G522">
            <v>137.01</v>
          </cell>
          <cell r="H522">
            <v>-29.88</v>
          </cell>
          <cell r="I522">
            <v>73.069999999999993</v>
          </cell>
          <cell r="J522">
            <v>428.59</v>
          </cell>
          <cell r="K522">
            <v>-290.98</v>
          </cell>
          <cell r="L522">
            <v>540.96</v>
          </cell>
          <cell r="M522">
            <v>-468.86</v>
          </cell>
          <cell r="N522">
            <v>13.96</v>
          </cell>
          <cell r="O522">
            <v>0</v>
          </cell>
          <cell r="P522">
            <v>0</v>
          </cell>
          <cell r="Q522">
            <v>411.71999999999997</v>
          </cell>
        </row>
        <row r="523">
          <cell r="A523">
            <v>70202</v>
          </cell>
          <cell r="B523" t="str">
            <v>Excursions Meetings</v>
          </cell>
          <cell r="E523">
            <v>0</v>
          </cell>
          <cell r="F523">
            <v>115.17</v>
          </cell>
          <cell r="G523">
            <v>0</v>
          </cell>
          <cell r="H523">
            <v>0</v>
          </cell>
          <cell r="I523">
            <v>0</v>
          </cell>
          <cell r="J523">
            <v>416.25</v>
          </cell>
          <cell r="K523">
            <v>0</v>
          </cell>
          <cell r="L523">
            <v>0</v>
          </cell>
          <cell r="M523">
            <v>0</v>
          </cell>
          <cell r="N523">
            <v>46.73</v>
          </cell>
          <cell r="O523">
            <v>-46.73</v>
          </cell>
          <cell r="P523">
            <v>0</v>
          </cell>
          <cell r="Q523">
            <v>531.41999999999996</v>
          </cell>
        </row>
        <row r="524">
          <cell r="A524">
            <v>70203</v>
          </cell>
          <cell r="B524" t="str">
            <v>Lodging</v>
          </cell>
          <cell r="E524">
            <v>-462.54</v>
          </cell>
          <cell r="F524">
            <v>0</v>
          </cell>
          <cell r="G524">
            <v>0</v>
          </cell>
          <cell r="H524">
            <v>326.7</v>
          </cell>
          <cell r="I524">
            <v>193</v>
          </cell>
          <cell r="J524">
            <v>436.86</v>
          </cell>
          <cell r="K524">
            <v>-170.97</v>
          </cell>
          <cell r="L524">
            <v>841.43</v>
          </cell>
          <cell r="M524">
            <v>127.5</v>
          </cell>
          <cell r="N524">
            <v>159.44</v>
          </cell>
          <cell r="O524">
            <v>-28.18</v>
          </cell>
          <cell r="P524">
            <v>171.48</v>
          </cell>
          <cell r="Q524">
            <v>1594.72</v>
          </cell>
        </row>
        <row r="525">
          <cell r="A525">
            <v>70204</v>
          </cell>
          <cell r="B525" t="str">
            <v>Gifts to Customers</v>
          </cell>
          <cell r="E525">
            <v>0</v>
          </cell>
          <cell r="F525">
            <v>0</v>
          </cell>
          <cell r="G525">
            <v>0</v>
          </cell>
          <cell r="H525">
            <v>0</v>
          </cell>
          <cell r="I525">
            <v>0</v>
          </cell>
          <cell r="J525">
            <v>0</v>
          </cell>
          <cell r="K525">
            <v>0</v>
          </cell>
          <cell r="L525">
            <v>0</v>
          </cell>
          <cell r="M525">
            <v>0</v>
          </cell>
          <cell r="N525">
            <v>0</v>
          </cell>
          <cell r="O525">
            <v>0</v>
          </cell>
          <cell r="P525">
            <v>0</v>
          </cell>
          <cell r="Q525">
            <v>0</v>
          </cell>
        </row>
        <row r="526">
          <cell r="A526">
            <v>70205</v>
          </cell>
          <cell r="B526" t="str">
            <v>Travel - Auto</v>
          </cell>
          <cell r="E526">
            <v>45.73</v>
          </cell>
          <cell r="F526">
            <v>-10.71</v>
          </cell>
          <cell r="G526">
            <v>526.05999999999995</v>
          </cell>
          <cell r="H526">
            <v>861.17</v>
          </cell>
          <cell r="I526">
            <v>156.44999999999999</v>
          </cell>
          <cell r="J526">
            <v>24.24</v>
          </cell>
          <cell r="K526">
            <v>2459.6</v>
          </cell>
          <cell r="L526">
            <v>-623.04</v>
          </cell>
          <cell r="M526">
            <v>1397.2</v>
          </cell>
          <cell r="N526">
            <v>-382.55</v>
          </cell>
          <cell r="O526">
            <v>-70.31</v>
          </cell>
          <cell r="P526">
            <v>-1079.19</v>
          </cell>
          <cell r="Q526">
            <v>3304.6499999999992</v>
          </cell>
        </row>
        <row r="527">
          <cell r="A527">
            <v>70206</v>
          </cell>
          <cell r="B527" t="str">
            <v>Meals</v>
          </cell>
          <cell r="E527">
            <v>-77.31</v>
          </cell>
          <cell r="F527">
            <v>17.46</v>
          </cell>
          <cell r="G527">
            <v>200.29</v>
          </cell>
          <cell r="H527">
            <v>-74.84</v>
          </cell>
          <cell r="I527">
            <v>191.59</v>
          </cell>
          <cell r="J527">
            <v>1.26</v>
          </cell>
          <cell r="K527">
            <v>-7.59</v>
          </cell>
          <cell r="L527">
            <v>350.62</v>
          </cell>
          <cell r="M527">
            <v>-21.04</v>
          </cell>
          <cell r="N527">
            <v>31.96</v>
          </cell>
          <cell r="O527">
            <v>562.61</v>
          </cell>
          <cell r="P527">
            <v>262.97000000000003</v>
          </cell>
          <cell r="Q527">
            <v>1437.9800000000002</v>
          </cell>
        </row>
        <row r="528">
          <cell r="A528">
            <v>70207</v>
          </cell>
          <cell r="B528" t="str">
            <v>Meals with Customers</v>
          </cell>
          <cell r="E528">
            <v>0</v>
          </cell>
          <cell r="F528">
            <v>0</v>
          </cell>
          <cell r="G528">
            <v>0</v>
          </cell>
          <cell r="H528">
            <v>0</v>
          </cell>
          <cell r="I528">
            <v>0</v>
          </cell>
          <cell r="J528">
            <v>0</v>
          </cell>
          <cell r="K528">
            <v>0</v>
          </cell>
          <cell r="L528">
            <v>0</v>
          </cell>
          <cell r="M528">
            <v>0</v>
          </cell>
          <cell r="N528">
            <v>0</v>
          </cell>
          <cell r="O528">
            <v>0</v>
          </cell>
          <cell r="P528">
            <v>0</v>
          </cell>
          <cell r="Q528">
            <v>0</v>
          </cell>
        </row>
        <row r="529">
          <cell r="A529">
            <v>70209</v>
          </cell>
          <cell r="B529" t="str">
            <v>Photo Supplies</v>
          </cell>
          <cell r="E529">
            <v>0</v>
          </cell>
          <cell r="F529">
            <v>0</v>
          </cell>
          <cell r="G529">
            <v>0</v>
          </cell>
          <cell r="H529">
            <v>0</v>
          </cell>
          <cell r="I529">
            <v>0</v>
          </cell>
          <cell r="J529">
            <v>0</v>
          </cell>
          <cell r="K529">
            <v>0</v>
          </cell>
          <cell r="L529">
            <v>0</v>
          </cell>
          <cell r="M529">
            <v>0</v>
          </cell>
          <cell r="N529">
            <v>0</v>
          </cell>
          <cell r="O529">
            <v>0</v>
          </cell>
          <cell r="P529">
            <v>0</v>
          </cell>
          <cell r="Q529">
            <v>0</v>
          </cell>
        </row>
        <row r="530">
          <cell r="A530">
            <v>70210</v>
          </cell>
          <cell r="B530" t="str">
            <v>Office Supplies and Equip</v>
          </cell>
          <cell r="E530">
            <v>5866.86</v>
          </cell>
          <cell r="F530">
            <v>2088.08</v>
          </cell>
          <cell r="G530">
            <v>1297.8399999999999</v>
          </cell>
          <cell r="H530">
            <v>1260.67</v>
          </cell>
          <cell r="I530">
            <v>1042.3699999999999</v>
          </cell>
          <cell r="J530">
            <v>1576.14</v>
          </cell>
          <cell r="K530">
            <v>1736.71</v>
          </cell>
          <cell r="L530">
            <v>1305.27</v>
          </cell>
          <cell r="M530">
            <v>1356.75</v>
          </cell>
          <cell r="N530">
            <v>4188.3100000000004</v>
          </cell>
          <cell r="O530">
            <v>352.32</v>
          </cell>
          <cell r="P530">
            <v>2617.98</v>
          </cell>
          <cell r="Q530">
            <v>24689.3</v>
          </cell>
        </row>
        <row r="531">
          <cell r="A531">
            <v>70213</v>
          </cell>
          <cell r="B531" t="str">
            <v>Pcard Rebate</v>
          </cell>
          <cell r="C531">
            <v>0</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row>
        <row r="532">
          <cell r="A532">
            <v>70214</v>
          </cell>
          <cell r="B532" t="str">
            <v>Credit Card Fees</v>
          </cell>
          <cell r="E532">
            <v>2484.66</v>
          </cell>
          <cell r="F532">
            <v>2690.82</v>
          </cell>
          <cell r="G532">
            <v>2823.76</v>
          </cell>
          <cell r="H532">
            <v>2495.84</v>
          </cell>
          <cell r="I532">
            <v>2467.4499999999998</v>
          </cell>
          <cell r="J532">
            <v>2868.03</v>
          </cell>
          <cell r="K532">
            <v>2914.02</v>
          </cell>
          <cell r="L532">
            <v>3099.61</v>
          </cell>
          <cell r="M532">
            <v>3243.81</v>
          </cell>
          <cell r="N532">
            <v>129.69</v>
          </cell>
          <cell r="O532">
            <v>6329.67</v>
          </cell>
          <cell r="P532">
            <v>3002.76</v>
          </cell>
          <cell r="Q532">
            <v>34550.120000000003</v>
          </cell>
        </row>
        <row r="533">
          <cell r="A533">
            <v>70215</v>
          </cell>
          <cell r="B533" t="str">
            <v>Bank Charges</v>
          </cell>
          <cell r="E533">
            <v>146.88</v>
          </cell>
          <cell r="F533">
            <v>148.75</v>
          </cell>
          <cell r="G533">
            <v>150.41999999999999</v>
          </cell>
          <cell r="H533">
            <v>150.63</v>
          </cell>
          <cell r="I533">
            <v>131.56</v>
          </cell>
          <cell r="J533">
            <v>137.5</v>
          </cell>
          <cell r="K533">
            <v>0</v>
          </cell>
          <cell r="L533">
            <v>129.06</v>
          </cell>
          <cell r="M533">
            <v>133.75</v>
          </cell>
          <cell r="N533">
            <v>0</v>
          </cell>
          <cell r="O533">
            <v>264.07</v>
          </cell>
          <cell r="P533">
            <v>18.73</v>
          </cell>
          <cell r="Q533">
            <v>1411.35</v>
          </cell>
        </row>
        <row r="534">
          <cell r="A534">
            <v>70216</v>
          </cell>
          <cell r="B534" t="str">
            <v>Outside Storages</v>
          </cell>
          <cell r="E534">
            <v>0</v>
          </cell>
          <cell r="F534">
            <v>0</v>
          </cell>
          <cell r="G534">
            <v>0</v>
          </cell>
          <cell r="H534">
            <v>0</v>
          </cell>
          <cell r="I534">
            <v>0</v>
          </cell>
          <cell r="J534">
            <v>0</v>
          </cell>
          <cell r="K534">
            <v>0</v>
          </cell>
          <cell r="L534">
            <v>0</v>
          </cell>
          <cell r="M534">
            <v>0</v>
          </cell>
          <cell r="N534">
            <v>0</v>
          </cell>
          <cell r="O534">
            <v>0</v>
          </cell>
          <cell r="P534">
            <v>0</v>
          </cell>
          <cell r="Q534">
            <v>0</v>
          </cell>
        </row>
        <row r="535">
          <cell r="A535">
            <v>70217</v>
          </cell>
          <cell r="B535" t="str">
            <v>Invoice Printing Costs</v>
          </cell>
          <cell r="E535">
            <v>0</v>
          </cell>
          <cell r="F535">
            <v>0</v>
          </cell>
          <cell r="G535">
            <v>0</v>
          </cell>
          <cell r="H535">
            <v>0</v>
          </cell>
          <cell r="I535">
            <v>0</v>
          </cell>
          <cell r="J535">
            <v>0</v>
          </cell>
          <cell r="K535">
            <v>0</v>
          </cell>
          <cell r="L535">
            <v>0</v>
          </cell>
          <cell r="M535">
            <v>0</v>
          </cell>
          <cell r="N535">
            <v>0</v>
          </cell>
          <cell r="O535">
            <v>0</v>
          </cell>
          <cell r="P535">
            <v>0</v>
          </cell>
          <cell r="Q535">
            <v>0</v>
          </cell>
        </row>
        <row r="536">
          <cell r="A536">
            <v>70225</v>
          </cell>
          <cell r="B536" t="str">
            <v>Advertising and Promotions</v>
          </cell>
          <cell r="E536">
            <v>0</v>
          </cell>
          <cell r="F536">
            <v>473.41</v>
          </cell>
          <cell r="G536">
            <v>0</v>
          </cell>
          <cell r="H536">
            <v>10.55</v>
          </cell>
          <cell r="I536">
            <v>0</v>
          </cell>
          <cell r="J536">
            <v>0</v>
          </cell>
          <cell r="K536">
            <v>0</v>
          </cell>
          <cell r="L536">
            <v>0</v>
          </cell>
          <cell r="M536">
            <v>0</v>
          </cell>
          <cell r="N536">
            <v>0</v>
          </cell>
          <cell r="O536">
            <v>311.8</v>
          </cell>
          <cell r="P536">
            <v>0</v>
          </cell>
          <cell r="Q536">
            <v>795.76</v>
          </cell>
        </row>
        <row r="537">
          <cell r="A537">
            <v>70230</v>
          </cell>
          <cell r="B537" t="str">
            <v>External Recruiter Fees</v>
          </cell>
          <cell r="E537">
            <v>0</v>
          </cell>
          <cell r="F537">
            <v>0</v>
          </cell>
          <cell r="G537">
            <v>0</v>
          </cell>
          <cell r="H537">
            <v>0</v>
          </cell>
          <cell r="I537">
            <v>0</v>
          </cell>
          <cell r="J537">
            <v>0</v>
          </cell>
          <cell r="K537">
            <v>0</v>
          </cell>
          <cell r="L537">
            <v>0</v>
          </cell>
          <cell r="M537">
            <v>0</v>
          </cell>
          <cell r="N537">
            <v>0</v>
          </cell>
          <cell r="O537">
            <v>0</v>
          </cell>
          <cell r="P537">
            <v>0</v>
          </cell>
          <cell r="Q537">
            <v>0</v>
          </cell>
        </row>
        <row r="538">
          <cell r="A538">
            <v>70231</v>
          </cell>
          <cell r="B538" t="str">
            <v>Recruitment Advertising &amp; Expenses</v>
          </cell>
          <cell r="E538">
            <v>0</v>
          </cell>
          <cell r="F538">
            <v>0</v>
          </cell>
          <cell r="G538">
            <v>0</v>
          </cell>
          <cell r="H538">
            <v>0</v>
          </cell>
          <cell r="I538">
            <v>0</v>
          </cell>
          <cell r="J538">
            <v>0</v>
          </cell>
          <cell r="K538">
            <v>0</v>
          </cell>
          <cell r="L538">
            <v>0</v>
          </cell>
          <cell r="M538">
            <v>108.21</v>
          </cell>
          <cell r="N538">
            <v>0</v>
          </cell>
          <cell r="O538">
            <v>0</v>
          </cell>
          <cell r="P538">
            <v>0</v>
          </cell>
          <cell r="Q538">
            <v>108.21</v>
          </cell>
        </row>
        <row r="539">
          <cell r="A539">
            <v>70232</v>
          </cell>
          <cell r="B539" t="str">
            <v>Recruitment Travel Expenses</v>
          </cell>
          <cell r="E539">
            <v>0</v>
          </cell>
          <cell r="F539">
            <v>0</v>
          </cell>
          <cell r="G539">
            <v>0</v>
          </cell>
          <cell r="H539">
            <v>0</v>
          </cell>
          <cell r="I539">
            <v>0</v>
          </cell>
          <cell r="J539">
            <v>0</v>
          </cell>
          <cell r="K539">
            <v>0</v>
          </cell>
          <cell r="L539">
            <v>0</v>
          </cell>
          <cell r="M539">
            <v>0</v>
          </cell>
          <cell r="N539">
            <v>0</v>
          </cell>
          <cell r="O539">
            <v>0</v>
          </cell>
          <cell r="P539">
            <v>0</v>
          </cell>
          <cell r="Q539">
            <v>0</v>
          </cell>
        </row>
        <row r="540">
          <cell r="A540">
            <v>70235</v>
          </cell>
          <cell r="B540" t="str">
            <v>Legal</v>
          </cell>
          <cell r="E540">
            <v>2439.5700000000002</v>
          </cell>
          <cell r="F540">
            <v>2131.5700000000002</v>
          </cell>
          <cell r="G540">
            <v>3481.88</v>
          </cell>
          <cell r="H540">
            <v>-1738.5</v>
          </cell>
          <cell r="I540">
            <v>447.82</v>
          </cell>
          <cell r="J540">
            <v>9856.85</v>
          </cell>
          <cell r="K540">
            <v>1380.87</v>
          </cell>
          <cell r="L540">
            <v>9752.81</v>
          </cell>
          <cell r="M540">
            <v>14711.58</v>
          </cell>
          <cell r="N540">
            <v>-607.33000000000004</v>
          </cell>
          <cell r="O540">
            <v>1378.45</v>
          </cell>
          <cell r="P540">
            <v>10240.9</v>
          </cell>
          <cell r="Q540">
            <v>53476.47</v>
          </cell>
        </row>
        <row r="541">
          <cell r="A541">
            <v>70240</v>
          </cell>
          <cell r="B541" t="str">
            <v>Accounting Professional Fees</v>
          </cell>
          <cell r="E541">
            <v>0</v>
          </cell>
          <cell r="F541">
            <v>0</v>
          </cell>
          <cell r="G541">
            <v>0</v>
          </cell>
          <cell r="H541">
            <v>0</v>
          </cell>
          <cell r="I541">
            <v>0</v>
          </cell>
          <cell r="J541">
            <v>0</v>
          </cell>
          <cell r="K541">
            <v>0</v>
          </cell>
          <cell r="L541">
            <v>0</v>
          </cell>
          <cell r="M541">
            <v>0</v>
          </cell>
          <cell r="N541">
            <v>0</v>
          </cell>
          <cell r="O541">
            <v>0</v>
          </cell>
          <cell r="P541">
            <v>0</v>
          </cell>
          <cell r="Q541">
            <v>0</v>
          </cell>
        </row>
        <row r="542">
          <cell r="A542">
            <v>70245</v>
          </cell>
          <cell r="B542" t="str">
            <v>Payroll Processing Fees</v>
          </cell>
          <cell r="E542">
            <v>99.03</v>
          </cell>
          <cell r="F542">
            <v>97.9</v>
          </cell>
          <cell r="G542">
            <v>97.9</v>
          </cell>
          <cell r="H542">
            <v>97.9</v>
          </cell>
          <cell r="I542">
            <v>97.9</v>
          </cell>
          <cell r="J542">
            <v>97.9</v>
          </cell>
          <cell r="K542">
            <v>97.9</v>
          </cell>
          <cell r="L542">
            <v>80.55</v>
          </cell>
          <cell r="M542">
            <v>80.55</v>
          </cell>
          <cell r="N542">
            <v>80.55</v>
          </cell>
          <cell r="O542">
            <v>80.680000000000007</v>
          </cell>
          <cell r="P542">
            <v>80.680000000000007</v>
          </cell>
          <cell r="Q542">
            <v>1089.4399999999998</v>
          </cell>
        </row>
        <row r="543">
          <cell r="A543">
            <v>70250</v>
          </cell>
          <cell r="B543" t="str">
            <v>Acquisition Cost Write Off</v>
          </cell>
          <cell r="E543">
            <v>0</v>
          </cell>
          <cell r="F543">
            <v>0</v>
          </cell>
          <cell r="G543">
            <v>0</v>
          </cell>
          <cell r="H543">
            <v>0</v>
          </cell>
          <cell r="I543">
            <v>0</v>
          </cell>
          <cell r="J543">
            <v>0</v>
          </cell>
          <cell r="K543">
            <v>0</v>
          </cell>
          <cell r="L543">
            <v>0</v>
          </cell>
          <cell r="M543">
            <v>0</v>
          </cell>
          <cell r="N543">
            <v>0</v>
          </cell>
          <cell r="O543">
            <v>0</v>
          </cell>
          <cell r="P543">
            <v>0</v>
          </cell>
          <cell r="Q543">
            <v>0</v>
          </cell>
        </row>
        <row r="544">
          <cell r="A544">
            <v>70254</v>
          </cell>
          <cell r="B544" t="str">
            <v>Corporate Capitalized Expenses</v>
          </cell>
          <cell r="E544">
            <v>0</v>
          </cell>
          <cell r="F544">
            <v>0</v>
          </cell>
          <cell r="G544">
            <v>0</v>
          </cell>
          <cell r="H544">
            <v>0</v>
          </cell>
          <cell r="I544">
            <v>0</v>
          </cell>
          <cell r="J544">
            <v>0</v>
          </cell>
          <cell r="K544">
            <v>0</v>
          </cell>
          <cell r="L544">
            <v>0</v>
          </cell>
          <cell r="M544">
            <v>0</v>
          </cell>
          <cell r="N544">
            <v>0</v>
          </cell>
          <cell r="O544">
            <v>0</v>
          </cell>
          <cell r="P544">
            <v>0</v>
          </cell>
          <cell r="Q544">
            <v>0</v>
          </cell>
        </row>
        <row r="545">
          <cell r="A545">
            <v>70255</v>
          </cell>
          <cell r="B545" t="str">
            <v>Other Prof Fees</v>
          </cell>
          <cell r="E545">
            <v>0</v>
          </cell>
          <cell r="F545">
            <v>219.75</v>
          </cell>
          <cell r="G545">
            <v>56.21</v>
          </cell>
          <cell r="H545">
            <v>0</v>
          </cell>
          <cell r="I545">
            <v>0</v>
          </cell>
          <cell r="J545">
            <v>56.21</v>
          </cell>
          <cell r="K545">
            <v>0</v>
          </cell>
          <cell r="L545">
            <v>0</v>
          </cell>
          <cell r="M545">
            <v>56.21</v>
          </cell>
          <cell r="N545">
            <v>0</v>
          </cell>
          <cell r="O545">
            <v>-84.14</v>
          </cell>
          <cell r="P545">
            <v>482.7</v>
          </cell>
          <cell r="Q545">
            <v>786.93999999999994</v>
          </cell>
        </row>
        <row r="546">
          <cell r="A546">
            <v>70271</v>
          </cell>
          <cell r="B546" t="str">
            <v>Property and Liability Insurance</v>
          </cell>
          <cell r="E546">
            <v>0</v>
          </cell>
          <cell r="F546">
            <v>0</v>
          </cell>
          <cell r="G546">
            <v>0</v>
          </cell>
          <cell r="H546">
            <v>0</v>
          </cell>
          <cell r="I546">
            <v>0</v>
          </cell>
          <cell r="J546">
            <v>0</v>
          </cell>
          <cell r="K546">
            <v>0</v>
          </cell>
          <cell r="L546">
            <v>0</v>
          </cell>
          <cell r="M546">
            <v>0</v>
          </cell>
          <cell r="N546">
            <v>0</v>
          </cell>
          <cell r="O546">
            <v>0</v>
          </cell>
          <cell r="P546">
            <v>0</v>
          </cell>
          <cell r="Q546">
            <v>0</v>
          </cell>
        </row>
        <row r="547">
          <cell r="A547">
            <v>70272</v>
          </cell>
          <cell r="B547" t="str">
            <v>Keyman Life Insurance</v>
          </cell>
          <cell r="E547">
            <v>0</v>
          </cell>
          <cell r="F547">
            <v>0</v>
          </cell>
          <cell r="G547">
            <v>0</v>
          </cell>
          <cell r="H547">
            <v>0</v>
          </cell>
          <cell r="I547">
            <v>0</v>
          </cell>
          <cell r="J547">
            <v>0</v>
          </cell>
          <cell r="K547">
            <v>0</v>
          </cell>
          <cell r="L547">
            <v>0</v>
          </cell>
          <cell r="M547">
            <v>0</v>
          </cell>
          <cell r="N547">
            <v>0</v>
          </cell>
          <cell r="O547">
            <v>0</v>
          </cell>
          <cell r="P547">
            <v>0</v>
          </cell>
          <cell r="Q547">
            <v>0</v>
          </cell>
        </row>
        <row r="548">
          <cell r="A548">
            <v>70273</v>
          </cell>
          <cell r="B548" t="str">
            <v>Directors and Officers Insurance</v>
          </cell>
          <cell r="E548">
            <v>0</v>
          </cell>
          <cell r="F548">
            <v>0</v>
          </cell>
          <cell r="G548">
            <v>0</v>
          </cell>
          <cell r="H548">
            <v>0</v>
          </cell>
          <cell r="I548">
            <v>0</v>
          </cell>
          <cell r="J548">
            <v>0</v>
          </cell>
          <cell r="K548">
            <v>0</v>
          </cell>
          <cell r="L548">
            <v>0</v>
          </cell>
          <cell r="M548">
            <v>0</v>
          </cell>
          <cell r="N548">
            <v>0</v>
          </cell>
          <cell r="O548">
            <v>0</v>
          </cell>
          <cell r="P548">
            <v>0</v>
          </cell>
          <cell r="Q548">
            <v>0</v>
          </cell>
        </row>
        <row r="549">
          <cell r="A549">
            <v>70275</v>
          </cell>
          <cell r="B549" t="str">
            <v>Property Taxes</v>
          </cell>
          <cell r="E549">
            <v>1875</v>
          </cell>
          <cell r="F549">
            <v>1875</v>
          </cell>
          <cell r="G549">
            <v>2015.82</v>
          </cell>
          <cell r="H549">
            <v>2554.7800000000002</v>
          </cell>
          <cell r="I549">
            <v>2554.7800000000002</v>
          </cell>
          <cell r="J549">
            <v>2554.7800000000002</v>
          </cell>
          <cell r="K549">
            <v>3187.6</v>
          </cell>
          <cell r="L549">
            <v>2396.5700000000002</v>
          </cell>
          <cell r="M549">
            <v>2396.5700000000002</v>
          </cell>
          <cell r="N549">
            <v>2449.23</v>
          </cell>
          <cell r="O549">
            <v>2343.73</v>
          </cell>
          <cell r="P549">
            <v>2554.7199999999998</v>
          </cell>
          <cell r="Q549">
            <v>28758.58</v>
          </cell>
        </row>
        <row r="550">
          <cell r="A550">
            <v>70280</v>
          </cell>
          <cell r="B550" t="str">
            <v>Other Taxes</v>
          </cell>
          <cell r="E550">
            <v>0</v>
          </cell>
          <cell r="F550">
            <v>0</v>
          </cell>
          <cell r="G550">
            <v>0</v>
          </cell>
          <cell r="H550">
            <v>0</v>
          </cell>
          <cell r="I550">
            <v>0</v>
          </cell>
          <cell r="J550">
            <v>0</v>
          </cell>
          <cell r="K550">
            <v>0</v>
          </cell>
          <cell r="L550">
            <v>0</v>
          </cell>
          <cell r="M550">
            <v>0</v>
          </cell>
          <cell r="N550">
            <v>0</v>
          </cell>
          <cell r="O550">
            <v>0</v>
          </cell>
          <cell r="P550">
            <v>0</v>
          </cell>
          <cell r="Q550">
            <v>0</v>
          </cell>
        </row>
        <row r="551">
          <cell r="A551">
            <v>70300</v>
          </cell>
          <cell r="B551" t="str">
            <v>Data Processing</v>
          </cell>
          <cell r="E551">
            <v>24958.15</v>
          </cell>
          <cell r="F551">
            <v>2262.73</v>
          </cell>
          <cell r="G551">
            <v>16300.02</v>
          </cell>
          <cell r="H551">
            <v>2127.0700000000002</v>
          </cell>
          <cell r="I551">
            <v>33912.97</v>
          </cell>
          <cell r="J551">
            <v>1054.05</v>
          </cell>
          <cell r="K551">
            <v>22342.57</v>
          </cell>
          <cell r="L551">
            <v>2410.96</v>
          </cell>
          <cell r="M551">
            <v>22431</v>
          </cell>
          <cell r="N551">
            <v>1947.24</v>
          </cell>
          <cell r="O551">
            <v>21688.02</v>
          </cell>
          <cell r="P551">
            <v>-2059.87</v>
          </cell>
          <cell r="Q551">
            <v>149374.91</v>
          </cell>
        </row>
        <row r="552">
          <cell r="A552">
            <v>70301</v>
          </cell>
          <cell r="B552" t="str">
            <v>Computer Software</v>
          </cell>
          <cell r="E552">
            <v>0</v>
          </cell>
          <cell r="F552">
            <v>0</v>
          </cell>
          <cell r="G552">
            <v>0</v>
          </cell>
          <cell r="H552">
            <v>0</v>
          </cell>
          <cell r="I552">
            <v>0</v>
          </cell>
          <cell r="J552">
            <v>0</v>
          </cell>
          <cell r="K552">
            <v>0</v>
          </cell>
          <cell r="L552">
            <v>0</v>
          </cell>
          <cell r="M552">
            <v>0</v>
          </cell>
          <cell r="N552">
            <v>0</v>
          </cell>
          <cell r="O552">
            <v>0</v>
          </cell>
          <cell r="P552">
            <v>0</v>
          </cell>
          <cell r="Q552">
            <v>0</v>
          </cell>
        </row>
        <row r="553">
          <cell r="A553">
            <v>70302</v>
          </cell>
          <cell r="B553" t="str">
            <v>Computer Supplies</v>
          </cell>
          <cell r="E553">
            <v>0</v>
          </cell>
          <cell r="F553">
            <v>145.26</v>
          </cell>
          <cell r="G553">
            <v>231.28</v>
          </cell>
          <cell r="H553">
            <v>0</v>
          </cell>
          <cell r="I553">
            <v>0</v>
          </cell>
          <cell r="J553">
            <v>0</v>
          </cell>
          <cell r="K553">
            <v>0</v>
          </cell>
          <cell r="L553">
            <v>0</v>
          </cell>
          <cell r="M553">
            <v>0</v>
          </cell>
          <cell r="N553">
            <v>1365.11</v>
          </cell>
          <cell r="O553">
            <v>-1365.11</v>
          </cell>
          <cell r="P553">
            <v>187.29</v>
          </cell>
          <cell r="Q553">
            <v>563.82999999999993</v>
          </cell>
        </row>
        <row r="554">
          <cell r="A554">
            <v>70310</v>
          </cell>
          <cell r="B554" t="str">
            <v>Bad Debt Provision</v>
          </cell>
          <cell r="E554">
            <v>59587.53</v>
          </cell>
          <cell r="F554">
            <v>-42181.27</v>
          </cell>
          <cell r="G554">
            <v>26327.15</v>
          </cell>
          <cell r="H554">
            <v>-23518.21</v>
          </cell>
          <cell r="I554">
            <v>45403.42</v>
          </cell>
          <cell r="J554">
            <v>-30919.22</v>
          </cell>
          <cell r="K554">
            <v>58231.48</v>
          </cell>
          <cell r="L554">
            <v>-42566.26</v>
          </cell>
          <cell r="M554">
            <v>51551.54</v>
          </cell>
          <cell r="N554">
            <v>-30438.81</v>
          </cell>
          <cell r="O554">
            <v>61503.66</v>
          </cell>
          <cell r="P554">
            <v>-32663.45</v>
          </cell>
          <cell r="Q554">
            <v>100317.56000000001</v>
          </cell>
        </row>
        <row r="555">
          <cell r="A555">
            <v>70315</v>
          </cell>
          <cell r="B555" t="str">
            <v>Bad Debt Recoveries</v>
          </cell>
          <cell r="E555">
            <v>0</v>
          </cell>
          <cell r="F555">
            <v>0</v>
          </cell>
          <cell r="G555">
            <v>0</v>
          </cell>
          <cell r="H555">
            <v>0</v>
          </cell>
          <cell r="I555">
            <v>0</v>
          </cell>
          <cell r="J555">
            <v>0</v>
          </cell>
          <cell r="K555">
            <v>0</v>
          </cell>
          <cell r="L555">
            <v>0</v>
          </cell>
          <cell r="M555">
            <v>0</v>
          </cell>
          <cell r="N555">
            <v>0</v>
          </cell>
          <cell r="O555">
            <v>0</v>
          </cell>
          <cell r="P555">
            <v>0</v>
          </cell>
          <cell r="Q555">
            <v>0</v>
          </cell>
        </row>
        <row r="556">
          <cell r="A556">
            <v>70320</v>
          </cell>
          <cell r="B556" t="str">
            <v>Credit and Collection</v>
          </cell>
          <cell r="E556">
            <v>6202.09</v>
          </cell>
          <cell r="F556">
            <v>-976.61</v>
          </cell>
          <cell r="G556">
            <v>5260.16</v>
          </cell>
          <cell r="H556">
            <v>-803.96</v>
          </cell>
          <cell r="I556">
            <v>1871.95</v>
          </cell>
          <cell r="J556">
            <v>1067.25</v>
          </cell>
          <cell r="K556">
            <v>1589.22</v>
          </cell>
          <cell r="L556">
            <v>936.71</v>
          </cell>
          <cell r="M556">
            <v>1051.27</v>
          </cell>
          <cell r="N556">
            <v>482.15</v>
          </cell>
          <cell r="O556">
            <v>1946.37</v>
          </cell>
          <cell r="P556">
            <v>5166.42</v>
          </cell>
          <cell r="Q556">
            <v>23793.020000000004</v>
          </cell>
        </row>
        <row r="557">
          <cell r="A557">
            <v>70324</v>
          </cell>
          <cell r="B557" t="str">
            <v>Penalties and Violations</v>
          </cell>
          <cell r="E557">
            <v>0</v>
          </cell>
          <cell r="F557">
            <v>0</v>
          </cell>
          <cell r="G557">
            <v>0</v>
          </cell>
          <cell r="H557">
            <v>0</v>
          </cell>
          <cell r="I557">
            <v>0</v>
          </cell>
          <cell r="J557">
            <v>0</v>
          </cell>
          <cell r="K557">
            <v>0</v>
          </cell>
          <cell r="L557">
            <v>0</v>
          </cell>
          <cell r="M557">
            <v>0</v>
          </cell>
          <cell r="N557">
            <v>0</v>
          </cell>
          <cell r="O557">
            <v>0</v>
          </cell>
          <cell r="P557">
            <v>0</v>
          </cell>
          <cell r="Q557">
            <v>0</v>
          </cell>
        </row>
        <row r="558">
          <cell r="A558">
            <v>70325</v>
          </cell>
          <cell r="B558" t="str">
            <v>Legal Settlement Payments</v>
          </cell>
          <cell r="E558">
            <v>0</v>
          </cell>
          <cell r="F558">
            <v>0</v>
          </cell>
          <cell r="G558">
            <v>0</v>
          </cell>
          <cell r="H558">
            <v>0</v>
          </cell>
          <cell r="I558">
            <v>0</v>
          </cell>
          <cell r="J558">
            <v>0</v>
          </cell>
          <cell r="K558">
            <v>0</v>
          </cell>
          <cell r="L558">
            <v>0</v>
          </cell>
          <cell r="M558">
            <v>0</v>
          </cell>
          <cell r="N558">
            <v>0</v>
          </cell>
          <cell r="O558">
            <v>0</v>
          </cell>
          <cell r="P558">
            <v>0</v>
          </cell>
          <cell r="Q558">
            <v>0</v>
          </cell>
        </row>
        <row r="559">
          <cell r="A559">
            <v>70326</v>
          </cell>
          <cell r="B559" t="str">
            <v>Deductible Current Year</v>
          </cell>
          <cell r="E559">
            <v>0</v>
          </cell>
          <cell r="F559">
            <v>0</v>
          </cell>
          <cell r="G559">
            <v>0</v>
          </cell>
          <cell r="H559">
            <v>0</v>
          </cell>
          <cell r="I559">
            <v>0</v>
          </cell>
          <cell r="J559">
            <v>0</v>
          </cell>
          <cell r="K559">
            <v>0</v>
          </cell>
          <cell r="L559">
            <v>0</v>
          </cell>
          <cell r="M559">
            <v>0</v>
          </cell>
          <cell r="N559">
            <v>0</v>
          </cell>
          <cell r="O559">
            <v>0</v>
          </cell>
          <cell r="P559">
            <v>0</v>
          </cell>
          <cell r="Q559">
            <v>0</v>
          </cell>
        </row>
        <row r="560">
          <cell r="A560">
            <v>70327</v>
          </cell>
          <cell r="B560" t="str">
            <v>Deductible Dammage</v>
          </cell>
          <cell r="E560">
            <v>0</v>
          </cell>
          <cell r="F560">
            <v>0</v>
          </cell>
          <cell r="G560">
            <v>0</v>
          </cell>
          <cell r="H560">
            <v>0</v>
          </cell>
          <cell r="I560">
            <v>0</v>
          </cell>
          <cell r="J560">
            <v>0</v>
          </cell>
          <cell r="K560">
            <v>0</v>
          </cell>
          <cell r="L560">
            <v>0</v>
          </cell>
          <cell r="M560">
            <v>0</v>
          </cell>
          <cell r="N560">
            <v>0</v>
          </cell>
          <cell r="O560">
            <v>0</v>
          </cell>
          <cell r="P560">
            <v>0</v>
          </cell>
          <cell r="Q560">
            <v>0</v>
          </cell>
        </row>
        <row r="561">
          <cell r="A561">
            <v>70328</v>
          </cell>
          <cell r="B561" t="str">
            <v>Claim Recoveries</v>
          </cell>
          <cell r="E561">
            <v>0</v>
          </cell>
          <cell r="F561">
            <v>0</v>
          </cell>
          <cell r="G561">
            <v>0</v>
          </cell>
          <cell r="H561">
            <v>0</v>
          </cell>
          <cell r="I561">
            <v>0</v>
          </cell>
          <cell r="J561">
            <v>0</v>
          </cell>
          <cell r="K561">
            <v>0</v>
          </cell>
          <cell r="L561">
            <v>0</v>
          </cell>
          <cell r="M561">
            <v>0</v>
          </cell>
          <cell r="N561">
            <v>0</v>
          </cell>
          <cell r="O561">
            <v>0</v>
          </cell>
          <cell r="P561">
            <v>0</v>
          </cell>
          <cell r="Q561">
            <v>0</v>
          </cell>
        </row>
        <row r="562">
          <cell r="A562">
            <v>70330</v>
          </cell>
          <cell r="B562" t="str">
            <v>Deductible Prior Year</v>
          </cell>
          <cell r="E562">
            <v>0</v>
          </cell>
          <cell r="F562">
            <v>0</v>
          </cell>
          <cell r="G562">
            <v>0</v>
          </cell>
          <cell r="H562">
            <v>0</v>
          </cell>
          <cell r="I562">
            <v>0</v>
          </cell>
          <cell r="J562">
            <v>0</v>
          </cell>
          <cell r="K562">
            <v>0</v>
          </cell>
          <cell r="L562">
            <v>0</v>
          </cell>
          <cell r="M562">
            <v>0</v>
          </cell>
          <cell r="N562">
            <v>0</v>
          </cell>
          <cell r="O562">
            <v>0</v>
          </cell>
          <cell r="P562">
            <v>0</v>
          </cell>
          <cell r="Q562">
            <v>0</v>
          </cell>
        </row>
        <row r="563">
          <cell r="A563">
            <v>70335</v>
          </cell>
          <cell r="B563" t="str">
            <v>Miscellaneous</v>
          </cell>
          <cell r="E563">
            <v>0</v>
          </cell>
          <cell r="F563">
            <v>0</v>
          </cell>
          <cell r="G563">
            <v>0</v>
          </cell>
          <cell r="H563">
            <v>0</v>
          </cell>
          <cell r="I563">
            <v>0</v>
          </cell>
          <cell r="J563">
            <v>0</v>
          </cell>
          <cell r="K563">
            <v>0</v>
          </cell>
          <cell r="L563">
            <v>0</v>
          </cell>
          <cell r="M563">
            <v>0</v>
          </cell>
          <cell r="N563">
            <v>0</v>
          </cell>
          <cell r="O563">
            <v>0</v>
          </cell>
          <cell r="P563">
            <v>0</v>
          </cell>
          <cell r="Q563">
            <v>0</v>
          </cell>
        </row>
        <row r="564">
          <cell r="A564">
            <v>70336</v>
          </cell>
          <cell r="B564" t="str">
            <v>Coffe Bar</v>
          </cell>
          <cell r="E564">
            <v>0</v>
          </cell>
          <cell r="F564">
            <v>0</v>
          </cell>
          <cell r="G564">
            <v>0</v>
          </cell>
          <cell r="H564">
            <v>0</v>
          </cell>
          <cell r="I564">
            <v>0</v>
          </cell>
          <cell r="J564">
            <v>0</v>
          </cell>
          <cell r="K564">
            <v>0</v>
          </cell>
          <cell r="L564">
            <v>0</v>
          </cell>
          <cell r="M564">
            <v>0</v>
          </cell>
          <cell r="N564">
            <v>0</v>
          </cell>
          <cell r="O564">
            <v>0</v>
          </cell>
          <cell r="P564">
            <v>0</v>
          </cell>
          <cell r="Q564">
            <v>0</v>
          </cell>
        </row>
        <row r="565">
          <cell r="A565">
            <v>70345</v>
          </cell>
          <cell r="B565" t="str">
            <v>Security Services</v>
          </cell>
          <cell r="E565">
            <v>0</v>
          </cell>
          <cell r="F565">
            <v>0</v>
          </cell>
          <cell r="G565">
            <v>0</v>
          </cell>
          <cell r="H565">
            <v>0</v>
          </cell>
          <cell r="I565">
            <v>0</v>
          </cell>
          <cell r="J565">
            <v>0</v>
          </cell>
          <cell r="K565">
            <v>0</v>
          </cell>
          <cell r="L565">
            <v>0</v>
          </cell>
          <cell r="M565">
            <v>0</v>
          </cell>
          <cell r="N565">
            <v>0</v>
          </cell>
          <cell r="O565">
            <v>0</v>
          </cell>
          <cell r="P565">
            <v>0</v>
          </cell>
          <cell r="Q565">
            <v>0</v>
          </cell>
        </row>
        <row r="566">
          <cell r="A566">
            <v>70357</v>
          </cell>
          <cell r="B566" t="str">
            <v>Permits</v>
          </cell>
          <cell r="E566">
            <v>0</v>
          </cell>
          <cell r="F566">
            <v>0</v>
          </cell>
          <cell r="G566">
            <v>0</v>
          </cell>
          <cell r="H566">
            <v>0</v>
          </cell>
          <cell r="I566">
            <v>0</v>
          </cell>
          <cell r="J566">
            <v>0</v>
          </cell>
          <cell r="K566">
            <v>0</v>
          </cell>
          <cell r="L566">
            <v>0</v>
          </cell>
          <cell r="M566">
            <v>0</v>
          </cell>
          <cell r="N566">
            <v>0</v>
          </cell>
          <cell r="O566">
            <v>0</v>
          </cell>
          <cell r="P566">
            <v>0</v>
          </cell>
          <cell r="Q566">
            <v>0</v>
          </cell>
        </row>
        <row r="567">
          <cell r="A567">
            <v>70370</v>
          </cell>
          <cell r="B567" t="str">
            <v>Bonds Expense</v>
          </cell>
          <cell r="E567">
            <v>0</v>
          </cell>
          <cell r="F567">
            <v>0</v>
          </cell>
          <cell r="G567">
            <v>0</v>
          </cell>
          <cell r="H567">
            <v>0</v>
          </cell>
          <cell r="I567">
            <v>0</v>
          </cell>
          <cell r="J567">
            <v>0</v>
          </cell>
          <cell r="K567">
            <v>0</v>
          </cell>
          <cell r="L567">
            <v>0</v>
          </cell>
          <cell r="M567">
            <v>0</v>
          </cell>
          <cell r="N567">
            <v>0</v>
          </cell>
          <cell r="O567">
            <v>0</v>
          </cell>
          <cell r="P567">
            <v>0</v>
          </cell>
          <cell r="Q567">
            <v>0</v>
          </cell>
        </row>
        <row r="568">
          <cell r="A568">
            <v>70371</v>
          </cell>
          <cell r="B568" t="str">
            <v>Board of Directors Fees</v>
          </cell>
          <cell r="E568">
            <v>0</v>
          </cell>
          <cell r="F568">
            <v>0</v>
          </cell>
          <cell r="G568">
            <v>0</v>
          </cell>
          <cell r="H568">
            <v>0</v>
          </cell>
          <cell r="I568">
            <v>0</v>
          </cell>
          <cell r="J568">
            <v>0</v>
          </cell>
          <cell r="K568">
            <v>0</v>
          </cell>
          <cell r="L568">
            <v>0</v>
          </cell>
          <cell r="M568">
            <v>0</v>
          </cell>
          <cell r="N568">
            <v>0</v>
          </cell>
          <cell r="O568">
            <v>0</v>
          </cell>
          <cell r="P568">
            <v>0</v>
          </cell>
          <cell r="Q568">
            <v>0</v>
          </cell>
        </row>
        <row r="569">
          <cell r="A569">
            <v>70372</v>
          </cell>
          <cell r="B569" t="str">
            <v>Board of Directors Expense Report</v>
          </cell>
          <cell r="E569">
            <v>0</v>
          </cell>
          <cell r="F569">
            <v>0</v>
          </cell>
          <cell r="G569">
            <v>0</v>
          </cell>
          <cell r="H569">
            <v>0</v>
          </cell>
          <cell r="I569">
            <v>0</v>
          </cell>
          <cell r="J569">
            <v>0</v>
          </cell>
          <cell r="K569">
            <v>0</v>
          </cell>
          <cell r="L569">
            <v>0</v>
          </cell>
          <cell r="M569">
            <v>0</v>
          </cell>
          <cell r="N569">
            <v>0</v>
          </cell>
          <cell r="O569">
            <v>0</v>
          </cell>
          <cell r="P569">
            <v>0</v>
          </cell>
          <cell r="Q569">
            <v>0</v>
          </cell>
        </row>
        <row r="570">
          <cell r="A570">
            <v>70475</v>
          </cell>
          <cell r="B570" t="str">
            <v>Trade Shows</v>
          </cell>
          <cell r="E570">
            <v>0</v>
          </cell>
          <cell r="F570">
            <v>0</v>
          </cell>
          <cell r="G570">
            <v>0</v>
          </cell>
          <cell r="H570">
            <v>0</v>
          </cell>
          <cell r="I570">
            <v>0</v>
          </cell>
          <cell r="J570">
            <v>0</v>
          </cell>
          <cell r="K570">
            <v>0</v>
          </cell>
          <cell r="L570">
            <v>0</v>
          </cell>
          <cell r="M570">
            <v>0</v>
          </cell>
          <cell r="N570">
            <v>0</v>
          </cell>
          <cell r="O570">
            <v>0</v>
          </cell>
          <cell r="P570">
            <v>0</v>
          </cell>
          <cell r="Q570">
            <v>0</v>
          </cell>
        </row>
        <row r="571">
          <cell r="A571">
            <v>70900</v>
          </cell>
          <cell r="B571" t="str">
            <v>Entitiy Formation Costs</v>
          </cell>
          <cell r="E571">
            <v>0</v>
          </cell>
          <cell r="F571">
            <v>0</v>
          </cell>
          <cell r="G571">
            <v>0</v>
          </cell>
          <cell r="H571">
            <v>0</v>
          </cell>
          <cell r="I571">
            <v>0</v>
          </cell>
          <cell r="J571">
            <v>0</v>
          </cell>
          <cell r="K571">
            <v>0</v>
          </cell>
          <cell r="L571">
            <v>0</v>
          </cell>
          <cell r="M571">
            <v>0</v>
          </cell>
          <cell r="N571">
            <v>0</v>
          </cell>
          <cell r="O571">
            <v>0</v>
          </cell>
          <cell r="P571">
            <v>0</v>
          </cell>
          <cell r="Q571">
            <v>0</v>
          </cell>
        </row>
        <row r="572">
          <cell r="A572">
            <v>70998</v>
          </cell>
          <cell r="B572" t="str">
            <v>Allocation Out - District</v>
          </cell>
          <cell r="E572">
            <v>0</v>
          </cell>
          <cell r="F572">
            <v>0</v>
          </cell>
          <cell r="G572">
            <v>0</v>
          </cell>
          <cell r="H572">
            <v>0</v>
          </cell>
          <cell r="I572">
            <v>0</v>
          </cell>
          <cell r="J572">
            <v>0</v>
          </cell>
          <cell r="K572">
            <v>0</v>
          </cell>
          <cell r="L572">
            <v>0</v>
          </cell>
          <cell r="M572">
            <v>0</v>
          </cell>
          <cell r="N572">
            <v>0</v>
          </cell>
          <cell r="O572">
            <v>0</v>
          </cell>
          <cell r="P572">
            <v>0</v>
          </cell>
          <cell r="Q572">
            <v>0</v>
          </cell>
        </row>
        <row r="573">
          <cell r="A573">
            <v>70999</v>
          </cell>
          <cell r="B573" t="str">
            <v>Allocation Out - Out District</v>
          </cell>
          <cell r="E573">
            <v>0</v>
          </cell>
          <cell r="F573">
            <v>0</v>
          </cell>
          <cell r="G573">
            <v>0</v>
          </cell>
          <cell r="H573">
            <v>0</v>
          </cell>
          <cell r="I573">
            <v>0</v>
          </cell>
          <cell r="J573">
            <v>0</v>
          </cell>
          <cell r="K573">
            <v>0</v>
          </cell>
          <cell r="L573">
            <v>0</v>
          </cell>
          <cell r="M573">
            <v>0</v>
          </cell>
          <cell r="N573">
            <v>0</v>
          </cell>
          <cell r="O573">
            <v>0</v>
          </cell>
          <cell r="P573">
            <v>0</v>
          </cell>
          <cell r="Q573">
            <v>0</v>
          </cell>
        </row>
        <row r="574">
          <cell r="A574">
            <v>71000</v>
          </cell>
          <cell r="B574" t="str">
            <v>Stock Comp Expense</v>
          </cell>
          <cell r="E574">
            <v>0</v>
          </cell>
          <cell r="F574">
            <v>0</v>
          </cell>
          <cell r="G574">
            <v>0</v>
          </cell>
          <cell r="H574">
            <v>0</v>
          </cell>
          <cell r="I574">
            <v>0</v>
          </cell>
          <cell r="J574">
            <v>0</v>
          </cell>
          <cell r="K574">
            <v>0</v>
          </cell>
          <cell r="L574">
            <v>0</v>
          </cell>
          <cell r="M574">
            <v>0</v>
          </cell>
          <cell r="N574">
            <v>0</v>
          </cell>
          <cell r="O574">
            <v>0</v>
          </cell>
          <cell r="P574">
            <v>0</v>
          </cell>
          <cell r="Q574">
            <v>0</v>
          </cell>
        </row>
        <row r="575">
          <cell r="A575" t="str">
            <v>Total G&amp;A</v>
          </cell>
          <cell r="E575">
            <v>207906.74000000002</v>
          </cell>
          <cell r="F575">
            <v>66798.010000000024</v>
          </cell>
          <cell r="G575">
            <v>161263.80000000002</v>
          </cell>
          <cell r="H575">
            <v>86311.12999999999</v>
          </cell>
          <cell r="I575">
            <v>177403</v>
          </cell>
          <cell r="J575">
            <v>90607.349999999991</v>
          </cell>
          <cell r="K575">
            <v>198820.07000000004</v>
          </cell>
          <cell r="L575">
            <v>89006.530000000013</v>
          </cell>
          <cell r="M575">
            <v>188289.78000000003</v>
          </cell>
          <cell r="N575">
            <v>72891.83</v>
          </cell>
          <cell r="O575">
            <v>194697.06000000006</v>
          </cell>
          <cell r="P575">
            <v>96799.019999999931</v>
          </cell>
          <cell r="Q575">
            <v>1630794.3199999996</v>
          </cell>
        </row>
        <row r="577">
          <cell r="A577" t="str">
            <v>Overhead</v>
          </cell>
        </row>
        <row r="578">
          <cell r="A578">
            <v>70149</v>
          </cell>
          <cell r="B578" t="str">
            <v>Corporate Overhead Allocation In</v>
          </cell>
          <cell r="E578">
            <v>55340.22</v>
          </cell>
          <cell r="F578">
            <v>54315.21</v>
          </cell>
          <cell r="G578">
            <v>54439.91</v>
          </cell>
          <cell r="H578">
            <v>55653.47</v>
          </cell>
          <cell r="I578">
            <v>54826.44</v>
          </cell>
          <cell r="J578">
            <v>55802.53</v>
          </cell>
          <cell r="K578">
            <v>55353.69</v>
          </cell>
          <cell r="L578">
            <v>57179.64</v>
          </cell>
          <cell r="M578">
            <v>55296.08</v>
          </cell>
          <cell r="N578">
            <v>55281.99</v>
          </cell>
          <cell r="O578">
            <v>54995.29</v>
          </cell>
          <cell r="P578">
            <v>55389.94</v>
          </cell>
          <cell r="Q578">
            <v>663874.41000000015</v>
          </cell>
        </row>
        <row r="579">
          <cell r="A579">
            <v>70159</v>
          </cell>
          <cell r="B579" t="str">
            <v>Region Overhead Allocation In</v>
          </cell>
          <cell r="E579">
            <v>0</v>
          </cell>
          <cell r="F579">
            <v>0</v>
          </cell>
          <cell r="G579">
            <v>0</v>
          </cell>
          <cell r="H579">
            <v>0</v>
          </cell>
          <cell r="I579">
            <v>0</v>
          </cell>
          <cell r="J579">
            <v>0</v>
          </cell>
          <cell r="K579">
            <v>0</v>
          </cell>
          <cell r="L579">
            <v>0</v>
          </cell>
          <cell r="M579">
            <v>0</v>
          </cell>
          <cell r="N579">
            <v>0</v>
          </cell>
          <cell r="O579">
            <v>0</v>
          </cell>
          <cell r="P579">
            <v>0</v>
          </cell>
          <cell r="Q579">
            <v>0</v>
          </cell>
        </row>
        <row r="580">
          <cell r="A580" t="str">
            <v>Total Overhead</v>
          </cell>
          <cell r="E580">
            <v>55340.22</v>
          </cell>
          <cell r="F580">
            <v>54315.21</v>
          </cell>
          <cell r="G580">
            <v>54439.91</v>
          </cell>
          <cell r="H580">
            <v>55653.47</v>
          </cell>
          <cell r="I580">
            <v>54826.44</v>
          </cell>
          <cell r="J580">
            <v>55802.53</v>
          </cell>
          <cell r="K580">
            <v>55353.69</v>
          </cell>
          <cell r="L580">
            <v>57179.64</v>
          </cell>
          <cell r="M580">
            <v>55296.08</v>
          </cell>
          <cell r="N580">
            <v>55281.99</v>
          </cell>
          <cell r="O580">
            <v>54995.29</v>
          </cell>
          <cell r="P580">
            <v>55389.94</v>
          </cell>
          <cell r="Q580">
            <v>663874.41000000015</v>
          </cell>
        </row>
        <row r="582">
          <cell r="A582" t="str">
            <v>Total SG&amp;A</v>
          </cell>
          <cell r="E582">
            <v>263246.96000000002</v>
          </cell>
          <cell r="F582">
            <v>121113.22000000003</v>
          </cell>
          <cell r="G582">
            <v>215703.71000000002</v>
          </cell>
          <cell r="H582">
            <v>141964.59999999998</v>
          </cell>
          <cell r="I582">
            <v>232229.44</v>
          </cell>
          <cell r="J582">
            <v>146409.88</v>
          </cell>
          <cell r="K582">
            <v>254173.76000000004</v>
          </cell>
          <cell r="L582">
            <v>146186.17000000001</v>
          </cell>
          <cell r="M582">
            <v>243585.86000000004</v>
          </cell>
          <cell r="N582">
            <v>128173.82</v>
          </cell>
          <cell r="O582">
            <v>249692.35000000006</v>
          </cell>
          <cell r="P582">
            <v>155426.55999999994</v>
          </cell>
          <cell r="Q582">
            <v>2297906.3299999996</v>
          </cell>
        </row>
        <row r="584">
          <cell r="A584" t="str">
            <v>EBITDA</v>
          </cell>
          <cell r="E584">
            <v>20388.780000000086</v>
          </cell>
          <cell r="F584">
            <v>275898.64999999997</v>
          </cell>
          <cell r="G584">
            <v>77705.549999999872</v>
          </cell>
          <cell r="H584">
            <v>153218.83000000007</v>
          </cell>
          <cell r="I584">
            <v>139863.27999999974</v>
          </cell>
          <cell r="J584">
            <v>204338.71000000008</v>
          </cell>
          <cell r="K584">
            <v>93342.360000000015</v>
          </cell>
          <cell r="L584">
            <v>241833.84</v>
          </cell>
          <cell r="M584">
            <v>134242.65999999997</v>
          </cell>
          <cell r="N584">
            <v>254051.7099999999</v>
          </cell>
          <cell r="O584">
            <v>61738.860000000132</v>
          </cell>
          <cell r="P584">
            <v>151328.35999999987</v>
          </cell>
          <cell r="Q584">
            <v>1807951.5899999957</v>
          </cell>
        </row>
        <row r="586">
          <cell r="A586" t="str">
            <v>DD&amp;A</v>
          </cell>
        </row>
        <row r="587">
          <cell r="A587" t="str">
            <v>Depreciation</v>
          </cell>
        </row>
        <row r="588">
          <cell r="A588">
            <v>51260</v>
          </cell>
          <cell r="B588" t="str">
            <v>Depreciation</v>
          </cell>
          <cell r="E588">
            <v>49490.6</v>
          </cell>
          <cell r="F588">
            <v>49625.87</v>
          </cell>
          <cell r="G588">
            <v>49625.95</v>
          </cell>
          <cell r="H588">
            <v>49620.11</v>
          </cell>
          <cell r="I588">
            <v>49620.2</v>
          </cell>
          <cell r="J588">
            <v>48737.05</v>
          </cell>
          <cell r="K588">
            <v>48736.639999999999</v>
          </cell>
          <cell r="L588">
            <v>47681.86</v>
          </cell>
          <cell r="M588">
            <v>47682.18</v>
          </cell>
          <cell r="N588">
            <v>47681.87</v>
          </cell>
          <cell r="O588">
            <v>47328.05</v>
          </cell>
          <cell r="P588">
            <v>47849.53</v>
          </cell>
          <cell r="Q588">
            <v>583679.91</v>
          </cell>
        </row>
        <row r="589">
          <cell r="A589">
            <v>54260</v>
          </cell>
          <cell r="B589" t="str">
            <v>Depreciation</v>
          </cell>
          <cell r="E589">
            <v>11933.53</v>
          </cell>
          <cell r="F589">
            <v>11933.51</v>
          </cell>
          <cell r="G589">
            <v>11933.4</v>
          </cell>
          <cell r="H589">
            <v>11933.26</v>
          </cell>
          <cell r="I589">
            <v>11933.49</v>
          </cell>
          <cell r="J589">
            <v>11933.83</v>
          </cell>
          <cell r="K589">
            <v>11932.86</v>
          </cell>
          <cell r="L589">
            <v>11933.32</v>
          </cell>
          <cell r="M589">
            <v>11933.62</v>
          </cell>
          <cell r="N589">
            <v>11933.41</v>
          </cell>
          <cell r="O589">
            <v>11933.19</v>
          </cell>
          <cell r="P589">
            <v>11933.37</v>
          </cell>
          <cell r="Q589">
            <v>143200.79</v>
          </cell>
        </row>
        <row r="590">
          <cell r="A590">
            <v>56260</v>
          </cell>
          <cell r="B590" t="str">
            <v>Depreciation</v>
          </cell>
          <cell r="E590">
            <v>0</v>
          </cell>
          <cell r="F590">
            <v>0</v>
          </cell>
          <cell r="G590">
            <v>0</v>
          </cell>
          <cell r="H590">
            <v>0</v>
          </cell>
          <cell r="I590">
            <v>0</v>
          </cell>
          <cell r="J590">
            <v>0</v>
          </cell>
          <cell r="K590">
            <v>0</v>
          </cell>
          <cell r="L590">
            <v>0</v>
          </cell>
          <cell r="M590">
            <v>0</v>
          </cell>
          <cell r="N590">
            <v>0</v>
          </cell>
          <cell r="O590">
            <v>0</v>
          </cell>
          <cell r="P590">
            <v>0</v>
          </cell>
          <cell r="Q590">
            <v>0</v>
          </cell>
        </row>
        <row r="591">
          <cell r="A591">
            <v>57260</v>
          </cell>
          <cell r="B591" t="str">
            <v>Depreciation</v>
          </cell>
          <cell r="E591">
            <v>2414.64</v>
          </cell>
          <cell r="F591">
            <v>2414.6799999999998</v>
          </cell>
          <cell r="G591">
            <v>2414.64</v>
          </cell>
          <cell r="H591">
            <v>2441.84</v>
          </cell>
          <cell r="I591">
            <v>2441.87</v>
          </cell>
          <cell r="J591">
            <v>2441.86</v>
          </cell>
          <cell r="K591">
            <v>2441.83</v>
          </cell>
          <cell r="L591">
            <v>2503.59</v>
          </cell>
          <cell r="M591">
            <v>2503.59</v>
          </cell>
          <cell r="N591">
            <v>3307.76</v>
          </cell>
          <cell r="O591">
            <v>3318.13</v>
          </cell>
          <cell r="P591">
            <v>3312.93</v>
          </cell>
          <cell r="Q591">
            <v>31957.360000000004</v>
          </cell>
        </row>
        <row r="592">
          <cell r="A592">
            <v>60260</v>
          </cell>
          <cell r="B592" t="str">
            <v>Depreciation</v>
          </cell>
          <cell r="E592">
            <v>0</v>
          </cell>
          <cell r="F592">
            <v>0</v>
          </cell>
          <cell r="G592">
            <v>0</v>
          </cell>
          <cell r="H592">
            <v>0</v>
          </cell>
          <cell r="I592">
            <v>0</v>
          </cell>
          <cell r="J592">
            <v>0</v>
          </cell>
          <cell r="K592">
            <v>0</v>
          </cell>
          <cell r="L592">
            <v>0</v>
          </cell>
          <cell r="M592">
            <v>0</v>
          </cell>
          <cell r="N592">
            <v>0</v>
          </cell>
          <cell r="O592">
            <v>0</v>
          </cell>
          <cell r="P592">
            <v>0</v>
          </cell>
          <cell r="Q592">
            <v>0</v>
          </cell>
        </row>
        <row r="593">
          <cell r="A593">
            <v>70257</v>
          </cell>
          <cell r="B593" t="str">
            <v>Depreciation</v>
          </cell>
          <cell r="E593">
            <v>0</v>
          </cell>
          <cell r="F593">
            <v>0</v>
          </cell>
          <cell r="G593">
            <v>0</v>
          </cell>
          <cell r="H593">
            <v>0</v>
          </cell>
          <cell r="I593">
            <v>0</v>
          </cell>
          <cell r="J593">
            <v>0</v>
          </cell>
          <cell r="K593">
            <v>0</v>
          </cell>
          <cell r="L593">
            <v>0</v>
          </cell>
          <cell r="M593">
            <v>0</v>
          </cell>
          <cell r="N593">
            <v>0</v>
          </cell>
          <cell r="O593">
            <v>0</v>
          </cell>
          <cell r="P593">
            <v>0</v>
          </cell>
          <cell r="Q593">
            <v>0</v>
          </cell>
        </row>
        <row r="594">
          <cell r="A594">
            <v>70260</v>
          </cell>
          <cell r="B594" t="str">
            <v>Depreciation</v>
          </cell>
          <cell r="E594">
            <v>1532.42</v>
          </cell>
          <cell r="F594">
            <v>1532.4</v>
          </cell>
          <cell r="G594">
            <v>1532.42</v>
          </cell>
          <cell r="H594">
            <v>1459.5</v>
          </cell>
          <cell r="I594">
            <v>1459.49</v>
          </cell>
          <cell r="J594">
            <v>1422.66</v>
          </cell>
          <cell r="K594">
            <v>1422.61</v>
          </cell>
          <cell r="L594">
            <v>1422.6</v>
          </cell>
          <cell r="M594">
            <v>1422.64</v>
          </cell>
          <cell r="N594">
            <v>1422.61</v>
          </cell>
          <cell r="O594">
            <v>1422.62</v>
          </cell>
          <cell r="P594">
            <v>1595.38</v>
          </cell>
          <cell r="Q594">
            <v>17647.350000000002</v>
          </cell>
        </row>
        <row r="595">
          <cell r="A595" t="str">
            <v>Total Depreciation</v>
          </cell>
          <cell r="E595">
            <v>65371.189999999995</v>
          </cell>
          <cell r="F595">
            <v>65506.460000000006</v>
          </cell>
          <cell r="G595">
            <v>65506.409999999996</v>
          </cell>
          <cell r="H595">
            <v>65454.710000000006</v>
          </cell>
          <cell r="I595">
            <v>65455.049999999996</v>
          </cell>
          <cell r="J595">
            <v>64535.400000000009</v>
          </cell>
          <cell r="K595">
            <v>64533.94</v>
          </cell>
          <cell r="L595">
            <v>63541.37</v>
          </cell>
          <cell r="M595">
            <v>63542.03</v>
          </cell>
          <cell r="N595">
            <v>64345.65</v>
          </cell>
          <cell r="O595">
            <v>64001.990000000005</v>
          </cell>
          <cell r="P595">
            <v>64691.21</v>
          </cell>
          <cell r="Q595">
            <v>776485.41</v>
          </cell>
        </row>
        <row r="597">
          <cell r="A597" t="str">
            <v>Depletion</v>
          </cell>
        </row>
        <row r="598">
          <cell r="A598">
            <v>46000</v>
          </cell>
          <cell r="B598" t="str">
            <v>Depletion</v>
          </cell>
          <cell r="E598">
            <v>0</v>
          </cell>
          <cell r="F598">
            <v>0</v>
          </cell>
          <cell r="G598">
            <v>0</v>
          </cell>
          <cell r="H598">
            <v>0</v>
          </cell>
          <cell r="I598">
            <v>0</v>
          </cell>
          <cell r="J598">
            <v>0</v>
          </cell>
          <cell r="K598">
            <v>0</v>
          </cell>
          <cell r="L598">
            <v>0</v>
          </cell>
          <cell r="M598">
            <v>0</v>
          </cell>
          <cell r="N598">
            <v>0</v>
          </cell>
          <cell r="O598">
            <v>0</v>
          </cell>
          <cell r="P598">
            <v>0</v>
          </cell>
          <cell r="Q598">
            <v>0</v>
          </cell>
        </row>
        <row r="599">
          <cell r="A599">
            <v>46010</v>
          </cell>
          <cell r="B599" t="str">
            <v>Closure Amortization</v>
          </cell>
          <cell r="E599">
            <v>0</v>
          </cell>
          <cell r="F599">
            <v>0</v>
          </cell>
          <cell r="G599">
            <v>0</v>
          </cell>
          <cell r="H599">
            <v>0</v>
          </cell>
          <cell r="I599">
            <v>0</v>
          </cell>
          <cell r="J599">
            <v>0</v>
          </cell>
          <cell r="K599">
            <v>0</v>
          </cell>
          <cell r="L599">
            <v>0</v>
          </cell>
          <cell r="M599">
            <v>0</v>
          </cell>
          <cell r="N599">
            <v>0</v>
          </cell>
          <cell r="O599">
            <v>0</v>
          </cell>
          <cell r="P599">
            <v>0</v>
          </cell>
          <cell r="Q599">
            <v>0</v>
          </cell>
        </row>
        <row r="600">
          <cell r="A600">
            <v>57261</v>
          </cell>
          <cell r="B600" t="str">
            <v>Airspace Amortization</v>
          </cell>
          <cell r="E600">
            <v>0</v>
          </cell>
          <cell r="F600">
            <v>0</v>
          </cell>
          <cell r="G600">
            <v>0</v>
          </cell>
          <cell r="H600">
            <v>0</v>
          </cell>
          <cell r="I600">
            <v>0</v>
          </cell>
          <cell r="J600">
            <v>0</v>
          </cell>
          <cell r="K600">
            <v>0</v>
          </cell>
          <cell r="L600">
            <v>0</v>
          </cell>
          <cell r="M600">
            <v>0</v>
          </cell>
          <cell r="N600">
            <v>0</v>
          </cell>
          <cell r="O600">
            <v>0</v>
          </cell>
          <cell r="P600">
            <v>0</v>
          </cell>
          <cell r="Q600">
            <v>0</v>
          </cell>
        </row>
        <row r="601">
          <cell r="A601" t="str">
            <v>Total Depletion</v>
          </cell>
          <cell r="E601">
            <v>0</v>
          </cell>
          <cell r="F601">
            <v>0</v>
          </cell>
          <cell r="G601">
            <v>0</v>
          </cell>
          <cell r="H601">
            <v>0</v>
          </cell>
          <cell r="I601">
            <v>0</v>
          </cell>
          <cell r="J601">
            <v>0</v>
          </cell>
          <cell r="K601">
            <v>0</v>
          </cell>
          <cell r="L601">
            <v>0</v>
          </cell>
          <cell r="M601">
            <v>0</v>
          </cell>
          <cell r="N601">
            <v>0</v>
          </cell>
          <cell r="O601">
            <v>0</v>
          </cell>
          <cell r="P601">
            <v>0</v>
          </cell>
          <cell r="Q601">
            <v>0</v>
          </cell>
        </row>
        <row r="603">
          <cell r="A603" t="str">
            <v>Amortization</v>
          </cell>
        </row>
        <row r="604">
          <cell r="A604">
            <v>70264</v>
          </cell>
          <cell r="B604" t="str">
            <v>Amortization</v>
          </cell>
          <cell r="E604">
            <v>0</v>
          </cell>
          <cell r="F604">
            <v>0</v>
          </cell>
          <cell r="G604">
            <v>0</v>
          </cell>
          <cell r="H604">
            <v>0</v>
          </cell>
          <cell r="I604">
            <v>0</v>
          </cell>
          <cell r="J604">
            <v>0</v>
          </cell>
          <cell r="K604">
            <v>0</v>
          </cell>
          <cell r="L604">
            <v>0</v>
          </cell>
          <cell r="M604">
            <v>0</v>
          </cell>
          <cell r="N604">
            <v>0</v>
          </cell>
          <cell r="O604">
            <v>0</v>
          </cell>
          <cell r="P604">
            <v>0</v>
          </cell>
          <cell r="Q604">
            <v>0</v>
          </cell>
        </row>
        <row r="605">
          <cell r="A605">
            <v>70266</v>
          </cell>
          <cell r="B605" t="str">
            <v>Cov. Not to Compete</v>
          </cell>
          <cell r="E605">
            <v>0</v>
          </cell>
          <cell r="F605">
            <v>0</v>
          </cell>
          <cell r="G605">
            <v>0</v>
          </cell>
          <cell r="H605">
            <v>0</v>
          </cell>
          <cell r="I605">
            <v>0</v>
          </cell>
          <cell r="J605">
            <v>0</v>
          </cell>
          <cell r="K605">
            <v>0</v>
          </cell>
          <cell r="L605">
            <v>0</v>
          </cell>
          <cell r="M605">
            <v>0</v>
          </cell>
          <cell r="N605">
            <v>0</v>
          </cell>
          <cell r="O605">
            <v>0</v>
          </cell>
          <cell r="P605">
            <v>0</v>
          </cell>
          <cell r="Q605">
            <v>0</v>
          </cell>
        </row>
        <row r="606">
          <cell r="A606">
            <v>70267</v>
          </cell>
          <cell r="B606" t="str">
            <v>Amortization of Goodwill - Taxable</v>
          </cell>
          <cell r="E606">
            <v>0</v>
          </cell>
          <cell r="F606">
            <v>0</v>
          </cell>
          <cell r="G606">
            <v>0</v>
          </cell>
          <cell r="H606">
            <v>0</v>
          </cell>
          <cell r="I606">
            <v>0</v>
          </cell>
          <cell r="J606">
            <v>0</v>
          </cell>
          <cell r="K606">
            <v>0</v>
          </cell>
          <cell r="L606">
            <v>0</v>
          </cell>
          <cell r="M606">
            <v>0</v>
          </cell>
          <cell r="N606">
            <v>0</v>
          </cell>
          <cell r="O606">
            <v>0</v>
          </cell>
          <cell r="P606">
            <v>0</v>
          </cell>
          <cell r="Q606">
            <v>0</v>
          </cell>
        </row>
        <row r="607">
          <cell r="A607">
            <v>70268</v>
          </cell>
          <cell r="B607" t="str">
            <v>Amortization of Goodwill - Non-Taxable</v>
          </cell>
          <cell r="E607">
            <v>0</v>
          </cell>
          <cell r="F607">
            <v>0</v>
          </cell>
          <cell r="G607">
            <v>0</v>
          </cell>
          <cell r="H607">
            <v>0</v>
          </cell>
          <cell r="I607">
            <v>0</v>
          </cell>
          <cell r="J607">
            <v>0</v>
          </cell>
          <cell r="K607">
            <v>0</v>
          </cell>
          <cell r="L607">
            <v>0</v>
          </cell>
          <cell r="M607">
            <v>0</v>
          </cell>
          <cell r="N607">
            <v>0</v>
          </cell>
          <cell r="O607">
            <v>0</v>
          </cell>
          <cell r="P607">
            <v>0</v>
          </cell>
          <cell r="Q607">
            <v>0</v>
          </cell>
        </row>
        <row r="608">
          <cell r="A608">
            <v>70269</v>
          </cell>
          <cell r="B608" t="str">
            <v>Long Term Contract Amort</v>
          </cell>
          <cell r="E608">
            <v>0</v>
          </cell>
          <cell r="F608">
            <v>0</v>
          </cell>
          <cell r="G608">
            <v>0</v>
          </cell>
          <cell r="H608">
            <v>0</v>
          </cell>
          <cell r="I608">
            <v>0</v>
          </cell>
          <cell r="J608">
            <v>0</v>
          </cell>
          <cell r="K608">
            <v>0</v>
          </cell>
          <cell r="L608">
            <v>0</v>
          </cell>
          <cell r="M608">
            <v>0</v>
          </cell>
          <cell r="N608">
            <v>0</v>
          </cell>
          <cell r="O608">
            <v>0</v>
          </cell>
          <cell r="P608">
            <v>0</v>
          </cell>
          <cell r="Q608">
            <v>0</v>
          </cell>
        </row>
        <row r="609">
          <cell r="A609" t="str">
            <v>Total Amortization</v>
          </cell>
          <cell r="E609">
            <v>0</v>
          </cell>
          <cell r="F609">
            <v>0</v>
          </cell>
          <cell r="G609">
            <v>0</v>
          </cell>
          <cell r="H609">
            <v>0</v>
          </cell>
          <cell r="I609">
            <v>0</v>
          </cell>
          <cell r="J609">
            <v>0</v>
          </cell>
          <cell r="K609">
            <v>0</v>
          </cell>
          <cell r="L609">
            <v>0</v>
          </cell>
          <cell r="M609">
            <v>0</v>
          </cell>
          <cell r="N609">
            <v>0</v>
          </cell>
          <cell r="O609">
            <v>0</v>
          </cell>
          <cell r="P609">
            <v>0</v>
          </cell>
          <cell r="Q609">
            <v>0</v>
          </cell>
        </row>
        <row r="611">
          <cell r="A611" t="str">
            <v>Total DDA</v>
          </cell>
          <cell r="E611">
            <v>65371.189999999995</v>
          </cell>
          <cell r="F611">
            <v>65506.460000000006</v>
          </cell>
          <cell r="G611">
            <v>65506.409999999996</v>
          </cell>
          <cell r="H611">
            <v>65454.710000000006</v>
          </cell>
          <cell r="I611">
            <v>65455.049999999996</v>
          </cell>
          <cell r="J611">
            <v>64535.400000000009</v>
          </cell>
          <cell r="K611">
            <v>64533.94</v>
          </cell>
          <cell r="L611">
            <v>63541.37</v>
          </cell>
          <cell r="M611">
            <v>63542.03</v>
          </cell>
          <cell r="N611">
            <v>64345.65</v>
          </cell>
          <cell r="O611">
            <v>64001.990000000005</v>
          </cell>
          <cell r="P611">
            <v>64691.21</v>
          </cell>
          <cell r="Q611">
            <v>776485.41</v>
          </cell>
        </row>
        <row r="613">
          <cell r="A613" t="str">
            <v>EBIT</v>
          </cell>
          <cell r="E613">
            <v>-44982.409999999909</v>
          </cell>
          <cell r="F613">
            <v>210392.18999999994</v>
          </cell>
          <cell r="G613">
            <v>12199.139999999876</v>
          </cell>
          <cell r="H613">
            <v>87764.120000000068</v>
          </cell>
          <cell r="I613">
            <v>74408.229999999749</v>
          </cell>
          <cell r="J613">
            <v>139803.31000000006</v>
          </cell>
          <cell r="K613">
            <v>28808.420000000013</v>
          </cell>
          <cell r="L613">
            <v>178292.47</v>
          </cell>
          <cell r="M613">
            <v>70700.629999999976</v>
          </cell>
          <cell r="N613">
            <v>189706.05999999991</v>
          </cell>
          <cell r="O613">
            <v>-2263.1299999998737</v>
          </cell>
          <cell r="P613">
            <v>86637.149999999878</v>
          </cell>
          <cell r="Q613">
            <v>1031466.1799999956</v>
          </cell>
        </row>
        <row r="615">
          <cell r="A615" t="str">
            <v>Interest Expense</v>
          </cell>
        </row>
        <row r="616">
          <cell r="A616">
            <v>80000</v>
          </cell>
          <cell r="B616" t="str">
            <v>Interest Expense</v>
          </cell>
          <cell r="E616">
            <v>0</v>
          </cell>
          <cell r="F616">
            <v>0</v>
          </cell>
          <cell r="G616">
            <v>0</v>
          </cell>
          <cell r="H616">
            <v>0</v>
          </cell>
          <cell r="I616">
            <v>0</v>
          </cell>
          <cell r="J616">
            <v>0</v>
          </cell>
          <cell r="K616">
            <v>0</v>
          </cell>
          <cell r="L616">
            <v>0</v>
          </cell>
          <cell r="M616">
            <v>0</v>
          </cell>
          <cell r="N616">
            <v>0</v>
          </cell>
          <cell r="O616">
            <v>0</v>
          </cell>
          <cell r="P616">
            <v>0</v>
          </cell>
          <cell r="Q616">
            <v>0</v>
          </cell>
        </row>
        <row r="617">
          <cell r="A617">
            <v>80001</v>
          </cell>
          <cell r="B617" t="str">
            <v>Debt Accretion</v>
          </cell>
          <cell r="E617">
            <v>0</v>
          </cell>
          <cell r="F617">
            <v>0</v>
          </cell>
          <cell r="G617">
            <v>0</v>
          </cell>
          <cell r="H617">
            <v>0</v>
          </cell>
          <cell r="I617">
            <v>0</v>
          </cell>
          <cell r="J617">
            <v>0</v>
          </cell>
          <cell r="K617">
            <v>0</v>
          </cell>
          <cell r="L617">
            <v>0</v>
          </cell>
          <cell r="M617">
            <v>0</v>
          </cell>
          <cell r="N617">
            <v>0</v>
          </cell>
          <cell r="O617">
            <v>0</v>
          </cell>
          <cell r="P617">
            <v>0</v>
          </cell>
          <cell r="Q617">
            <v>0</v>
          </cell>
        </row>
        <row r="618">
          <cell r="A618">
            <v>80009</v>
          </cell>
          <cell r="B618" t="str">
            <v>Capitalized Interest</v>
          </cell>
          <cell r="E618">
            <v>0</v>
          </cell>
          <cell r="F618">
            <v>0</v>
          </cell>
          <cell r="G618">
            <v>0</v>
          </cell>
          <cell r="H618">
            <v>0</v>
          </cell>
          <cell r="I618">
            <v>0</v>
          </cell>
          <cell r="J618">
            <v>0</v>
          </cell>
          <cell r="K618">
            <v>0</v>
          </cell>
          <cell r="L618">
            <v>0</v>
          </cell>
          <cell r="M618">
            <v>0</v>
          </cell>
          <cell r="N618">
            <v>0</v>
          </cell>
          <cell r="O618">
            <v>0</v>
          </cell>
          <cell r="P618">
            <v>0</v>
          </cell>
          <cell r="Q618">
            <v>0</v>
          </cell>
        </row>
        <row r="619">
          <cell r="A619">
            <v>80099</v>
          </cell>
          <cell r="B619" t="str">
            <v>Interest Allocation</v>
          </cell>
          <cell r="E619">
            <v>0</v>
          </cell>
          <cell r="F619">
            <v>0</v>
          </cell>
          <cell r="G619">
            <v>0</v>
          </cell>
          <cell r="H619">
            <v>0</v>
          </cell>
          <cell r="I619">
            <v>0</v>
          </cell>
          <cell r="J619">
            <v>0</v>
          </cell>
          <cell r="K619">
            <v>0</v>
          </cell>
          <cell r="L619">
            <v>0</v>
          </cell>
          <cell r="M619">
            <v>0</v>
          </cell>
          <cell r="N619">
            <v>0</v>
          </cell>
          <cell r="O619">
            <v>0</v>
          </cell>
          <cell r="P619">
            <v>0</v>
          </cell>
          <cell r="Q619">
            <v>0</v>
          </cell>
        </row>
        <row r="620">
          <cell r="A620" t="str">
            <v>Total Interest Expense</v>
          </cell>
          <cell r="E620">
            <v>0</v>
          </cell>
          <cell r="F620">
            <v>0</v>
          </cell>
          <cell r="G620">
            <v>0</v>
          </cell>
          <cell r="H620">
            <v>0</v>
          </cell>
          <cell r="I620">
            <v>0</v>
          </cell>
          <cell r="J620">
            <v>0</v>
          </cell>
          <cell r="K620">
            <v>0</v>
          </cell>
          <cell r="L620">
            <v>0</v>
          </cell>
          <cell r="M620">
            <v>0</v>
          </cell>
          <cell r="N620">
            <v>0</v>
          </cell>
          <cell r="O620">
            <v>0</v>
          </cell>
          <cell r="P620">
            <v>0</v>
          </cell>
          <cell r="Q620">
            <v>0</v>
          </cell>
        </row>
        <row r="622">
          <cell r="A622" t="str">
            <v>Interest Income</v>
          </cell>
        </row>
        <row r="623">
          <cell r="A623">
            <v>80010</v>
          </cell>
          <cell r="B623" t="str">
            <v>Interest Income</v>
          </cell>
          <cell r="E623">
            <v>0</v>
          </cell>
          <cell r="F623">
            <v>0</v>
          </cell>
          <cell r="G623">
            <v>0</v>
          </cell>
          <cell r="H623">
            <v>0</v>
          </cell>
          <cell r="I623">
            <v>0</v>
          </cell>
          <cell r="J623">
            <v>0</v>
          </cell>
          <cell r="K623">
            <v>0</v>
          </cell>
          <cell r="L623">
            <v>0</v>
          </cell>
          <cell r="M623">
            <v>0</v>
          </cell>
          <cell r="N623">
            <v>0</v>
          </cell>
          <cell r="O623">
            <v>0</v>
          </cell>
          <cell r="P623">
            <v>0</v>
          </cell>
          <cell r="Q623">
            <v>0</v>
          </cell>
        </row>
        <row r="624">
          <cell r="A624" t="str">
            <v>Total Interest Income</v>
          </cell>
          <cell r="E624">
            <v>0</v>
          </cell>
          <cell r="F624">
            <v>0</v>
          </cell>
          <cell r="G624">
            <v>0</v>
          </cell>
          <cell r="H624">
            <v>0</v>
          </cell>
          <cell r="I624">
            <v>0</v>
          </cell>
          <cell r="J624">
            <v>0</v>
          </cell>
          <cell r="K624">
            <v>0</v>
          </cell>
          <cell r="L624">
            <v>0</v>
          </cell>
          <cell r="M624">
            <v>0</v>
          </cell>
          <cell r="N624">
            <v>0</v>
          </cell>
          <cell r="O624">
            <v>0</v>
          </cell>
          <cell r="P624">
            <v>0</v>
          </cell>
          <cell r="Q624">
            <v>0</v>
          </cell>
        </row>
        <row r="626">
          <cell r="A626" t="str">
            <v>Other (Income) and Expense</v>
          </cell>
        </row>
        <row r="627">
          <cell r="A627">
            <v>70901</v>
          </cell>
          <cell r="B627" t="str">
            <v>Pooling Costs</v>
          </cell>
          <cell r="E627">
            <v>0</v>
          </cell>
          <cell r="F627">
            <v>0</v>
          </cell>
          <cell r="G627">
            <v>0</v>
          </cell>
          <cell r="H627">
            <v>0</v>
          </cell>
          <cell r="I627">
            <v>0</v>
          </cell>
          <cell r="J627">
            <v>0</v>
          </cell>
          <cell r="K627">
            <v>0</v>
          </cell>
          <cell r="L627">
            <v>0</v>
          </cell>
          <cell r="M627">
            <v>0</v>
          </cell>
          <cell r="N627">
            <v>0</v>
          </cell>
          <cell r="O627">
            <v>0</v>
          </cell>
          <cell r="P627">
            <v>0</v>
          </cell>
          <cell r="Q627">
            <v>0</v>
          </cell>
        </row>
        <row r="628">
          <cell r="A628">
            <v>91000</v>
          </cell>
          <cell r="B628" t="str">
            <v>Unusual Gain/Loss</v>
          </cell>
          <cell r="E628">
            <v>0</v>
          </cell>
          <cell r="F628">
            <v>0</v>
          </cell>
          <cell r="G628">
            <v>0</v>
          </cell>
          <cell r="H628">
            <v>0</v>
          </cell>
          <cell r="I628">
            <v>0</v>
          </cell>
          <cell r="J628">
            <v>0</v>
          </cell>
          <cell r="K628">
            <v>0</v>
          </cell>
          <cell r="L628">
            <v>0</v>
          </cell>
          <cell r="M628">
            <v>0</v>
          </cell>
          <cell r="N628">
            <v>0</v>
          </cell>
          <cell r="O628">
            <v>0</v>
          </cell>
          <cell r="P628">
            <v>0</v>
          </cell>
          <cell r="Q628">
            <v>0</v>
          </cell>
        </row>
        <row r="629">
          <cell r="A629">
            <v>91001</v>
          </cell>
          <cell r="B629" t="str">
            <v>Investment Distribution Income</v>
          </cell>
          <cell r="E629">
            <v>0</v>
          </cell>
          <cell r="F629">
            <v>0</v>
          </cell>
          <cell r="G629">
            <v>0</v>
          </cell>
          <cell r="H629">
            <v>0</v>
          </cell>
          <cell r="I629">
            <v>0</v>
          </cell>
          <cell r="J629">
            <v>0</v>
          </cell>
          <cell r="K629">
            <v>0</v>
          </cell>
          <cell r="L629">
            <v>0</v>
          </cell>
          <cell r="M629">
            <v>0</v>
          </cell>
          <cell r="N629">
            <v>0</v>
          </cell>
          <cell r="O629">
            <v>0</v>
          </cell>
          <cell r="P629">
            <v>0</v>
          </cell>
          <cell r="Q629">
            <v>0</v>
          </cell>
        </row>
        <row r="630">
          <cell r="A630">
            <v>91002</v>
          </cell>
          <cell r="B630" t="str">
            <v>NSF Fees</v>
          </cell>
          <cell r="E630">
            <v>0</v>
          </cell>
          <cell r="F630">
            <v>0</v>
          </cell>
          <cell r="G630">
            <v>0</v>
          </cell>
          <cell r="H630">
            <v>0</v>
          </cell>
          <cell r="I630">
            <v>0</v>
          </cell>
          <cell r="J630">
            <v>0</v>
          </cell>
          <cell r="K630">
            <v>0</v>
          </cell>
          <cell r="L630">
            <v>0</v>
          </cell>
          <cell r="M630">
            <v>0</v>
          </cell>
          <cell r="N630">
            <v>0</v>
          </cell>
          <cell r="O630">
            <v>0</v>
          </cell>
          <cell r="P630">
            <v>0</v>
          </cell>
          <cell r="Q630">
            <v>0</v>
          </cell>
        </row>
        <row r="631">
          <cell r="A631" t="str">
            <v>Total Other (Income) and Expense</v>
          </cell>
          <cell r="E631">
            <v>0</v>
          </cell>
          <cell r="F631">
            <v>0</v>
          </cell>
          <cell r="G631">
            <v>0</v>
          </cell>
          <cell r="H631">
            <v>0</v>
          </cell>
          <cell r="I631">
            <v>0</v>
          </cell>
          <cell r="J631">
            <v>0</v>
          </cell>
          <cell r="K631">
            <v>0</v>
          </cell>
          <cell r="L631">
            <v>0</v>
          </cell>
          <cell r="M631">
            <v>0</v>
          </cell>
          <cell r="N631">
            <v>0</v>
          </cell>
          <cell r="O631">
            <v>0</v>
          </cell>
          <cell r="P631">
            <v>0</v>
          </cell>
          <cell r="Q631">
            <v>0</v>
          </cell>
        </row>
        <row r="633">
          <cell r="A633" t="str">
            <v>Income Before Taxes and Extraordinary Items</v>
          </cell>
          <cell r="E633">
            <v>-44982.409999999909</v>
          </cell>
          <cell r="F633">
            <v>210392.18999999994</v>
          </cell>
          <cell r="G633">
            <v>12199.139999999876</v>
          </cell>
          <cell r="H633">
            <v>87764.120000000068</v>
          </cell>
          <cell r="I633">
            <v>74408.229999999749</v>
          </cell>
          <cell r="J633">
            <v>139803.31000000006</v>
          </cell>
          <cell r="K633">
            <v>28808.420000000013</v>
          </cell>
          <cell r="L633">
            <v>178292.47</v>
          </cell>
          <cell r="M633">
            <v>70700.629999999976</v>
          </cell>
          <cell r="N633">
            <v>189706.05999999991</v>
          </cell>
          <cell r="O633">
            <v>-2263.1299999998737</v>
          </cell>
          <cell r="P633">
            <v>86637.149999999878</v>
          </cell>
          <cell r="Q633">
            <v>1031466.1799999956</v>
          </cell>
        </row>
        <row r="635">
          <cell r="A635" t="str">
            <v>Extraordinary Income and Expense</v>
          </cell>
        </row>
        <row r="636">
          <cell r="A636">
            <v>92999</v>
          </cell>
          <cell r="B636" t="str">
            <v>Extraordinary Gain/Loss</v>
          </cell>
          <cell r="E636">
            <v>0</v>
          </cell>
          <cell r="F636">
            <v>0</v>
          </cell>
          <cell r="G636">
            <v>0</v>
          </cell>
          <cell r="H636">
            <v>0</v>
          </cell>
          <cell r="I636">
            <v>0</v>
          </cell>
          <cell r="J636">
            <v>0</v>
          </cell>
          <cell r="K636">
            <v>0</v>
          </cell>
          <cell r="L636">
            <v>0</v>
          </cell>
          <cell r="M636">
            <v>0</v>
          </cell>
          <cell r="N636">
            <v>0</v>
          </cell>
          <cell r="O636">
            <v>0</v>
          </cell>
          <cell r="P636">
            <v>0</v>
          </cell>
          <cell r="Q636">
            <v>0</v>
          </cell>
        </row>
        <row r="637">
          <cell r="A637" t="str">
            <v>Total Extraordinary Income and Expense</v>
          </cell>
          <cell r="E637">
            <v>0</v>
          </cell>
          <cell r="F637">
            <v>0</v>
          </cell>
          <cell r="G637">
            <v>0</v>
          </cell>
          <cell r="H637">
            <v>0</v>
          </cell>
          <cell r="I637">
            <v>0</v>
          </cell>
          <cell r="J637">
            <v>0</v>
          </cell>
          <cell r="K637">
            <v>0</v>
          </cell>
          <cell r="L637">
            <v>0</v>
          </cell>
          <cell r="M637">
            <v>0</v>
          </cell>
          <cell r="N637">
            <v>0</v>
          </cell>
          <cell r="O637">
            <v>0</v>
          </cell>
          <cell r="P637">
            <v>0</v>
          </cell>
          <cell r="Q637">
            <v>0</v>
          </cell>
        </row>
        <row r="639">
          <cell r="A639" t="str">
            <v>Net Income Before Taxes</v>
          </cell>
          <cell r="E639">
            <v>-44982.409999999909</v>
          </cell>
          <cell r="F639">
            <v>210392.18999999994</v>
          </cell>
          <cell r="G639">
            <v>12199.139999999876</v>
          </cell>
          <cell r="H639">
            <v>87764.120000000068</v>
          </cell>
          <cell r="I639">
            <v>74408.229999999749</v>
          </cell>
          <cell r="J639">
            <v>139803.31000000006</v>
          </cell>
          <cell r="K639">
            <v>28808.420000000013</v>
          </cell>
          <cell r="L639">
            <v>178292.47</v>
          </cell>
          <cell r="M639">
            <v>70700.629999999976</v>
          </cell>
          <cell r="N639">
            <v>189706.05999999991</v>
          </cell>
          <cell r="O639">
            <v>-2263.1299999998737</v>
          </cell>
          <cell r="P639">
            <v>86637.149999999878</v>
          </cell>
          <cell r="Q639">
            <v>1031466.1799999956</v>
          </cell>
        </row>
        <row r="641">
          <cell r="A641" t="str">
            <v>Income Taxes</v>
          </cell>
        </row>
        <row r="642">
          <cell r="A642">
            <v>90000</v>
          </cell>
          <cell r="B642" t="str">
            <v>Taxes -Federal</v>
          </cell>
          <cell r="E642">
            <v>0</v>
          </cell>
          <cell r="F642">
            <v>0</v>
          </cell>
          <cell r="G642">
            <v>0</v>
          </cell>
          <cell r="H642">
            <v>0</v>
          </cell>
          <cell r="I642">
            <v>0</v>
          </cell>
          <cell r="J642">
            <v>0</v>
          </cell>
          <cell r="K642">
            <v>0</v>
          </cell>
          <cell r="L642">
            <v>0</v>
          </cell>
          <cell r="M642">
            <v>0</v>
          </cell>
          <cell r="N642">
            <v>0</v>
          </cell>
          <cell r="O642">
            <v>0</v>
          </cell>
          <cell r="P642">
            <v>0</v>
          </cell>
          <cell r="Q642">
            <v>0</v>
          </cell>
        </row>
        <row r="643">
          <cell r="A643">
            <v>90010</v>
          </cell>
          <cell r="B643" t="str">
            <v>Taxes - State</v>
          </cell>
          <cell r="E643">
            <v>0</v>
          </cell>
          <cell r="F643">
            <v>0</v>
          </cell>
          <cell r="G643">
            <v>0</v>
          </cell>
          <cell r="H643">
            <v>0</v>
          </cell>
          <cell r="I643">
            <v>0</v>
          </cell>
          <cell r="J643">
            <v>0</v>
          </cell>
          <cell r="K643">
            <v>0</v>
          </cell>
          <cell r="L643">
            <v>0</v>
          </cell>
          <cell r="M643">
            <v>0</v>
          </cell>
          <cell r="N643">
            <v>0</v>
          </cell>
          <cell r="O643">
            <v>0</v>
          </cell>
          <cell r="P643">
            <v>0</v>
          </cell>
          <cell r="Q643">
            <v>0</v>
          </cell>
        </row>
        <row r="644">
          <cell r="A644" t="str">
            <v>Total Income Taxes</v>
          </cell>
          <cell r="E644">
            <v>0</v>
          </cell>
          <cell r="F644">
            <v>0</v>
          </cell>
          <cell r="G644">
            <v>0</v>
          </cell>
          <cell r="H644">
            <v>0</v>
          </cell>
          <cell r="I644">
            <v>0</v>
          </cell>
          <cell r="J644">
            <v>0</v>
          </cell>
          <cell r="K644">
            <v>0</v>
          </cell>
          <cell r="L644">
            <v>0</v>
          </cell>
          <cell r="M644">
            <v>0</v>
          </cell>
          <cell r="N644">
            <v>0</v>
          </cell>
          <cell r="O644">
            <v>0</v>
          </cell>
          <cell r="P644">
            <v>0</v>
          </cell>
          <cell r="Q644">
            <v>0</v>
          </cell>
        </row>
        <row r="646">
          <cell r="A646" t="str">
            <v>Net Income</v>
          </cell>
          <cell r="E646">
            <v>-44982.409999999909</v>
          </cell>
          <cell r="F646">
            <v>210392.18999999994</v>
          </cell>
          <cell r="G646">
            <v>12199.139999999876</v>
          </cell>
          <cell r="H646">
            <v>87764.120000000068</v>
          </cell>
          <cell r="I646">
            <v>74408.229999999749</v>
          </cell>
          <cell r="J646">
            <v>139803.31000000006</v>
          </cell>
          <cell r="K646">
            <v>28808.420000000013</v>
          </cell>
          <cell r="L646">
            <v>178292.47</v>
          </cell>
          <cell r="M646">
            <v>70700.629999999976</v>
          </cell>
          <cell r="N646">
            <v>189706.05999999991</v>
          </cell>
          <cell r="O646">
            <v>-2263.1299999998737</v>
          </cell>
          <cell r="P646">
            <v>86637.149999999878</v>
          </cell>
          <cell r="Q646">
            <v>1031466.1799999956</v>
          </cell>
        </row>
        <row r="648">
          <cell r="A648" t="str">
            <v>Noncontrolling Interests Expense</v>
          </cell>
        </row>
        <row r="649">
          <cell r="A649">
            <v>92000</v>
          </cell>
          <cell r="B649" t="str">
            <v>Noncontrolling interests</v>
          </cell>
          <cell r="E649">
            <v>0</v>
          </cell>
          <cell r="F649">
            <v>0</v>
          </cell>
          <cell r="G649">
            <v>0</v>
          </cell>
          <cell r="H649">
            <v>0</v>
          </cell>
          <cell r="I649">
            <v>0</v>
          </cell>
          <cell r="J649">
            <v>0</v>
          </cell>
          <cell r="K649">
            <v>0</v>
          </cell>
          <cell r="L649">
            <v>0</v>
          </cell>
          <cell r="M649">
            <v>0</v>
          </cell>
          <cell r="N649">
            <v>0</v>
          </cell>
          <cell r="O649">
            <v>0</v>
          </cell>
          <cell r="P649">
            <v>0</v>
          </cell>
          <cell r="Q649">
            <v>0</v>
          </cell>
        </row>
        <row r="650">
          <cell r="A650" t="str">
            <v>Total Noncontrolling Interests</v>
          </cell>
          <cell r="E650">
            <v>0</v>
          </cell>
          <cell r="F650">
            <v>0</v>
          </cell>
          <cell r="G650">
            <v>0</v>
          </cell>
          <cell r="H650">
            <v>0</v>
          </cell>
          <cell r="I650">
            <v>0</v>
          </cell>
          <cell r="J650">
            <v>0</v>
          </cell>
          <cell r="K650">
            <v>0</v>
          </cell>
          <cell r="L650">
            <v>0</v>
          </cell>
          <cell r="M650">
            <v>0</v>
          </cell>
          <cell r="N650">
            <v>0</v>
          </cell>
          <cell r="O650">
            <v>0</v>
          </cell>
          <cell r="P650">
            <v>0</v>
          </cell>
          <cell r="Q650">
            <v>0</v>
          </cell>
        </row>
        <row r="652">
          <cell r="A652" t="str">
            <v>Net Income Attributable to Waste Connections</v>
          </cell>
          <cell r="E652">
            <v>-44982.409999999909</v>
          </cell>
          <cell r="F652">
            <v>210392.18999999994</v>
          </cell>
          <cell r="G652">
            <v>12199.139999999876</v>
          </cell>
          <cell r="H652">
            <v>87764.120000000068</v>
          </cell>
          <cell r="I652">
            <v>74408.229999999749</v>
          </cell>
          <cell r="J652">
            <v>139803.31000000006</v>
          </cell>
          <cell r="K652">
            <v>28808.420000000013</v>
          </cell>
          <cell r="L652">
            <v>178292.47</v>
          </cell>
          <cell r="M652">
            <v>70700.629999999976</v>
          </cell>
          <cell r="N652">
            <v>189706.05999999991</v>
          </cell>
          <cell r="O652">
            <v>-2263.1299999998737</v>
          </cell>
          <cell r="P652">
            <v>86637.149999999878</v>
          </cell>
          <cell r="Q652">
            <v>1031466.1799999956</v>
          </cell>
        </row>
        <row r="654">
          <cell r="A654" t="str">
            <v>Net Income Attributable to Waste Connections per categories</v>
          </cell>
          <cell r="E654">
            <v>-44982.41</v>
          </cell>
          <cell r="F654">
            <v>210392.19</v>
          </cell>
          <cell r="G654">
            <v>12199.14</v>
          </cell>
          <cell r="H654">
            <v>87764.12</v>
          </cell>
          <cell r="I654">
            <v>74408.23</v>
          </cell>
          <cell r="J654">
            <v>139803.31</v>
          </cell>
          <cell r="K654">
            <v>28808.42</v>
          </cell>
          <cell r="L654">
            <v>178292.47</v>
          </cell>
          <cell r="M654">
            <v>70700.63</v>
          </cell>
          <cell r="N654">
            <v>189706.06</v>
          </cell>
          <cell r="O654">
            <v>-2263.13</v>
          </cell>
          <cell r="P654">
            <v>86637.15</v>
          </cell>
        </row>
      </sheetData>
      <sheetData sheetId="5" refreshError="1">
        <row r="12">
          <cell r="A12" t="str">
            <v>Revenue</v>
          </cell>
        </row>
        <row r="13">
          <cell r="A13" t="str">
            <v>Hauling</v>
          </cell>
        </row>
        <row r="14">
          <cell r="A14">
            <v>31000</v>
          </cell>
          <cell r="B14" t="str">
            <v>Hauling Revenue - Roll Off Permanent</v>
          </cell>
          <cell r="E14">
            <v>102444.08</v>
          </cell>
          <cell r="F14">
            <v>106574.9</v>
          </cell>
          <cell r="G14">
            <v>117486.29</v>
          </cell>
          <cell r="H14">
            <v>113663.22</v>
          </cell>
          <cell r="I14">
            <v>107537.52</v>
          </cell>
          <cell r="J14">
            <v>118709.91</v>
          </cell>
          <cell r="K14">
            <v>120424.95</v>
          </cell>
          <cell r="L14">
            <v>126593.49</v>
          </cell>
          <cell r="M14">
            <v>117849.49</v>
          </cell>
          <cell r="N14">
            <v>117031.26</v>
          </cell>
          <cell r="O14">
            <v>112018.5</v>
          </cell>
          <cell r="P14">
            <v>117369.28</v>
          </cell>
          <cell r="Q14">
            <v>1377702.89</v>
          </cell>
        </row>
        <row r="15">
          <cell r="A15">
            <v>31001</v>
          </cell>
          <cell r="B15" t="str">
            <v>Hauling Revenue - Roll Off Temporary</v>
          </cell>
          <cell r="E15">
            <v>0</v>
          </cell>
          <cell r="F15">
            <v>0</v>
          </cell>
          <cell r="G15">
            <v>0</v>
          </cell>
          <cell r="H15">
            <v>0</v>
          </cell>
          <cell r="I15">
            <v>0</v>
          </cell>
          <cell r="J15">
            <v>0</v>
          </cell>
          <cell r="K15">
            <v>0</v>
          </cell>
          <cell r="L15">
            <v>0</v>
          </cell>
          <cell r="M15">
            <v>0</v>
          </cell>
          <cell r="N15">
            <v>0</v>
          </cell>
          <cell r="O15">
            <v>0</v>
          </cell>
          <cell r="P15">
            <v>0</v>
          </cell>
          <cell r="Q15">
            <v>0</v>
          </cell>
        </row>
        <row r="16">
          <cell r="A16">
            <v>31002</v>
          </cell>
          <cell r="B16" t="str">
            <v>Hauling Revenue - Roll Off Rental</v>
          </cell>
          <cell r="E16">
            <v>0</v>
          </cell>
          <cell r="F16">
            <v>0</v>
          </cell>
          <cell r="G16">
            <v>0</v>
          </cell>
          <cell r="H16">
            <v>0</v>
          </cell>
          <cell r="I16">
            <v>0</v>
          </cell>
          <cell r="J16">
            <v>0</v>
          </cell>
          <cell r="K16">
            <v>0</v>
          </cell>
          <cell r="L16">
            <v>0</v>
          </cell>
          <cell r="M16">
            <v>0</v>
          </cell>
          <cell r="N16">
            <v>0</v>
          </cell>
          <cell r="O16">
            <v>0</v>
          </cell>
          <cell r="P16">
            <v>0</v>
          </cell>
          <cell r="Q16">
            <v>0</v>
          </cell>
        </row>
        <row r="17">
          <cell r="A17">
            <v>31003</v>
          </cell>
          <cell r="B17" t="str">
            <v>Hauling Revenue - Roll Off Compactor Ren</v>
          </cell>
          <cell r="E17">
            <v>0</v>
          </cell>
          <cell r="F17">
            <v>0</v>
          </cell>
          <cell r="G17">
            <v>0</v>
          </cell>
          <cell r="H17">
            <v>0</v>
          </cell>
          <cell r="I17">
            <v>0</v>
          </cell>
          <cell r="J17">
            <v>0</v>
          </cell>
          <cell r="K17">
            <v>0</v>
          </cell>
          <cell r="L17">
            <v>0</v>
          </cell>
          <cell r="M17">
            <v>0</v>
          </cell>
          <cell r="N17">
            <v>0</v>
          </cell>
          <cell r="O17">
            <v>0</v>
          </cell>
          <cell r="P17">
            <v>0</v>
          </cell>
          <cell r="Q17">
            <v>0</v>
          </cell>
        </row>
        <row r="18">
          <cell r="A18">
            <v>31004</v>
          </cell>
          <cell r="B18" t="str">
            <v>Hauling Revenue - Roll Off Recycling</v>
          </cell>
          <cell r="E18">
            <v>0</v>
          </cell>
          <cell r="F18">
            <v>0</v>
          </cell>
          <cell r="G18">
            <v>0</v>
          </cell>
          <cell r="H18">
            <v>0</v>
          </cell>
          <cell r="I18">
            <v>0</v>
          </cell>
          <cell r="J18">
            <v>0</v>
          </cell>
          <cell r="K18">
            <v>0</v>
          </cell>
          <cell r="L18">
            <v>0</v>
          </cell>
          <cell r="M18">
            <v>0</v>
          </cell>
          <cell r="N18">
            <v>0</v>
          </cell>
          <cell r="O18">
            <v>0</v>
          </cell>
          <cell r="P18">
            <v>0</v>
          </cell>
          <cell r="Q18">
            <v>0</v>
          </cell>
        </row>
        <row r="19">
          <cell r="A19">
            <v>31005</v>
          </cell>
          <cell r="B19" t="str">
            <v>Corporate Roll Off Disposal Charge</v>
          </cell>
          <cell r="E19">
            <v>210983.37</v>
          </cell>
          <cell r="F19">
            <v>189715.35</v>
          </cell>
          <cell r="G19">
            <v>221645.6</v>
          </cell>
          <cell r="H19">
            <v>218362.54</v>
          </cell>
          <cell r="I19">
            <v>210236.77</v>
          </cell>
          <cell r="J19">
            <v>240624.92</v>
          </cell>
          <cell r="K19">
            <v>227991.29</v>
          </cell>
          <cell r="L19">
            <v>234898.35</v>
          </cell>
          <cell r="M19">
            <v>229778.1</v>
          </cell>
          <cell r="N19">
            <v>229912.49</v>
          </cell>
          <cell r="O19">
            <v>225521.76</v>
          </cell>
          <cell r="P19">
            <v>242379.21</v>
          </cell>
          <cell r="Q19">
            <v>2682049.75</v>
          </cell>
        </row>
        <row r="20">
          <cell r="A20">
            <v>31008</v>
          </cell>
          <cell r="B20" t="str">
            <v>Hauling Revenue - Roll Off Adjustments</v>
          </cell>
          <cell r="E20">
            <v>0</v>
          </cell>
          <cell r="F20">
            <v>0</v>
          </cell>
          <cell r="G20">
            <v>0</v>
          </cell>
          <cell r="H20">
            <v>0</v>
          </cell>
          <cell r="I20">
            <v>0</v>
          </cell>
          <cell r="J20">
            <v>0</v>
          </cell>
          <cell r="K20">
            <v>0</v>
          </cell>
          <cell r="L20">
            <v>0</v>
          </cell>
          <cell r="M20">
            <v>0</v>
          </cell>
          <cell r="N20">
            <v>0</v>
          </cell>
          <cell r="O20">
            <v>0</v>
          </cell>
          <cell r="P20">
            <v>0</v>
          </cell>
          <cell r="Q20">
            <v>0</v>
          </cell>
        </row>
        <row r="21">
          <cell r="A21">
            <v>31009</v>
          </cell>
          <cell r="B21" t="str">
            <v>Hauling Revenue - Roll Off Intercompany</v>
          </cell>
          <cell r="E21">
            <v>2048.52</v>
          </cell>
          <cell r="F21">
            <v>2727.36</v>
          </cell>
          <cell r="G21">
            <v>2727.36</v>
          </cell>
          <cell r="H21">
            <v>3409.2</v>
          </cell>
          <cell r="I21">
            <v>2727.36</v>
          </cell>
          <cell r="J21">
            <v>2727.36</v>
          </cell>
          <cell r="K21">
            <v>5009.2</v>
          </cell>
          <cell r="L21">
            <v>3527.36</v>
          </cell>
          <cell r="M21">
            <v>3327.36</v>
          </cell>
          <cell r="N21">
            <v>3409.2</v>
          </cell>
          <cell r="O21">
            <v>2727.36</v>
          </cell>
          <cell r="P21">
            <v>3409.2</v>
          </cell>
          <cell r="Q21">
            <v>37776.839999999997</v>
          </cell>
        </row>
        <row r="22">
          <cell r="A22">
            <v>31010</v>
          </cell>
          <cell r="B22" t="str">
            <v>Hauling Revenue - Roll Off Extras</v>
          </cell>
          <cell r="E22">
            <v>27177.39</v>
          </cell>
          <cell r="F22">
            <v>26583.03</v>
          </cell>
          <cell r="G22">
            <v>26586.07</v>
          </cell>
          <cell r="H22">
            <v>27681.49</v>
          </cell>
          <cell r="I22">
            <v>28895.1</v>
          </cell>
          <cell r="J22">
            <v>30218.400000000001</v>
          </cell>
          <cell r="K22">
            <v>29088.41</v>
          </cell>
          <cell r="L22">
            <v>30882.48</v>
          </cell>
          <cell r="M22">
            <v>30023.54</v>
          </cell>
          <cell r="N22">
            <v>28675.83</v>
          </cell>
          <cell r="O22">
            <v>27741.67</v>
          </cell>
          <cell r="P22">
            <v>26907</v>
          </cell>
          <cell r="Q22">
            <v>340460.41</v>
          </cell>
        </row>
        <row r="23">
          <cell r="A23">
            <v>31020</v>
          </cell>
          <cell r="B23" t="str">
            <v>Hauling Revenue - Roll Off Special Waste</v>
          </cell>
          <cell r="E23">
            <v>0</v>
          </cell>
          <cell r="F23">
            <v>0</v>
          </cell>
          <cell r="G23">
            <v>0</v>
          </cell>
          <cell r="H23">
            <v>0</v>
          </cell>
          <cell r="I23">
            <v>0</v>
          </cell>
          <cell r="J23">
            <v>0</v>
          </cell>
          <cell r="K23">
            <v>0</v>
          </cell>
          <cell r="L23">
            <v>0</v>
          </cell>
          <cell r="M23">
            <v>0</v>
          </cell>
          <cell r="N23">
            <v>0</v>
          </cell>
          <cell r="O23">
            <v>0</v>
          </cell>
          <cell r="P23">
            <v>0</v>
          </cell>
          <cell r="Q23">
            <v>0</v>
          </cell>
        </row>
        <row r="24">
          <cell r="A24">
            <v>31021</v>
          </cell>
          <cell r="B24" t="str">
            <v>Hauling Revenue - Roll Off Special Waste</v>
          </cell>
          <cell r="E24">
            <v>0</v>
          </cell>
          <cell r="F24">
            <v>0</v>
          </cell>
          <cell r="G24">
            <v>0</v>
          </cell>
          <cell r="H24">
            <v>0</v>
          </cell>
          <cell r="I24">
            <v>0</v>
          </cell>
          <cell r="J24">
            <v>0</v>
          </cell>
          <cell r="K24">
            <v>0</v>
          </cell>
          <cell r="L24">
            <v>0</v>
          </cell>
          <cell r="M24">
            <v>0</v>
          </cell>
          <cell r="N24">
            <v>0</v>
          </cell>
          <cell r="O24">
            <v>0</v>
          </cell>
          <cell r="P24">
            <v>0</v>
          </cell>
          <cell r="Q24">
            <v>0</v>
          </cell>
        </row>
        <row r="25">
          <cell r="A25">
            <v>31029</v>
          </cell>
          <cell r="B25" t="str">
            <v>Hauling Revenue - Roll Off Special Waste</v>
          </cell>
          <cell r="E25">
            <v>0</v>
          </cell>
          <cell r="F25">
            <v>0</v>
          </cell>
          <cell r="G25">
            <v>0</v>
          </cell>
          <cell r="H25">
            <v>0</v>
          </cell>
          <cell r="I25">
            <v>0</v>
          </cell>
          <cell r="J25">
            <v>0</v>
          </cell>
          <cell r="K25">
            <v>0</v>
          </cell>
          <cell r="L25">
            <v>0</v>
          </cell>
          <cell r="M25">
            <v>0</v>
          </cell>
          <cell r="N25">
            <v>0</v>
          </cell>
          <cell r="O25">
            <v>0</v>
          </cell>
          <cell r="P25">
            <v>0</v>
          </cell>
          <cell r="Q25">
            <v>0</v>
          </cell>
        </row>
        <row r="26">
          <cell r="A26">
            <v>32000</v>
          </cell>
          <cell r="B26" t="str">
            <v>Hauling Revenue - Residential MSW</v>
          </cell>
          <cell r="E26">
            <v>1215495.77</v>
          </cell>
          <cell r="F26">
            <v>1200770.8</v>
          </cell>
          <cell r="G26">
            <v>1215802.44</v>
          </cell>
          <cell r="H26">
            <v>1220176.8500000001</v>
          </cell>
          <cell r="I26">
            <v>1224050.48</v>
          </cell>
          <cell r="J26">
            <v>1230237.8799999999</v>
          </cell>
          <cell r="K26">
            <v>1235768.5</v>
          </cell>
          <cell r="L26">
            <v>1230565.3500000001</v>
          </cell>
          <cell r="M26">
            <v>1233092.93</v>
          </cell>
          <cell r="N26">
            <v>1227440.83</v>
          </cell>
          <cell r="O26">
            <v>1230545.96</v>
          </cell>
          <cell r="P26">
            <v>1228126.99</v>
          </cell>
          <cell r="Q26">
            <v>14692074.779999999</v>
          </cell>
        </row>
        <row r="27">
          <cell r="A27">
            <v>32001</v>
          </cell>
          <cell r="B27" t="str">
            <v>Hauling Revenue - Residential MSW Extras</v>
          </cell>
          <cell r="E27">
            <v>29897.43</v>
          </cell>
          <cell r="F27">
            <v>23606.09</v>
          </cell>
          <cell r="G27">
            <v>37252.050000000003</v>
          </cell>
          <cell r="H27">
            <v>36299.58</v>
          </cell>
          <cell r="I27">
            <v>42698.61</v>
          </cell>
          <cell r="J27">
            <v>50366.1</v>
          </cell>
          <cell r="K27">
            <v>50649.79</v>
          </cell>
          <cell r="L27">
            <v>43300.24</v>
          </cell>
          <cell r="M27">
            <v>44830.46</v>
          </cell>
          <cell r="N27">
            <v>36083.339999999997</v>
          </cell>
          <cell r="O27">
            <v>44102.97</v>
          </cell>
          <cell r="P27">
            <v>42927.11</v>
          </cell>
          <cell r="Q27">
            <v>482013.77</v>
          </cell>
        </row>
        <row r="28">
          <cell r="A28">
            <v>32002</v>
          </cell>
          <cell r="B28" t="str">
            <v>Hauling Revenue - Residential MSW Adjust</v>
          </cell>
          <cell r="E28">
            <v>0</v>
          </cell>
          <cell r="F28">
            <v>0</v>
          </cell>
          <cell r="G28">
            <v>0</v>
          </cell>
          <cell r="H28">
            <v>0</v>
          </cell>
          <cell r="I28">
            <v>0</v>
          </cell>
          <cell r="J28">
            <v>0</v>
          </cell>
          <cell r="K28">
            <v>0</v>
          </cell>
          <cell r="L28">
            <v>0</v>
          </cell>
          <cell r="M28">
            <v>0</v>
          </cell>
          <cell r="N28">
            <v>0</v>
          </cell>
          <cell r="O28">
            <v>0</v>
          </cell>
          <cell r="P28">
            <v>0</v>
          </cell>
          <cell r="Q28">
            <v>0</v>
          </cell>
        </row>
        <row r="29">
          <cell r="A29">
            <v>32003</v>
          </cell>
          <cell r="B29" t="str">
            <v>Hauling Revenue - Residential MSW Specia</v>
          </cell>
          <cell r="E29">
            <v>0</v>
          </cell>
          <cell r="F29">
            <v>0</v>
          </cell>
          <cell r="G29">
            <v>0</v>
          </cell>
          <cell r="H29">
            <v>0</v>
          </cell>
          <cell r="I29">
            <v>0</v>
          </cell>
          <cell r="J29">
            <v>0</v>
          </cell>
          <cell r="K29">
            <v>0</v>
          </cell>
          <cell r="L29">
            <v>0</v>
          </cell>
          <cell r="M29">
            <v>0</v>
          </cell>
          <cell r="N29">
            <v>0</v>
          </cell>
          <cell r="O29">
            <v>0</v>
          </cell>
          <cell r="P29">
            <v>0</v>
          </cell>
          <cell r="Q29">
            <v>0</v>
          </cell>
        </row>
        <row r="30">
          <cell r="A30">
            <v>32009</v>
          </cell>
          <cell r="B30" t="str">
            <v>Hauling Revenue - Residential MSW Interc</v>
          </cell>
          <cell r="E30">
            <v>0</v>
          </cell>
          <cell r="F30">
            <v>0</v>
          </cell>
          <cell r="G30">
            <v>0</v>
          </cell>
          <cell r="H30">
            <v>0</v>
          </cell>
          <cell r="I30">
            <v>0</v>
          </cell>
          <cell r="J30">
            <v>0</v>
          </cell>
          <cell r="K30">
            <v>0</v>
          </cell>
          <cell r="L30">
            <v>0</v>
          </cell>
          <cell r="M30">
            <v>0</v>
          </cell>
          <cell r="N30">
            <v>0</v>
          </cell>
          <cell r="O30">
            <v>0</v>
          </cell>
          <cell r="P30">
            <v>0</v>
          </cell>
          <cell r="Q30">
            <v>0</v>
          </cell>
        </row>
        <row r="31">
          <cell r="A31">
            <v>32100</v>
          </cell>
          <cell r="B31" t="str">
            <v>Hauling Revenue - Residential Recycling</v>
          </cell>
          <cell r="E31">
            <v>0</v>
          </cell>
          <cell r="F31">
            <v>0</v>
          </cell>
          <cell r="G31">
            <v>0</v>
          </cell>
          <cell r="H31">
            <v>0</v>
          </cell>
          <cell r="I31">
            <v>0</v>
          </cell>
          <cell r="J31">
            <v>0</v>
          </cell>
          <cell r="K31">
            <v>0</v>
          </cell>
          <cell r="L31">
            <v>0</v>
          </cell>
          <cell r="M31">
            <v>0</v>
          </cell>
          <cell r="N31">
            <v>0</v>
          </cell>
          <cell r="O31">
            <v>0</v>
          </cell>
          <cell r="P31">
            <v>0</v>
          </cell>
          <cell r="Q31">
            <v>0</v>
          </cell>
        </row>
        <row r="32">
          <cell r="A32">
            <v>32101</v>
          </cell>
          <cell r="B32" t="str">
            <v>Hauling Revenue - Residential Recycling</v>
          </cell>
          <cell r="E32">
            <v>0</v>
          </cell>
          <cell r="F32">
            <v>0</v>
          </cell>
          <cell r="G32">
            <v>0</v>
          </cell>
          <cell r="H32">
            <v>0</v>
          </cell>
          <cell r="I32">
            <v>0</v>
          </cell>
          <cell r="J32">
            <v>0</v>
          </cell>
          <cell r="K32">
            <v>0</v>
          </cell>
          <cell r="L32">
            <v>0</v>
          </cell>
          <cell r="M32">
            <v>0</v>
          </cell>
          <cell r="N32">
            <v>0</v>
          </cell>
          <cell r="O32">
            <v>0</v>
          </cell>
          <cell r="P32">
            <v>0</v>
          </cell>
          <cell r="Q32">
            <v>0</v>
          </cell>
        </row>
        <row r="33">
          <cell r="A33">
            <v>32102</v>
          </cell>
          <cell r="B33" t="str">
            <v>Hauling Revenue - Residential Recycling</v>
          </cell>
          <cell r="E33">
            <v>0</v>
          </cell>
          <cell r="F33">
            <v>0</v>
          </cell>
          <cell r="G33">
            <v>0</v>
          </cell>
          <cell r="H33">
            <v>0</v>
          </cell>
          <cell r="I33">
            <v>0</v>
          </cell>
          <cell r="J33">
            <v>0</v>
          </cell>
          <cell r="K33">
            <v>0</v>
          </cell>
          <cell r="L33">
            <v>0</v>
          </cell>
          <cell r="M33">
            <v>0</v>
          </cell>
          <cell r="N33">
            <v>0</v>
          </cell>
          <cell r="O33">
            <v>0</v>
          </cell>
          <cell r="P33">
            <v>0</v>
          </cell>
          <cell r="Q33">
            <v>0</v>
          </cell>
        </row>
        <row r="34">
          <cell r="A34">
            <v>32103</v>
          </cell>
          <cell r="B34" t="str">
            <v>Hauling Revenue - Residential Recycling</v>
          </cell>
          <cell r="E34">
            <v>0</v>
          </cell>
          <cell r="F34">
            <v>0</v>
          </cell>
          <cell r="G34">
            <v>0</v>
          </cell>
          <cell r="H34">
            <v>0</v>
          </cell>
          <cell r="I34">
            <v>0</v>
          </cell>
          <cell r="J34">
            <v>0</v>
          </cell>
          <cell r="K34">
            <v>0</v>
          </cell>
          <cell r="L34">
            <v>0</v>
          </cell>
          <cell r="M34">
            <v>0</v>
          </cell>
          <cell r="N34">
            <v>0</v>
          </cell>
          <cell r="O34">
            <v>0</v>
          </cell>
          <cell r="P34">
            <v>0</v>
          </cell>
          <cell r="Q34">
            <v>0</v>
          </cell>
        </row>
        <row r="35">
          <cell r="A35">
            <v>32109</v>
          </cell>
          <cell r="B35" t="str">
            <v>Hauling Revenue - Residential Recycling</v>
          </cell>
          <cell r="E35">
            <v>0</v>
          </cell>
          <cell r="F35">
            <v>0</v>
          </cell>
          <cell r="G35">
            <v>0</v>
          </cell>
          <cell r="H35">
            <v>0</v>
          </cell>
          <cell r="I35">
            <v>0</v>
          </cell>
          <cell r="J35">
            <v>0</v>
          </cell>
          <cell r="K35">
            <v>0</v>
          </cell>
          <cell r="L35">
            <v>0</v>
          </cell>
          <cell r="M35">
            <v>0</v>
          </cell>
          <cell r="N35">
            <v>0</v>
          </cell>
          <cell r="O35">
            <v>0</v>
          </cell>
          <cell r="P35">
            <v>0</v>
          </cell>
          <cell r="Q35">
            <v>0</v>
          </cell>
        </row>
        <row r="36">
          <cell r="A36">
            <v>32110</v>
          </cell>
          <cell r="B36" t="str">
            <v>Hauling Revenue - Residential Composting</v>
          </cell>
          <cell r="E36">
            <v>232014.97</v>
          </cell>
          <cell r="F36">
            <v>232365.45</v>
          </cell>
          <cell r="G36">
            <v>257766.36</v>
          </cell>
          <cell r="H36">
            <v>270150.08</v>
          </cell>
          <cell r="I36">
            <v>281923.53999999998</v>
          </cell>
          <cell r="J36">
            <v>287780.03999999998</v>
          </cell>
          <cell r="K36">
            <v>291816.17</v>
          </cell>
          <cell r="L36">
            <v>292493.43</v>
          </cell>
          <cell r="M36">
            <v>290035.87</v>
          </cell>
          <cell r="N36">
            <v>289167.18</v>
          </cell>
          <cell r="O36">
            <v>283845.96999999997</v>
          </cell>
          <cell r="P36">
            <v>275560.67</v>
          </cell>
          <cell r="Q36">
            <v>3284919.7300000004</v>
          </cell>
        </row>
        <row r="37">
          <cell r="A37">
            <v>32111</v>
          </cell>
          <cell r="B37" t="str">
            <v>Hauling Revenue - Residential Composting</v>
          </cell>
          <cell r="E37">
            <v>0</v>
          </cell>
          <cell r="F37">
            <v>0</v>
          </cell>
          <cell r="G37">
            <v>0</v>
          </cell>
          <cell r="H37">
            <v>0</v>
          </cell>
          <cell r="I37">
            <v>0</v>
          </cell>
          <cell r="J37">
            <v>0</v>
          </cell>
          <cell r="K37">
            <v>0</v>
          </cell>
          <cell r="L37">
            <v>0</v>
          </cell>
          <cell r="M37">
            <v>0</v>
          </cell>
          <cell r="N37">
            <v>0</v>
          </cell>
          <cell r="O37">
            <v>0</v>
          </cell>
          <cell r="P37">
            <v>0</v>
          </cell>
          <cell r="Q37">
            <v>0</v>
          </cell>
        </row>
        <row r="38">
          <cell r="A38">
            <v>32112</v>
          </cell>
          <cell r="B38" t="str">
            <v>Hauling Revenue - Residential Composting</v>
          </cell>
          <cell r="E38">
            <v>0</v>
          </cell>
          <cell r="F38">
            <v>0</v>
          </cell>
          <cell r="G38">
            <v>0</v>
          </cell>
          <cell r="H38">
            <v>0</v>
          </cell>
          <cell r="I38">
            <v>0</v>
          </cell>
          <cell r="J38">
            <v>0</v>
          </cell>
          <cell r="K38">
            <v>0</v>
          </cell>
          <cell r="L38">
            <v>0</v>
          </cell>
          <cell r="M38">
            <v>0</v>
          </cell>
          <cell r="N38">
            <v>0</v>
          </cell>
          <cell r="O38">
            <v>0</v>
          </cell>
          <cell r="P38">
            <v>0</v>
          </cell>
          <cell r="Q38">
            <v>0</v>
          </cell>
        </row>
        <row r="39">
          <cell r="A39">
            <v>32113</v>
          </cell>
          <cell r="B39" t="str">
            <v>Hauling Revenue - Residential Composting</v>
          </cell>
          <cell r="E39">
            <v>0</v>
          </cell>
          <cell r="F39">
            <v>0</v>
          </cell>
          <cell r="G39">
            <v>0</v>
          </cell>
          <cell r="H39">
            <v>0</v>
          </cell>
          <cell r="I39">
            <v>0</v>
          </cell>
          <cell r="J39">
            <v>0</v>
          </cell>
          <cell r="K39">
            <v>0</v>
          </cell>
          <cell r="L39">
            <v>0</v>
          </cell>
          <cell r="M39">
            <v>0</v>
          </cell>
          <cell r="N39">
            <v>0</v>
          </cell>
          <cell r="O39">
            <v>0</v>
          </cell>
          <cell r="P39">
            <v>0</v>
          </cell>
          <cell r="Q39">
            <v>0</v>
          </cell>
        </row>
        <row r="40">
          <cell r="A40">
            <v>32119</v>
          </cell>
          <cell r="B40" t="str">
            <v>Hauling Revenue - Residential Composting</v>
          </cell>
          <cell r="E40">
            <v>0</v>
          </cell>
          <cell r="F40">
            <v>0</v>
          </cell>
          <cell r="G40">
            <v>0</v>
          </cell>
          <cell r="H40">
            <v>0</v>
          </cell>
          <cell r="I40">
            <v>0</v>
          </cell>
          <cell r="J40">
            <v>0</v>
          </cell>
          <cell r="K40">
            <v>0</v>
          </cell>
          <cell r="L40">
            <v>0</v>
          </cell>
          <cell r="M40">
            <v>0</v>
          </cell>
          <cell r="N40">
            <v>0</v>
          </cell>
          <cell r="O40">
            <v>0</v>
          </cell>
          <cell r="P40">
            <v>0</v>
          </cell>
          <cell r="Q40">
            <v>0</v>
          </cell>
        </row>
        <row r="41">
          <cell r="A41">
            <v>33000</v>
          </cell>
          <cell r="B41" t="str">
            <v>Hauling Revenue - Commercial FEL</v>
          </cell>
          <cell r="E41">
            <v>785575.03</v>
          </cell>
          <cell r="F41">
            <v>787034.21</v>
          </cell>
          <cell r="G41">
            <v>790933.58</v>
          </cell>
          <cell r="H41">
            <v>778610.72</v>
          </cell>
          <cell r="I41">
            <v>780041.46</v>
          </cell>
          <cell r="J41">
            <v>778320.61</v>
          </cell>
          <cell r="K41">
            <v>768305.23</v>
          </cell>
          <cell r="L41">
            <v>774319.69</v>
          </cell>
          <cell r="M41">
            <v>801901.87</v>
          </cell>
          <cell r="N41">
            <v>774557.42</v>
          </cell>
          <cell r="O41">
            <v>791933.57</v>
          </cell>
          <cell r="P41">
            <v>766346.74</v>
          </cell>
          <cell r="Q41">
            <v>9377880.129999999</v>
          </cell>
        </row>
        <row r="42">
          <cell r="A42">
            <v>33001</v>
          </cell>
          <cell r="B42" t="str">
            <v>Hauling Revenue - Commercial FEL Extras</v>
          </cell>
          <cell r="E42">
            <v>39516.839999999997</v>
          </cell>
          <cell r="F42">
            <v>40932.36</v>
          </cell>
          <cell r="G42">
            <v>42606.080000000002</v>
          </cell>
          <cell r="H42">
            <v>42197.16</v>
          </cell>
          <cell r="I42">
            <v>43036.11</v>
          </cell>
          <cell r="J42">
            <v>44513.7</v>
          </cell>
          <cell r="K42">
            <v>47317.760000000002</v>
          </cell>
          <cell r="L42">
            <v>46590.51</v>
          </cell>
          <cell r="M42">
            <v>43401.91</v>
          </cell>
          <cell r="N42">
            <v>44637.59</v>
          </cell>
          <cell r="O42">
            <v>43797.96</v>
          </cell>
          <cell r="P42">
            <v>45382.02</v>
          </cell>
          <cell r="Q42">
            <v>523930.00000000006</v>
          </cell>
        </row>
        <row r="43">
          <cell r="A43">
            <v>33002</v>
          </cell>
          <cell r="B43" t="str">
            <v>Hauling Revenue - Commercial FEL Adjustm</v>
          </cell>
          <cell r="E43">
            <v>0</v>
          </cell>
          <cell r="F43">
            <v>0</v>
          </cell>
          <cell r="G43">
            <v>0</v>
          </cell>
          <cell r="H43">
            <v>0</v>
          </cell>
          <cell r="I43">
            <v>0</v>
          </cell>
          <cell r="J43">
            <v>0</v>
          </cell>
          <cell r="K43">
            <v>0</v>
          </cell>
          <cell r="L43">
            <v>0</v>
          </cell>
          <cell r="M43">
            <v>0</v>
          </cell>
          <cell r="N43">
            <v>0</v>
          </cell>
          <cell r="O43">
            <v>0</v>
          </cell>
          <cell r="P43">
            <v>0</v>
          </cell>
          <cell r="Q43">
            <v>0</v>
          </cell>
        </row>
        <row r="44">
          <cell r="A44">
            <v>33009</v>
          </cell>
          <cell r="B44" t="str">
            <v>Hauling Revenue - Commercial FEL Interco</v>
          </cell>
          <cell r="E44">
            <v>0</v>
          </cell>
          <cell r="F44">
            <v>0</v>
          </cell>
          <cell r="G44">
            <v>0</v>
          </cell>
          <cell r="H44">
            <v>0</v>
          </cell>
          <cell r="I44">
            <v>0</v>
          </cell>
          <cell r="J44">
            <v>0</v>
          </cell>
          <cell r="K44">
            <v>0</v>
          </cell>
          <cell r="L44">
            <v>0</v>
          </cell>
          <cell r="M44">
            <v>0</v>
          </cell>
          <cell r="N44">
            <v>0</v>
          </cell>
          <cell r="O44">
            <v>0</v>
          </cell>
          <cell r="P44">
            <v>0</v>
          </cell>
          <cell r="Q44">
            <v>0</v>
          </cell>
        </row>
        <row r="45">
          <cell r="A45">
            <v>33010</v>
          </cell>
          <cell r="B45" t="str">
            <v>Hauling Revenue - Commercial REL</v>
          </cell>
          <cell r="E45">
            <v>0</v>
          </cell>
          <cell r="F45">
            <v>0</v>
          </cell>
          <cell r="G45">
            <v>0</v>
          </cell>
          <cell r="H45">
            <v>0</v>
          </cell>
          <cell r="I45">
            <v>0</v>
          </cell>
          <cell r="J45">
            <v>0</v>
          </cell>
          <cell r="K45">
            <v>0</v>
          </cell>
          <cell r="L45">
            <v>0</v>
          </cell>
          <cell r="M45">
            <v>0</v>
          </cell>
          <cell r="N45">
            <v>0</v>
          </cell>
          <cell r="O45">
            <v>0</v>
          </cell>
          <cell r="P45">
            <v>0</v>
          </cell>
          <cell r="Q45">
            <v>0</v>
          </cell>
        </row>
        <row r="46">
          <cell r="A46">
            <v>33011</v>
          </cell>
          <cell r="B46" t="str">
            <v>Hauling Revenue - Commercial REL Extras</v>
          </cell>
          <cell r="E46">
            <v>0</v>
          </cell>
          <cell r="F46">
            <v>0</v>
          </cell>
          <cell r="G46">
            <v>0</v>
          </cell>
          <cell r="H46">
            <v>0</v>
          </cell>
          <cell r="I46">
            <v>0</v>
          </cell>
          <cell r="J46">
            <v>0</v>
          </cell>
          <cell r="K46">
            <v>0</v>
          </cell>
          <cell r="L46">
            <v>0</v>
          </cell>
          <cell r="M46">
            <v>0</v>
          </cell>
          <cell r="N46">
            <v>0</v>
          </cell>
          <cell r="O46">
            <v>0</v>
          </cell>
          <cell r="P46">
            <v>0</v>
          </cell>
          <cell r="Q46">
            <v>0</v>
          </cell>
        </row>
        <row r="47">
          <cell r="A47">
            <v>33012</v>
          </cell>
          <cell r="B47" t="str">
            <v>Hauling Revenue - Commercial REL Adjustm</v>
          </cell>
          <cell r="E47">
            <v>0</v>
          </cell>
          <cell r="F47">
            <v>0</v>
          </cell>
          <cell r="G47">
            <v>0</v>
          </cell>
          <cell r="H47">
            <v>0</v>
          </cell>
          <cell r="I47">
            <v>0</v>
          </cell>
          <cell r="J47">
            <v>0</v>
          </cell>
          <cell r="K47">
            <v>0</v>
          </cell>
          <cell r="L47">
            <v>0</v>
          </cell>
          <cell r="M47">
            <v>0</v>
          </cell>
          <cell r="N47">
            <v>0</v>
          </cell>
          <cell r="O47">
            <v>0</v>
          </cell>
          <cell r="P47">
            <v>0</v>
          </cell>
          <cell r="Q47">
            <v>0</v>
          </cell>
        </row>
        <row r="48">
          <cell r="A48">
            <v>33019</v>
          </cell>
          <cell r="B48" t="str">
            <v>Hauling Revenue - Commercial REL Interco</v>
          </cell>
          <cell r="E48">
            <v>0</v>
          </cell>
          <cell r="F48">
            <v>0</v>
          </cell>
          <cell r="G48">
            <v>0</v>
          </cell>
          <cell r="H48">
            <v>0</v>
          </cell>
          <cell r="I48">
            <v>0</v>
          </cell>
          <cell r="J48">
            <v>0</v>
          </cell>
          <cell r="K48">
            <v>0</v>
          </cell>
          <cell r="L48">
            <v>0</v>
          </cell>
          <cell r="M48">
            <v>0</v>
          </cell>
          <cell r="N48">
            <v>0</v>
          </cell>
          <cell r="O48">
            <v>0</v>
          </cell>
          <cell r="P48">
            <v>0</v>
          </cell>
          <cell r="Q48">
            <v>0</v>
          </cell>
        </row>
        <row r="49">
          <cell r="A49">
            <v>33020</v>
          </cell>
          <cell r="B49" t="str">
            <v>Hauling Revenue - Commercial Recycling F</v>
          </cell>
          <cell r="E49">
            <v>119520.55</v>
          </cell>
          <cell r="F49">
            <v>122687.61</v>
          </cell>
          <cell r="G49">
            <v>123043.3</v>
          </cell>
          <cell r="H49">
            <v>123772.17</v>
          </cell>
          <cell r="I49">
            <v>125625.36</v>
          </cell>
          <cell r="J49">
            <v>127061.96</v>
          </cell>
          <cell r="K49">
            <v>116074.3</v>
          </cell>
          <cell r="L49">
            <v>111337.44</v>
          </cell>
          <cell r="M49">
            <v>128400.61</v>
          </cell>
          <cell r="N49">
            <v>133541.20000000001</v>
          </cell>
          <cell r="O49">
            <v>129324.87</v>
          </cell>
          <cell r="P49">
            <v>130696.08</v>
          </cell>
          <cell r="Q49">
            <v>1491085.4500000002</v>
          </cell>
        </row>
        <row r="50">
          <cell r="A50">
            <v>33021</v>
          </cell>
          <cell r="B50" t="str">
            <v>Hauling Revenue - Commercial Recycling F</v>
          </cell>
          <cell r="E50">
            <v>0</v>
          </cell>
          <cell r="F50">
            <v>0</v>
          </cell>
          <cell r="G50">
            <v>0</v>
          </cell>
          <cell r="H50">
            <v>0</v>
          </cell>
          <cell r="I50">
            <v>0</v>
          </cell>
          <cell r="J50">
            <v>0</v>
          </cell>
          <cell r="K50">
            <v>0</v>
          </cell>
          <cell r="L50">
            <v>0</v>
          </cell>
          <cell r="M50">
            <v>0</v>
          </cell>
          <cell r="N50">
            <v>0</v>
          </cell>
          <cell r="O50">
            <v>0</v>
          </cell>
          <cell r="P50">
            <v>0</v>
          </cell>
          <cell r="Q50">
            <v>0</v>
          </cell>
        </row>
        <row r="51">
          <cell r="A51">
            <v>33022</v>
          </cell>
          <cell r="B51" t="str">
            <v>Hauling Revenue - Commercial Recycling F</v>
          </cell>
          <cell r="E51">
            <v>0</v>
          </cell>
          <cell r="F51">
            <v>0</v>
          </cell>
          <cell r="G51">
            <v>0</v>
          </cell>
          <cell r="H51">
            <v>0</v>
          </cell>
          <cell r="I51">
            <v>0</v>
          </cell>
          <cell r="J51">
            <v>0</v>
          </cell>
          <cell r="K51">
            <v>0</v>
          </cell>
          <cell r="L51">
            <v>0</v>
          </cell>
          <cell r="M51">
            <v>0</v>
          </cell>
          <cell r="N51">
            <v>0</v>
          </cell>
          <cell r="O51">
            <v>0</v>
          </cell>
          <cell r="P51">
            <v>0</v>
          </cell>
          <cell r="Q51">
            <v>0</v>
          </cell>
        </row>
        <row r="52">
          <cell r="A52">
            <v>33029</v>
          </cell>
          <cell r="B52" t="str">
            <v>Hauling Revenue - Commercial Recycling F</v>
          </cell>
          <cell r="E52">
            <v>0</v>
          </cell>
          <cell r="F52">
            <v>0</v>
          </cell>
          <cell r="G52">
            <v>0</v>
          </cell>
          <cell r="H52">
            <v>0</v>
          </cell>
          <cell r="I52">
            <v>0</v>
          </cell>
          <cell r="J52">
            <v>0</v>
          </cell>
          <cell r="K52">
            <v>0</v>
          </cell>
          <cell r="L52">
            <v>0</v>
          </cell>
          <cell r="M52">
            <v>0</v>
          </cell>
          <cell r="N52">
            <v>0</v>
          </cell>
          <cell r="O52">
            <v>0</v>
          </cell>
          <cell r="P52">
            <v>0</v>
          </cell>
          <cell r="Q52">
            <v>0</v>
          </cell>
        </row>
        <row r="53">
          <cell r="A53">
            <v>33030</v>
          </cell>
          <cell r="B53" t="str">
            <v>Hauling Revenue - Commercial Recycling R</v>
          </cell>
          <cell r="E53">
            <v>0</v>
          </cell>
          <cell r="F53">
            <v>0</v>
          </cell>
          <cell r="G53">
            <v>0</v>
          </cell>
          <cell r="H53">
            <v>0</v>
          </cell>
          <cell r="I53">
            <v>0</v>
          </cell>
          <cell r="J53">
            <v>0</v>
          </cell>
          <cell r="K53">
            <v>0</v>
          </cell>
          <cell r="L53">
            <v>0</v>
          </cell>
          <cell r="M53">
            <v>0</v>
          </cell>
          <cell r="N53">
            <v>0</v>
          </cell>
          <cell r="O53">
            <v>0</v>
          </cell>
          <cell r="P53">
            <v>0</v>
          </cell>
          <cell r="Q53">
            <v>0</v>
          </cell>
        </row>
        <row r="54">
          <cell r="A54">
            <v>33031</v>
          </cell>
          <cell r="B54" t="str">
            <v>Hauling Revenue - Commercial Recycling R</v>
          </cell>
          <cell r="E54">
            <v>0</v>
          </cell>
          <cell r="F54">
            <v>0</v>
          </cell>
          <cell r="G54">
            <v>0</v>
          </cell>
          <cell r="H54">
            <v>0</v>
          </cell>
          <cell r="I54">
            <v>0</v>
          </cell>
          <cell r="J54">
            <v>0</v>
          </cell>
          <cell r="K54">
            <v>0</v>
          </cell>
          <cell r="L54">
            <v>0</v>
          </cell>
          <cell r="M54">
            <v>0</v>
          </cell>
          <cell r="N54">
            <v>0</v>
          </cell>
          <cell r="O54">
            <v>0</v>
          </cell>
          <cell r="P54">
            <v>0</v>
          </cell>
          <cell r="Q54">
            <v>0</v>
          </cell>
        </row>
        <row r="55">
          <cell r="A55">
            <v>33032</v>
          </cell>
          <cell r="B55" t="str">
            <v>Hauling Revenue - Commercial Recycling R</v>
          </cell>
          <cell r="E55">
            <v>0</v>
          </cell>
          <cell r="F55">
            <v>0</v>
          </cell>
          <cell r="G55">
            <v>0</v>
          </cell>
          <cell r="H55">
            <v>0</v>
          </cell>
          <cell r="I55">
            <v>0</v>
          </cell>
          <cell r="J55">
            <v>0</v>
          </cell>
          <cell r="K55">
            <v>0</v>
          </cell>
          <cell r="L55">
            <v>0</v>
          </cell>
          <cell r="M55">
            <v>0</v>
          </cell>
          <cell r="N55">
            <v>0</v>
          </cell>
          <cell r="O55">
            <v>0</v>
          </cell>
          <cell r="P55">
            <v>0</v>
          </cell>
          <cell r="Q55">
            <v>0</v>
          </cell>
        </row>
        <row r="56">
          <cell r="A56">
            <v>33039</v>
          </cell>
          <cell r="B56" t="str">
            <v>Hauling Revenue - Commercial Recycling R</v>
          </cell>
          <cell r="E56">
            <v>0</v>
          </cell>
          <cell r="F56">
            <v>0</v>
          </cell>
          <cell r="G56">
            <v>0</v>
          </cell>
          <cell r="H56">
            <v>0</v>
          </cell>
          <cell r="I56">
            <v>0</v>
          </cell>
          <cell r="J56">
            <v>0</v>
          </cell>
          <cell r="K56">
            <v>0</v>
          </cell>
          <cell r="L56">
            <v>0</v>
          </cell>
          <cell r="M56">
            <v>0</v>
          </cell>
          <cell r="N56">
            <v>0</v>
          </cell>
          <cell r="O56">
            <v>0</v>
          </cell>
          <cell r="P56">
            <v>0</v>
          </cell>
          <cell r="Q56">
            <v>0</v>
          </cell>
        </row>
        <row r="57">
          <cell r="A57">
            <v>33500</v>
          </cell>
          <cell r="B57" t="str">
            <v>Portable Toilet Revenue</v>
          </cell>
          <cell r="E57">
            <v>0</v>
          </cell>
          <cell r="F57">
            <v>0</v>
          </cell>
          <cell r="G57">
            <v>0</v>
          </cell>
          <cell r="H57">
            <v>0</v>
          </cell>
          <cell r="I57">
            <v>0</v>
          </cell>
          <cell r="J57">
            <v>0</v>
          </cell>
          <cell r="K57">
            <v>0</v>
          </cell>
          <cell r="L57">
            <v>0</v>
          </cell>
          <cell r="M57">
            <v>0</v>
          </cell>
          <cell r="N57">
            <v>0</v>
          </cell>
          <cell r="O57">
            <v>0</v>
          </cell>
          <cell r="P57">
            <v>0</v>
          </cell>
          <cell r="Q57">
            <v>0</v>
          </cell>
        </row>
        <row r="58">
          <cell r="A58">
            <v>33501</v>
          </cell>
          <cell r="B58" t="str">
            <v>Portable Toilet Extras</v>
          </cell>
          <cell r="E58">
            <v>0</v>
          </cell>
          <cell r="F58">
            <v>0</v>
          </cell>
          <cell r="G58">
            <v>0</v>
          </cell>
          <cell r="H58">
            <v>0</v>
          </cell>
          <cell r="I58">
            <v>0</v>
          </cell>
          <cell r="J58">
            <v>0</v>
          </cell>
          <cell r="K58">
            <v>0</v>
          </cell>
          <cell r="L58">
            <v>0</v>
          </cell>
          <cell r="M58">
            <v>0</v>
          </cell>
          <cell r="N58">
            <v>0</v>
          </cell>
          <cell r="O58">
            <v>0</v>
          </cell>
          <cell r="P58">
            <v>0</v>
          </cell>
          <cell r="Q58">
            <v>0</v>
          </cell>
        </row>
        <row r="59">
          <cell r="A59">
            <v>33502</v>
          </cell>
          <cell r="B59" t="str">
            <v>Portable Toilet Adjustments</v>
          </cell>
          <cell r="E59">
            <v>0</v>
          </cell>
          <cell r="F59">
            <v>0</v>
          </cell>
          <cell r="G59">
            <v>0</v>
          </cell>
          <cell r="H59">
            <v>0</v>
          </cell>
          <cell r="I59">
            <v>0</v>
          </cell>
          <cell r="J59">
            <v>0</v>
          </cell>
          <cell r="K59">
            <v>0</v>
          </cell>
          <cell r="L59">
            <v>0</v>
          </cell>
          <cell r="M59">
            <v>0</v>
          </cell>
          <cell r="N59">
            <v>0</v>
          </cell>
          <cell r="O59">
            <v>0</v>
          </cell>
          <cell r="P59">
            <v>0</v>
          </cell>
          <cell r="Q59">
            <v>0</v>
          </cell>
        </row>
        <row r="60">
          <cell r="A60">
            <v>33509</v>
          </cell>
          <cell r="B60" t="str">
            <v>Portable Toilet Intercompany</v>
          </cell>
          <cell r="E60">
            <v>0</v>
          </cell>
          <cell r="F60">
            <v>0</v>
          </cell>
          <cell r="G60">
            <v>0</v>
          </cell>
          <cell r="H60">
            <v>0</v>
          </cell>
          <cell r="I60">
            <v>0</v>
          </cell>
          <cell r="J60">
            <v>0</v>
          </cell>
          <cell r="K60">
            <v>0</v>
          </cell>
          <cell r="L60">
            <v>0</v>
          </cell>
          <cell r="M60">
            <v>0</v>
          </cell>
          <cell r="N60">
            <v>0</v>
          </cell>
          <cell r="O60">
            <v>0</v>
          </cell>
          <cell r="P60">
            <v>0</v>
          </cell>
          <cell r="Q60">
            <v>0</v>
          </cell>
        </row>
        <row r="61">
          <cell r="A61" t="str">
            <v>Total Hauling</v>
          </cell>
          <cell r="E61">
            <v>2764673.9499999997</v>
          </cell>
          <cell r="F61">
            <v>2732997.1599999997</v>
          </cell>
          <cell r="G61">
            <v>2835849.13</v>
          </cell>
          <cell r="H61">
            <v>2834323.0100000002</v>
          </cell>
          <cell r="I61">
            <v>2846772.3099999996</v>
          </cell>
          <cell r="J61">
            <v>2910560.8800000004</v>
          </cell>
          <cell r="K61">
            <v>2892445.5999999996</v>
          </cell>
          <cell r="L61">
            <v>2894508.3399999994</v>
          </cell>
          <cell r="M61">
            <v>2922642.14</v>
          </cell>
          <cell r="N61">
            <v>2884456.3400000003</v>
          </cell>
          <cell r="O61">
            <v>2891560.59</v>
          </cell>
          <cell r="P61">
            <v>2879104.3000000003</v>
          </cell>
          <cell r="Q61">
            <v>34289893.75</v>
          </cell>
        </row>
        <row r="63">
          <cell r="A63" t="str">
            <v>Transfer</v>
          </cell>
        </row>
        <row r="64">
          <cell r="A64">
            <v>35000</v>
          </cell>
          <cell r="B64" t="str">
            <v>Transfer Station - Third Party</v>
          </cell>
          <cell r="E64">
            <v>0</v>
          </cell>
          <cell r="F64">
            <v>0</v>
          </cell>
          <cell r="G64">
            <v>0</v>
          </cell>
          <cell r="H64">
            <v>0</v>
          </cell>
          <cell r="I64">
            <v>0</v>
          </cell>
          <cell r="J64">
            <v>0</v>
          </cell>
          <cell r="K64">
            <v>0</v>
          </cell>
          <cell r="L64">
            <v>0</v>
          </cell>
          <cell r="M64">
            <v>0</v>
          </cell>
          <cell r="N64">
            <v>0</v>
          </cell>
          <cell r="O64">
            <v>0</v>
          </cell>
          <cell r="P64">
            <v>0</v>
          </cell>
          <cell r="Q64">
            <v>0</v>
          </cell>
        </row>
        <row r="65">
          <cell r="A65">
            <v>35001</v>
          </cell>
          <cell r="B65" t="str">
            <v>Transfer Station - Third Party Adjustmen</v>
          </cell>
          <cell r="E65">
            <v>0</v>
          </cell>
          <cell r="F65">
            <v>0</v>
          </cell>
          <cell r="G65">
            <v>0</v>
          </cell>
          <cell r="H65">
            <v>0</v>
          </cell>
          <cell r="I65">
            <v>0</v>
          </cell>
          <cell r="J65">
            <v>0</v>
          </cell>
          <cell r="K65">
            <v>0</v>
          </cell>
          <cell r="L65">
            <v>0</v>
          </cell>
          <cell r="M65">
            <v>0</v>
          </cell>
          <cell r="N65">
            <v>0</v>
          </cell>
          <cell r="O65">
            <v>0</v>
          </cell>
          <cell r="P65">
            <v>0</v>
          </cell>
          <cell r="Q65">
            <v>0</v>
          </cell>
        </row>
        <row r="66">
          <cell r="A66">
            <v>35009</v>
          </cell>
          <cell r="B66" t="str">
            <v>Transfer Station - Intercompany</v>
          </cell>
          <cell r="E66">
            <v>0</v>
          </cell>
          <cell r="F66">
            <v>0</v>
          </cell>
          <cell r="G66">
            <v>0</v>
          </cell>
          <cell r="H66">
            <v>0</v>
          </cell>
          <cell r="I66">
            <v>0</v>
          </cell>
          <cell r="J66">
            <v>0</v>
          </cell>
          <cell r="K66">
            <v>0</v>
          </cell>
          <cell r="L66">
            <v>0</v>
          </cell>
          <cell r="M66">
            <v>0</v>
          </cell>
          <cell r="N66">
            <v>0</v>
          </cell>
          <cell r="O66">
            <v>0</v>
          </cell>
          <cell r="P66">
            <v>0</v>
          </cell>
          <cell r="Q66">
            <v>0</v>
          </cell>
        </row>
        <row r="67">
          <cell r="A67">
            <v>35500</v>
          </cell>
          <cell r="B67" t="str">
            <v>MRF Processing Charge</v>
          </cell>
          <cell r="E67">
            <v>0</v>
          </cell>
          <cell r="F67">
            <v>0</v>
          </cell>
          <cell r="G67">
            <v>0</v>
          </cell>
          <cell r="H67">
            <v>0</v>
          </cell>
          <cell r="I67">
            <v>0</v>
          </cell>
          <cell r="J67">
            <v>0</v>
          </cell>
          <cell r="K67">
            <v>0</v>
          </cell>
          <cell r="L67">
            <v>0</v>
          </cell>
          <cell r="M67">
            <v>0</v>
          </cell>
          <cell r="N67">
            <v>0</v>
          </cell>
          <cell r="O67">
            <v>0</v>
          </cell>
          <cell r="P67">
            <v>0</v>
          </cell>
          <cell r="Q67">
            <v>0</v>
          </cell>
        </row>
        <row r="68">
          <cell r="A68">
            <v>35501</v>
          </cell>
          <cell r="B68" t="str">
            <v>MRF Processing Charge Adjustments</v>
          </cell>
          <cell r="E68">
            <v>0</v>
          </cell>
          <cell r="F68">
            <v>0</v>
          </cell>
          <cell r="G68">
            <v>0</v>
          </cell>
          <cell r="H68">
            <v>0</v>
          </cell>
          <cell r="I68">
            <v>0</v>
          </cell>
          <cell r="J68">
            <v>0</v>
          </cell>
          <cell r="K68">
            <v>0</v>
          </cell>
          <cell r="L68">
            <v>0</v>
          </cell>
          <cell r="M68">
            <v>0</v>
          </cell>
          <cell r="N68">
            <v>0</v>
          </cell>
          <cell r="O68">
            <v>0</v>
          </cell>
          <cell r="P68">
            <v>0</v>
          </cell>
          <cell r="Q68">
            <v>0</v>
          </cell>
        </row>
        <row r="69">
          <cell r="A69">
            <v>35509</v>
          </cell>
          <cell r="B69" t="str">
            <v>MRF Processing Charge Intercompany</v>
          </cell>
          <cell r="E69">
            <v>0</v>
          </cell>
          <cell r="F69">
            <v>0</v>
          </cell>
          <cell r="G69">
            <v>0</v>
          </cell>
          <cell r="H69">
            <v>0</v>
          </cell>
          <cell r="I69">
            <v>0</v>
          </cell>
          <cell r="J69">
            <v>0</v>
          </cell>
          <cell r="K69">
            <v>0</v>
          </cell>
          <cell r="L69">
            <v>0</v>
          </cell>
          <cell r="M69">
            <v>0</v>
          </cell>
          <cell r="N69">
            <v>0</v>
          </cell>
          <cell r="O69">
            <v>0</v>
          </cell>
          <cell r="P69">
            <v>0</v>
          </cell>
          <cell r="Q69">
            <v>0</v>
          </cell>
        </row>
        <row r="70">
          <cell r="A70" t="str">
            <v>Total Transfer</v>
          </cell>
          <cell r="E70">
            <v>0</v>
          </cell>
          <cell r="F70">
            <v>0</v>
          </cell>
          <cell r="G70">
            <v>0</v>
          </cell>
          <cell r="H70">
            <v>0</v>
          </cell>
          <cell r="I70">
            <v>0</v>
          </cell>
          <cell r="J70">
            <v>0</v>
          </cell>
          <cell r="K70">
            <v>0</v>
          </cell>
          <cell r="L70">
            <v>0</v>
          </cell>
          <cell r="M70">
            <v>0</v>
          </cell>
          <cell r="N70">
            <v>0</v>
          </cell>
          <cell r="O70">
            <v>0</v>
          </cell>
          <cell r="P70">
            <v>0</v>
          </cell>
          <cell r="Q70">
            <v>0</v>
          </cell>
        </row>
        <row r="72">
          <cell r="A72" t="str">
            <v>MRF</v>
          </cell>
        </row>
        <row r="73">
          <cell r="A73">
            <v>35510</v>
          </cell>
          <cell r="B73" t="str">
            <v>Proceeds - OCC</v>
          </cell>
          <cell r="E73">
            <v>0</v>
          </cell>
          <cell r="F73">
            <v>0</v>
          </cell>
          <cell r="G73">
            <v>0</v>
          </cell>
          <cell r="H73">
            <v>0</v>
          </cell>
          <cell r="I73">
            <v>0</v>
          </cell>
          <cell r="J73">
            <v>0</v>
          </cell>
          <cell r="K73">
            <v>0</v>
          </cell>
          <cell r="L73">
            <v>0</v>
          </cell>
          <cell r="M73">
            <v>0</v>
          </cell>
          <cell r="N73">
            <v>0</v>
          </cell>
          <cell r="O73">
            <v>0</v>
          </cell>
          <cell r="P73">
            <v>0</v>
          </cell>
          <cell r="Q73">
            <v>0</v>
          </cell>
        </row>
        <row r="74">
          <cell r="A74">
            <v>35511</v>
          </cell>
          <cell r="B74" t="str">
            <v>Proceeds - ONP</v>
          </cell>
          <cell r="E74">
            <v>0</v>
          </cell>
          <cell r="F74">
            <v>0</v>
          </cell>
          <cell r="G74">
            <v>0</v>
          </cell>
          <cell r="H74">
            <v>0</v>
          </cell>
          <cell r="I74">
            <v>0</v>
          </cell>
          <cell r="J74">
            <v>0</v>
          </cell>
          <cell r="K74">
            <v>0</v>
          </cell>
          <cell r="L74">
            <v>0</v>
          </cell>
          <cell r="M74">
            <v>0</v>
          </cell>
          <cell r="N74">
            <v>0</v>
          </cell>
          <cell r="O74">
            <v>0</v>
          </cell>
          <cell r="P74">
            <v>0</v>
          </cell>
          <cell r="Q74">
            <v>0</v>
          </cell>
        </row>
        <row r="75">
          <cell r="A75">
            <v>35512</v>
          </cell>
          <cell r="B75" t="str">
            <v>Proceeds - Other Paper</v>
          </cell>
          <cell r="E75">
            <v>0</v>
          </cell>
          <cell r="F75">
            <v>0</v>
          </cell>
          <cell r="G75">
            <v>0</v>
          </cell>
          <cell r="H75">
            <v>0</v>
          </cell>
          <cell r="I75">
            <v>0</v>
          </cell>
          <cell r="J75">
            <v>0</v>
          </cell>
          <cell r="K75">
            <v>0</v>
          </cell>
          <cell r="L75">
            <v>0</v>
          </cell>
          <cell r="M75">
            <v>0</v>
          </cell>
          <cell r="N75">
            <v>0</v>
          </cell>
          <cell r="O75">
            <v>0</v>
          </cell>
          <cell r="P75">
            <v>0</v>
          </cell>
          <cell r="Q75">
            <v>0</v>
          </cell>
        </row>
        <row r="76">
          <cell r="A76">
            <v>35513</v>
          </cell>
          <cell r="B76" t="str">
            <v>Proceeds - Aluminum</v>
          </cell>
          <cell r="E76">
            <v>0</v>
          </cell>
          <cell r="F76">
            <v>0</v>
          </cell>
          <cell r="G76">
            <v>0</v>
          </cell>
          <cell r="H76">
            <v>0</v>
          </cell>
          <cell r="I76">
            <v>0</v>
          </cell>
          <cell r="J76">
            <v>0</v>
          </cell>
          <cell r="K76">
            <v>0</v>
          </cell>
          <cell r="L76">
            <v>0</v>
          </cell>
          <cell r="M76">
            <v>0</v>
          </cell>
          <cell r="N76">
            <v>0</v>
          </cell>
          <cell r="O76">
            <v>0</v>
          </cell>
          <cell r="P76">
            <v>0</v>
          </cell>
          <cell r="Q76">
            <v>0</v>
          </cell>
        </row>
        <row r="77">
          <cell r="A77">
            <v>35514</v>
          </cell>
          <cell r="B77" t="str">
            <v>Proceeds - Metal</v>
          </cell>
          <cell r="E77">
            <v>745.55</v>
          </cell>
          <cell r="F77">
            <v>533.20000000000005</v>
          </cell>
          <cell r="G77">
            <v>3342.9</v>
          </cell>
          <cell r="H77">
            <v>13178.15</v>
          </cell>
          <cell r="I77">
            <v>5247</v>
          </cell>
          <cell r="J77">
            <v>16966.05</v>
          </cell>
          <cell r="K77">
            <v>7984.5</v>
          </cell>
          <cell r="L77">
            <v>1463.55</v>
          </cell>
          <cell r="M77">
            <v>-1454.1</v>
          </cell>
          <cell r="N77">
            <v>1425.6</v>
          </cell>
          <cell r="O77">
            <v>1051.75</v>
          </cell>
          <cell r="P77">
            <v>1088</v>
          </cell>
          <cell r="Q77">
            <v>51572.15</v>
          </cell>
        </row>
        <row r="78">
          <cell r="A78">
            <v>35515</v>
          </cell>
          <cell r="B78" t="str">
            <v>Proceeds - Glass</v>
          </cell>
          <cell r="E78">
            <v>0</v>
          </cell>
          <cell r="F78">
            <v>0</v>
          </cell>
          <cell r="G78">
            <v>0</v>
          </cell>
          <cell r="H78">
            <v>0</v>
          </cell>
          <cell r="I78">
            <v>0</v>
          </cell>
          <cell r="J78">
            <v>0</v>
          </cell>
          <cell r="K78">
            <v>0</v>
          </cell>
          <cell r="L78">
            <v>0</v>
          </cell>
          <cell r="M78">
            <v>0</v>
          </cell>
          <cell r="N78">
            <v>0</v>
          </cell>
          <cell r="O78">
            <v>0</v>
          </cell>
          <cell r="P78">
            <v>0</v>
          </cell>
          <cell r="Q78">
            <v>0</v>
          </cell>
        </row>
        <row r="79">
          <cell r="A79">
            <v>35516</v>
          </cell>
          <cell r="B79" t="str">
            <v>Proceeds - Plastic</v>
          </cell>
          <cell r="E79">
            <v>387</v>
          </cell>
          <cell r="F79">
            <v>318.60000000000002</v>
          </cell>
          <cell r="G79">
            <v>0</v>
          </cell>
          <cell r="H79">
            <v>331.2</v>
          </cell>
          <cell r="I79">
            <v>0</v>
          </cell>
          <cell r="J79">
            <v>412.2</v>
          </cell>
          <cell r="K79">
            <v>644.4</v>
          </cell>
          <cell r="L79">
            <v>0</v>
          </cell>
          <cell r="M79">
            <v>0</v>
          </cell>
          <cell r="N79">
            <v>-644.4</v>
          </cell>
          <cell r="O79">
            <v>652</v>
          </cell>
          <cell r="P79">
            <v>0</v>
          </cell>
          <cell r="Q79">
            <v>2101</v>
          </cell>
        </row>
        <row r="80">
          <cell r="A80">
            <v>35517</v>
          </cell>
          <cell r="B80" t="str">
            <v>Proceeds - Other Recyclables</v>
          </cell>
          <cell r="E80">
            <v>0</v>
          </cell>
          <cell r="F80">
            <v>0</v>
          </cell>
          <cell r="G80">
            <v>0</v>
          </cell>
          <cell r="H80">
            <v>0</v>
          </cell>
          <cell r="I80">
            <v>0</v>
          </cell>
          <cell r="J80">
            <v>0</v>
          </cell>
          <cell r="K80">
            <v>0</v>
          </cell>
          <cell r="L80">
            <v>0</v>
          </cell>
          <cell r="M80">
            <v>0</v>
          </cell>
          <cell r="N80">
            <v>0</v>
          </cell>
          <cell r="O80">
            <v>0</v>
          </cell>
          <cell r="P80">
            <v>0</v>
          </cell>
          <cell r="Q80">
            <v>0</v>
          </cell>
        </row>
        <row r="81">
          <cell r="A81">
            <v>35518</v>
          </cell>
          <cell r="B81" t="str">
            <v>Proceeds - Commingled</v>
          </cell>
          <cell r="E81">
            <v>0</v>
          </cell>
          <cell r="F81">
            <v>0</v>
          </cell>
          <cell r="G81">
            <v>0</v>
          </cell>
          <cell r="H81">
            <v>0</v>
          </cell>
          <cell r="I81">
            <v>0</v>
          </cell>
          <cell r="J81">
            <v>0</v>
          </cell>
          <cell r="K81">
            <v>0</v>
          </cell>
          <cell r="L81">
            <v>0</v>
          </cell>
          <cell r="M81">
            <v>0</v>
          </cell>
          <cell r="N81">
            <v>0</v>
          </cell>
          <cell r="O81">
            <v>0</v>
          </cell>
          <cell r="P81">
            <v>0</v>
          </cell>
          <cell r="Q81">
            <v>0</v>
          </cell>
        </row>
        <row r="82">
          <cell r="A82">
            <v>35519</v>
          </cell>
          <cell r="B82" t="str">
            <v>Proceeds - Intercompany Material Sales</v>
          </cell>
          <cell r="E82">
            <v>65030.879999999997</v>
          </cell>
          <cell r="F82">
            <v>76173.81</v>
          </cell>
          <cell r="G82">
            <v>70361.429999999993</v>
          </cell>
          <cell r="H82">
            <v>74831.539999999994</v>
          </cell>
          <cell r="I82">
            <v>73578.62</v>
          </cell>
          <cell r="J82">
            <v>75531.38</v>
          </cell>
          <cell r="K82">
            <v>73771.45</v>
          </cell>
          <cell r="L82">
            <v>57407.56</v>
          </cell>
          <cell r="M82">
            <v>68624.86</v>
          </cell>
          <cell r="N82">
            <v>71603.88</v>
          </cell>
          <cell r="O82">
            <v>84200.36</v>
          </cell>
          <cell r="P82">
            <v>95665.68</v>
          </cell>
          <cell r="Q82">
            <v>886781.45</v>
          </cell>
        </row>
        <row r="83">
          <cell r="A83">
            <v>35520</v>
          </cell>
          <cell r="B83" t="str">
            <v>Support - OCC</v>
          </cell>
          <cell r="E83">
            <v>0</v>
          </cell>
          <cell r="F83">
            <v>0</v>
          </cell>
          <cell r="G83">
            <v>0</v>
          </cell>
          <cell r="H83">
            <v>0</v>
          </cell>
          <cell r="I83">
            <v>0</v>
          </cell>
          <cell r="J83">
            <v>0</v>
          </cell>
          <cell r="K83">
            <v>0</v>
          </cell>
          <cell r="L83">
            <v>0</v>
          </cell>
          <cell r="M83">
            <v>0</v>
          </cell>
          <cell r="N83">
            <v>0</v>
          </cell>
          <cell r="O83">
            <v>0</v>
          </cell>
          <cell r="P83">
            <v>0</v>
          </cell>
          <cell r="Q83">
            <v>0</v>
          </cell>
        </row>
        <row r="84">
          <cell r="A84">
            <v>35521</v>
          </cell>
          <cell r="B84" t="str">
            <v>Support - ONP</v>
          </cell>
          <cell r="E84">
            <v>0</v>
          </cell>
          <cell r="F84">
            <v>0</v>
          </cell>
          <cell r="G84">
            <v>0</v>
          </cell>
          <cell r="H84">
            <v>0</v>
          </cell>
          <cell r="I84">
            <v>0</v>
          </cell>
          <cell r="J84">
            <v>0</v>
          </cell>
          <cell r="K84">
            <v>0</v>
          </cell>
          <cell r="L84">
            <v>0</v>
          </cell>
          <cell r="M84">
            <v>0</v>
          </cell>
          <cell r="N84">
            <v>0</v>
          </cell>
          <cell r="O84">
            <v>0</v>
          </cell>
          <cell r="P84">
            <v>0</v>
          </cell>
          <cell r="Q84">
            <v>0</v>
          </cell>
        </row>
        <row r="85">
          <cell r="A85">
            <v>35522</v>
          </cell>
          <cell r="B85" t="str">
            <v>Support - Other Paper</v>
          </cell>
          <cell r="E85">
            <v>0</v>
          </cell>
          <cell r="F85">
            <v>0</v>
          </cell>
          <cell r="G85">
            <v>0</v>
          </cell>
          <cell r="H85">
            <v>0</v>
          </cell>
          <cell r="I85">
            <v>0</v>
          </cell>
          <cell r="J85">
            <v>0</v>
          </cell>
          <cell r="K85">
            <v>0</v>
          </cell>
          <cell r="L85">
            <v>0</v>
          </cell>
          <cell r="M85">
            <v>0</v>
          </cell>
          <cell r="N85">
            <v>0</v>
          </cell>
          <cell r="O85">
            <v>0</v>
          </cell>
          <cell r="P85">
            <v>0</v>
          </cell>
          <cell r="Q85">
            <v>0</v>
          </cell>
        </row>
        <row r="86">
          <cell r="A86">
            <v>35523</v>
          </cell>
          <cell r="B86" t="str">
            <v>Support - Aluminum</v>
          </cell>
          <cell r="E86">
            <v>0</v>
          </cell>
          <cell r="F86">
            <v>0</v>
          </cell>
          <cell r="G86">
            <v>0</v>
          </cell>
          <cell r="H86">
            <v>0</v>
          </cell>
          <cell r="I86">
            <v>0</v>
          </cell>
          <cell r="J86">
            <v>0</v>
          </cell>
          <cell r="K86">
            <v>0</v>
          </cell>
          <cell r="L86">
            <v>0</v>
          </cell>
          <cell r="M86">
            <v>0</v>
          </cell>
          <cell r="N86">
            <v>0</v>
          </cell>
          <cell r="O86">
            <v>0</v>
          </cell>
          <cell r="P86">
            <v>0</v>
          </cell>
          <cell r="Q86">
            <v>0</v>
          </cell>
        </row>
        <row r="87">
          <cell r="A87">
            <v>35524</v>
          </cell>
          <cell r="B87" t="str">
            <v>Support - Metal</v>
          </cell>
          <cell r="E87">
            <v>0</v>
          </cell>
          <cell r="F87">
            <v>0</v>
          </cell>
          <cell r="G87">
            <v>0</v>
          </cell>
          <cell r="H87">
            <v>0</v>
          </cell>
          <cell r="I87">
            <v>0</v>
          </cell>
          <cell r="J87">
            <v>0</v>
          </cell>
          <cell r="K87">
            <v>0</v>
          </cell>
          <cell r="L87">
            <v>0</v>
          </cell>
          <cell r="M87">
            <v>0</v>
          </cell>
          <cell r="N87">
            <v>0</v>
          </cell>
          <cell r="O87">
            <v>0</v>
          </cell>
          <cell r="P87">
            <v>0</v>
          </cell>
          <cell r="Q87">
            <v>0</v>
          </cell>
        </row>
        <row r="88">
          <cell r="A88">
            <v>35525</v>
          </cell>
          <cell r="B88" t="str">
            <v>Support - Glass</v>
          </cell>
          <cell r="E88">
            <v>0</v>
          </cell>
          <cell r="F88">
            <v>0</v>
          </cell>
          <cell r="G88">
            <v>0</v>
          </cell>
          <cell r="H88">
            <v>0</v>
          </cell>
          <cell r="I88">
            <v>0</v>
          </cell>
          <cell r="J88">
            <v>0</v>
          </cell>
          <cell r="K88">
            <v>0</v>
          </cell>
          <cell r="L88">
            <v>0</v>
          </cell>
          <cell r="M88">
            <v>0</v>
          </cell>
          <cell r="N88">
            <v>0</v>
          </cell>
          <cell r="O88">
            <v>0</v>
          </cell>
          <cell r="P88">
            <v>0</v>
          </cell>
          <cell r="Q88">
            <v>0</v>
          </cell>
        </row>
        <row r="89">
          <cell r="A89">
            <v>35526</v>
          </cell>
          <cell r="B89" t="str">
            <v>Support - Plastic</v>
          </cell>
          <cell r="E89">
            <v>0</v>
          </cell>
          <cell r="F89">
            <v>0</v>
          </cell>
          <cell r="G89">
            <v>0</v>
          </cell>
          <cell r="H89">
            <v>0</v>
          </cell>
          <cell r="I89">
            <v>0</v>
          </cell>
          <cell r="J89">
            <v>0</v>
          </cell>
          <cell r="K89">
            <v>0</v>
          </cell>
          <cell r="L89">
            <v>0</v>
          </cell>
          <cell r="M89">
            <v>0</v>
          </cell>
          <cell r="N89">
            <v>0</v>
          </cell>
          <cell r="O89">
            <v>0</v>
          </cell>
          <cell r="P89">
            <v>0</v>
          </cell>
          <cell r="Q89">
            <v>0</v>
          </cell>
        </row>
        <row r="90">
          <cell r="A90">
            <v>35527</v>
          </cell>
          <cell r="B90" t="str">
            <v>Support - Other Recyclables</v>
          </cell>
          <cell r="E90">
            <v>0</v>
          </cell>
          <cell r="F90">
            <v>0</v>
          </cell>
          <cell r="G90">
            <v>0</v>
          </cell>
          <cell r="H90">
            <v>0</v>
          </cell>
          <cell r="I90">
            <v>0</v>
          </cell>
          <cell r="J90">
            <v>0</v>
          </cell>
          <cell r="K90">
            <v>0</v>
          </cell>
          <cell r="L90">
            <v>0</v>
          </cell>
          <cell r="M90">
            <v>0</v>
          </cell>
          <cell r="N90">
            <v>0</v>
          </cell>
          <cell r="O90">
            <v>0</v>
          </cell>
          <cell r="P90">
            <v>0</v>
          </cell>
          <cell r="Q90">
            <v>0</v>
          </cell>
        </row>
        <row r="91">
          <cell r="A91">
            <v>35529</v>
          </cell>
          <cell r="B91" t="str">
            <v>Support - Intercompany Material Sales</v>
          </cell>
          <cell r="E91">
            <v>0</v>
          </cell>
          <cell r="F91">
            <v>0</v>
          </cell>
          <cell r="G91">
            <v>0</v>
          </cell>
          <cell r="H91">
            <v>0</v>
          </cell>
          <cell r="I91">
            <v>0</v>
          </cell>
          <cell r="J91">
            <v>0</v>
          </cell>
          <cell r="K91">
            <v>0</v>
          </cell>
          <cell r="L91">
            <v>0</v>
          </cell>
          <cell r="M91">
            <v>0</v>
          </cell>
          <cell r="N91">
            <v>0</v>
          </cell>
          <cell r="O91">
            <v>0</v>
          </cell>
          <cell r="P91">
            <v>0</v>
          </cell>
          <cell r="Q91">
            <v>0</v>
          </cell>
        </row>
        <row r="92">
          <cell r="A92">
            <v>35551</v>
          </cell>
          <cell r="B92" t="str">
            <v>Proceeds - Compost</v>
          </cell>
          <cell r="E92">
            <v>0</v>
          </cell>
          <cell r="F92">
            <v>0</v>
          </cell>
          <cell r="G92">
            <v>0</v>
          </cell>
          <cell r="H92">
            <v>0</v>
          </cell>
          <cell r="I92">
            <v>0</v>
          </cell>
          <cell r="J92">
            <v>0</v>
          </cell>
          <cell r="K92">
            <v>0</v>
          </cell>
          <cell r="L92">
            <v>0</v>
          </cell>
          <cell r="M92">
            <v>0</v>
          </cell>
          <cell r="N92">
            <v>0</v>
          </cell>
          <cell r="O92">
            <v>0</v>
          </cell>
          <cell r="P92">
            <v>0</v>
          </cell>
          <cell r="Q92">
            <v>0</v>
          </cell>
        </row>
        <row r="93">
          <cell r="A93">
            <v>35552</v>
          </cell>
          <cell r="B93" t="str">
            <v>Proceeds - Fuel</v>
          </cell>
          <cell r="E93">
            <v>0</v>
          </cell>
          <cell r="F93">
            <v>0</v>
          </cell>
          <cell r="G93">
            <v>0</v>
          </cell>
          <cell r="H93">
            <v>0</v>
          </cell>
          <cell r="I93">
            <v>0</v>
          </cell>
          <cell r="J93">
            <v>0</v>
          </cell>
          <cell r="K93">
            <v>0</v>
          </cell>
          <cell r="L93">
            <v>0</v>
          </cell>
          <cell r="M93">
            <v>0</v>
          </cell>
          <cell r="N93">
            <v>0</v>
          </cell>
          <cell r="O93">
            <v>0</v>
          </cell>
          <cell r="P93">
            <v>0</v>
          </cell>
          <cell r="Q93">
            <v>0</v>
          </cell>
        </row>
        <row r="94">
          <cell r="A94">
            <v>35553</v>
          </cell>
          <cell r="B94" t="str">
            <v>Proceeds - Landscape Materials</v>
          </cell>
          <cell r="E94">
            <v>0</v>
          </cell>
          <cell r="F94">
            <v>0</v>
          </cell>
          <cell r="G94">
            <v>0</v>
          </cell>
          <cell r="H94">
            <v>0</v>
          </cell>
          <cell r="I94">
            <v>0</v>
          </cell>
          <cell r="J94">
            <v>0</v>
          </cell>
          <cell r="K94">
            <v>0</v>
          </cell>
          <cell r="L94">
            <v>0</v>
          </cell>
          <cell r="M94">
            <v>0</v>
          </cell>
          <cell r="N94">
            <v>0</v>
          </cell>
          <cell r="O94">
            <v>0</v>
          </cell>
          <cell r="P94">
            <v>0</v>
          </cell>
          <cell r="Q94">
            <v>0</v>
          </cell>
        </row>
        <row r="95">
          <cell r="A95" t="str">
            <v>Total MRF</v>
          </cell>
          <cell r="E95">
            <v>66163.429999999993</v>
          </cell>
          <cell r="F95">
            <v>77025.61</v>
          </cell>
          <cell r="G95">
            <v>73704.329999999987</v>
          </cell>
          <cell r="H95">
            <v>88340.89</v>
          </cell>
          <cell r="I95">
            <v>78825.62</v>
          </cell>
          <cell r="J95">
            <v>92909.63</v>
          </cell>
          <cell r="K95">
            <v>82400.349999999991</v>
          </cell>
          <cell r="L95">
            <v>58871.11</v>
          </cell>
          <cell r="M95">
            <v>67170.759999999995</v>
          </cell>
          <cell r="N95">
            <v>72385.08</v>
          </cell>
          <cell r="O95">
            <v>85904.11</v>
          </cell>
          <cell r="P95">
            <v>96753.68</v>
          </cell>
          <cell r="Q95">
            <v>940454.6</v>
          </cell>
        </row>
        <row r="97">
          <cell r="A97" t="str">
            <v>Landfill</v>
          </cell>
        </row>
        <row r="98">
          <cell r="A98">
            <v>36000</v>
          </cell>
          <cell r="B98" t="str">
            <v>Landfill Revenue - MSW</v>
          </cell>
          <cell r="E98">
            <v>0</v>
          </cell>
          <cell r="F98">
            <v>0</v>
          </cell>
          <cell r="G98">
            <v>0</v>
          </cell>
          <cell r="H98">
            <v>0</v>
          </cell>
          <cell r="I98">
            <v>0</v>
          </cell>
          <cell r="J98">
            <v>0</v>
          </cell>
          <cell r="K98">
            <v>0</v>
          </cell>
          <cell r="L98">
            <v>0</v>
          </cell>
          <cell r="M98">
            <v>0</v>
          </cell>
          <cell r="N98">
            <v>0</v>
          </cell>
          <cell r="O98">
            <v>0</v>
          </cell>
          <cell r="P98">
            <v>0</v>
          </cell>
          <cell r="Q98">
            <v>0</v>
          </cell>
        </row>
        <row r="99">
          <cell r="A99">
            <v>36001</v>
          </cell>
          <cell r="B99" t="str">
            <v>Landfill Revenue - MSW Adjustments</v>
          </cell>
          <cell r="E99">
            <v>0</v>
          </cell>
          <cell r="F99">
            <v>0</v>
          </cell>
          <cell r="G99">
            <v>0</v>
          </cell>
          <cell r="H99">
            <v>0</v>
          </cell>
          <cell r="I99">
            <v>0</v>
          </cell>
          <cell r="J99">
            <v>0</v>
          </cell>
          <cell r="K99">
            <v>0</v>
          </cell>
          <cell r="L99">
            <v>0</v>
          </cell>
          <cell r="M99">
            <v>0</v>
          </cell>
          <cell r="N99">
            <v>0</v>
          </cell>
          <cell r="O99">
            <v>0</v>
          </cell>
          <cell r="P99">
            <v>0</v>
          </cell>
          <cell r="Q99">
            <v>0</v>
          </cell>
        </row>
        <row r="100">
          <cell r="A100">
            <v>36002</v>
          </cell>
          <cell r="B100" t="str">
            <v>Landfill Revenue - Extras</v>
          </cell>
          <cell r="E100">
            <v>0</v>
          </cell>
          <cell r="F100">
            <v>0</v>
          </cell>
          <cell r="G100">
            <v>0</v>
          </cell>
          <cell r="H100">
            <v>0</v>
          </cell>
          <cell r="I100">
            <v>0</v>
          </cell>
          <cell r="J100">
            <v>0</v>
          </cell>
          <cell r="K100">
            <v>0</v>
          </cell>
          <cell r="L100">
            <v>0</v>
          </cell>
          <cell r="M100">
            <v>0</v>
          </cell>
          <cell r="N100">
            <v>0</v>
          </cell>
          <cell r="O100">
            <v>0</v>
          </cell>
          <cell r="P100">
            <v>0</v>
          </cell>
          <cell r="Q100">
            <v>0</v>
          </cell>
        </row>
        <row r="101">
          <cell r="A101">
            <v>36009</v>
          </cell>
          <cell r="B101" t="str">
            <v>Landfill Revenue - MSW Intercompany</v>
          </cell>
          <cell r="E101">
            <v>0</v>
          </cell>
          <cell r="F101">
            <v>0</v>
          </cell>
          <cell r="G101">
            <v>0</v>
          </cell>
          <cell r="H101">
            <v>0</v>
          </cell>
          <cell r="I101">
            <v>0</v>
          </cell>
          <cell r="J101">
            <v>0</v>
          </cell>
          <cell r="K101">
            <v>0</v>
          </cell>
          <cell r="L101">
            <v>0</v>
          </cell>
          <cell r="M101">
            <v>0</v>
          </cell>
          <cell r="N101">
            <v>0</v>
          </cell>
          <cell r="O101">
            <v>0</v>
          </cell>
          <cell r="P101">
            <v>0</v>
          </cell>
          <cell r="Q101">
            <v>0</v>
          </cell>
        </row>
        <row r="102">
          <cell r="A102">
            <v>36010</v>
          </cell>
          <cell r="B102" t="str">
            <v>Landfill Revenue - C&amp;D</v>
          </cell>
          <cell r="E102">
            <v>0</v>
          </cell>
          <cell r="F102">
            <v>0</v>
          </cell>
          <cell r="G102">
            <v>0</v>
          </cell>
          <cell r="H102">
            <v>0</v>
          </cell>
          <cell r="I102">
            <v>0</v>
          </cell>
          <cell r="J102">
            <v>0</v>
          </cell>
          <cell r="K102">
            <v>0</v>
          </cell>
          <cell r="L102">
            <v>0</v>
          </cell>
          <cell r="M102">
            <v>0</v>
          </cell>
          <cell r="N102">
            <v>0</v>
          </cell>
          <cell r="O102">
            <v>0</v>
          </cell>
          <cell r="P102">
            <v>0</v>
          </cell>
          <cell r="Q102">
            <v>0</v>
          </cell>
        </row>
        <row r="103">
          <cell r="A103">
            <v>36011</v>
          </cell>
          <cell r="B103" t="str">
            <v>Landfill Revenue - C&amp;D Adjustments</v>
          </cell>
          <cell r="E103">
            <v>0</v>
          </cell>
          <cell r="F103">
            <v>0</v>
          </cell>
          <cell r="G103">
            <v>0</v>
          </cell>
          <cell r="H103">
            <v>0</v>
          </cell>
          <cell r="I103">
            <v>0</v>
          </cell>
          <cell r="J103">
            <v>0</v>
          </cell>
          <cell r="K103">
            <v>0</v>
          </cell>
          <cell r="L103">
            <v>0</v>
          </cell>
          <cell r="M103">
            <v>0</v>
          </cell>
          <cell r="N103">
            <v>0</v>
          </cell>
          <cell r="O103">
            <v>0</v>
          </cell>
          <cell r="P103">
            <v>0</v>
          </cell>
          <cell r="Q103">
            <v>0</v>
          </cell>
        </row>
        <row r="104">
          <cell r="A104">
            <v>36019</v>
          </cell>
          <cell r="B104" t="str">
            <v>Landfill Revenue - C&amp;D Intercompany</v>
          </cell>
          <cell r="E104">
            <v>0</v>
          </cell>
          <cell r="F104">
            <v>0</v>
          </cell>
          <cell r="G104">
            <v>0</v>
          </cell>
          <cell r="H104">
            <v>0</v>
          </cell>
          <cell r="I104">
            <v>0</v>
          </cell>
          <cell r="J104">
            <v>0</v>
          </cell>
          <cell r="K104">
            <v>0</v>
          </cell>
          <cell r="L104">
            <v>0</v>
          </cell>
          <cell r="M104">
            <v>0</v>
          </cell>
          <cell r="N104">
            <v>0</v>
          </cell>
          <cell r="O104">
            <v>0</v>
          </cell>
          <cell r="P104">
            <v>0</v>
          </cell>
          <cell r="Q104">
            <v>0</v>
          </cell>
        </row>
        <row r="105">
          <cell r="A105">
            <v>36020</v>
          </cell>
          <cell r="B105" t="str">
            <v>Landfill Revenue - Special Waste</v>
          </cell>
          <cell r="E105">
            <v>0</v>
          </cell>
          <cell r="F105">
            <v>0</v>
          </cell>
          <cell r="G105">
            <v>0</v>
          </cell>
          <cell r="H105">
            <v>0</v>
          </cell>
          <cell r="I105">
            <v>0</v>
          </cell>
          <cell r="J105">
            <v>0</v>
          </cell>
          <cell r="K105">
            <v>0</v>
          </cell>
          <cell r="L105">
            <v>0</v>
          </cell>
          <cell r="M105">
            <v>0</v>
          </cell>
          <cell r="N105">
            <v>0</v>
          </cell>
          <cell r="O105">
            <v>0</v>
          </cell>
          <cell r="P105">
            <v>0</v>
          </cell>
          <cell r="Q105">
            <v>0</v>
          </cell>
        </row>
        <row r="106">
          <cell r="A106">
            <v>36021</v>
          </cell>
          <cell r="B106" t="str">
            <v>Landfill Revenue - Special Waste Adjustm</v>
          </cell>
          <cell r="E106">
            <v>0</v>
          </cell>
          <cell r="F106">
            <v>0</v>
          </cell>
          <cell r="G106">
            <v>0</v>
          </cell>
          <cell r="H106">
            <v>0</v>
          </cell>
          <cell r="I106">
            <v>0</v>
          </cell>
          <cell r="J106">
            <v>0</v>
          </cell>
          <cell r="K106">
            <v>0</v>
          </cell>
          <cell r="L106">
            <v>0</v>
          </cell>
          <cell r="M106">
            <v>0</v>
          </cell>
          <cell r="N106">
            <v>0</v>
          </cell>
          <cell r="O106">
            <v>0</v>
          </cell>
          <cell r="P106">
            <v>0</v>
          </cell>
          <cell r="Q106">
            <v>0</v>
          </cell>
        </row>
        <row r="107">
          <cell r="A107">
            <v>36029</v>
          </cell>
          <cell r="B107" t="str">
            <v>Landfill Revenue - Special Waste Interco</v>
          </cell>
          <cell r="E107">
            <v>0</v>
          </cell>
          <cell r="F107">
            <v>0</v>
          </cell>
          <cell r="G107">
            <v>0</v>
          </cell>
          <cell r="H107">
            <v>0</v>
          </cell>
          <cell r="I107">
            <v>0</v>
          </cell>
          <cell r="J107">
            <v>0</v>
          </cell>
          <cell r="K107">
            <v>0</v>
          </cell>
          <cell r="L107">
            <v>0</v>
          </cell>
          <cell r="M107">
            <v>0</v>
          </cell>
          <cell r="N107">
            <v>0</v>
          </cell>
          <cell r="O107">
            <v>0</v>
          </cell>
          <cell r="P107">
            <v>0</v>
          </cell>
          <cell r="Q107">
            <v>0</v>
          </cell>
        </row>
        <row r="108">
          <cell r="A108">
            <v>36030</v>
          </cell>
          <cell r="B108" t="str">
            <v>Landfill Revenue - Asbestos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A109">
            <v>36031</v>
          </cell>
          <cell r="B109" t="str">
            <v>Landfill Revenue - Asbestos Adjustments</v>
          </cell>
          <cell r="E109">
            <v>0</v>
          </cell>
          <cell r="F109">
            <v>0</v>
          </cell>
          <cell r="G109">
            <v>0</v>
          </cell>
          <cell r="H109">
            <v>0</v>
          </cell>
          <cell r="I109">
            <v>0</v>
          </cell>
          <cell r="J109">
            <v>0</v>
          </cell>
          <cell r="K109">
            <v>0</v>
          </cell>
          <cell r="L109">
            <v>0</v>
          </cell>
          <cell r="M109">
            <v>0</v>
          </cell>
          <cell r="N109">
            <v>0</v>
          </cell>
          <cell r="O109">
            <v>0</v>
          </cell>
          <cell r="P109">
            <v>0</v>
          </cell>
          <cell r="Q109">
            <v>0</v>
          </cell>
        </row>
        <row r="110">
          <cell r="A110">
            <v>36039</v>
          </cell>
          <cell r="B110" t="str">
            <v>Landfill Revenue - Asbestos Intercompany</v>
          </cell>
          <cell r="E110">
            <v>0</v>
          </cell>
          <cell r="F110">
            <v>0</v>
          </cell>
          <cell r="G110">
            <v>0</v>
          </cell>
          <cell r="H110">
            <v>0</v>
          </cell>
          <cell r="I110">
            <v>0</v>
          </cell>
          <cell r="J110">
            <v>0</v>
          </cell>
          <cell r="K110">
            <v>0</v>
          </cell>
          <cell r="L110">
            <v>0</v>
          </cell>
          <cell r="M110">
            <v>0</v>
          </cell>
          <cell r="N110">
            <v>0</v>
          </cell>
          <cell r="O110">
            <v>0</v>
          </cell>
          <cell r="P110">
            <v>0</v>
          </cell>
          <cell r="Q110">
            <v>0</v>
          </cell>
        </row>
        <row r="111">
          <cell r="A111">
            <v>36040</v>
          </cell>
          <cell r="B111" t="str">
            <v>Landfill Revenue - Contaminated Soil</v>
          </cell>
          <cell r="E111">
            <v>0</v>
          </cell>
          <cell r="F111">
            <v>0</v>
          </cell>
          <cell r="G111">
            <v>0</v>
          </cell>
          <cell r="H111">
            <v>0</v>
          </cell>
          <cell r="I111">
            <v>0</v>
          </cell>
          <cell r="J111">
            <v>0</v>
          </cell>
          <cell r="K111">
            <v>0</v>
          </cell>
          <cell r="L111">
            <v>0</v>
          </cell>
          <cell r="M111">
            <v>0</v>
          </cell>
          <cell r="N111">
            <v>0</v>
          </cell>
          <cell r="O111">
            <v>0</v>
          </cell>
          <cell r="P111">
            <v>0</v>
          </cell>
          <cell r="Q111">
            <v>0</v>
          </cell>
        </row>
        <row r="112">
          <cell r="A112">
            <v>36041</v>
          </cell>
          <cell r="B112" t="str">
            <v>Landfill Revenue - Contaminated Soil Adj</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A113">
            <v>36049</v>
          </cell>
          <cell r="B113" t="str">
            <v>Landfill Revenue - Contaminated Soil Int</v>
          </cell>
          <cell r="E113">
            <v>0</v>
          </cell>
          <cell r="F113">
            <v>0</v>
          </cell>
          <cell r="G113">
            <v>0</v>
          </cell>
          <cell r="H113">
            <v>0</v>
          </cell>
          <cell r="I113">
            <v>0</v>
          </cell>
          <cell r="J113">
            <v>0</v>
          </cell>
          <cell r="K113">
            <v>0</v>
          </cell>
          <cell r="L113">
            <v>0</v>
          </cell>
          <cell r="M113">
            <v>0</v>
          </cell>
          <cell r="N113">
            <v>0</v>
          </cell>
          <cell r="O113">
            <v>0</v>
          </cell>
          <cell r="P113">
            <v>0</v>
          </cell>
          <cell r="Q113">
            <v>0</v>
          </cell>
        </row>
        <row r="114">
          <cell r="A114">
            <v>36050</v>
          </cell>
          <cell r="B114" t="str">
            <v>Landfill Revenue - Yard Waste</v>
          </cell>
          <cell r="E114">
            <v>0</v>
          </cell>
          <cell r="F114">
            <v>0</v>
          </cell>
          <cell r="G114">
            <v>0</v>
          </cell>
          <cell r="H114">
            <v>0</v>
          </cell>
          <cell r="I114">
            <v>0</v>
          </cell>
          <cell r="J114">
            <v>0</v>
          </cell>
          <cell r="K114">
            <v>0</v>
          </cell>
          <cell r="L114">
            <v>0</v>
          </cell>
          <cell r="M114">
            <v>0</v>
          </cell>
          <cell r="N114">
            <v>0</v>
          </cell>
          <cell r="O114">
            <v>0</v>
          </cell>
          <cell r="P114">
            <v>0</v>
          </cell>
          <cell r="Q114">
            <v>0</v>
          </cell>
        </row>
        <row r="115">
          <cell r="A115">
            <v>36051</v>
          </cell>
          <cell r="B115" t="str">
            <v>Landfill Revenue - Yard Waste Adjustment</v>
          </cell>
          <cell r="E115">
            <v>0</v>
          </cell>
          <cell r="F115">
            <v>0</v>
          </cell>
          <cell r="G115">
            <v>0</v>
          </cell>
          <cell r="H115">
            <v>0</v>
          </cell>
          <cell r="I115">
            <v>0</v>
          </cell>
          <cell r="J115">
            <v>0</v>
          </cell>
          <cell r="K115">
            <v>0</v>
          </cell>
          <cell r="L115">
            <v>0</v>
          </cell>
          <cell r="M115">
            <v>0</v>
          </cell>
          <cell r="N115">
            <v>0</v>
          </cell>
          <cell r="O115">
            <v>0</v>
          </cell>
          <cell r="P115">
            <v>0</v>
          </cell>
          <cell r="Q115">
            <v>0</v>
          </cell>
        </row>
        <row r="116">
          <cell r="A116">
            <v>36059</v>
          </cell>
          <cell r="B116" t="str">
            <v>Landfill Revenue - Yard Waste Intercompa</v>
          </cell>
          <cell r="E116">
            <v>0</v>
          </cell>
          <cell r="F116">
            <v>0</v>
          </cell>
          <cell r="G116">
            <v>0</v>
          </cell>
          <cell r="H116">
            <v>0</v>
          </cell>
          <cell r="I116">
            <v>0</v>
          </cell>
          <cell r="J116">
            <v>0</v>
          </cell>
          <cell r="K116">
            <v>0</v>
          </cell>
          <cell r="L116">
            <v>0</v>
          </cell>
          <cell r="M116">
            <v>0</v>
          </cell>
          <cell r="N116">
            <v>0</v>
          </cell>
          <cell r="O116">
            <v>0</v>
          </cell>
          <cell r="P116">
            <v>0</v>
          </cell>
          <cell r="Q116">
            <v>0</v>
          </cell>
        </row>
        <row r="117">
          <cell r="A117">
            <v>36090</v>
          </cell>
          <cell r="B117" t="str">
            <v>Landfill Pass Through Revenue</v>
          </cell>
          <cell r="E117">
            <v>0</v>
          </cell>
          <cell r="F117">
            <v>0</v>
          </cell>
          <cell r="G117">
            <v>0</v>
          </cell>
          <cell r="H117">
            <v>0</v>
          </cell>
          <cell r="I117">
            <v>0</v>
          </cell>
          <cell r="J117">
            <v>0</v>
          </cell>
          <cell r="K117">
            <v>0</v>
          </cell>
          <cell r="L117">
            <v>0</v>
          </cell>
          <cell r="M117">
            <v>0</v>
          </cell>
          <cell r="N117">
            <v>0</v>
          </cell>
          <cell r="O117">
            <v>0</v>
          </cell>
          <cell r="P117">
            <v>0</v>
          </cell>
          <cell r="Q117">
            <v>0</v>
          </cell>
        </row>
        <row r="118">
          <cell r="A118">
            <v>36099</v>
          </cell>
          <cell r="B118" t="str">
            <v>Landfill Pass Through Revenue Intercompany</v>
          </cell>
          <cell r="E118">
            <v>0</v>
          </cell>
          <cell r="F118">
            <v>0</v>
          </cell>
          <cell r="G118">
            <v>0</v>
          </cell>
          <cell r="H118">
            <v>0</v>
          </cell>
          <cell r="I118">
            <v>0</v>
          </cell>
          <cell r="J118">
            <v>0</v>
          </cell>
          <cell r="K118">
            <v>0</v>
          </cell>
          <cell r="L118">
            <v>0</v>
          </cell>
          <cell r="M118">
            <v>0</v>
          </cell>
          <cell r="N118">
            <v>0</v>
          </cell>
          <cell r="O118">
            <v>0</v>
          </cell>
          <cell r="P118">
            <v>0</v>
          </cell>
          <cell r="Q118">
            <v>0</v>
          </cell>
        </row>
        <row r="119">
          <cell r="A119">
            <v>36301</v>
          </cell>
          <cell r="B119" t="str">
            <v>E&amp;P Liquids - Non Count Waste</v>
          </cell>
          <cell r="E119">
            <v>0</v>
          </cell>
          <cell r="F119">
            <v>0</v>
          </cell>
          <cell r="G119">
            <v>0</v>
          </cell>
          <cell r="H119">
            <v>0</v>
          </cell>
          <cell r="I119">
            <v>0</v>
          </cell>
          <cell r="J119">
            <v>0</v>
          </cell>
          <cell r="K119">
            <v>0</v>
          </cell>
          <cell r="L119">
            <v>0</v>
          </cell>
          <cell r="M119">
            <v>0</v>
          </cell>
          <cell r="N119">
            <v>0</v>
          </cell>
          <cell r="O119">
            <v>0</v>
          </cell>
          <cell r="P119">
            <v>0</v>
          </cell>
          <cell r="Q119">
            <v>0</v>
          </cell>
        </row>
        <row r="120">
          <cell r="A120">
            <v>36309</v>
          </cell>
          <cell r="B120" t="str">
            <v>E&amp;P Liquids - Non Count Waste Intercompany</v>
          </cell>
          <cell r="E120">
            <v>0</v>
          </cell>
          <cell r="F120">
            <v>0</v>
          </cell>
          <cell r="G120">
            <v>0</v>
          </cell>
          <cell r="H120">
            <v>0</v>
          </cell>
          <cell r="I120">
            <v>0</v>
          </cell>
          <cell r="J120">
            <v>0</v>
          </cell>
          <cell r="K120">
            <v>0</v>
          </cell>
          <cell r="L120">
            <v>0</v>
          </cell>
          <cell r="M120">
            <v>0</v>
          </cell>
          <cell r="N120">
            <v>0</v>
          </cell>
          <cell r="O120">
            <v>0</v>
          </cell>
          <cell r="P120">
            <v>0</v>
          </cell>
          <cell r="Q120">
            <v>0</v>
          </cell>
        </row>
        <row r="121">
          <cell r="A121">
            <v>36311</v>
          </cell>
          <cell r="B121" t="str">
            <v>E&amp;P Liquids - Count Waste</v>
          </cell>
          <cell r="E121">
            <v>0</v>
          </cell>
          <cell r="F121">
            <v>0</v>
          </cell>
          <cell r="G121">
            <v>0</v>
          </cell>
          <cell r="H121">
            <v>0</v>
          </cell>
          <cell r="I121">
            <v>0</v>
          </cell>
          <cell r="J121">
            <v>0</v>
          </cell>
          <cell r="K121">
            <v>0</v>
          </cell>
          <cell r="L121">
            <v>0</v>
          </cell>
          <cell r="M121">
            <v>0</v>
          </cell>
          <cell r="N121">
            <v>0</v>
          </cell>
          <cell r="O121">
            <v>0</v>
          </cell>
          <cell r="P121">
            <v>0</v>
          </cell>
          <cell r="Q121">
            <v>0</v>
          </cell>
        </row>
        <row r="122">
          <cell r="A122">
            <v>36319</v>
          </cell>
          <cell r="B122" t="str">
            <v>E&amp;P Liquids - Count Waste Intercompany</v>
          </cell>
          <cell r="E122">
            <v>0</v>
          </cell>
          <cell r="F122">
            <v>0</v>
          </cell>
          <cell r="G122">
            <v>0</v>
          </cell>
          <cell r="H122">
            <v>0</v>
          </cell>
          <cell r="I122">
            <v>0</v>
          </cell>
          <cell r="J122">
            <v>0</v>
          </cell>
          <cell r="K122">
            <v>0</v>
          </cell>
          <cell r="L122">
            <v>0</v>
          </cell>
          <cell r="M122">
            <v>0</v>
          </cell>
          <cell r="N122">
            <v>0</v>
          </cell>
          <cell r="O122">
            <v>0</v>
          </cell>
          <cell r="P122">
            <v>0</v>
          </cell>
          <cell r="Q122">
            <v>0</v>
          </cell>
        </row>
        <row r="123">
          <cell r="A123">
            <v>36321</v>
          </cell>
          <cell r="B123" t="str">
            <v>Other Liquids - Non E&amp;P</v>
          </cell>
          <cell r="E123">
            <v>0</v>
          </cell>
          <cell r="F123">
            <v>0</v>
          </cell>
          <cell r="G123">
            <v>0</v>
          </cell>
          <cell r="H123">
            <v>0</v>
          </cell>
          <cell r="I123">
            <v>0</v>
          </cell>
          <cell r="J123">
            <v>0</v>
          </cell>
          <cell r="K123">
            <v>0</v>
          </cell>
          <cell r="L123">
            <v>0</v>
          </cell>
          <cell r="M123">
            <v>0</v>
          </cell>
          <cell r="N123">
            <v>0</v>
          </cell>
          <cell r="O123">
            <v>0</v>
          </cell>
          <cell r="P123">
            <v>0</v>
          </cell>
          <cell r="Q123">
            <v>0</v>
          </cell>
        </row>
        <row r="124">
          <cell r="A124">
            <v>36329</v>
          </cell>
          <cell r="B124" t="str">
            <v>Other Liquids - Non E&amp;P Intercompany</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A125">
            <v>36331</v>
          </cell>
          <cell r="B125" t="str">
            <v>E&amp;P Solids - Count Waste</v>
          </cell>
          <cell r="E125">
            <v>0</v>
          </cell>
          <cell r="F125">
            <v>0</v>
          </cell>
          <cell r="G125">
            <v>0</v>
          </cell>
          <cell r="H125">
            <v>0</v>
          </cell>
          <cell r="I125">
            <v>0</v>
          </cell>
          <cell r="J125">
            <v>0</v>
          </cell>
          <cell r="K125">
            <v>0</v>
          </cell>
          <cell r="L125">
            <v>0</v>
          </cell>
          <cell r="M125">
            <v>0</v>
          </cell>
          <cell r="N125">
            <v>0</v>
          </cell>
          <cell r="O125">
            <v>0</v>
          </cell>
          <cell r="P125">
            <v>0</v>
          </cell>
          <cell r="Q125">
            <v>0</v>
          </cell>
        </row>
        <row r="126">
          <cell r="A126">
            <v>36339</v>
          </cell>
          <cell r="B126" t="str">
            <v>E&amp;P Solids - Count Waste Intercompany</v>
          </cell>
          <cell r="E126">
            <v>0</v>
          </cell>
          <cell r="F126">
            <v>0</v>
          </cell>
          <cell r="G126">
            <v>0</v>
          </cell>
          <cell r="H126">
            <v>0</v>
          </cell>
          <cell r="I126">
            <v>0</v>
          </cell>
          <cell r="J126">
            <v>0</v>
          </cell>
          <cell r="K126">
            <v>0</v>
          </cell>
          <cell r="L126">
            <v>0</v>
          </cell>
          <cell r="M126">
            <v>0</v>
          </cell>
          <cell r="N126">
            <v>0</v>
          </cell>
          <cell r="O126">
            <v>0</v>
          </cell>
          <cell r="P126">
            <v>0</v>
          </cell>
          <cell r="Q126">
            <v>0</v>
          </cell>
        </row>
        <row r="127">
          <cell r="A127" t="str">
            <v>Total Landfill</v>
          </cell>
          <cell r="E127">
            <v>0</v>
          </cell>
          <cell r="F127">
            <v>0</v>
          </cell>
          <cell r="G127">
            <v>0</v>
          </cell>
          <cell r="H127">
            <v>0</v>
          </cell>
          <cell r="I127">
            <v>0</v>
          </cell>
          <cell r="J127">
            <v>0</v>
          </cell>
          <cell r="K127">
            <v>0</v>
          </cell>
          <cell r="L127">
            <v>0</v>
          </cell>
          <cell r="M127">
            <v>0</v>
          </cell>
          <cell r="N127">
            <v>0</v>
          </cell>
          <cell r="O127">
            <v>0</v>
          </cell>
          <cell r="P127">
            <v>0</v>
          </cell>
          <cell r="Q127">
            <v>0</v>
          </cell>
        </row>
        <row r="129">
          <cell r="A129" t="str">
            <v>Intermodal</v>
          </cell>
        </row>
        <row r="130">
          <cell r="A130">
            <v>36101</v>
          </cell>
          <cell r="B130" t="str">
            <v>Rail Drayage Revenue</v>
          </cell>
          <cell r="E130">
            <v>0</v>
          </cell>
          <cell r="F130">
            <v>0</v>
          </cell>
          <cell r="G130">
            <v>0</v>
          </cell>
          <cell r="H130">
            <v>0</v>
          </cell>
          <cell r="I130">
            <v>0</v>
          </cell>
          <cell r="J130">
            <v>0</v>
          </cell>
          <cell r="K130">
            <v>0</v>
          </cell>
          <cell r="L130">
            <v>0</v>
          </cell>
          <cell r="M130">
            <v>0</v>
          </cell>
          <cell r="N130">
            <v>0</v>
          </cell>
          <cell r="O130">
            <v>0</v>
          </cell>
          <cell r="P130">
            <v>0</v>
          </cell>
          <cell r="Q130">
            <v>0</v>
          </cell>
        </row>
        <row r="131">
          <cell r="A131">
            <v>36109</v>
          </cell>
          <cell r="B131" t="str">
            <v>Rail Drayage Revenue - Intercompany</v>
          </cell>
          <cell r="E131">
            <v>0</v>
          </cell>
          <cell r="F131">
            <v>0</v>
          </cell>
          <cell r="G131">
            <v>0</v>
          </cell>
          <cell r="H131">
            <v>0</v>
          </cell>
          <cell r="I131">
            <v>0</v>
          </cell>
          <cell r="J131">
            <v>0</v>
          </cell>
          <cell r="K131">
            <v>0</v>
          </cell>
          <cell r="L131">
            <v>0</v>
          </cell>
          <cell r="M131">
            <v>0</v>
          </cell>
          <cell r="N131">
            <v>0</v>
          </cell>
          <cell r="O131">
            <v>0</v>
          </cell>
          <cell r="P131">
            <v>0</v>
          </cell>
          <cell r="Q131">
            <v>0</v>
          </cell>
        </row>
        <row r="132">
          <cell r="A132">
            <v>36111</v>
          </cell>
          <cell r="B132" t="str">
            <v>Truck Drayage Revenue</v>
          </cell>
          <cell r="E132">
            <v>0</v>
          </cell>
          <cell r="F132">
            <v>0</v>
          </cell>
          <cell r="G132">
            <v>0</v>
          </cell>
          <cell r="H132">
            <v>0</v>
          </cell>
          <cell r="I132">
            <v>0</v>
          </cell>
          <cell r="J132">
            <v>0</v>
          </cell>
          <cell r="K132">
            <v>0</v>
          </cell>
          <cell r="L132">
            <v>0</v>
          </cell>
          <cell r="M132">
            <v>0</v>
          </cell>
          <cell r="N132">
            <v>0</v>
          </cell>
          <cell r="O132">
            <v>0</v>
          </cell>
          <cell r="P132">
            <v>0</v>
          </cell>
          <cell r="Q132">
            <v>0</v>
          </cell>
        </row>
        <row r="133">
          <cell r="A133">
            <v>36119</v>
          </cell>
          <cell r="B133" t="str">
            <v>Truck Drayage Revenue - Intercompany</v>
          </cell>
          <cell r="E133">
            <v>0</v>
          </cell>
          <cell r="F133">
            <v>0</v>
          </cell>
          <cell r="G133">
            <v>0</v>
          </cell>
          <cell r="H133">
            <v>0</v>
          </cell>
          <cell r="I133">
            <v>0</v>
          </cell>
          <cell r="J133">
            <v>0</v>
          </cell>
          <cell r="K133">
            <v>0</v>
          </cell>
          <cell r="L133">
            <v>0</v>
          </cell>
          <cell r="M133">
            <v>0</v>
          </cell>
          <cell r="N133">
            <v>0</v>
          </cell>
          <cell r="O133">
            <v>0</v>
          </cell>
          <cell r="P133">
            <v>0</v>
          </cell>
          <cell r="Q133">
            <v>0</v>
          </cell>
        </row>
        <row r="134">
          <cell r="A134">
            <v>36121</v>
          </cell>
          <cell r="B134" t="str">
            <v>Barge Drayage Revenue</v>
          </cell>
          <cell r="E134">
            <v>0</v>
          </cell>
          <cell r="F134">
            <v>0</v>
          </cell>
          <cell r="G134">
            <v>0</v>
          </cell>
          <cell r="H134">
            <v>0</v>
          </cell>
          <cell r="I134">
            <v>0</v>
          </cell>
          <cell r="J134">
            <v>0</v>
          </cell>
          <cell r="K134">
            <v>0</v>
          </cell>
          <cell r="L134">
            <v>0</v>
          </cell>
          <cell r="M134">
            <v>0</v>
          </cell>
          <cell r="N134">
            <v>0</v>
          </cell>
          <cell r="O134">
            <v>0</v>
          </cell>
          <cell r="P134">
            <v>0</v>
          </cell>
          <cell r="Q134">
            <v>0</v>
          </cell>
        </row>
        <row r="135">
          <cell r="A135">
            <v>36131</v>
          </cell>
          <cell r="B135" t="str">
            <v>Service Labor Revenue</v>
          </cell>
          <cell r="E135">
            <v>0</v>
          </cell>
          <cell r="F135">
            <v>0</v>
          </cell>
          <cell r="G135">
            <v>0</v>
          </cell>
          <cell r="H135">
            <v>0</v>
          </cell>
          <cell r="I135">
            <v>0</v>
          </cell>
          <cell r="J135">
            <v>0</v>
          </cell>
          <cell r="K135">
            <v>0</v>
          </cell>
          <cell r="L135">
            <v>0</v>
          </cell>
          <cell r="M135">
            <v>0</v>
          </cell>
          <cell r="N135">
            <v>0</v>
          </cell>
          <cell r="O135">
            <v>0</v>
          </cell>
          <cell r="P135">
            <v>0</v>
          </cell>
          <cell r="Q135">
            <v>0</v>
          </cell>
        </row>
        <row r="136">
          <cell r="A136">
            <v>36141</v>
          </cell>
          <cell r="B136" t="str">
            <v>Refrigeration Labor Revenue</v>
          </cell>
          <cell r="E136">
            <v>0</v>
          </cell>
          <cell r="F136">
            <v>0</v>
          </cell>
          <cell r="G136">
            <v>0</v>
          </cell>
          <cell r="H136">
            <v>0</v>
          </cell>
          <cell r="I136">
            <v>0</v>
          </cell>
          <cell r="J136">
            <v>0</v>
          </cell>
          <cell r="K136">
            <v>0</v>
          </cell>
          <cell r="L136">
            <v>0</v>
          </cell>
          <cell r="M136">
            <v>0</v>
          </cell>
          <cell r="N136">
            <v>0</v>
          </cell>
          <cell r="O136">
            <v>0</v>
          </cell>
          <cell r="P136">
            <v>0</v>
          </cell>
          <cell r="Q136">
            <v>0</v>
          </cell>
        </row>
        <row r="137">
          <cell r="A137">
            <v>36145</v>
          </cell>
          <cell r="B137" t="str">
            <v>Parts Revenue</v>
          </cell>
          <cell r="E137">
            <v>0</v>
          </cell>
          <cell r="F137">
            <v>0</v>
          </cell>
          <cell r="G137">
            <v>0</v>
          </cell>
          <cell r="H137">
            <v>0</v>
          </cell>
          <cell r="I137">
            <v>0</v>
          </cell>
          <cell r="J137">
            <v>0</v>
          </cell>
          <cell r="K137">
            <v>0</v>
          </cell>
          <cell r="L137">
            <v>0</v>
          </cell>
          <cell r="M137">
            <v>0</v>
          </cell>
          <cell r="N137">
            <v>0</v>
          </cell>
          <cell r="O137">
            <v>0</v>
          </cell>
          <cell r="P137">
            <v>0</v>
          </cell>
          <cell r="Q137">
            <v>0</v>
          </cell>
        </row>
        <row r="138">
          <cell r="A138">
            <v>36151</v>
          </cell>
          <cell r="B138" t="str">
            <v>Container Sales Revenue</v>
          </cell>
          <cell r="E138">
            <v>0</v>
          </cell>
          <cell r="F138">
            <v>0</v>
          </cell>
          <cell r="G138">
            <v>0</v>
          </cell>
          <cell r="H138">
            <v>0</v>
          </cell>
          <cell r="I138">
            <v>0</v>
          </cell>
          <cell r="J138">
            <v>0</v>
          </cell>
          <cell r="K138">
            <v>0</v>
          </cell>
          <cell r="L138">
            <v>0</v>
          </cell>
          <cell r="M138">
            <v>0</v>
          </cell>
          <cell r="N138">
            <v>0</v>
          </cell>
          <cell r="O138">
            <v>0</v>
          </cell>
          <cell r="P138">
            <v>0</v>
          </cell>
          <cell r="Q138">
            <v>0</v>
          </cell>
        </row>
        <row r="139">
          <cell r="A139">
            <v>36161</v>
          </cell>
          <cell r="B139" t="str">
            <v>Container Rental Revenue</v>
          </cell>
          <cell r="E139">
            <v>0</v>
          </cell>
          <cell r="F139">
            <v>0</v>
          </cell>
          <cell r="G139">
            <v>0</v>
          </cell>
          <cell r="H139">
            <v>0</v>
          </cell>
          <cell r="I139">
            <v>0</v>
          </cell>
          <cell r="J139">
            <v>0</v>
          </cell>
          <cell r="K139">
            <v>0</v>
          </cell>
          <cell r="L139">
            <v>0</v>
          </cell>
          <cell r="M139">
            <v>0</v>
          </cell>
          <cell r="N139">
            <v>0</v>
          </cell>
          <cell r="O139">
            <v>0</v>
          </cell>
          <cell r="P139">
            <v>0</v>
          </cell>
          <cell r="Q139">
            <v>0</v>
          </cell>
        </row>
        <row r="140">
          <cell r="A140">
            <v>36171</v>
          </cell>
          <cell r="B140" t="str">
            <v>Intermodal Revenue</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A141">
            <v>36181</v>
          </cell>
          <cell r="B141" t="str">
            <v>Chassis Lease Revenue</v>
          </cell>
          <cell r="E141">
            <v>0</v>
          </cell>
          <cell r="F141">
            <v>0</v>
          </cell>
          <cell r="G141">
            <v>0</v>
          </cell>
          <cell r="H141">
            <v>0</v>
          </cell>
          <cell r="I141">
            <v>0</v>
          </cell>
          <cell r="J141">
            <v>0</v>
          </cell>
          <cell r="K141">
            <v>0</v>
          </cell>
          <cell r="L141">
            <v>0</v>
          </cell>
          <cell r="M141">
            <v>0</v>
          </cell>
          <cell r="N141">
            <v>0</v>
          </cell>
          <cell r="O141">
            <v>0</v>
          </cell>
          <cell r="P141">
            <v>0</v>
          </cell>
          <cell r="Q141">
            <v>0</v>
          </cell>
        </row>
        <row r="142">
          <cell r="A142">
            <v>36191</v>
          </cell>
          <cell r="B142" t="str">
            <v>Interchanges Revenue</v>
          </cell>
          <cell r="E142">
            <v>0</v>
          </cell>
          <cell r="F142">
            <v>0</v>
          </cell>
          <cell r="G142">
            <v>0</v>
          </cell>
          <cell r="H142">
            <v>0</v>
          </cell>
          <cell r="I142">
            <v>0</v>
          </cell>
          <cell r="J142">
            <v>0</v>
          </cell>
          <cell r="K142">
            <v>0</v>
          </cell>
          <cell r="L142">
            <v>0</v>
          </cell>
          <cell r="M142">
            <v>0</v>
          </cell>
          <cell r="N142">
            <v>0</v>
          </cell>
          <cell r="O142">
            <v>0</v>
          </cell>
          <cell r="P142">
            <v>0</v>
          </cell>
          <cell r="Q142">
            <v>0</v>
          </cell>
        </row>
        <row r="143">
          <cell r="A143">
            <v>36201</v>
          </cell>
          <cell r="B143" t="str">
            <v>Storage Revenue</v>
          </cell>
          <cell r="E143">
            <v>0</v>
          </cell>
          <cell r="F143">
            <v>0</v>
          </cell>
          <cell r="G143">
            <v>0</v>
          </cell>
          <cell r="H143">
            <v>0</v>
          </cell>
          <cell r="I143">
            <v>0</v>
          </cell>
          <cell r="J143">
            <v>0</v>
          </cell>
          <cell r="K143">
            <v>0</v>
          </cell>
          <cell r="L143">
            <v>0</v>
          </cell>
          <cell r="M143">
            <v>0</v>
          </cell>
          <cell r="N143">
            <v>0</v>
          </cell>
          <cell r="O143">
            <v>0</v>
          </cell>
          <cell r="P143">
            <v>0</v>
          </cell>
          <cell r="Q143">
            <v>0</v>
          </cell>
        </row>
        <row r="144">
          <cell r="A144">
            <v>36211</v>
          </cell>
          <cell r="B144" t="str">
            <v>Empty Lifts Revenue</v>
          </cell>
          <cell r="E144">
            <v>0</v>
          </cell>
          <cell r="F144">
            <v>0</v>
          </cell>
          <cell r="G144">
            <v>0</v>
          </cell>
          <cell r="H144">
            <v>0</v>
          </cell>
          <cell r="I144">
            <v>0</v>
          </cell>
          <cell r="J144">
            <v>0</v>
          </cell>
          <cell r="K144">
            <v>0</v>
          </cell>
          <cell r="L144">
            <v>0</v>
          </cell>
          <cell r="M144">
            <v>0</v>
          </cell>
          <cell r="N144">
            <v>0</v>
          </cell>
          <cell r="O144">
            <v>0</v>
          </cell>
          <cell r="P144">
            <v>0</v>
          </cell>
          <cell r="Q144">
            <v>0</v>
          </cell>
        </row>
        <row r="145">
          <cell r="A145">
            <v>36221</v>
          </cell>
          <cell r="B145" t="str">
            <v>Load Lifts Revenue</v>
          </cell>
          <cell r="E145">
            <v>0</v>
          </cell>
          <cell r="F145">
            <v>0</v>
          </cell>
          <cell r="G145">
            <v>0</v>
          </cell>
          <cell r="H145">
            <v>0</v>
          </cell>
          <cell r="I145">
            <v>0</v>
          </cell>
          <cell r="J145">
            <v>0</v>
          </cell>
          <cell r="K145">
            <v>0</v>
          </cell>
          <cell r="L145">
            <v>0</v>
          </cell>
          <cell r="M145">
            <v>0</v>
          </cell>
          <cell r="N145">
            <v>0</v>
          </cell>
          <cell r="O145">
            <v>0</v>
          </cell>
          <cell r="P145">
            <v>0</v>
          </cell>
          <cell r="Q145">
            <v>0</v>
          </cell>
        </row>
        <row r="146">
          <cell r="A146" t="str">
            <v>Total Intermodal</v>
          </cell>
          <cell r="E146">
            <v>0</v>
          </cell>
          <cell r="F146">
            <v>0</v>
          </cell>
          <cell r="G146">
            <v>0</v>
          </cell>
          <cell r="H146">
            <v>0</v>
          </cell>
          <cell r="I146">
            <v>0</v>
          </cell>
          <cell r="J146">
            <v>0</v>
          </cell>
          <cell r="K146">
            <v>0</v>
          </cell>
          <cell r="L146">
            <v>0</v>
          </cell>
          <cell r="M146">
            <v>0</v>
          </cell>
          <cell r="N146">
            <v>0</v>
          </cell>
          <cell r="O146">
            <v>0</v>
          </cell>
          <cell r="P146">
            <v>0</v>
          </cell>
          <cell r="Q146">
            <v>0</v>
          </cell>
        </row>
        <row r="148">
          <cell r="A148" t="str">
            <v>Other Revenue</v>
          </cell>
        </row>
        <row r="149">
          <cell r="A149">
            <v>37001</v>
          </cell>
          <cell r="B149" t="str">
            <v>Sale of Equipment</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A150">
            <v>37010</v>
          </cell>
          <cell r="B150" t="str">
            <v>Tire Processing Revenue</v>
          </cell>
          <cell r="E150">
            <v>0</v>
          </cell>
          <cell r="F150">
            <v>0</v>
          </cell>
          <cell r="G150">
            <v>0</v>
          </cell>
          <cell r="H150">
            <v>0</v>
          </cell>
          <cell r="I150">
            <v>0</v>
          </cell>
          <cell r="J150">
            <v>0</v>
          </cell>
          <cell r="K150">
            <v>0</v>
          </cell>
          <cell r="L150">
            <v>0</v>
          </cell>
          <cell r="M150">
            <v>0</v>
          </cell>
          <cell r="N150">
            <v>0</v>
          </cell>
          <cell r="O150">
            <v>0</v>
          </cell>
          <cell r="P150">
            <v>0</v>
          </cell>
          <cell r="Q150">
            <v>0</v>
          </cell>
        </row>
        <row r="151">
          <cell r="A151">
            <v>37019</v>
          </cell>
          <cell r="B151" t="str">
            <v>Tire Processing Revenue - Intercompany</v>
          </cell>
          <cell r="E151">
            <v>0</v>
          </cell>
          <cell r="F151">
            <v>0</v>
          </cell>
          <cell r="G151">
            <v>0</v>
          </cell>
          <cell r="H151">
            <v>0</v>
          </cell>
          <cell r="I151">
            <v>0</v>
          </cell>
          <cell r="J151">
            <v>0</v>
          </cell>
          <cell r="K151">
            <v>0</v>
          </cell>
          <cell r="L151">
            <v>0</v>
          </cell>
          <cell r="M151">
            <v>0</v>
          </cell>
          <cell r="N151">
            <v>0</v>
          </cell>
          <cell r="O151">
            <v>0</v>
          </cell>
          <cell r="P151">
            <v>0</v>
          </cell>
          <cell r="Q151">
            <v>0</v>
          </cell>
        </row>
        <row r="152">
          <cell r="A152">
            <v>38000</v>
          </cell>
          <cell r="B152" t="str">
            <v>Corporate Other Revenue</v>
          </cell>
          <cell r="E152">
            <v>8589.2099999999991</v>
          </cell>
          <cell r="F152">
            <v>1694.09</v>
          </cell>
          <cell r="G152">
            <v>4218.3599999999997</v>
          </cell>
          <cell r="H152">
            <v>1373.97</v>
          </cell>
          <cell r="I152">
            <v>5262.72</v>
          </cell>
          <cell r="J152">
            <v>1769.91</v>
          </cell>
          <cell r="K152">
            <v>5502.45</v>
          </cell>
          <cell r="L152">
            <v>1702.72</v>
          </cell>
          <cell r="M152">
            <v>5805.85</v>
          </cell>
          <cell r="N152">
            <v>2208.19</v>
          </cell>
          <cell r="O152">
            <v>5752.25</v>
          </cell>
          <cell r="P152">
            <v>3433.24</v>
          </cell>
          <cell r="Q152">
            <v>47312.959999999999</v>
          </cell>
        </row>
        <row r="153">
          <cell r="A153">
            <v>38001</v>
          </cell>
          <cell r="B153" t="str">
            <v>P-Card Rebate Revenue</v>
          </cell>
          <cell r="E153">
            <v>0</v>
          </cell>
          <cell r="F153">
            <v>0</v>
          </cell>
          <cell r="G153">
            <v>0</v>
          </cell>
          <cell r="H153">
            <v>0</v>
          </cell>
          <cell r="I153">
            <v>0</v>
          </cell>
          <cell r="J153">
            <v>0</v>
          </cell>
          <cell r="K153">
            <v>0</v>
          </cell>
          <cell r="L153">
            <v>0</v>
          </cell>
          <cell r="M153">
            <v>0</v>
          </cell>
          <cell r="N153">
            <v>0</v>
          </cell>
          <cell r="O153">
            <v>0</v>
          </cell>
          <cell r="P153">
            <v>0</v>
          </cell>
          <cell r="Q153">
            <v>0</v>
          </cell>
        </row>
        <row r="154">
          <cell r="A154" t="str">
            <v>Total Other Revenue</v>
          </cell>
          <cell r="E154">
            <v>8589.2099999999991</v>
          </cell>
          <cell r="F154">
            <v>1694.09</v>
          </cell>
          <cell r="G154">
            <v>4218.3599999999997</v>
          </cell>
          <cell r="H154">
            <v>1373.97</v>
          </cell>
          <cell r="I154">
            <v>5262.72</v>
          </cell>
          <cell r="J154">
            <v>1769.91</v>
          </cell>
          <cell r="K154">
            <v>5502.45</v>
          </cell>
          <cell r="L154">
            <v>1702.72</v>
          </cell>
          <cell r="M154">
            <v>5805.85</v>
          </cell>
          <cell r="N154">
            <v>2208.19</v>
          </cell>
          <cell r="O154">
            <v>5752.25</v>
          </cell>
          <cell r="P154">
            <v>3433.24</v>
          </cell>
          <cell r="Q154">
            <v>47312.959999999999</v>
          </cell>
        </row>
        <row r="156">
          <cell r="A156" t="str">
            <v>Total Revenue</v>
          </cell>
          <cell r="E156">
            <v>2839426.59</v>
          </cell>
          <cell r="F156">
            <v>2811716.86</v>
          </cell>
          <cell r="G156">
            <v>2913771.82</v>
          </cell>
          <cell r="H156">
            <v>2924037.87</v>
          </cell>
          <cell r="I156">
            <v>2930860.6499999994</v>
          </cell>
          <cell r="J156">
            <v>3005240.4200000004</v>
          </cell>
          <cell r="K156">
            <v>2980348.3999999994</v>
          </cell>
          <cell r="L156">
            <v>2955082.1699999995</v>
          </cell>
          <cell r="M156">
            <v>2995618.75</v>
          </cell>
          <cell r="N156">
            <v>2959049.6100000003</v>
          </cell>
          <cell r="O156">
            <v>2983216.9499999997</v>
          </cell>
          <cell r="P156">
            <v>2979291.22</v>
          </cell>
          <cell r="Q156">
            <v>35277661.310000002</v>
          </cell>
        </row>
        <row r="158">
          <cell r="A158" t="str">
            <v>Revenue Reductions</v>
          </cell>
        </row>
        <row r="159">
          <cell r="A159" t="str">
            <v>Disposal</v>
          </cell>
        </row>
        <row r="160">
          <cell r="A160">
            <v>40101</v>
          </cell>
          <cell r="B160" t="str">
            <v>Disposal Landfill</v>
          </cell>
          <cell r="E160">
            <v>23350.03</v>
          </cell>
          <cell r="F160">
            <v>26834.720000000001</v>
          </cell>
          <cell r="G160">
            <v>42381.84</v>
          </cell>
          <cell r="H160">
            <v>36707.01</v>
          </cell>
          <cell r="I160">
            <v>39327.86</v>
          </cell>
          <cell r="J160">
            <v>44813.91</v>
          </cell>
          <cell r="K160">
            <v>45601.91</v>
          </cell>
          <cell r="L160">
            <v>42594.05</v>
          </cell>
          <cell r="M160">
            <v>39719.949999999997</v>
          </cell>
          <cell r="N160">
            <v>37160.81</v>
          </cell>
          <cell r="O160">
            <v>33518.03</v>
          </cell>
          <cell r="P160">
            <v>28405.79</v>
          </cell>
          <cell r="Q160">
            <v>440415.91</v>
          </cell>
        </row>
        <row r="161">
          <cell r="A161">
            <v>40109</v>
          </cell>
          <cell r="B161" t="str">
            <v>Disposal Landfill Intercompany</v>
          </cell>
          <cell r="E161">
            <v>194.6</v>
          </cell>
          <cell r="F161">
            <v>327.96</v>
          </cell>
          <cell r="G161">
            <v>99.4</v>
          </cell>
          <cell r="H161">
            <v>8930.7999999999993</v>
          </cell>
          <cell r="I161">
            <v>8418</v>
          </cell>
          <cell r="J161">
            <v>10225</v>
          </cell>
          <cell r="K161">
            <v>9550</v>
          </cell>
          <cell r="L161">
            <v>8953</v>
          </cell>
          <cell r="M161">
            <v>8660</v>
          </cell>
          <cell r="N161">
            <v>8485</v>
          </cell>
          <cell r="O161">
            <v>8205</v>
          </cell>
          <cell r="P161">
            <v>8111.2</v>
          </cell>
          <cell r="Q161">
            <v>80159.959999999992</v>
          </cell>
        </row>
        <row r="162">
          <cell r="A162">
            <v>40121</v>
          </cell>
          <cell r="B162" t="str">
            <v>Disposal Incineration</v>
          </cell>
          <cell r="E162">
            <v>0</v>
          </cell>
          <cell r="F162">
            <v>0</v>
          </cell>
          <cell r="G162">
            <v>0</v>
          </cell>
          <cell r="H162">
            <v>0</v>
          </cell>
          <cell r="I162">
            <v>0</v>
          </cell>
          <cell r="J162">
            <v>0</v>
          </cell>
          <cell r="K162">
            <v>0</v>
          </cell>
          <cell r="L162">
            <v>0</v>
          </cell>
          <cell r="M162">
            <v>0</v>
          </cell>
          <cell r="N162">
            <v>0</v>
          </cell>
          <cell r="O162">
            <v>0</v>
          </cell>
          <cell r="P162">
            <v>0</v>
          </cell>
          <cell r="Q162">
            <v>0</v>
          </cell>
        </row>
        <row r="163">
          <cell r="A163">
            <v>40122</v>
          </cell>
          <cell r="B163" t="str">
            <v>Disposal Other</v>
          </cell>
          <cell r="E163">
            <v>0</v>
          </cell>
          <cell r="F163">
            <v>0</v>
          </cell>
          <cell r="G163">
            <v>0</v>
          </cell>
          <cell r="H163">
            <v>0</v>
          </cell>
          <cell r="I163">
            <v>0</v>
          </cell>
          <cell r="J163">
            <v>0</v>
          </cell>
          <cell r="K163">
            <v>0</v>
          </cell>
          <cell r="L163">
            <v>0</v>
          </cell>
          <cell r="M163">
            <v>0</v>
          </cell>
          <cell r="N163">
            <v>0</v>
          </cell>
          <cell r="O163">
            <v>0</v>
          </cell>
          <cell r="P163">
            <v>0</v>
          </cell>
          <cell r="Q163">
            <v>0</v>
          </cell>
        </row>
        <row r="164">
          <cell r="A164">
            <v>40129</v>
          </cell>
          <cell r="B164" t="str">
            <v>Disposal Other</v>
          </cell>
          <cell r="E164">
            <v>0</v>
          </cell>
          <cell r="F164">
            <v>0</v>
          </cell>
          <cell r="G164">
            <v>0</v>
          </cell>
          <cell r="H164">
            <v>0</v>
          </cell>
          <cell r="I164">
            <v>0</v>
          </cell>
          <cell r="J164">
            <v>0</v>
          </cell>
          <cell r="K164">
            <v>0</v>
          </cell>
          <cell r="L164">
            <v>0</v>
          </cell>
          <cell r="M164">
            <v>0</v>
          </cell>
          <cell r="N164">
            <v>0</v>
          </cell>
          <cell r="O164">
            <v>0</v>
          </cell>
          <cell r="P164">
            <v>0</v>
          </cell>
          <cell r="Q164">
            <v>0</v>
          </cell>
        </row>
        <row r="165">
          <cell r="A165">
            <v>40131</v>
          </cell>
          <cell r="B165" t="str">
            <v>Disposal Transfer</v>
          </cell>
          <cell r="E165">
            <v>4652.22</v>
          </cell>
          <cell r="F165">
            <v>5422.23</v>
          </cell>
          <cell r="G165">
            <v>6556.26</v>
          </cell>
          <cell r="H165">
            <v>5248.01</v>
          </cell>
          <cell r="I165">
            <v>6285.68</v>
          </cell>
          <cell r="J165">
            <v>5271.25</v>
          </cell>
          <cell r="K165">
            <v>2375.48</v>
          </cell>
          <cell r="L165">
            <v>2345.9499999999998</v>
          </cell>
          <cell r="M165">
            <v>4253.9399999999996</v>
          </cell>
          <cell r="N165">
            <v>5654.19</v>
          </cell>
          <cell r="O165">
            <v>5131.53</v>
          </cell>
          <cell r="P165">
            <v>5010.78</v>
          </cell>
          <cell r="Q165">
            <v>58207.520000000004</v>
          </cell>
        </row>
        <row r="166">
          <cell r="A166">
            <v>40139</v>
          </cell>
          <cell r="B166" t="str">
            <v>Disposal Transfer Intercompany</v>
          </cell>
          <cell r="E166">
            <v>593825.03</v>
          </cell>
          <cell r="F166">
            <v>547142.99</v>
          </cell>
          <cell r="G166">
            <v>630810.36</v>
          </cell>
          <cell r="H166">
            <v>605643.42000000004</v>
          </cell>
          <cell r="I166">
            <v>594549.89</v>
          </cell>
          <cell r="J166">
            <v>658860.29</v>
          </cell>
          <cell r="K166">
            <v>621190.5</v>
          </cell>
          <cell r="L166">
            <v>619548.27</v>
          </cell>
          <cell r="M166">
            <v>634021.85</v>
          </cell>
          <cell r="N166">
            <v>591478.38</v>
          </cell>
          <cell r="O166">
            <v>635582.61</v>
          </cell>
          <cell r="P166">
            <v>652795.86</v>
          </cell>
          <cell r="Q166">
            <v>7385449.4500000002</v>
          </cell>
        </row>
        <row r="167">
          <cell r="A167" t="str">
            <v>Total Disposal</v>
          </cell>
          <cell r="E167">
            <v>622021.88</v>
          </cell>
          <cell r="F167">
            <v>579727.9</v>
          </cell>
          <cell r="G167">
            <v>679847.86</v>
          </cell>
          <cell r="H167">
            <v>656529.24</v>
          </cell>
          <cell r="I167">
            <v>648581.43000000005</v>
          </cell>
          <cell r="J167">
            <v>719170.45000000007</v>
          </cell>
          <cell r="K167">
            <v>678717.89</v>
          </cell>
          <cell r="L167">
            <v>673441.27</v>
          </cell>
          <cell r="M167">
            <v>686655.74</v>
          </cell>
          <cell r="N167">
            <v>642778.38</v>
          </cell>
          <cell r="O167">
            <v>682437.16999999993</v>
          </cell>
          <cell r="P167">
            <v>694323.63</v>
          </cell>
          <cell r="Q167">
            <v>7964232.8399999999</v>
          </cell>
        </row>
        <row r="169">
          <cell r="A169" t="str">
            <v>MRF Processing</v>
          </cell>
        </row>
        <row r="170">
          <cell r="A170">
            <v>40861</v>
          </cell>
          <cell r="B170" t="str">
            <v>Processing Fees MRF</v>
          </cell>
          <cell r="E170">
            <v>0</v>
          </cell>
          <cell r="F170">
            <v>0</v>
          </cell>
          <cell r="G170">
            <v>0</v>
          </cell>
          <cell r="H170">
            <v>0</v>
          </cell>
          <cell r="I170">
            <v>0</v>
          </cell>
          <cell r="J170">
            <v>0</v>
          </cell>
          <cell r="K170">
            <v>0</v>
          </cell>
          <cell r="L170">
            <v>0</v>
          </cell>
          <cell r="M170">
            <v>0</v>
          </cell>
          <cell r="N170">
            <v>0</v>
          </cell>
          <cell r="O170">
            <v>0</v>
          </cell>
          <cell r="P170">
            <v>0</v>
          </cell>
          <cell r="Q170">
            <v>0</v>
          </cell>
        </row>
        <row r="171">
          <cell r="A171">
            <v>40869</v>
          </cell>
          <cell r="B171" t="str">
            <v>Processing Fees MRF Intercompany</v>
          </cell>
          <cell r="E171">
            <v>0</v>
          </cell>
          <cell r="F171">
            <v>0</v>
          </cell>
          <cell r="G171">
            <v>0</v>
          </cell>
          <cell r="H171">
            <v>0</v>
          </cell>
          <cell r="I171">
            <v>0</v>
          </cell>
          <cell r="J171">
            <v>0</v>
          </cell>
          <cell r="K171">
            <v>0</v>
          </cell>
          <cell r="L171">
            <v>0</v>
          </cell>
          <cell r="M171">
            <v>0</v>
          </cell>
          <cell r="N171">
            <v>0</v>
          </cell>
          <cell r="O171">
            <v>0</v>
          </cell>
          <cell r="P171">
            <v>0</v>
          </cell>
          <cell r="Q171">
            <v>0</v>
          </cell>
        </row>
        <row r="172">
          <cell r="A172" t="str">
            <v>Total MRF Processing</v>
          </cell>
          <cell r="E172">
            <v>0</v>
          </cell>
          <cell r="F172">
            <v>0</v>
          </cell>
          <cell r="G172">
            <v>0</v>
          </cell>
          <cell r="H172">
            <v>0</v>
          </cell>
          <cell r="I172">
            <v>0</v>
          </cell>
          <cell r="J172">
            <v>0</v>
          </cell>
          <cell r="K172">
            <v>0</v>
          </cell>
          <cell r="L172">
            <v>0</v>
          </cell>
          <cell r="M172">
            <v>0</v>
          </cell>
          <cell r="N172">
            <v>0</v>
          </cell>
          <cell r="O172">
            <v>0</v>
          </cell>
          <cell r="P172">
            <v>0</v>
          </cell>
          <cell r="Q172">
            <v>0</v>
          </cell>
        </row>
        <row r="174">
          <cell r="A174" t="str">
            <v>Brokerage, Rebates and Taxes</v>
          </cell>
        </row>
        <row r="175">
          <cell r="A175">
            <v>41121</v>
          </cell>
          <cell r="B175" t="str">
            <v>Brokerage Cost</v>
          </cell>
          <cell r="E175">
            <v>0</v>
          </cell>
          <cell r="F175">
            <v>0</v>
          </cell>
          <cell r="G175">
            <v>0</v>
          </cell>
          <cell r="H175">
            <v>178.39</v>
          </cell>
          <cell r="I175">
            <v>0</v>
          </cell>
          <cell r="J175">
            <v>0</v>
          </cell>
          <cell r="K175">
            <v>0</v>
          </cell>
          <cell r="L175">
            <v>0</v>
          </cell>
          <cell r="M175">
            <v>0</v>
          </cell>
          <cell r="N175">
            <v>0</v>
          </cell>
          <cell r="O175">
            <v>0</v>
          </cell>
          <cell r="P175">
            <v>0</v>
          </cell>
          <cell r="Q175">
            <v>178.39</v>
          </cell>
        </row>
        <row r="176">
          <cell r="A176">
            <v>41129</v>
          </cell>
          <cell r="B176" t="str">
            <v>Brokerage Cost Intercompany</v>
          </cell>
          <cell r="E176">
            <v>0</v>
          </cell>
          <cell r="F176">
            <v>0</v>
          </cell>
          <cell r="G176">
            <v>0</v>
          </cell>
          <cell r="H176">
            <v>0</v>
          </cell>
          <cell r="I176">
            <v>0</v>
          </cell>
          <cell r="J176">
            <v>0</v>
          </cell>
          <cell r="K176">
            <v>0</v>
          </cell>
          <cell r="L176">
            <v>0</v>
          </cell>
          <cell r="M176">
            <v>0</v>
          </cell>
          <cell r="N176">
            <v>0</v>
          </cell>
          <cell r="O176">
            <v>0</v>
          </cell>
          <cell r="P176">
            <v>0</v>
          </cell>
          <cell r="Q176">
            <v>0</v>
          </cell>
        </row>
        <row r="177">
          <cell r="A177">
            <v>41131</v>
          </cell>
          <cell r="B177" t="str">
            <v>Rail Drayage Expenses</v>
          </cell>
          <cell r="E177">
            <v>0</v>
          </cell>
          <cell r="F177">
            <v>0</v>
          </cell>
          <cell r="G177">
            <v>0</v>
          </cell>
          <cell r="H177">
            <v>0</v>
          </cell>
          <cell r="I177">
            <v>0</v>
          </cell>
          <cell r="J177">
            <v>0</v>
          </cell>
          <cell r="K177">
            <v>0</v>
          </cell>
          <cell r="L177">
            <v>0</v>
          </cell>
          <cell r="M177">
            <v>0</v>
          </cell>
          <cell r="N177">
            <v>0</v>
          </cell>
          <cell r="O177">
            <v>0</v>
          </cell>
          <cell r="P177">
            <v>0</v>
          </cell>
          <cell r="Q177">
            <v>0</v>
          </cell>
        </row>
        <row r="178">
          <cell r="A178">
            <v>41135</v>
          </cell>
          <cell r="B178" t="str">
            <v>Resale Parts - Cost of Goods Sold</v>
          </cell>
          <cell r="E178">
            <v>0</v>
          </cell>
          <cell r="F178">
            <v>0</v>
          </cell>
          <cell r="G178">
            <v>0</v>
          </cell>
          <cell r="H178">
            <v>0</v>
          </cell>
          <cell r="I178">
            <v>0</v>
          </cell>
          <cell r="J178">
            <v>0</v>
          </cell>
          <cell r="K178">
            <v>0</v>
          </cell>
          <cell r="L178">
            <v>0</v>
          </cell>
          <cell r="M178">
            <v>0</v>
          </cell>
          <cell r="N178">
            <v>0</v>
          </cell>
          <cell r="O178">
            <v>0</v>
          </cell>
          <cell r="P178">
            <v>0</v>
          </cell>
          <cell r="Q178">
            <v>0</v>
          </cell>
        </row>
        <row r="179">
          <cell r="A179">
            <v>41139</v>
          </cell>
          <cell r="B179" t="str">
            <v>Rail Drayage Expenses - Intercompany</v>
          </cell>
          <cell r="E179">
            <v>0</v>
          </cell>
          <cell r="F179">
            <v>0</v>
          </cell>
          <cell r="G179">
            <v>0</v>
          </cell>
          <cell r="H179">
            <v>0</v>
          </cell>
          <cell r="I179">
            <v>0</v>
          </cell>
          <cell r="J179">
            <v>0</v>
          </cell>
          <cell r="K179">
            <v>0</v>
          </cell>
          <cell r="L179">
            <v>0</v>
          </cell>
          <cell r="M179">
            <v>0</v>
          </cell>
          <cell r="N179">
            <v>0</v>
          </cell>
          <cell r="O179">
            <v>0</v>
          </cell>
          <cell r="P179">
            <v>0</v>
          </cell>
          <cell r="Q179">
            <v>0</v>
          </cell>
        </row>
        <row r="180">
          <cell r="A180">
            <v>41141</v>
          </cell>
          <cell r="B180" t="str">
            <v>Truck Drayage Expenses</v>
          </cell>
          <cell r="E180">
            <v>0</v>
          </cell>
          <cell r="F180">
            <v>0</v>
          </cell>
          <cell r="G180">
            <v>0</v>
          </cell>
          <cell r="H180">
            <v>0</v>
          </cell>
          <cell r="I180">
            <v>0</v>
          </cell>
          <cell r="J180">
            <v>0</v>
          </cell>
          <cell r="K180">
            <v>0</v>
          </cell>
          <cell r="L180">
            <v>0</v>
          </cell>
          <cell r="M180">
            <v>0</v>
          </cell>
          <cell r="N180">
            <v>0</v>
          </cell>
          <cell r="O180">
            <v>0</v>
          </cell>
          <cell r="P180">
            <v>0</v>
          </cell>
          <cell r="Q180">
            <v>0</v>
          </cell>
        </row>
        <row r="181">
          <cell r="A181">
            <v>41149</v>
          </cell>
          <cell r="B181" t="str">
            <v>Truck Drayage Expenses - Intercompany</v>
          </cell>
          <cell r="E181">
            <v>0</v>
          </cell>
          <cell r="F181">
            <v>0</v>
          </cell>
          <cell r="G181">
            <v>0</v>
          </cell>
          <cell r="H181">
            <v>0</v>
          </cell>
          <cell r="I181">
            <v>0</v>
          </cell>
          <cell r="J181">
            <v>0</v>
          </cell>
          <cell r="K181">
            <v>0</v>
          </cell>
          <cell r="L181">
            <v>0</v>
          </cell>
          <cell r="M181">
            <v>0</v>
          </cell>
          <cell r="N181">
            <v>0</v>
          </cell>
          <cell r="O181">
            <v>0</v>
          </cell>
          <cell r="P181">
            <v>0</v>
          </cell>
          <cell r="Q181">
            <v>0</v>
          </cell>
        </row>
        <row r="182">
          <cell r="A182">
            <v>41151</v>
          </cell>
          <cell r="B182" t="str">
            <v>Intermodal Expenses</v>
          </cell>
          <cell r="E182">
            <v>0</v>
          </cell>
          <cell r="F182">
            <v>0</v>
          </cell>
          <cell r="G182">
            <v>0</v>
          </cell>
          <cell r="H182">
            <v>0</v>
          </cell>
          <cell r="I182">
            <v>0</v>
          </cell>
          <cell r="J182">
            <v>0</v>
          </cell>
          <cell r="K182">
            <v>0</v>
          </cell>
          <cell r="L182">
            <v>0</v>
          </cell>
          <cell r="M182">
            <v>0</v>
          </cell>
          <cell r="N182">
            <v>0</v>
          </cell>
          <cell r="O182">
            <v>0</v>
          </cell>
          <cell r="P182">
            <v>0</v>
          </cell>
          <cell r="Q182">
            <v>0</v>
          </cell>
        </row>
        <row r="183">
          <cell r="A183">
            <v>41201</v>
          </cell>
          <cell r="B183" t="str">
            <v>Rebates and Revenue Sharing</v>
          </cell>
          <cell r="E183">
            <v>521936.87</v>
          </cell>
          <cell r="F183">
            <v>516837.5</v>
          </cell>
          <cell r="G183">
            <v>526589.43999999994</v>
          </cell>
          <cell r="H183">
            <v>507133.7</v>
          </cell>
          <cell r="I183">
            <v>514778.73</v>
          </cell>
          <cell r="J183">
            <v>520529.95</v>
          </cell>
          <cell r="K183">
            <v>523325.23</v>
          </cell>
          <cell r="L183">
            <v>525169.91</v>
          </cell>
          <cell r="M183">
            <v>526242.24</v>
          </cell>
          <cell r="N183">
            <v>522492.7</v>
          </cell>
          <cell r="O183">
            <v>519798.37</v>
          </cell>
          <cell r="P183">
            <v>519523.19</v>
          </cell>
          <cell r="Q183">
            <v>6244357.830000001</v>
          </cell>
        </row>
        <row r="184">
          <cell r="A184">
            <v>43001</v>
          </cell>
          <cell r="B184" t="str">
            <v>Taxes and Pass Thru Fees</v>
          </cell>
          <cell r="E184">
            <v>41543.1</v>
          </cell>
          <cell r="F184">
            <v>40952.97</v>
          </cell>
          <cell r="G184">
            <v>42462.54</v>
          </cell>
          <cell r="H184">
            <v>45489.33</v>
          </cell>
          <cell r="I184">
            <v>48581.71</v>
          </cell>
          <cell r="J184">
            <v>53321.59</v>
          </cell>
          <cell r="K184">
            <v>51875.89</v>
          </cell>
          <cell r="L184">
            <v>52096.88</v>
          </cell>
          <cell r="M184">
            <v>52109.83</v>
          </cell>
          <cell r="N184">
            <v>51665.29</v>
          </cell>
          <cell r="O184">
            <v>51559.19</v>
          </cell>
          <cell r="P184">
            <v>51703.040000000001</v>
          </cell>
          <cell r="Q184">
            <v>583361.3600000001</v>
          </cell>
        </row>
        <row r="185">
          <cell r="A185">
            <v>43002</v>
          </cell>
          <cell r="B185" t="str">
            <v>WUTC Taxes</v>
          </cell>
          <cell r="E185">
            <v>0</v>
          </cell>
          <cell r="F185">
            <v>0</v>
          </cell>
          <cell r="G185">
            <v>0</v>
          </cell>
          <cell r="H185">
            <v>0</v>
          </cell>
          <cell r="I185">
            <v>0</v>
          </cell>
          <cell r="J185">
            <v>0</v>
          </cell>
          <cell r="K185">
            <v>0</v>
          </cell>
          <cell r="L185">
            <v>0</v>
          </cell>
          <cell r="M185">
            <v>0</v>
          </cell>
          <cell r="N185">
            <v>0</v>
          </cell>
          <cell r="O185">
            <v>0</v>
          </cell>
          <cell r="P185">
            <v>0</v>
          </cell>
          <cell r="Q185">
            <v>0</v>
          </cell>
        </row>
        <row r="186">
          <cell r="A186">
            <v>43090</v>
          </cell>
          <cell r="B186" t="str">
            <v>Pass Through Expenses</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A187">
            <v>43099</v>
          </cell>
          <cell r="B187" t="str">
            <v>Pass Through Expenses Intercompany</v>
          </cell>
          <cell r="E187">
            <v>0</v>
          </cell>
          <cell r="F187">
            <v>0</v>
          </cell>
          <cell r="G187">
            <v>0</v>
          </cell>
          <cell r="H187">
            <v>0</v>
          </cell>
          <cell r="I187">
            <v>0</v>
          </cell>
          <cell r="J187">
            <v>0</v>
          </cell>
          <cell r="K187">
            <v>0</v>
          </cell>
          <cell r="L187">
            <v>0</v>
          </cell>
          <cell r="M187">
            <v>0</v>
          </cell>
          <cell r="N187">
            <v>0</v>
          </cell>
          <cell r="O187">
            <v>0</v>
          </cell>
          <cell r="P187">
            <v>0</v>
          </cell>
          <cell r="Q187">
            <v>0</v>
          </cell>
        </row>
        <row r="188">
          <cell r="A188" t="str">
            <v>Total Brokerage, Rebates and Taxes</v>
          </cell>
          <cell r="E188">
            <v>563479.97</v>
          </cell>
          <cell r="F188">
            <v>557790.47</v>
          </cell>
          <cell r="G188">
            <v>569051.98</v>
          </cell>
          <cell r="H188">
            <v>552801.42000000004</v>
          </cell>
          <cell r="I188">
            <v>563360.43999999994</v>
          </cell>
          <cell r="J188">
            <v>573851.54</v>
          </cell>
          <cell r="K188">
            <v>575201.12</v>
          </cell>
          <cell r="L188">
            <v>577266.79</v>
          </cell>
          <cell r="M188">
            <v>578352.06999999995</v>
          </cell>
          <cell r="N188">
            <v>574157.99</v>
          </cell>
          <cell r="O188">
            <v>571357.56000000006</v>
          </cell>
          <cell r="P188">
            <v>571226.23</v>
          </cell>
          <cell r="Q188">
            <v>6827897.580000001</v>
          </cell>
        </row>
        <row r="190">
          <cell r="A190" t="str">
            <v>Recycling Materials Expense</v>
          </cell>
        </row>
        <row r="191">
          <cell r="A191">
            <v>44161</v>
          </cell>
          <cell r="B191" t="str">
            <v>Cost of Materials - OCC</v>
          </cell>
          <cell r="E191">
            <v>2426.64</v>
          </cell>
          <cell r="F191">
            <v>2389.0700000000002</v>
          </cell>
          <cell r="G191">
            <v>2400.6</v>
          </cell>
          <cell r="H191">
            <v>2445.6799999999998</v>
          </cell>
          <cell r="I191">
            <v>2403.29</v>
          </cell>
          <cell r="J191">
            <v>2402.11</v>
          </cell>
          <cell r="K191">
            <v>437.67</v>
          </cell>
          <cell r="L191">
            <v>1356.93</v>
          </cell>
          <cell r="M191">
            <v>2409.56</v>
          </cell>
          <cell r="N191">
            <v>2530.52</v>
          </cell>
          <cell r="O191">
            <v>2633.11</v>
          </cell>
          <cell r="P191">
            <v>2651.26</v>
          </cell>
          <cell r="Q191">
            <v>26486.440000000002</v>
          </cell>
        </row>
        <row r="192">
          <cell r="A192">
            <v>44162</v>
          </cell>
          <cell r="B192" t="str">
            <v>Cost of Materials - ONP</v>
          </cell>
          <cell r="E192">
            <v>0</v>
          </cell>
          <cell r="F192">
            <v>0</v>
          </cell>
          <cell r="G192">
            <v>0</v>
          </cell>
          <cell r="H192">
            <v>0</v>
          </cell>
          <cell r="I192">
            <v>0</v>
          </cell>
          <cell r="J192">
            <v>0</v>
          </cell>
          <cell r="K192">
            <v>0</v>
          </cell>
          <cell r="L192">
            <v>0</v>
          </cell>
          <cell r="M192">
            <v>0</v>
          </cell>
          <cell r="N192">
            <v>0</v>
          </cell>
          <cell r="O192">
            <v>0</v>
          </cell>
          <cell r="P192">
            <v>0</v>
          </cell>
          <cell r="Q192">
            <v>0</v>
          </cell>
        </row>
        <row r="193">
          <cell r="A193">
            <v>44163</v>
          </cell>
          <cell r="B193" t="str">
            <v>Cost of Materials - Other Paper</v>
          </cell>
          <cell r="E193">
            <v>0</v>
          </cell>
          <cell r="F193">
            <v>0</v>
          </cell>
          <cell r="G193">
            <v>0</v>
          </cell>
          <cell r="H193">
            <v>0</v>
          </cell>
          <cell r="I193">
            <v>0</v>
          </cell>
          <cell r="J193">
            <v>0</v>
          </cell>
          <cell r="K193">
            <v>0</v>
          </cell>
          <cell r="L193">
            <v>0</v>
          </cell>
          <cell r="M193">
            <v>0</v>
          </cell>
          <cell r="N193">
            <v>0</v>
          </cell>
          <cell r="O193">
            <v>0</v>
          </cell>
          <cell r="P193">
            <v>0</v>
          </cell>
          <cell r="Q193">
            <v>0</v>
          </cell>
        </row>
        <row r="194">
          <cell r="A194">
            <v>44164</v>
          </cell>
          <cell r="B194" t="str">
            <v>Cost of Materials - Aluminum</v>
          </cell>
          <cell r="E194">
            <v>0</v>
          </cell>
          <cell r="F194">
            <v>0</v>
          </cell>
          <cell r="G194">
            <v>0</v>
          </cell>
          <cell r="H194">
            <v>0</v>
          </cell>
          <cell r="I194">
            <v>0</v>
          </cell>
          <cell r="J194">
            <v>0</v>
          </cell>
          <cell r="K194">
            <v>0</v>
          </cell>
          <cell r="L194">
            <v>0</v>
          </cell>
          <cell r="M194">
            <v>0</v>
          </cell>
          <cell r="N194">
            <v>0</v>
          </cell>
          <cell r="O194">
            <v>0</v>
          </cell>
          <cell r="P194">
            <v>0</v>
          </cell>
          <cell r="Q194">
            <v>0</v>
          </cell>
        </row>
        <row r="195">
          <cell r="A195">
            <v>44165</v>
          </cell>
          <cell r="B195" t="str">
            <v>Cost of Materials - Metal</v>
          </cell>
          <cell r="E195">
            <v>0</v>
          </cell>
          <cell r="F195">
            <v>0</v>
          </cell>
          <cell r="G195">
            <v>0</v>
          </cell>
          <cell r="H195">
            <v>0</v>
          </cell>
          <cell r="I195">
            <v>0</v>
          </cell>
          <cell r="J195">
            <v>0</v>
          </cell>
          <cell r="K195">
            <v>0</v>
          </cell>
          <cell r="L195">
            <v>0</v>
          </cell>
          <cell r="M195">
            <v>0</v>
          </cell>
          <cell r="N195">
            <v>0</v>
          </cell>
          <cell r="O195">
            <v>0</v>
          </cell>
          <cell r="P195">
            <v>0</v>
          </cell>
          <cell r="Q195">
            <v>0</v>
          </cell>
        </row>
        <row r="196">
          <cell r="A196">
            <v>44166</v>
          </cell>
          <cell r="B196" t="str">
            <v>Cost of Materials - Glass</v>
          </cell>
          <cell r="E196">
            <v>0</v>
          </cell>
          <cell r="F196">
            <v>0</v>
          </cell>
          <cell r="G196">
            <v>0</v>
          </cell>
          <cell r="H196">
            <v>0</v>
          </cell>
          <cell r="I196">
            <v>0</v>
          </cell>
          <cell r="J196">
            <v>0</v>
          </cell>
          <cell r="K196">
            <v>0</v>
          </cell>
          <cell r="L196">
            <v>0</v>
          </cell>
          <cell r="M196">
            <v>0</v>
          </cell>
          <cell r="N196">
            <v>0</v>
          </cell>
          <cell r="O196">
            <v>0</v>
          </cell>
          <cell r="P196">
            <v>0</v>
          </cell>
          <cell r="Q196">
            <v>0</v>
          </cell>
        </row>
        <row r="197">
          <cell r="A197">
            <v>44167</v>
          </cell>
          <cell r="B197" t="str">
            <v>Cost of Materials - Plastic</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A198">
            <v>44168</v>
          </cell>
          <cell r="B198" t="str">
            <v>Cost of Materials - Other Recyclables</v>
          </cell>
          <cell r="E198">
            <v>0</v>
          </cell>
          <cell r="F198">
            <v>8</v>
          </cell>
          <cell r="G198">
            <v>8</v>
          </cell>
          <cell r="H198">
            <v>0</v>
          </cell>
          <cell r="I198">
            <v>8</v>
          </cell>
          <cell r="J198">
            <v>0</v>
          </cell>
          <cell r="K198">
            <v>8</v>
          </cell>
          <cell r="L198">
            <v>7</v>
          </cell>
          <cell r="M198">
            <v>0</v>
          </cell>
          <cell r="N198">
            <v>7</v>
          </cell>
          <cell r="O198">
            <v>15</v>
          </cell>
          <cell r="P198">
            <v>8</v>
          </cell>
          <cell r="Q198">
            <v>69</v>
          </cell>
        </row>
        <row r="199">
          <cell r="A199">
            <v>44169</v>
          </cell>
          <cell r="B199" t="str">
            <v>Cost of Materials - Intercompany</v>
          </cell>
          <cell r="E199">
            <v>1793.25</v>
          </cell>
          <cell r="F199">
            <v>1711</v>
          </cell>
          <cell r="G199">
            <v>2209.37</v>
          </cell>
          <cell r="H199">
            <v>2644.25</v>
          </cell>
          <cell r="I199">
            <v>3170</v>
          </cell>
          <cell r="J199">
            <v>2275.25</v>
          </cell>
          <cell r="K199">
            <v>1660.5</v>
          </cell>
          <cell r="L199">
            <v>2033.7</v>
          </cell>
          <cell r="M199">
            <v>1648</v>
          </cell>
          <cell r="N199">
            <v>2091.5500000000002</v>
          </cell>
          <cell r="O199">
            <v>2223.8000000000002</v>
          </cell>
          <cell r="P199">
            <v>2182.25</v>
          </cell>
          <cell r="Q199">
            <v>25642.92</v>
          </cell>
        </row>
        <row r="200">
          <cell r="A200">
            <v>44261</v>
          </cell>
          <cell r="B200" t="str">
            <v>Cost of Materials - Organics</v>
          </cell>
          <cell r="E200">
            <v>0</v>
          </cell>
          <cell r="F200">
            <v>0</v>
          </cell>
          <cell r="G200">
            <v>0</v>
          </cell>
          <cell r="H200">
            <v>0</v>
          </cell>
          <cell r="I200">
            <v>0</v>
          </cell>
          <cell r="J200">
            <v>0</v>
          </cell>
          <cell r="K200">
            <v>0</v>
          </cell>
          <cell r="L200">
            <v>0</v>
          </cell>
          <cell r="M200">
            <v>0</v>
          </cell>
          <cell r="N200">
            <v>0</v>
          </cell>
          <cell r="O200">
            <v>0</v>
          </cell>
          <cell r="P200">
            <v>0</v>
          </cell>
          <cell r="Q200">
            <v>0</v>
          </cell>
        </row>
        <row r="201">
          <cell r="A201">
            <v>44262</v>
          </cell>
          <cell r="B201" t="str">
            <v>Cost of Materials - Clean Wood</v>
          </cell>
          <cell r="E201">
            <v>0</v>
          </cell>
          <cell r="F201">
            <v>0</v>
          </cell>
          <cell r="G201">
            <v>0</v>
          </cell>
          <cell r="H201">
            <v>0</v>
          </cell>
          <cell r="I201">
            <v>0</v>
          </cell>
          <cell r="J201">
            <v>0</v>
          </cell>
          <cell r="K201">
            <v>0</v>
          </cell>
          <cell r="L201">
            <v>0</v>
          </cell>
          <cell r="M201">
            <v>0</v>
          </cell>
          <cell r="N201">
            <v>0</v>
          </cell>
          <cell r="O201">
            <v>0</v>
          </cell>
          <cell r="P201">
            <v>0</v>
          </cell>
          <cell r="Q201">
            <v>0</v>
          </cell>
        </row>
        <row r="202">
          <cell r="A202">
            <v>44263</v>
          </cell>
          <cell r="B202" t="str">
            <v>Cost of Materials - Landscaping Materials</v>
          </cell>
          <cell r="E202">
            <v>0</v>
          </cell>
          <cell r="F202">
            <v>0</v>
          </cell>
          <cell r="G202">
            <v>0</v>
          </cell>
          <cell r="H202">
            <v>0</v>
          </cell>
          <cell r="I202">
            <v>0</v>
          </cell>
          <cell r="J202">
            <v>0</v>
          </cell>
          <cell r="K202">
            <v>0</v>
          </cell>
          <cell r="L202">
            <v>0</v>
          </cell>
          <cell r="M202">
            <v>0</v>
          </cell>
          <cell r="N202">
            <v>0</v>
          </cell>
          <cell r="O202">
            <v>0</v>
          </cell>
          <cell r="P202">
            <v>0</v>
          </cell>
          <cell r="Q202">
            <v>0</v>
          </cell>
        </row>
        <row r="203">
          <cell r="A203" t="str">
            <v>Total Recycling Materials Expense</v>
          </cell>
          <cell r="E203">
            <v>4219.8899999999994</v>
          </cell>
          <cell r="F203">
            <v>4108.07</v>
          </cell>
          <cell r="G203">
            <v>4617.9699999999993</v>
          </cell>
          <cell r="H203">
            <v>5089.93</v>
          </cell>
          <cell r="I203">
            <v>5581.29</v>
          </cell>
          <cell r="J203">
            <v>4677.3600000000006</v>
          </cell>
          <cell r="K203">
            <v>2106.17</v>
          </cell>
          <cell r="L203">
            <v>3397.63</v>
          </cell>
          <cell r="M203">
            <v>4057.56</v>
          </cell>
          <cell r="N203">
            <v>4629.07</v>
          </cell>
          <cell r="O203">
            <v>4871.91</v>
          </cell>
          <cell r="P203">
            <v>4841.51</v>
          </cell>
          <cell r="Q203">
            <v>52198.36</v>
          </cell>
        </row>
        <row r="205">
          <cell r="A205" t="str">
            <v>Other Expense</v>
          </cell>
        </row>
        <row r="206">
          <cell r="A206">
            <v>47000</v>
          </cell>
          <cell r="B206" t="str">
            <v>Cost of Containers Sold</v>
          </cell>
          <cell r="E206">
            <v>0</v>
          </cell>
          <cell r="F206">
            <v>0</v>
          </cell>
          <cell r="G206">
            <v>0</v>
          </cell>
          <cell r="H206">
            <v>0</v>
          </cell>
          <cell r="I206">
            <v>0</v>
          </cell>
          <cell r="J206">
            <v>0</v>
          </cell>
          <cell r="K206">
            <v>0</v>
          </cell>
          <cell r="L206">
            <v>0</v>
          </cell>
          <cell r="M206">
            <v>0</v>
          </cell>
          <cell r="N206">
            <v>0</v>
          </cell>
          <cell r="O206">
            <v>0</v>
          </cell>
          <cell r="P206">
            <v>0</v>
          </cell>
          <cell r="Q206">
            <v>0</v>
          </cell>
        </row>
        <row r="207">
          <cell r="A207">
            <v>47001</v>
          </cell>
          <cell r="B207" t="str">
            <v>Cost of Equipment Sold</v>
          </cell>
          <cell r="E207">
            <v>0</v>
          </cell>
          <cell r="F207">
            <v>0</v>
          </cell>
          <cell r="G207">
            <v>0</v>
          </cell>
          <cell r="H207">
            <v>0</v>
          </cell>
          <cell r="I207">
            <v>0</v>
          </cell>
          <cell r="J207">
            <v>0</v>
          </cell>
          <cell r="K207">
            <v>0</v>
          </cell>
          <cell r="L207">
            <v>0</v>
          </cell>
          <cell r="M207">
            <v>0</v>
          </cell>
          <cell r="N207">
            <v>0</v>
          </cell>
          <cell r="O207">
            <v>0</v>
          </cell>
          <cell r="P207">
            <v>0</v>
          </cell>
          <cell r="Q207">
            <v>0</v>
          </cell>
        </row>
        <row r="208">
          <cell r="A208">
            <v>47010</v>
          </cell>
          <cell r="B208" t="str">
            <v>Tire Processing Expenses</v>
          </cell>
          <cell r="E208">
            <v>0</v>
          </cell>
          <cell r="F208">
            <v>0</v>
          </cell>
          <cell r="G208">
            <v>0</v>
          </cell>
          <cell r="H208">
            <v>205.8</v>
          </cell>
          <cell r="I208">
            <v>0</v>
          </cell>
          <cell r="J208">
            <v>0</v>
          </cell>
          <cell r="K208">
            <v>0</v>
          </cell>
          <cell r="L208">
            <v>0</v>
          </cell>
          <cell r="M208">
            <v>0</v>
          </cell>
          <cell r="N208">
            <v>0</v>
          </cell>
          <cell r="O208">
            <v>0</v>
          </cell>
          <cell r="P208">
            <v>0</v>
          </cell>
          <cell r="Q208">
            <v>205.8</v>
          </cell>
        </row>
        <row r="209">
          <cell r="A209">
            <v>47019</v>
          </cell>
          <cell r="B209" t="str">
            <v>Tire Processing Expenses - Intercompany</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A210" t="str">
            <v>Total Other Expense</v>
          </cell>
          <cell r="E210">
            <v>0</v>
          </cell>
          <cell r="F210">
            <v>0</v>
          </cell>
          <cell r="G210">
            <v>0</v>
          </cell>
          <cell r="H210">
            <v>205.8</v>
          </cell>
          <cell r="I210">
            <v>0</v>
          </cell>
          <cell r="J210">
            <v>0</v>
          </cell>
          <cell r="K210">
            <v>0</v>
          </cell>
          <cell r="L210">
            <v>0</v>
          </cell>
          <cell r="M210">
            <v>0</v>
          </cell>
          <cell r="N210">
            <v>0</v>
          </cell>
          <cell r="O210">
            <v>0</v>
          </cell>
          <cell r="P210">
            <v>0</v>
          </cell>
          <cell r="Q210">
            <v>205.8</v>
          </cell>
        </row>
        <row r="212">
          <cell r="A212" t="str">
            <v>Total Revenue Reductions</v>
          </cell>
          <cell r="E212">
            <v>1189721.74</v>
          </cell>
          <cell r="F212">
            <v>1141626.44</v>
          </cell>
          <cell r="G212">
            <v>1253517.81</v>
          </cell>
          <cell r="H212">
            <v>1214626.3900000001</v>
          </cell>
          <cell r="I212">
            <v>1217523.1600000001</v>
          </cell>
          <cell r="J212">
            <v>1297699.3500000001</v>
          </cell>
          <cell r="K212">
            <v>1256025.1800000002</v>
          </cell>
          <cell r="L212">
            <v>1254105.69</v>
          </cell>
          <cell r="M212">
            <v>1269065.3700000001</v>
          </cell>
          <cell r="N212">
            <v>1221565.4399999999</v>
          </cell>
          <cell r="O212">
            <v>1258666.6400000001</v>
          </cell>
          <cell r="P212">
            <v>1270391.3700000001</v>
          </cell>
          <cell r="Q212">
            <v>14844534.580000002</v>
          </cell>
        </row>
        <row r="214">
          <cell r="A214" t="str">
            <v>Net Revenue</v>
          </cell>
          <cell r="E214">
            <v>1649704.8499999999</v>
          </cell>
          <cell r="F214">
            <v>1670090.42</v>
          </cell>
          <cell r="G214">
            <v>1660254.0099999998</v>
          </cell>
          <cell r="H214">
            <v>1709411.48</v>
          </cell>
          <cell r="I214">
            <v>1713337.4899999993</v>
          </cell>
          <cell r="J214">
            <v>1707541.0700000003</v>
          </cell>
          <cell r="K214">
            <v>1724323.2199999993</v>
          </cell>
          <cell r="L214">
            <v>1700976.4799999995</v>
          </cell>
          <cell r="M214">
            <v>1726553.38</v>
          </cell>
          <cell r="N214">
            <v>1737484.1700000004</v>
          </cell>
          <cell r="O214">
            <v>1724550.3099999996</v>
          </cell>
          <cell r="P214">
            <v>1708899.85</v>
          </cell>
          <cell r="Q214">
            <v>20433126.73</v>
          </cell>
        </row>
        <row r="216">
          <cell r="A216" t="str">
            <v>Cost of Operations</v>
          </cell>
        </row>
        <row r="217">
          <cell r="A217" t="str">
            <v>Labor</v>
          </cell>
        </row>
        <row r="218">
          <cell r="A218">
            <v>50010</v>
          </cell>
          <cell r="B218" t="str">
            <v>Salaries</v>
          </cell>
          <cell r="E218">
            <v>0</v>
          </cell>
          <cell r="F218">
            <v>0</v>
          </cell>
          <cell r="G218">
            <v>0</v>
          </cell>
          <cell r="H218">
            <v>0</v>
          </cell>
          <cell r="I218">
            <v>0</v>
          </cell>
          <cell r="J218">
            <v>0</v>
          </cell>
          <cell r="K218">
            <v>0</v>
          </cell>
          <cell r="L218">
            <v>0</v>
          </cell>
          <cell r="M218">
            <v>0</v>
          </cell>
          <cell r="N218">
            <v>0</v>
          </cell>
          <cell r="O218">
            <v>0</v>
          </cell>
          <cell r="P218">
            <v>0</v>
          </cell>
          <cell r="Q218">
            <v>0</v>
          </cell>
        </row>
        <row r="219">
          <cell r="A219">
            <v>50020</v>
          </cell>
          <cell r="B219" t="str">
            <v>Wages Regular</v>
          </cell>
          <cell r="E219">
            <v>164883.42000000001</v>
          </cell>
          <cell r="F219">
            <v>163593.57</v>
          </cell>
          <cell r="G219">
            <v>188109.33</v>
          </cell>
          <cell r="H219">
            <v>179849.71</v>
          </cell>
          <cell r="I219">
            <v>172347.9</v>
          </cell>
          <cell r="J219">
            <v>187859.47</v>
          </cell>
          <cell r="K219">
            <v>178348.24</v>
          </cell>
          <cell r="L219">
            <v>182091.36</v>
          </cell>
          <cell r="M219">
            <v>176392.37000000002</v>
          </cell>
          <cell r="N219">
            <v>178231.65999999997</v>
          </cell>
          <cell r="O219">
            <v>171402.89</v>
          </cell>
          <cell r="P219">
            <v>200565.78999999998</v>
          </cell>
          <cell r="Q219">
            <v>2143675.71</v>
          </cell>
        </row>
        <row r="220">
          <cell r="A220">
            <v>50025</v>
          </cell>
          <cell r="B220" t="str">
            <v>Wages O.T.</v>
          </cell>
          <cell r="E220">
            <v>32984.839999999997</v>
          </cell>
          <cell r="F220">
            <v>9544.4</v>
          </cell>
          <cell r="G220">
            <v>22471.78</v>
          </cell>
          <cell r="H220">
            <v>31363.030000000002</v>
          </cell>
          <cell r="I220">
            <v>49805.09</v>
          </cell>
          <cell r="J220">
            <v>35207.21</v>
          </cell>
          <cell r="K220">
            <v>36825.21</v>
          </cell>
          <cell r="L220">
            <v>33200.26</v>
          </cell>
          <cell r="M220">
            <v>40758.67</v>
          </cell>
          <cell r="N220">
            <v>31022.81</v>
          </cell>
          <cell r="O220">
            <v>51285.26</v>
          </cell>
          <cell r="P220">
            <v>33854.409999999996</v>
          </cell>
          <cell r="Q220">
            <v>408322.97</v>
          </cell>
        </row>
        <row r="221">
          <cell r="A221">
            <v>50035</v>
          </cell>
          <cell r="B221" t="str">
            <v>Safety Bonuses</v>
          </cell>
          <cell r="E221">
            <v>4800</v>
          </cell>
          <cell r="F221">
            <v>4800</v>
          </cell>
          <cell r="G221">
            <v>4800</v>
          </cell>
          <cell r="H221">
            <v>4800</v>
          </cell>
          <cell r="I221">
            <v>5550</v>
          </cell>
          <cell r="J221">
            <v>5550</v>
          </cell>
          <cell r="K221">
            <v>5550</v>
          </cell>
          <cell r="L221">
            <v>5550</v>
          </cell>
          <cell r="M221">
            <v>3500</v>
          </cell>
          <cell r="N221">
            <v>3500</v>
          </cell>
          <cell r="O221">
            <v>4800</v>
          </cell>
          <cell r="P221">
            <v>-8000</v>
          </cell>
          <cell r="Q221">
            <v>45200</v>
          </cell>
        </row>
        <row r="222">
          <cell r="A222">
            <v>50036</v>
          </cell>
          <cell r="B222" t="str">
            <v>Other Bonus/Commission - Non-Safety</v>
          </cell>
          <cell r="E222">
            <v>0</v>
          </cell>
          <cell r="F222">
            <v>0</v>
          </cell>
          <cell r="G222">
            <v>0</v>
          </cell>
          <cell r="H222">
            <v>0</v>
          </cell>
          <cell r="I222">
            <v>0</v>
          </cell>
          <cell r="J222">
            <v>0</v>
          </cell>
          <cell r="K222">
            <v>0</v>
          </cell>
          <cell r="L222">
            <v>0</v>
          </cell>
          <cell r="M222">
            <v>0</v>
          </cell>
          <cell r="N222">
            <v>0</v>
          </cell>
          <cell r="O222">
            <v>0</v>
          </cell>
          <cell r="P222">
            <v>0</v>
          </cell>
          <cell r="Q222">
            <v>0</v>
          </cell>
        </row>
        <row r="223">
          <cell r="A223">
            <v>50045</v>
          </cell>
          <cell r="B223" t="str">
            <v>Contract Labor</v>
          </cell>
          <cell r="E223">
            <v>0</v>
          </cell>
          <cell r="F223">
            <v>0</v>
          </cell>
          <cell r="G223">
            <v>0</v>
          </cell>
          <cell r="H223">
            <v>0</v>
          </cell>
          <cell r="I223">
            <v>0</v>
          </cell>
          <cell r="J223">
            <v>0</v>
          </cell>
          <cell r="K223">
            <v>4788.33</v>
          </cell>
          <cell r="L223">
            <v>3663.38</v>
          </cell>
          <cell r="M223">
            <v>2786.12</v>
          </cell>
          <cell r="N223">
            <v>7835.02</v>
          </cell>
          <cell r="O223">
            <v>2360.66</v>
          </cell>
          <cell r="P223">
            <v>120.48</v>
          </cell>
          <cell r="Q223">
            <v>21553.989999999998</v>
          </cell>
        </row>
        <row r="224">
          <cell r="A224">
            <v>50050</v>
          </cell>
          <cell r="B224" t="str">
            <v>Payroll Taxes</v>
          </cell>
          <cell r="E224">
            <v>25189.960000000003</v>
          </cell>
          <cell r="F224">
            <v>18251.73</v>
          </cell>
          <cell r="G224">
            <v>20679.02</v>
          </cell>
          <cell r="H224">
            <v>21039.350000000002</v>
          </cell>
          <cell r="I224">
            <v>21060.63</v>
          </cell>
          <cell r="J224">
            <v>22770.019999999997</v>
          </cell>
          <cell r="K224">
            <v>23082.989999999998</v>
          </cell>
          <cell r="L224">
            <v>21413.860000000004</v>
          </cell>
          <cell r="M224">
            <v>22297.15</v>
          </cell>
          <cell r="N224">
            <v>19721.989999999998</v>
          </cell>
          <cell r="O224">
            <v>24041.16</v>
          </cell>
          <cell r="P224">
            <v>17044.59</v>
          </cell>
          <cell r="Q224">
            <v>256592.45</v>
          </cell>
        </row>
        <row r="225">
          <cell r="A225">
            <v>50060</v>
          </cell>
          <cell r="B225" t="str">
            <v>Group Insurance</v>
          </cell>
          <cell r="E225">
            <v>-52</v>
          </cell>
          <cell r="F225">
            <v>52</v>
          </cell>
          <cell r="G225">
            <v>400</v>
          </cell>
          <cell r="H225">
            <v>400</v>
          </cell>
          <cell r="I225">
            <v>400</v>
          </cell>
          <cell r="J225">
            <v>400</v>
          </cell>
          <cell r="K225">
            <v>400.77</v>
          </cell>
          <cell r="L225">
            <v>348</v>
          </cell>
          <cell r="M225">
            <v>400</v>
          </cell>
          <cell r="N225">
            <v>400</v>
          </cell>
          <cell r="O225">
            <v>1.54</v>
          </cell>
          <cell r="P225">
            <v>-913.13</v>
          </cell>
          <cell r="Q225">
            <v>2237.1799999999998</v>
          </cell>
        </row>
        <row r="226">
          <cell r="A226">
            <v>50065</v>
          </cell>
          <cell r="B226" t="str">
            <v>Vacation Pay</v>
          </cell>
          <cell r="E226">
            <v>19746.13</v>
          </cell>
          <cell r="F226">
            <v>10715.919999999998</v>
          </cell>
          <cell r="G226">
            <v>10164.220000000001</v>
          </cell>
          <cell r="H226">
            <v>13775.17</v>
          </cell>
          <cell r="I226">
            <v>12214.41</v>
          </cell>
          <cell r="J226">
            <v>9839.7799999999988</v>
          </cell>
          <cell r="K226">
            <v>16829.84</v>
          </cell>
          <cell r="L226">
            <v>10619.08</v>
          </cell>
          <cell r="M226">
            <v>20174.8</v>
          </cell>
          <cell r="N226">
            <v>7964.8900000000012</v>
          </cell>
          <cell r="O226">
            <v>28346.93</v>
          </cell>
          <cell r="P226">
            <v>21322.129999999997</v>
          </cell>
          <cell r="Q226">
            <v>181713.30000000002</v>
          </cell>
        </row>
        <row r="227">
          <cell r="A227">
            <v>50070</v>
          </cell>
          <cell r="B227" t="str">
            <v>Sick Pay</v>
          </cell>
          <cell r="E227">
            <v>0</v>
          </cell>
          <cell r="F227">
            <v>0</v>
          </cell>
          <cell r="G227">
            <v>0</v>
          </cell>
          <cell r="H227">
            <v>0</v>
          </cell>
          <cell r="I227">
            <v>0</v>
          </cell>
          <cell r="J227">
            <v>0</v>
          </cell>
          <cell r="K227">
            <v>0</v>
          </cell>
          <cell r="L227">
            <v>0</v>
          </cell>
          <cell r="M227">
            <v>0</v>
          </cell>
          <cell r="N227">
            <v>0</v>
          </cell>
          <cell r="O227">
            <v>0</v>
          </cell>
          <cell r="P227">
            <v>0</v>
          </cell>
          <cell r="Q227">
            <v>0</v>
          </cell>
        </row>
        <row r="228">
          <cell r="A228">
            <v>50086</v>
          </cell>
          <cell r="B228" t="str">
            <v>Safety and Training</v>
          </cell>
          <cell r="E228">
            <v>157.5</v>
          </cell>
          <cell r="F228">
            <v>172.5</v>
          </cell>
          <cell r="G228">
            <v>808.28</v>
          </cell>
          <cell r="H228">
            <v>-442.5</v>
          </cell>
          <cell r="I228">
            <v>965.32</v>
          </cell>
          <cell r="J228">
            <v>0</v>
          </cell>
          <cell r="K228">
            <v>0</v>
          </cell>
          <cell r="L228">
            <v>0</v>
          </cell>
          <cell r="M228">
            <v>25</v>
          </cell>
          <cell r="N228">
            <v>675</v>
          </cell>
          <cell r="O228">
            <v>0</v>
          </cell>
          <cell r="P228">
            <v>0</v>
          </cell>
          <cell r="Q228">
            <v>2361.1</v>
          </cell>
        </row>
        <row r="229">
          <cell r="A229">
            <v>50087</v>
          </cell>
          <cell r="B229" t="str">
            <v>Drug Testing</v>
          </cell>
          <cell r="E229">
            <v>60</v>
          </cell>
          <cell r="F229">
            <v>294</v>
          </cell>
          <cell r="G229">
            <v>180</v>
          </cell>
          <cell r="H229">
            <v>60</v>
          </cell>
          <cell r="I229">
            <v>180</v>
          </cell>
          <cell r="J229">
            <v>0</v>
          </cell>
          <cell r="K229">
            <v>660</v>
          </cell>
          <cell r="L229">
            <v>180</v>
          </cell>
          <cell r="M229">
            <v>480</v>
          </cell>
          <cell r="N229">
            <v>360</v>
          </cell>
          <cell r="O229">
            <v>180</v>
          </cell>
          <cell r="P229">
            <v>120</v>
          </cell>
          <cell r="Q229">
            <v>2754</v>
          </cell>
        </row>
        <row r="230">
          <cell r="A230">
            <v>50090</v>
          </cell>
          <cell r="B230" t="str">
            <v>Uniforms</v>
          </cell>
          <cell r="E230">
            <v>4074.6600000000003</v>
          </cell>
          <cell r="F230">
            <v>3623.04</v>
          </cell>
          <cell r="G230">
            <v>5198.9500000000007</v>
          </cell>
          <cell r="H230">
            <v>3689.49</v>
          </cell>
          <cell r="I230">
            <v>10448.56</v>
          </cell>
          <cell r="J230">
            <v>4504.9699999999993</v>
          </cell>
          <cell r="K230">
            <v>4758.2000000000007</v>
          </cell>
          <cell r="L230">
            <v>10818.759999999998</v>
          </cell>
          <cell r="M230">
            <v>4750.04</v>
          </cell>
          <cell r="N230">
            <v>7936.8100000000013</v>
          </cell>
          <cell r="O230">
            <v>4016.29</v>
          </cell>
          <cell r="P230">
            <v>3616.1000000000004</v>
          </cell>
          <cell r="Q230">
            <v>67435.87</v>
          </cell>
        </row>
        <row r="231">
          <cell r="A231">
            <v>50115</v>
          </cell>
          <cell r="B231" t="str">
            <v>Pension and Profit Sharing</v>
          </cell>
          <cell r="E231">
            <v>28983.06</v>
          </cell>
          <cell r="F231">
            <v>25738.78</v>
          </cell>
          <cell r="G231">
            <v>27512.51</v>
          </cell>
          <cell r="H231">
            <v>29149.510000000002</v>
          </cell>
          <cell r="I231">
            <v>28747.71</v>
          </cell>
          <cell r="J231">
            <v>30320.410000000003</v>
          </cell>
          <cell r="K231">
            <v>30592.95</v>
          </cell>
          <cell r="L231">
            <v>30361.019999999997</v>
          </cell>
          <cell r="M231">
            <v>30798.07</v>
          </cell>
          <cell r="N231">
            <v>28965.410000000003</v>
          </cell>
          <cell r="O231">
            <v>29195.13</v>
          </cell>
          <cell r="P231">
            <v>27681.32</v>
          </cell>
          <cell r="Q231">
            <v>348045.87999999995</v>
          </cell>
        </row>
        <row r="232">
          <cell r="A232">
            <v>50116</v>
          </cell>
          <cell r="B232" t="str">
            <v>Union Benefit Expense</v>
          </cell>
          <cell r="E232">
            <v>75002.37000000001</v>
          </cell>
          <cell r="F232">
            <v>76004.59</v>
          </cell>
          <cell r="G232">
            <v>72736.17</v>
          </cell>
          <cell r="H232">
            <v>70560.600000000006</v>
          </cell>
          <cell r="I232">
            <v>73715.539999999994</v>
          </cell>
          <cell r="J232">
            <v>76036.11</v>
          </cell>
          <cell r="K232">
            <v>76033.8</v>
          </cell>
          <cell r="L232">
            <v>76047.17</v>
          </cell>
          <cell r="M232">
            <v>75995.589999999982</v>
          </cell>
          <cell r="N232">
            <v>77106.5</v>
          </cell>
          <cell r="O232">
            <v>74405.170000000013</v>
          </cell>
          <cell r="P232">
            <v>74519.92</v>
          </cell>
          <cell r="Q232">
            <v>898163.53</v>
          </cell>
        </row>
        <row r="233">
          <cell r="A233">
            <v>50117</v>
          </cell>
          <cell r="B233" t="str">
            <v>Union Pension</v>
          </cell>
          <cell r="E233">
            <v>0</v>
          </cell>
          <cell r="F233">
            <v>0</v>
          </cell>
          <cell r="G233">
            <v>0</v>
          </cell>
          <cell r="H233">
            <v>0</v>
          </cell>
          <cell r="I233">
            <v>0</v>
          </cell>
          <cell r="J233">
            <v>0</v>
          </cell>
          <cell r="K233">
            <v>0</v>
          </cell>
          <cell r="L233">
            <v>0</v>
          </cell>
          <cell r="M233">
            <v>0</v>
          </cell>
          <cell r="N233">
            <v>0</v>
          </cell>
          <cell r="O233">
            <v>0</v>
          </cell>
          <cell r="P233">
            <v>0</v>
          </cell>
          <cell r="Q233">
            <v>0</v>
          </cell>
        </row>
        <row r="234">
          <cell r="A234">
            <v>50148</v>
          </cell>
          <cell r="B234" t="str">
            <v>Allocated Exp In - District</v>
          </cell>
          <cell r="E234">
            <v>0</v>
          </cell>
          <cell r="F234">
            <v>0</v>
          </cell>
          <cell r="G234">
            <v>0</v>
          </cell>
          <cell r="H234">
            <v>0</v>
          </cell>
          <cell r="I234">
            <v>0</v>
          </cell>
          <cell r="J234">
            <v>0</v>
          </cell>
          <cell r="K234">
            <v>0</v>
          </cell>
          <cell r="L234">
            <v>0</v>
          </cell>
          <cell r="M234">
            <v>0</v>
          </cell>
          <cell r="N234">
            <v>0</v>
          </cell>
          <cell r="O234">
            <v>0</v>
          </cell>
          <cell r="P234">
            <v>0</v>
          </cell>
          <cell r="Q234">
            <v>0</v>
          </cell>
        </row>
        <row r="235">
          <cell r="A235">
            <v>50149</v>
          </cell>
          <cell r="B235" t="str">
            <v>Allocated Exp In Out - District</v>
          </cell>
          <cell r="E235">
            <v>0</v>
          </cell>
          <cell r="F235">
            <v>0</v>
          </cell>
          <cell r="G235">
            <v>0</v>
          </cell>
          <cell r="H235">
            <v>0</v>
          </cell>
          <cell r="I235">
            <v>0</v>
          </cell>
          <cell r="J235">
            <v>0</v>
          </cell>
          <cell r="K235">
            <v>0</v>
          </cell>
          <cell r="L235">
            <v>0</v>
          </cell>
          <cell r="M235">
            <v>0</v>
          </cell>
          <cell r="N235">
            <v>0</v>
          </cell>
          <cell r="O235">
            <v>0</v>
          </cell>
          <cell r="P235">
            <v>0</v>
          </cell>
          <cell r="Q235">
            <v>0</v>
          </cell>
        </row>
        <row r="236">
          <cell r="A236">
            <v>50335</v>
          </cell>
          <cell r="B236" t="str">
            <v>Miscellaneous</v>
          </cell>
          <cell r="E236">
            <v>0</v>
          </cell>
          <cell r="F236">
            <v>0</v>
          </cell>
          <cell r="G236">
            <v>0</v>
          </cell>
          <cell r="H236">
            <v>0</v>
          </cell>
          <cell r="I236">
            <v>0</v>
          </cell>
          <cell r="J236">
            <v>0</v>
          </cell>
          <cell r="K236">
            <v>0</v>
          </cell>
          <cell r="L236">
            <v>0</v>
          </cell>
          <cell r="M236">
            <v>0</v>
          </cell>
          <cell r="N236">
            <v>0</v>
          </cell>
          <cell r="O236">
            <v>0</v>
          </cell>
          <cell r="P236">
            <v>0</v>
          </cell>
          <cell r="Q236">
            <v>0</v>
          </cell>
        </row>
        <row r="237">
          <cell r="A237">
            <v>50900</v>
          </cell>
          <cell r="B237" t="str">
            <v>Capitalized Costs</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A238">
            <v>50998</v>
          </cell>
          <cell r="B238" t="str">
            <v>Allocation Out - District</v>
          </cell>
          <cell r="E238">
            <v>0</v>
          </cell>
          <cell r="F238">
            <v>0</v>
          </cell>
          <cell r="G238">
            <v>0</v>
          </cell>
          <cell r="H238">
            <v>0</v>
          </cell>
          <cell r="I238">
            <v>0</v>
          </cell>
          <cell r="J238">
            <v>0</v>
          </cell>
          <cell r="K238">
            <v>0</v>
          </cell>
          <cell r="L238">
            <v>0</v>
          </cell>
          <cell r="M238">
            <v>0</v>
          </cell>
          <cell r="N238">
            <v>0</v>
          </cell>
          <cell r="O238">
            <v>0</v>
          </cell>
          <cell r="P238">
            <v>0</v>
          </cell>
          <cell r="Q238">
            <v>0</v>
          </cell>
        </row>
        <row r="239">
          <cell r="A239">
            <v>50999</v>
          </cell>
          <cell r="B239" t="str">
            <v>Allocation Out - Out District</v>
          </cell>
          <cell r="E239">
            <v>0</v>
          </cell>
          <cell r="F239">
            <v>0</v>
          </cell>
          <cell r="G239">
            <v>0</v>
          </cell>
          <cell r="H239">
            <v>0</v>
          </cell>
          <cell r="I239">
            <v>0</v>
          </cell>
          <cell r="J239">
            <v>0</v>
          </cell>
          <cell r="K239">
            <v>0</v>
          </cell>
          <cell r="L239">
            <v>0</v>
          </cell>
          <cell r="M239">
            <v>0</v>
          </cell>
          <cell r="N239">
            <v>0</v>
          </cell>
          <cell r="O239">
            <v>0</v>
          </cell>
          <cell r="P239">
            <v>0</v>
          </cell>
          <cell r="Q239">
            <v>0</v>
          </cell>
        </row>
        <row r="240">
          <cell r="A240" t="str">
            <v>Total Labor</v>
          </cell>
          <cell r="E240">
            <v>355829.94</v>
          </cell>
          <cell r="F240">
            <v>312790.53000000003</v>
          </cell>
          <cell r="G240">
            <v>353060.25999999995</v>
          </cell>
          <cell r="H240">
            <v>354244.36</v>
          </cell>
          <cell r="I240">
            <v>375435.16</v>
          </cell>
          <cell r="J240">
            <v>372487.97</v>
          </cell>
          <cell r="K240">
            <v>377870.32999999996</v>
          </cell>
          <cell r="L240">
            <v>374292.89</v>
          </cell>
          <cell r="M240">
            <v>378357.81</v>
          </cell>
          <cell r="N240">
            <v>363720.08999999997</v>
          </cell>
          <cell r="O240">
            <v>390035.03</v>
          </cell>
          <cell r="P240">
            <v>369931.60999999993</v>
          </cell>
          <cell r="Q240">
            <v>4378055.9800000004</v>
          </cell>
        </row>
        <row r="242">
          <cell r="A242" t="str">
            <v>Truck Fixed Expenses</v>
          </cell>
        </row>
        <row r="243">
          <cell r="A243">
            <v>51148</v>
          </cell>
          <cell r="B243" t="str">
            <v>Allocation In - District</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A244">
            <v>51149</v>
          </cell>
          <cell r="B244" t="str">
            <v>Allocation In - Out District</v>
          </cell>
          <cell r="E244">
            <v>0</v>
          </cell>
          <cell r="F244">
            <v>0</v>
          </cell>
          <cell r="G244">
            <v>0</v>
          </cell>
          <cell r="H244">
            <v>0</v>
          </cell>
          <cell r="I244">
            <v>0</v>
          </cell>
          <cell r="J244">
            <v>0</v>
          </cell>
          <cell r="K244">
            <v>0</v>
          </cell>
          <cell r="L244">
            <v>0</v>
          </cell>
          <cell r="M244">
            <v>0</v>
          </cell>
          <cell r="N244">
            <v>0</v>
          </cell>
          <cell r="O244">
            <v>0</v>
          </cell>
          <cell r="P244">
            <v>0</v>
          </cell>
          <cell r="Q244">
            <v>0</v>
          </cell>
        </row>
        <row r="245">
          <cell r="A245">
            <v>51175</v>
          </cell>
          <cell r="B245" t="str">
            <v>Equipment/Vehicle Rental</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A246">
            <v>51275</v>
          </cell>
          <cell r="B246" t="str">
            <v>Property Taxes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A247">
            <v>51295</v>
          </cell>
          <cell r="B247" t="str">
            <v>Licenses</v>
          </cell>
          <cell r="E247">
            <v>7094.03</v>
          </cell>
          <cell r="F247">
            <v>5283.39</v>
          </cell>
          <cell r="G247">
            <v>6038.79</v>
          </cell>
          <cell r="H247">
            <v>6260.76</v>
          </cell>
          <cell r="I247">
            <v>7130.37</v>
          </cell>
          <cell r="J247">
            <v>6495.12</v>
          </cell>
          <cell r="K247">
            <v>7155.12</v>
          </cell>
          <cell r="L247">
            <v>8517.26</v>
          </cell>
          <cell r="M247">
            <v>6025.42</v>
          </cell>
          <cell r="N247">
            <v>6730.71</v>
          </cell>
          <cell r="O247">
            <v>6040.84</v>
          </cell>
          <cell r="P247">
            <v>7017.82</v>
          </cell>
          <cell r="Q247">
            <v>79789.63</v>
          </cell>
        </row>
        <row r="248">
          <cell r="A248">
            <v>51335</v>
          </cell>
          <cell r="B248" t="str">
            <v>Miscellaneous</v>
          </cell>
          <cell r="E248">
            <v>0</v>
          </cell>
          <cell r="F248">
            <v>0</v>
          </cell>
          <cell r="G248">
            <v>0</v>
          </cell>
          <cell r="H248">
            <v>0</v>
          </cell>
          <cell r="I248">
            <v>0</v>
          </cell>
          <cell r="J248">
            <v>0</v>
          </cell>
          <cell r="K248">
            <v>0</v>
          </cell>
          <cell r="L248">
            <v>0</v>
          </cell>
          <cell r="M248">
            <v>0</v>
          </cell>
          <cell r="N248">
            <v>0</v>
          </cell>
          <cell r="O248">
            <v>0</v>
          </cell>
          <cell r="P248">
            <v>0</v>
          </cell>
          <cell r="Q248">
            <v>0</v>
          </cell>
        </row>
        <row r="249">
          <cell r="A249">
            <v>51998</v>
          </cell>
          <cell r="B249" t="str">
            <v>Allocation Out - District</v>
          </cell>
          <cell r="E249">
            <v>0</v>
          </cell>
          <cell r="F249">
            <v>0</v>
          </cell>
          <cell r="G249">
            <v>0</v>
          </cell>
          <cell r="H249">
            <v>0</v>
          </cell>
          <cell r="I249">
            <v>0</v>
          </cell>
          <cell r="J249">
            <v>0</v>
          </cell>
          <cell r="K249">
            <v>0</v>
          </cell>
          <cell r="L249">
            <v>0</v>
          </cell>
          <cell r="M249">
            <v>0</v>
          </cell>
          <cell r="N249">
            <v>0</v>
          </cell>
          <cell r="O249">
            <v>0</v>
          </cell>
          <cell r="P249">
            <v>0</v>
          </cell>
          <cell r="Q249">
            <v>0</v>
          </cell>
        </row>
        <row r="250">
          <cell r="A250">
            <v>51999</v>
          </cell>
          <cell r="B250" t="str">
            <v>Allocation Out - Out District</v>
          </cell>
          <cell r="E250">
            <v>0</v>
          </cell>
          <cell r="F250">
            <v>0</v>
          </cell>
          <cell r="G250">
            <v>0</v>
          </cell>
          <cell r="H250">
            <v>0</v>
          </cell>
          <cell r="I250">
            <v>0</v>
          </cell>
          <cell r="J250">
            <v>0</v>
          </cell>
          <cell r="K250">
            <v>0</v>
          </cell>
          <cell r="L250">
            <v>0</v>
          </cell>
          <cell r="M250">
            <v>0</v>
          </cell>
          <cell r="N250">
            <v>0</v>
          </cell>
          <cell r="O250">
            <v>0</v>
          </cell>
          <cell r="P250">
            <v>0</v>
          </cell>
          <cell r="Q250">
            <v>0</v>
          </cell>
        </row>
        <row r="251">
          <cell r="A251" t="str">
            <v>Total Truck Fixed Expenses</v>
          </cell>
          <cell r="E251">
            <v>7094.03</v>
          </cell>
          <cell r="F251">
            <v>5283.39</v>
          </cell>
          <cell r="G251">
            <v>6038.79</v>
          </cell>
          <cell r="H251">
            <v>6260.76</v>
          </cell>
          <cell r="I251">
            <v>7130.37</v>
          </cell>
          <cell r="J251">
            <v>6495.12</v>
          </cell>
          <cell r="K251">
            <v>7155.12</v>
          </cell>
          <cell r="L251">
            <v>8517.26</v>
          </cell>
          <cell r="M251">
            <v>6025.42</v>
          </cell>
          <cell r="N251">
            <v>6730.71</v>
          </cell>
          <cell r="O251">
            <v>6040.84</v>
          </cell>
          <cell r="P251">
            <v>7017.82</v>
          </cell>
          <cell r="Q251">
            <v>79789.63</v>
          </cell>
        </row>
        <row r="253">
          <cell r="A253" t="str">
            <v>Truck Variable Expenses</v>
          </cell>
        </row>
        <row r="254">
          <cell r="A254">
            <v>52010</v>
          </cell>
          <cell r="B254" t="str">
            <v>Salaries</v>
          </cell>
          <cell r="E254">
            <v>0</v>
          </cell>
          <cell r="F254">
            <v>0</v>
          </cell>
          <cell r="G254">
            <v>0</v>
          </cell>
          <cell r="H254">
            <v>0</v>
          </cell>
          <cell r="I254">
            <v>0</v>
          </cell>
          <cell r="J254">
            <v>0</v>
          </cell>
          <cell r="K254">
            <v>0</v>
          </cell>
          <cell r="L254">
            <v>0</v>
          </cell>
          <cell r="M254">
            <v>0</v>
          </cell>
          <cell r="N254">
            <v>0</v>
          </cell>
          <cell r="O254">
            <v>0</v>
          </cell>
          <cell r="P254">
            <v>0</v>
          </cell>
          <cell r="Q254">
            <v>0</v>
          </cell>
        </row>
        <row r="255">
          <cell r="A255">
            <v>52020</v>
          </cell>
          <cell r="B255" t="str">
            <v>Wages Regular</v>
          </cell>
          <cell r="E255">
            <v>41831.43</v>
          </cell>
          <cell r="F255">
            <v>31547.360000000001</v>
          </cell>
          <cell r="G255">
            <v>41785.230000000003</v>
          </cell>
          <cell r="H255">
            <v>41270.26</v>
          </cell>
          <cell r="I255">
            <v>32339.71</v>
          </cell>
          <cell r="J255">
            <v>31241.200000000001</v>
          </cell>
          <cell r="K255">
            <v>37276.75</v>
          </cell>
          <cell r="L255">
            <v>38079.120000000003</v>
          </cell>
          <cell r="M255">
            <v>35899.410000000003</v>
          </cell>
          <cell r="N255">
            <v>39332.589999999997</v>
          </cell>
          <cell r="O255">
            <v>37890.239999999998</v>
          </cell>
          <cell r="P255">
            <v>44055.94</v>
          </cell>
          <cell r="Q255">
            <v>452549.24000000005</v>
          </cell>
        </row>
        <row r="256">
          <cell r="A256">
            <v>52025</v>
          </cell>
          <cell r="B256" t="str">
            <v>Wages O.T.</v>
          </cell>
          <cell r="E256">
            <v>7524.35</v>
          </cell>
          <cell r="F256">
            <v>4047.27</v>
          </cell>
          <cell r="G256">
            <v>4760.2299999999996</v>
          </cell>
          <cell r="H256">
            <v>4152.5200000000004</v>
          </cell>
          <cell r="I256">
            <v>5808.01</v>
          </cell>
          <cell r="J256">
            <v>4035.92</v>
          </cell>
          <cell r="K256">
            <v>11119.38</v>
          </cell>
          <cell r="L256">
            <v>2971.58</v>
          </cell>
          <cell r="M256">
            <v>6964.42</v>
          </cell>
          <cell r="N256">
            <v>4824.8500000000004</v>
          </cell>
          <cell r="O256">
            <v>7793.34</v>
          </cell>
          <cell r="P256">
            <v>5555.18</v>
          </cell>
          <cell r="Q256">
            <v>69557.049999999988</v>
          </cell>
        </row>
        <row r="257">
          <cell r="A257">
            <v>52035</v>
          </cell>
          <cell r="B257" t="str">
            <v>Safety Bonuses</v>
          </cell>
          <cell r="E257">
            <v>1250</v>
          </cell>
          <cell r="F257">
            <v>1250</v>
          </cell>
          <cell r="G257">
            <v>1250</v>
          </cell>
          <cell r="H257">
            <v>1250</v>
          </cell>
          <cell r="I257">
            <v>2000</v>
          </cell>
          <cell r="J257">
            <v>2000</v>
          </cell>
          <cell r="K257">
            <v>2000</v>
          </cell>
          <cell r="L257">
            <v>2000</v>
          </cell>
          <cell r="M257">
            <v>1000</v>
          </cell>
          <cell r="N257">
            <v>1000</v>
          </cell>
          <cell r="O257">
            <v>1200</v>
          </cell>
          <cell r="P257">
            <v>-2000</v>
          </cell>
          <cell r="Q257">
            <v>14200</v>
          </cell>
        </row>
        <row r="258">
          <cell r="A258">
            <v>52036</v>
          </cell>
          <cell r="B258" t="str">
            <v>Other Bonus/Commission - Non-Safety</v>
          </cell>
          <cell r="E258">
            <v>0</v>
          </cell>
          <cell r="F258">
            <v>0</v>
          </cell>
          <cell r="G258">
            <v>0</v>
          </cell>
          <cell r="H258">
            <v>0</v>
          </cell>
          <cell r="I258">
            <v>0</v>
          </cell>
          <cell r="J258">
            <v>0</v>
          </cell>
          <cell r="K258">
            <v>0</v>
          </cell>
          <cell r="L258">
            <v>0</v>
          </cell>
          <cell r="M258">
            <v>0</v>
          </cell>
          <cell r="N258">
            <v>0</v>
          </cell>
          <cell r="O258">
            <v>0</v>
          </cell>
          <cell r="P258">
            <v>0</v>
          </cell>
          <cell r="Q258">
            <v>0</v>
          </cell>
        </row>
        <row r="259">
          <cell r="A259">
            <v>52045</v>
          </cell>
          <cell r="B259" t="str">
            <v>Contract Labor</v>
          </cell>
          <cell r="E259">
            <v>0</v>
          </cell>
          <cell r="F259">
            <v>0</v>
          </cell>
          <cell r="G259">
            <v>0</v>
          </cell>
          <cell r="H259">
            <v>0</v>
          </cell>
          <cell r="I259">
            <v>0</v>
          </cell>
          <cell r="J259">
            <v>0</v>
          </cell>
          <cell r="K259">
            <v>0</v>
          </cell>
          <cell r="L259">
            <v>0</v>
          </cell>
          <cell r="M259">
            <v>0</v>
          </cell>
          <cell r="N259">
            <v>0</v>
          </cell>
          <cell r="O259">
            <v>0</v>
          </cell>
          <cell r="P259">
            <v>0</v>
          </cell>
          <cell r="Q259">
            <v>0</v>
          </cell>
        </row>
        <row r="260">
          <cell r="A260">
            <v>52050</v>
          </cell>
          <cell r="B260" t="str">
            <v>Payroll Taxes</v>
          </cell>
          <cell r="E260">
            <v>5936.87</v>
          </cell>
          <cell r="F260">
            <v>3515.19</v>
          </cell>
          <cell r="G260">
            <v>4535.6499999999996</v>
          </cell>
          <cell r="H260">
            <v>4653.75</v>
          </cell>
          <cell r="I260">
            <v>4561.24</v>
          </cell>
          <cell r="J260">
            <v>5119.2299999999996</v>
          </cell>
          <cell r="K260">
            <v>5503.32</v>
          </cell>
          <cell r="L260">
            <v>4465.1099999999997</v>
          </cell>
          <cell r="M260">
            <v>4260.3100000000004</v>
          </cell>
          <cell r="N260">
            <v>4002.25</v>
          </cell>
          <cell r="O260">
            <v>5640.4</v>
          </cell>
          <cell r="P260">
            <v>3070</v>
          </cell>
          <cell r="Q260">
            <v>55263.32</v>
          </cell>
        </row>
        <row r="261">
          <cell r="A261">
            <v>52060</v>
          </cell>
          <cell r="B261" t="str">
            <v>Group Insurance</v>
          </cell>
          <cell r="E261">
            <v>-159</v>
          </cell>
          <cell r="F261">
            <v>-159</v>
          </cell>
          <cell r="G261">
            <v>561.5</v>
          </cell>
          <cell r="H261">
            <v>720.5</v>
          </cell>
          <cell r="I261">
            <v>641</v>
          </cell>
          <cell r="J261">
            <v>641</v>
          </cell>
          <cell r="K261">
            <v>641</v>
          </cell>
          <cell r="L261">
            <v>641</v>
          </cell>
          <cell r="M261">
            <v>561.5</v>
          </cell>
          <cell r="N261">
            <v>720.5</v>
          </cell>
          <cell r="O261">
            <v>641</v>
          </cell>
          <cell r="P261">
            <v>511.58</v>
          </cell>
          <cell r="Q261">
            <v>5962.58</v>
          </cell>
        </row>
        <row r="262">
          <cell r="A262">
            <v>52065</v>
          </cell>
          <cell r="B262" t="str">
            <v>Vacation Pay</v>
          </cell>
          <cell r="E262">
            <v>5737.5</v>
          </cell>
          <cell r="F262">
            <v>2090.71</v>
          </cell>
          <cell r="G262">
            <v>1979.73</v>
          </cell>
          <cell r="H262">
            <v>3044.17</v>
          </cell>
          <cell r="I262">
            <v>1571.02</v>
          </cell>
          <cell r="J262">
            <v>4642.26</v>
          </cell>
          <cell r="K262">
            <v>3319.05</v>
          </cell>
          <cell r="L262">
            <v>1557.75</v>
          </cell>
          <cell r="M262">
            <v>5888.63</v>
          </cell>
          <cell r="N262">
            <v>2065.0500000000002</v>
          </cell>
          <cell r="O262">
            <v>3190.34</v>
          </cell>
          <cell r="P262">
            <v>2387</v>
          </cell>
          <cell r="Q262">
            <v>37473.21</v>
          </cell>
        </row>
        <row r="263">
          <cell r="A263">
            <v>52070</v>
          </cell>
          <cell r="B263" t="str">
            <v>Sick Pay</v>
          </cell>
          <cell r="E263">
            <v>0</v>
          </cell>
          <cell r="F263">
            <v>0</v>
          </cell>
          <cell r="G263">
            <v>111.2</v>
          </cell>
          <cell r="H263">
            <v>903.6</v>
          </cell>
          <cell r="I263">
            <v>-301.2</v>
          </cell>
          <cell r="J263">
            <v>114.8</v>
          </cell>
          <cell r="K263">
            <v>229.6</v>
          </cell>
          <cell r="L263">
            <v>-114.8</v>
          </cell>
          <cell r="M263">
            <v>0</v>
          </cell>
          <cell r="N263">
            <v>0</v>
          </cell>
          <cell r="O263">
            <v>0</v>
          </cell>
          <cell r="P263">
            <v>0</v>
          </cell>
          <cell r="Q263">
            <v>943.2</v>
          </cell>
        </row>
        <row r="264">
          <cell r="A264">
            <v>52086</v>
          </cell>
          <cell r="B264" t="str">
            <v>Safety and Training</v>
          </cell>
          <cell r="E264">
            <v>313.67</v>
          </cell>
          <cell r="F264">
            <v>337.9</v>
          </cell>
          <cell r="G264">
            <v>464.12</v>
          </cell>
          <cell r="H264">
            <v>898.81</v>
          </cell>
          <cell r="I264">
            <v>1000.19</v>
          </cell>
          <cell r="J264">
            <v>951.13</v>
          </cell>
          <cell r="K264">
            <v>348.03</v>
          </cell>
          <cell r="L264">
            <v>1085.5</v>
          </cell>
          <cell r="M264">
            <v>0</v>
          </cell>
          <cell r="N264">
            <v>252.45</v>
          </cell>
          <cell r="O264">
            <v>0</v>
          </cell>
          <cell r="P264">
            <v>1352.06</v>
          </cell>
          <cell r="Q264">
            <v>7003.8600000000006</v>
          </cell>
        </row>
        <row r="265">
          <cell r="A265">
            <v>52087</v>
          </cell>
          <cell r="B265" t="str">
            <v>Drug Screening</v>
          </cell>
          <cell r="E265">
            <v>0</v>
          </cell>
          <cell r="F265">
            <v>0</v>
          </cell>
          <cell r="G265">
            <v>0</v>
          </cell>
          <cell r="H265">
            <v>0</v>
          </cell>
          <cell r="I265">
            <v>0</v>
          </cell>
          <cell r="J265">
            <v>0</v>
          </cell>
          <cell r="K265">
            <v>0</v>
          </cell>
          <cell r="L265">
            <v>0</v>
          </cell>
          <cell r="M265">
            <v>0</v>
          </cell>
          <cell r="N265">
            <v>0</v>
          </cell>
          <cell r="O265">
            <v>0</v>
          </cell>
          <cell r="P265">
            <v>0</v>
          </cell>
          <cell r="Q265">
            <v>0</v>
          </cell>
        </row>
        <row r="266">
          <cell r="A266">
            <v>52090</v>
          </cell>
          <cell r="B266" t="str">
            <v>Uniforms</v>
          </cell>
          <cell r="E266">
            <v>300.83</v>
          </cell>
          <cell r="F266">
            <v>353.71</v>
          </cell>
          <cell r="G266">
            <v>389.7</v>
          </cell>
          <cell r="H266">
            <v>320.22000000000003</v>
          </cell>
          <cell r="I266">
            <v>296.99</v>
          </cell>
          <cell r="J266">
            <v>450.43</v>
          </cell>
          <cell r="K266">
            <v>428.66</v>
          </cell>
          <cell r="L266">
            <v>1034.03</v>
          </cell>
          <cell r="M266">
            <v>250.15</v>
          </cell>
          <cell r="N266">
            <v>3123.18</v>
          </cell>
          <cell r="O266">
            <v>276.32</v>
          </cell>
          <cell r="P266">
            <v>308.07</v>
          </cell>
          <cell r="Q266">
            <v>7532.2899999999991</v>
          </cell>
        </row>
        <row r="267">
          <cell r="A267">
            <v>52115</v>
          </cell>
          <cell r="B267" t="str">
            <v>Pension and Profit Sharing</v>
          </cell>
          <cell r="E267">
            <v>4010.46</v>
          </cell>
          <cell r="F267">
            <v>3565.56</v>
          </cell>
          <cell r="G267">
            <v>3834.74</v>
          </cell>
          <cell r="H267">
            <v>3873.02</v>
          </cell>
          <cell r="I267">
            <v>3977.37</v>
          </cell>
          <cell r="J267">
            <v>4220.3500000000004</v>
          </cell>
          <cell r="K267">
            <v>4228.8599999999997</v>
          </cell>
          <cell r="L267">
            <v>4197.5600000000004</v>
          </cell>
          <cell r="M267">
            <v>4257.6400000000003</v>
          </cell>
          <cell r="N267">
            <v>4035.58</v>
          </cell>
          <cell r="O267">
            <v>4052.24</v>
          </cell>
          <cell r="P267">
            <v>3832.52</v>
          </cell>
          <cell r="Q267">
            <v>48085.9</v>
          </cell>
        </row>
        <row r="268">
          <cell r="A268">
            <v>52116</v>
          </cell>
          <cell r="B268" t="str">
            <v>Union Benefit Expense</v>
          </cell>
          <cell r="E268">
            <v>11221.99</v>
          </cell>
          <cell r="F268">
            <v>11221.61</v>
          </cell>
          <cell r="G268">
            <v>8963.65</v>
          </cell>
          <cell r="H268">
            <v>10117.1</v>
          </cell>
          <cell r="I268">
            <v>10108.799999999999</v>
          </cell>
          <cell r="J268">
            <v>10108.799999999999</v>
          </cell>
          <cell r="K268">
            <v>10108.799999999999</v>
          </cell>
          <cell r="L268">
            <v>10108.799999999999</v>
          </cell>
          <cell r="M268">
            <v>10102.129999999999</v>
          </cell>
          <cell r="N268">
            <v>10118.73</v>
          </cell>
          <cell r="O268">
            <v>8978.93</v>
          </cell>
          <cell r="P268">
            <v>9916.0499999999993</v>
          </cell>
          <cell r="Q268">
            <v>121075.39</v>
          </cell>
        </row>
        <row r="269">
          <cell r="A269">
            <v>52117</v>
          </cell>
          <cell r="B269" t="str">
            <v>Union Pension</v>
          </cell>
          <cell r="E269">
            <v>0</v>
          </cell>
          <cell r="F269">
            <v>0</v>
          </cell>
          <cell r="G269">
            <v>0</v>
          </cell>
          <cell r="H269">
            <v>0</v>
          </cell>
          <cell r="I269">
            <v>0</v>
          </cell>
          <cell r="J269">
            <v>0</v>
          </cell>
          <cell r="K269">
            <v>0</v>
          </cell>
          <cell r="L269">
            <v>0</v>
          </cell>
          <cell r="M269">
            <v>0</v>
          </cell>
          <cell r="N269">
            <v>0</v>
          </cell>
          <cell r="O269">
            <v>0</v>
          </cell>
          <cell r="P269">
            <v>0</v>
          </cell>
          <cell r="Q269">
            <v>0</v>
          </cell>
        </row>
        <row r="270">
          <cell r="A270">
            <v>52120</v>
          </cell>
          <cell r="B270" t="str">
            <v>Parts and Materials</v>
          </cell>
          <cell r="E270">
            <v>41193.56</v>
          </cell>
          <cell r="F270">
            <v>42024.94</v>
          </cell>
          <cell r="G270">
            <v>38734.660000000003</v>
          </cell>
          <cell r="H270">
            <v>21757.73</v>
          </cell>
          <cell r="I270">
            <v>38676.519999999997</v>
          </cell>
          <cell r="J270">
            <v>21919.95</v>
          </cell>
          <cell r="K270">
            <v>34237.410000000003</v>
          </cell>
          <cell r="L270">
            <v>36723.200000000004</v>
          </cell>
          <cell r="M270">
            <v>30874.03</v>
          </cell>
          <cell r="N270">
            <v>23554.1</v>
          </cell>
          <cell r="O270">
            <v>38660.959999999999</v>
          </cell>
          <cell r="P270">
            <v>71007.829999999987</v>
          </cell>
          <cell r="Q270">
            <v>439364.89</v>
          </cell>
        </row>
        <row r="271">
          <cell r="A271">
            <v>52125</v>
          </cell>
          <cell r="B271" t="str">
            <v>Operating Supplies</v>
          </cell>
          <cell r="E271">
            <v>450.54</v>
          </cell>
          <cell r="F271">
            <v>864.08</v>
          </cell>
          <cell r="G271">
            <v>1556.99</v>
          </cell>
          <cell r="H271">
            <v>537.54</v>
          </cell>
          <cell r="I271">
            <v>1099.93</v>
          </cell>
          <cell r="J271">
            <v>712.27</v>
          </cell>
          <cell r="K271">
            <v>5197.97</v>
          </cell>
          <cell r="L271">
            <v>-137.46</v>
          </cell>
          <cell r="M271">
            <v>1851.48</v>
          </cell>
          <cell r="N271">
            <v>2157.91</v>
          </cell>
          <cell r="O271">
            <v>2427.54</v>
          </cell>
          <cell r="P271">
            <v>1259.3</v>
          </cell>
          <cell r="Q271">
            <v>17978.09</v>
          </cell>
        </row>
        <row r="272">
          <cell r="A272">
            <v>52135</v>
          </cell>
          <cell r="B272" t="str">
            <v>Equipment and Maint Repair</v>
          </cell>
          <cell r="E272">
            <v>1311.54</v>
          </cell>
          <cell r="F272">
            <v>0</v>
          </cell>
          <cell r="G272">
            <v>1331.95</v>
          </cell>
          <cell r="H272">
            <v>2045.95</v>
          </cell>
          <cell r="I272">
            <v>0</v>
          </cell>
          <cell r="J272">
            <v>829.81</v>
          </cell>
          <cell r="K272">
            <v>0</v>
          </cell>
          <cell r="L272">
            <v>606.65</v>
          </cell>
          <cell r="M272">
            <v>0</v>
          </cell>
          <cell r="N272">
            <v>19.89</v>
          </cell>
          <cell r="O272">
            <v>0</v>
          </cell>
          <cell r="P272">
            <v>4997.33</v>
          </cell>
          <cell r="Q272">
            <v>11143.119999999999</v>
          </cell>
        </row>
        <row r="273">
          <cell r="A273">
            <v>52140</v>
          </cell>
          <cell r="B273" t="str">
            <v>Tires</v>
          </cell>
          <cell r="E273">
            <v>10747.01</v>
          </cell>
          <cell r="F273">
            <v>20260.900000000001</v>
          </cell>
          <cell r="G273">
            <v>12967.76</v>
          </cell>
          <cell r="H273">
            <v>15725.04</v>
          </cell>
          <cell r="I273">
            <v>18198.22</v>
          </cell>
          <cell r="J273">
            <v>22108.07</v>
          </cell>
          <cell r="K273">
            <v>15799.4</v>
          </cell>
          <cell r="L273">
            <v>23775.3</v>
          </cell>
          <cell r="M273">
            <v>38329.33</v>
          </cell>
          <cell r="N273">
            <v>6596.26</v>
          </cell>
          <cell r="O273">
            <v>14714.42</v>
          </cell>
          <cell r="P273">
            <v>23906.22</v>
          </cell>
          <cell r="Q273">
            <v>223127.93</v>
          </cell>
        </row>
        <row r="274">
          <cell r="A274">
            <v>52142</v>
          </cell>
          <cell r="B274" t="str">
            <v>Fuel Expense</v>
          </cell>
          <cell r="E274">
            <v>90672.87</v>
          </cell>
          <cell r="F274">
            <v>84188.88</v>
          </cell>
          <cell r="G274">
            <v>96017.58</v>
          </cell>
          <cell r="H274">
            <v>104369.3</v>
          </cell>
          <cell r="I274">
            <v>97844</v>
          </cell>
          <cell r="J274">
            <v>100692.82</v>
          </cell>
          <cell r="K274">
            <v>101529.68</v>
          </cell>
          <cell r="L274">
            <v>100169.49</v>
          </cell>
          <cell r="M274">
            <v>104198.62999999999</v>
          </cell>
          <cell r="N274">
            <v>102536.13</v>
          </cell>
          <cell r="O274">
            <v>101351.78</v>
          </cell>
          <cell r="P274">
            <v>108470.82</v>
          </cell>
          <cell r="Q274">
            <v>1192041.98</v>
          </cell>
        </row>
        <row r="275">
          <cell r="A275">
            <v>52143</v>
          </cell>
          <cell r="B275" t="str">
            <v>Transmontagne Fuel</v>
          </cell>
          <cell r="E275">
            <v>0</v>
          </cell>
          <cell r="F275">
            <v>0</v>
          </cell>
          <cell r="G275">
            <v>0</v>
          </cell>
          <cell r="H275">
            <v>0</v>
          </cell>
          <cell r="I275">
            <v>0</v>
          </cell>
          <cell r="J275">
            <v>0</v>
          </cell>
          <cell r="K275">
            <v>0</v>
          </cell>
          <cell r="L275">
            <v>0</v>
          </cell>
          <cell r="M275">
            <v>0</v>
          </cell>
          <cell r="N275">
            <v>0</v>
          </cell>
          <cell r="O275">
            <v>0</v>
          </cell>
          <cell r="P275">
            <v>0</v>
          </cell>
          <cell r="Q275">
            <v>0</v>
          </cell>
        </row>
        <row r="276">
          <cell r="A276">
            <v>52144</v>
          </cell>
          <cell r="B276" t="str">
            <v>Urea Expense</v>
          </cell>
          <cell r="E276">
            <v>0</v>
          </cell>
          <cell r="F276">
            <v>0</v>
          </cell>
          <cell r="G276">
            <v>0</v>
          </cell>
          <cell r="H276">
            <v>0</v>
          </cell>
          <cell r="I276">
            <v>0</v>
          </cell>
          <cell r="J276">
            <v>0</v>
          </cell>
          <cell r="K276">
            <v>0</v>
          </cell>
          <cell r="L276">
            <v>0</v>
          </cell>
          <cell r="M276">
            <v>0</v>
          </cell>
          <cell r="N276">
            <v>0</v>
          </cell>
          <cell r="O276">
            <v>0</v>
          </cell>
          <cell r="P276">
            <v>0</v>
          </cell>
          <cell r="Q276">
            <v>0</v>
          </cell>
        </row>
        <row r="277">
          <cell r="A277">
            <v>52146</v>
          </cell>
          <cell r="B277" t="str">
            <v>Oil and Grease</v>
          </cell>
          <cell r="E277">
            <v>1875.42</v>
          </cell>
          <cell r="F277">
            <v>3140.6</v>
          </cell>
          <cell r="G277">
            <v>5599.47</v>
          </cell>
          <cell r="H277">
            <v>2698.4</v>
          </cell>
          <cell r="I277">
            <v>3948.29</v>
          </cell>
          <cell r="J277">
            <v>2749.6</v>
          </cell>
          <cell r="K277">
            <v>7146.81</v>
          </cell>
          <cell r="L277">
            <v>2889.82</v>
          </cell>
          <cell r="M277">
            <v>9639.18</v>
          </cell>
          <cell r="N277">
            <v>6672.23</v>
          </cell>
          <cell r="O277">
            <v>11463.27</v>
          </cell>
          <cell r="P277">
            <v>-1288.0899999999999</v>
          </cell>
          <cell r="Q277">
            <v>56535</v>
          </cell>
        </row>
        <row r="278">
          <cell r="A278">
            <v>52147</v>
          </cell>
          <cell r="B278" t="str">
            <v>Outside Repairs</v>
          </cell>
          <cell r="E278">
            <v>8076.3899999999994</v>
          </cell>
          <cell r="F278">
            <v>4057.67</v>
          </cell>
          <cell r="G278">
            <v>2887.37</v>
          </cell>
          <cell r="H278">
            <v>4718.95</v>
          </cell>
          <cell r="I278">
            <v>7256.5</v>
          </cell>
          <cell r="J278">
            <v>4191.84</v>
          </cell>
          <cell r="K278">
            <v>8112.14</v>
          </cell>
          <cell r="L278">
            <v>5106.9299999999994</v>
          </cell>
          <cell r="M278">
            <v>11697.4</v>
          </cell>
          <cell r="N278">
            <v>2871.95</v>
          </cell>
          <cell r="O278">
            <v>2463.9499999999998</v>
          </cell>
          <cell r="P278">
            <v>2818.3500000000004</v>
          </cell>
          <cell r="Q278">
            <v>64259.439999999995</v>
          </cell>
        </row>
        <row r="279">
          <cell r="A279">
            <v>52148</v>
          </cell>
          <cell r="B279" t="str">
            <v>Allocated Exp In - District</v>
          </cell>
          <cell r="E279">
            <v>0</v>
          </cell>
          <cell r="F279">
            <v>0</v>
          </cell>
          <cell r="G279">
            <v>0</v>
          </cell>
          <cell r="H279">
            <v>0</v>
          </cell>
          <cell r="I279">
            <v>0</v>
          </cell>
          <cell r="J279">
            <v>0</v>
          </cell>
          <cell r="K279">
            <v>0</v>
          </cell>
          <cell r="L279">
            <v>0</v>
          </cell>
          <cell r="M279">
            <v>0</v>
          </cell>
          <cell r="N279">
            <v>0</v>
          </cell>
          <cell r="O279">
            <v>0</v>
          </cell>
          <cell r="P279">
            <v>0</v>
          </cell>
          <cell r="Q279">
            <v>0</v>
          </cell>
        </row>
        <row r="280">
          <cell r="A280">
            <v>52149</v>
          </cell>
          <cell r="B280" t="str">
            <v>Allocated Exp In Out - District</v>
          </cell>
          <cell r="E280">
            <v>0</v>
          </cell>
          <cell r="F280">
            <v>0</v>
          </cell>
          <cell r="G280">
            <v>0</v>
          </cell>
          <cell r="H280">
            <v>0</v>
          </cell>
          <cell r="I280">
            <v>0</v>
          </cell>
          <cell r="J280">
            <v>0</v>
          </cell>
          <cell r="K280">
            <v>0</v>
          </cell>
          <cell r="L280">
            <v>0</v>
          </cell>
          <cell r="M280">
            <v>0</v>
          </cell>
          <cell r="N280">
            <v>0</v>
          </cell>
          <cell r="O280">
            <v>0</v>
          </cell>
          <cell r="P280">
            <v>0</v>
          </cell>
          <cell r="Q280">
            <v>0</v>
          </cell>
        </row>
        <row r="281">
          <cell r="A281">
            <v>52150</v>
          </cell>
          <cell r="B281" t="str">
            <v>Utilities</v>
          </cell>
          <cell r="E281">
            <v>3181.16</v>
          </cell>
          <cell r="F281">
            <v>2292.6799999999998</v>
          </cell>
          <cell r="G281">
            <v>2139.2399999999998</v>
          </cell>
          <cell r="H281">
            <v>1852.79</v>
          </cell>
          <cell r="I281">
            <v>1236.6600000000001</v>
          </cell>
          <cell r="J281">
            <v>1066.23</v>
          </cell>
          <cell r="K281">
            <v>890.6</v>
          </cell>
          <cell r="L281">
            <v>864.21</v>
          </cell>
          <cell r="M281">
            <v>875.77</v>
          </cell>
          <cell r="N281">
            <v>889.61</v>
          </cell>
          <cell r="O281">
            <v>1635.02</v>
          </cell>
          <cell r="P281">
            <v>2991.91</v>
          </cell>
          <cell r="Q281">
            <v>19915.88</v>
          </cell>
        </row>
        <row r="282">
          <cell r="A282">
            <v>52165</v>
          </cell>
          <cell r="B282" t="str">
            <v>Communications</v>
          </cell>
          <cell r="E282">
            <v>1324.81</v>
          </cell>
          <cell r="F282">
            <v>1312.75</v>
          </cell>
          <cell r="G282">
            <v>1300.6099999999999</v>
          </cell>
          <cell r="H282">
            <v>1324.91</v>
          </cell>
          <cell r="I282">
            <v>1652.06</v>
          </cell>
          <cell r="J282">
            <v>1336.3</v>
          </cell>
          <cell r="K282">
            <v>1291.19</v>
          </cell>
          <cell r="L282">
            <v>1252.44</v>
          </cell>
          <cell r="M282">
            <v>1871.82</v>
          </cell>
          <cell r="N282">
            <v>1105.6099999999999</v>
          </cell>
          <cell r="O282">
            <v>1351.41</v>
          </cell>
          <cell r="P282">
            <v>1424.14</v>
          </cell>
          <cell r="Q282">
            <v>16548.05</v>
          </cell>
        </row>
        <row r="283">
          <cell r="A283">
            <v>52170</v>
          </cell>
          <cell r="B283" t="str">
            <v>Real Estate Rentals</v>
          </cell>
          <cell r="E283">
            <v>0</v>
          </cell>
          <cell r="F283">
            <v>0</v>
          </cell>
          <cell r="G283">
            <v>0</v>
          </cell>
          <cell r="H283">
            <v>0</v>
          </cell>
          <cell r="I283">
            <v>0</v>
          </cell>
          <cell r="J283">
            <v>0</v>
          </cell>
          <cell r="K283">
            <v>0</v>
          </cell>
          <cell r="L283">
            <v>0</v>
          </cell>
          <cell r="M283">
            <v>0</v>
          </cell>
          <cell r="N283">
            <v>0</v>
          </cell>
          <cell r="O283">
            <v>0</v>
          </cell>
          <cell r="P283">
            <v>0</v>
          </cell>
          <cell r="Q283">
            <v>0</v>
          </cell>
        </row>
        <row r="284">
          <cell r="A284">
            <v>52172</v>
          </cell>
          <cell r="B284" t="str">
            <v>Chassis Lease Expense</v>
          </cell>
          <cell r="E284">
            <v>0</v>
          </cell>
          <cell r="F284">
            <v>0</v>
          </cell>
          <cell r="G284">
            <v>0</v>
          </cell>
          <cell r="H284">
            <v>0</v>
          </cell>
          <cell r="I284">
            <v>0</v>
          </cell>
          <cell r="J284">
            <v>0</v>
          </cell>
          <cell r="K284">
            <v>0</v>
          </cell>
          <cell r="L284">
            <v>0</v>
          </cell>
          <cell r="M284">
            <v>0</v>
          </cell>
          <cell r="N284">
            <v>0</v>
          </cell>
          <cell r="O284">
            <v>0</v>
          </cell>
          <cell r="P284">
            <v>0</v>
          </cell>
          <cell r="Q284">
            <v>0</v>
          </cell>
        </row>
        <row r="285">
          <cell r="A285">
            <v>52175</v>
          </cell>
          <cell r="B285" t="str">
            <v>Equip/Vehicle Rental</v>
          </cell>
          <cell r="E285">
            <v>230.74</v>
          </cell>
          <cell r="F285">
            <v>0</v>
          </cell>
          <cell r="G285">
            <v>0</v>
          </cell>
          <cell r="H285">
            <v>0</v>
          </cell>
          <cell r="I285">
            <v>0</v>
          </cell>
          <cell r="J285">
            <v>0</v>
          </cell>
          <cell r="K285">
            <v>0</v>
          </cell>
          <cell r="L285">
            <v>0</v>
          </cell>
          <cell r="M285">
            <v>0</v>
          </cell>
          <cell r="N285">
            <v>0</v>
          </cell>
          <cell r="O285">
            <v>0</v>
          </cell>
          <cell r="P285">
            <v>0</v>
          </cell>
          <cell r="Q285">
            <v>230.74</v>
          </cell>
        </row>
        <row r="286">
          <cell r="A286">
            <v>52181</v>
          </cell>
          <cell r="B286" t="str">
            <v>Freight</v>
          </cell>
          <cell r="E286">
            <v>0</v>
          </cell>
          <cell r="F286">
            <v>0</v>
          </cell>
          <cell r="G286">
            <v>0</v>
          </cell>
          <cell r="H286">
            <v>16.23</v>
          </cell>
          <cell r="I286">
            <v>369.59000000000003</v>
          </cell>
          <cell r="J286">
            <v>0</v>
          </cell>
          <cell r="K286">
            <v>0</v>
          </cell>
          <cell r="L286">
            <v>95.38</v>
          </cell>
          <cell r="M286">
            <v>0</v>
          </cell>
          <cell r="N286">
            <v>0</v>
          </cell>
          <cell r="O286">
            <v>0</v>
          </cell>
          <cell r="P286">
            <v>103.97</v>
          </cell>
          <cell r="Q286">
            <v>585.17000000000007</v>
          </cell>
        </row>
        <row r="287">
          <cell r="A287">
            <v>52182</v>
          </cell>
          <cell r="B287" t="str">
            <v>Towing Expense</v>
          </cell>
          <cell r="E287">
            <v>455.28</v>
          </cell>
          <cell r="F287">
            <v>428.18</v>
          </cell>
          <cell r="G287">
            <v>195.12</v>
          </cell>
          <cell r="H287">
            <v>627.72</v>
          </cell>
          <cell r="I287">
            <v>1626</v>
          </cell>
          <cell r="J287">
            <v>0</v>
          </cell>
          <cell r="K287">
            <v>569.1</v>
          </cell>
          <cell r="L287">
            <v>0</v>
          </cell>
          <cell r="M287">
            <v>238.48</v>
          </cell>
          <cell r="N287">
            <v>0</v>
          </cell>
          <cell r="O287">
            <v>661.24</v>
          </cell>
          <cell r="P287">
            <v>514.9</v>
          </cell>
          <cell r="Q287">
            <v>5316.0199999999995</v>
          </cell>
        </row>
        <row r="288">
          <cell r="A288">
            <v>52185</v>
          </cell>
          <cell r="B288" t="str">
            <v>Travel</v>
          </cell>
          <cell r="E288">
            <v>0</v>
          </cell>
          <cell r="F288">
            <v>0</v>
          </cell>
          <cell r="G288">
            <v>0</v>
          </cell>
          <cell r="H288">
            <v>0</v>
          </cell>
          <cell r="I288">
            <v>0</v>
          </cell>
          <cell r="J288">
            <v>0</v>
          </cell>
          <cell r="K288">
            <v>0</v>
          </cell>
          <cell r="L288">
            <v>0</v>
          </cell>
          <cell r="M288">
            <v>0</v>
          </cell>
          <cell r="N288">
            <v>0</v>
          </cell>
          <cell r="O288">
            <v>0</v>
          </cell>
          <cell r="P288">
            <v>0</v>
          </cell>
          <cell r="Q288">
            <v>0</v>
          </cell>
        </row>
        <row r="289">
          <cell r="A289">
            <v>52200</v>
          </cell>
          <cell r="B289" t="str">
            <v>Office Supply and Equip</v>
          </cell>
          <cell r="E289">
            <v>302.27999999999997</v>
          </cell>
          <cell r="F289">
            <v>504.92</v>
          </cell>
          <cell r="G289">
            <v>245.31</v>
          </cell>
          <cell r="H289">
            <v>1615.6</v>
          </cell>
          <cell r="I289">
            <v>152.86000000000001</v>
          </cell>
          <cell r="J289">
            <v>155.44</v>
          </cell>
          <cell r="K289">
            <v>66.27</v>
          </cell>
          <cell r="L289">
            <v>678.01</v>
          </cell>
          <cell r="M289">
            <v>154.47999999999999</v>
          </cell>
          <cell r="N289">
            <v>1193.94</v>
          </cell>
          <cell r="O289">
            <v>147.13</v>
          </cell>
          <cell r="P289">
            <v>809.46</v>
          </cell>
          <cell r="Q289">
            <v>6025.7</v>
          </cell>
        </row>
        <row r="290">
          <cell r="A290">
            <v>52275</v>
          </cell>
          <cell r="B290" t="str">
            <v>Property Taxes</v>
          </cell>
          <cell r="E290">
            <v>0</v>
          </cell>
          <cell r="F290">
            <v>0</v>
          </cell>
          <cell r="G290">
            <v>0</v>
          </cell>
          <cell r="H290">
            <v>0</v>
          </cell>
          <cell r="I290">
            <v>0</v>
          </cell>
          <cell r="J290">
            <v>0</v>
          </cell>
          <cell r="K290">
            <v>0</v>
          </cell>
          <cell r="L290">
            <v>0</v>
          </cell>
          <cell r="M290">
            <v>0</v>
          </cell>
          <cell r="N290">
            <v>0</v>
          </cell>
          <cell r="O290">
            <v>0</v>
          </cell>
          <cell r="P290">
            <v>0</v>
          </cell>
          <cell r="Q290">
            <v>0</v>
          </cell>
        </row>
        <row r="291">
          <cell r="A291">
            <v>52335</v>
          </cell>
          <cell r="B291" t="str">
            <v>Miscellaneous</v>
          </cell>
          <cell r="E291">
            <v>27</v>
          </cell>
          <cell r="F291">
            <v>0</v>
          </cell>
          <cell r="G291">
            <v>13.5</v>
          </cell>
          <cell r="H291">
            <v>0</v>
          </cell>
          <cell r="I291">
            <v>0</v>
          </cell>
          <cell r="J291">
            <v>0</v>
          </cell>
          <cell r="K291">
            <v>0</v>
          </cell>
          <cell r="L291">
            <v>0</v>
          </cell>
          <cell r="M291">
            <v>0</v>
          </cell>
          <cell r="N291">
            <v>0</v>
          </cell>
          <cell r="O291">
            <v>0</v>
          </cell>
          <cell r="P291">
            <v>0</v>
          </cell>
          <cell r="Q291">
            <v>40.5</v>
          </cell>
        </row>
        <row r="292">
          <cell r="A292">
            <v>52900</v>
          </cell>
          <cell r="B292" t="str">
            <v>Capitalized Costs</v>
          </cell>
          <cell r="E292">
            <v>0</v>
          </cell>
          <cell r="F292">
            <v>0</v>
          </cell>
          <cell r="G292">
            <v>0</v>
          </cell>
          <cell r="H292">
            <v>0</v>
          </cell>
          <cell r="I292">
            <v>0</v>
          </cell>
          <cell r="J292">
            <v>0</v>
          </cell>
          <cell r="K292">
            <v>0</v>
          </cell>
          <cell r="L292">
            <v>0</v>
          </cell>
          <cell r="M292">
            <v>0</v>
          </cell>
          <cell r="N292">
            <v>0</v>
          </cell>
          <cell r="O292">
            <v>0</v>
          </cell>
          <cell r="P292">
            <v>0</v>
          </cell>
          <cell r="Q292">
            <v>0</v>
          </cell>
        </row>
        <row r="293">
          <cell r="A293">
            <v>52901</v>
          </cell>
          <cell r="B293" t="str">
            <v>Costs Awaiting Capitilization</v>
          </cell>
          <cell r="E293">
            <v>0</v>
          </cell>
          <cell r="F293">
            <v>0</v>
          </cell>
          <cell r="G293">
            <v>0</v>
          </cell>
          <cell r="H293">
            <v>0</v>
          </cell>
          <cell r="I293">
            <v>0</v>
          </cell>
          <cell r="J293">
            <v>0</v>
          </cell>
          <cell r="K293">
            <v>0</v>
          </cell>
          <cell r="L293">
            <v>0</v>
          </cell>
          <cell r="M293">
            <v>0</v>
          </cell>
          <cell r="N293">
            <v>0</v>
          </cell>
          <cell r="O293">
            <v>0</v>
          </cell>
          <cell r="P293">
            <v>0</v>
          </cell>
          <cell r="Q293">
            <v>0</v>
          </cell>
        </row>
        <row r="294">
          <cell r="A294">
            <v>52998</v>
          </cell>
          <cell r="B294" t="str">
            <v>Allocation Out - District</v>
          </cell>
          <cell r="E294">
            <v>0</v>
          </cell>
          <cell r="F294">
            <v>0</v>
          </cell>
          <cell r="G294">
            <v>0</v>
          </cell>
          <cell r="H294">
            <v>0</v>
          </cell>
          <cell r="I294">
            <v>0</v>
          </cell>
          <cell r="J294">
            <v>0</v>
          </cell>
          <cell r="K294">
            <v>0</v>
          </cell>
          <cell r="L294">
            <v>0</v>
          </cell>
          <cell r="M294">
            <v>0</v>
          </cell>
          <cell r="N294">
            <v>0</v>
          </cell>
          <cell r="O294">
            <v>0</v>
          </cell>
          <cell r="P294">
            <v>0</v>
          </cell>
          <cell r="Q294">
            <v>0</v>
          </cell>
        </row>
        <row r="295">
          <cell r="A295">
            <v>52999</v>
          </cell>
          <cell r="B295" t="str">
            <v>Allocation Out - Out District</v>
          </cell>
          <cell r="E295">
            <v>-8839.42</v>
          </cell>
          <cell r="F295">
            <v>-11223.85</v>
          </cell>
          <cell r="G295">
            <v>-12345.57</v>
          </cell>
          <cell r="H295">
            <v>-17818.71</v>
          </cell>
          <cell r="I295">
            <v>-8260.7000000000007</v>
          </cell>
          <cell r="J295">
            <v>-18104.939999999999</v>
          </cell>
          <cell r="K295">
            <v>-8429.56</v>
          </cell>
          <cell r="L295">
            <v>-12829.3</v>
          </cell>
          <cell r="M295">
            <v>-6149.56</v>
          </cell>
          <cell r="N295">
            <v>-5808.26</v>
          </cell>
          <cell r="O295">
            <v>-5947.92</v>
          </cell>
          <cell r="P295">
            <v>-45343.87</v>
          </cell>
          <cell r="Q295">
            <v>-161101.66</v>
          </cell>
        </row>
        <row r="296">
          <cell r="A296" t="str">
            <v>Total Truck Variable</v>
          </cell>
          <cell r="E296">
            <v>228977.27999999997</v>
          </cell>
          <cell r="F296">
            <v>205622.06000000003</v>
          </cell>
          <cell r="G296">
            <v>219279.73999999996</v>
          </cell>
          <cell r="H296">
            <v>210675.40000000005</v>
          </cell>
          <cell r="I296">
            <v>225803.05999999997</v>
          </cell>
          <cell r="J296">
            <v>201182.51</v>
          </cell>
          <cell r="K296">
            <v>241614.46</v>
          </cell>
          <cell r="L296">
            <v>225220.32000000004</v>
          </cell>
          <cell r="M296">
            <v>262765.23</v>
          </cell>
          <cell r="N296">
            <v>211264.55</v>
          </cell>
          <cell r="O296">
            <v>238591.60999999996</v>
          </cell>
          <cell r="P296">
            <v>240660.66999999993</v>
          </cell>
          <cell r="Q296">
            <v>2711656.8899999997</v>
          </cell>
        </row>
        <row r="298">
          <cell r="A298" t="str">
            <v>Container</v>
          </cell>
        </row>
        <row r="299">
          <cell r="A299">
            <v>54148</v>
          </cell>
          <cell r="B299" t="str">
            <v>Allocation In - District</v>
          </cell>
          <cell r="E299">
            <v>0</v>
          </cell>
          <cell r="F299">
            <v>0</v>
          </cell>
          <cell r="G299">
            <v>0</v>
          </cell>
          <cell r="H299">
            <v>0</v>
          </cell>
          <cell r="I299">
            <v>0</v>
          </cell>
          <cell r="J299">
            <v>0</v>
          </cell>
          <cell r="K299">
            <v>0</v>
          </cell>
          <cell r="L299">
            <v>0</v>
          </cell>
          <cell r="M299">
            <v>0</v>
          </cell>
          <cell r="N299">
            <v>0</v>
          </cell>
          <cell r="O299">
            <v>0</v>
          </cell>
          <cell r="P299">
            <v>0</v>
          </cell>
          <cell r="Q299">
            <v>0</v>
          </cell>
        </row>
        <row r="300">
          <cell r="A300">
            <v>54149</v>
          </cell>
          <cell r="B300" t="str">
            <v>Allocation In - Out District</v>
          </cell>
          <cell r="E300">
            <v>0</v>
          </cell>
          <cell r="F300">
            <v>0</v>
          </cell>
          <cell r="G300">
            <v>0</v>
          </cell>
          <cell r="H300">
            <v>0</v>
          </cell>
          <cell r="I300">
            <v>0</v>
          </cell>
          <cell r="J300">
            <v>0</v>
          </cell>
          <cell r="K300">
            <v>0</v>
          </cell>
          <cell r="L300">
            <v>0</v>
          </cell>
          <cell r="M300">
            <v>0</v>
          </cell>
          <cell r="N300">
            <v>0</v>
          </cell>
          <cell r="O300">
            <v>0</v>
          </cell>
          <cell r="P300">
            <v>0</v>
          </cell>
          <cell r="Q300">
            <v>0</v>
          </cell>
        </row>
        <row r="301">
          <cell r="A301">
            <v>54175</v>
          </cell>
          <cell r="B301" t="str">
            <v>Equipment/Vehicle Rental</v>
          </cell>
          <cell r="E301">
            <v>0</v>
          </cell>
          <cell r="F301">
            <v>0</v>
          </cell>
          <cell r="G301">
            <v>0</v>
          </cell>
          <cell r="H301">
            <v>0</v>
          </cell>
          <cell r="I301">
            <v>0</v>
          </cell>
          <cell r="J301">
            <v>0</v>
          </cell>
          <cell r="K301">
            <v>0</v>
          </cell>
          <cell r="L301">
            <v>0</v>
          </cell>
          <cell r="M301">
            <v>0</v>
          </cell>
          <cell r="N301">
            <v>0</v>
          </cell>
          <cell r="O301">
            <v>0</v>
          </cell>
          <cell r="P301">
            <v>0</v>
          </cell>
          <cell r="Q301">
            <v>0</v>
          </cell>
        </row>
        <row r="302">
          <cell r="A302">
            <v>54275</v>
          </cell>
          <cell r="B302" t="str">
            <v>Property Taxes</v>
          </cell>
          <cell r="E302">
            <v>0</v>
          </cell>
          <cell r="F302">
            <v>0</v>
          </cell>
          <cell r="G302">
            <v>0</v>
          </cell>
          <cell r="H302">
            <v>0</v>
          </cell>
          <cell r="I302">
            <v>0</v>
          </cell>
          <cell r="J302">
            <v>0</v>
          </cell>
          <cell r="K302">
            <v>0</v>
          </cell>
          <cell r="L302">
            <v>0</v>
          </cell>
          <cell r="M302">
            <v>0</v>
          </cell>
          <cell r="N302">
            <v>0</v>
          </cell>
          <cell r="O302">
            <v>0</v>
          </cell>
          <cell r="P302">
            <v>0</v>
          </cell>
          <cell r="Q302">
            <v>0</v>
          </cell>
        </row>
        <row r="303">
          <cell r="A303">
            <v>54335</v>
          </cell>
          <cell r="B303" t="str">
            <v>Miscellaneous</v>
          </cell>
          <cell r="E303">
            <v>0</v>
          </cell>
          <cell r="F303">
            <v>0</v>
          </cell>
          <cell r="G303">
            <v>0</v>
          </cell>
          <cell r="H303">
            <v>0</v>
          </cell>
          <cell r="I303">
            <v>0</v>
          </cell>
          <cell r="J303">
            <v>0</v>
          </cell>
          <cell r="K303">
            <v>0</v>
          </cell>
          <cell r="L303">
            <v>0</v>
          </cell>
          <cell r="M303">
            <v>0</v>
          </cell>
          <cell r="N303">
            <v>0</v>
          </cell>
          <cell r="O303">
            <v>0</v>
          </cell>
          <cell r="P303">
            <v>0</v>
          </cell>
          <cell r="Q303">
            <v>0</v>
          </cell>
        </row>
        <row r="304">
          <cell r="A304">
            <v>54998</v>
          </cell>
          <cell r="B304" t="str">
            <v>Allocation Out - District</v>
          </cell>
          <cell r="E304">
            <v>0</v>
          </cell>
          <cell r="F304">
            <v>0</v>
          </cell>
          <cell r="G304">
            <v>0</v>
          </cell>
          <cell r="H304">
            <v>0</v>
          </cell>
          <cell r="I304">
            <v>0</v>
          </cell>
          <cell r="J304">
            <v>0</v>
          </cell>
          <cell r="K304">
            <v>0</v>
          </cell>
          <cell r="L304">
            <v>0</v>
          </cell>
          <cell r="M304">
            <v>0</v>
          </cell>
          <cell r="N304">
            <v>0</v>
          </cell>
          <cell r="O304">
            <v>0</v>
          </cell>
          <cell r="P304">
            <v>0</v>
          </cell>
          <cell r="Q304">
            <v>0</v>
          </cell>
        </row>
        <row r="305">
          <cell r="A305">
            <v>54999</v>
          </cell>
          <cell r="B305" t="str">
            <v>Allocation Out - Out District</v>
          </cell>
          <cell r="E305">
            <v>0</v>
          </cell>
          <cell r="F305">
            <v>0</v>
          </cell>
          <cell r="G305">
            <v>0</v>
          </cell>
          <cell r="H305">
            <v>0</v>
          </cell>
          <cell r="I305">
            <v>0</v>
          </cell>
          <cell r="J305">
            <v>0</v>
          </cell>
          <cell r="K305">
            <v>0</v>
          </cell>
          <cell r="L305">
            <v>0</v>
          </cell>
          <cell r="M305">
            <v>0</v>
          </cell>
          <cell r="N305">
            <v>0</v>
          </cell>
          <cell r="O305">
            <v>0</v>
          </cell>
          <cell r="P305">
            <v>0</v>
          </cell>
          <cell r="Q305">
            <v>0</v>
          </cell>
        </row>
        <row r="306">
          <cell r="A306">
            <v>55010</v>
          </cell>
          <cell r="B306" t="str">
            <v>Salaries</v>
          </cell>
          <cell r="E306">
            <v>0</v>
          </cell>
          <cell r="F306">
            <v>0</v>
          </cell>
          <cell r="G306">
            <v>0</v>
          </cell>
          <cell r="H306">
            <v>0</v>
          </cell>
          <cell r="I306">
            <v>0</v>
          </cell>
          <cell r="J306">
            <v>0</v>
          </cell>
          <cell r="K306">
            <v>0</v>
          </cell>
          <cell r="L306">
            <v>0</v>
          </cell>
          <cell r="M306">
            <v>0</v>
          </cell>
          <cell r="N306">
            <v>0</v>
          </cell>
          <cell r="O306">
            <v>0</v>
          </cell>
          <cell r="P306">
            <v>0</v>
          </cell>
          <cell r="Q306">
            <v>0</v>
          </cell>
        </row>
        <row r="307">
          <cell r="A307">
            <v>55020</v>
          </cell>
          <cell r="B307" t="str">
            <v>Wages Regular</v>
          </cell>
          <cell r="E307">
            <v>4237.87</v>
          </cell>
          <cell r="F307">
            <v>3645.1</v>
          </cell>
          <cell r="G307">
            <v>5053.71</v>
          </cell>
          <cell r="H307">
            <v>3782.98</v>
          </cell>
          <cell r="I307">
            <v>4116.55</v>
          </cell>
          <cell r="J307">
            <v>4866.5600000000004</v>
          </cell>
          <cell r="K307">
            <v>3450.41</v>
          </cell>
          <cell r="L307">
            <v>-895.79</v>
          </cell>
          <cell r="M307">
            <v>2790.36</v>
          </cell>
          <cell r="N307">
            <v>2211.17</v>
          </cell>
          <cell r="O307">
            <v>1382.48</v>
          </cell>
          <cell r="P307">
            <v>2606.41</v>
          </cell>
          <cell r="Q307">
            <v>37247.81</v>
          </cell>
        </row>
        <row r="308">
          <cell r="A308">
            <v>55025</v>
          </cell>
          <cell r="B308" t="str">
            <v>Wages O.T.</v>
          </cell>
          <cell r="E308">
            <v>207.52</v>
          </cell>
          <cell r="F308">
            <v>12.82</v>
          </cell>
          <cell r="G308">
            <v>38.619999999999997</v>
          </cell>
          <cell r="H308">
            <v>37.99</v>
          </cell>
          <cell r="I308">
            <v>485</v>
          </cell>
          <cell r="J308">
            <v>319.70999999999998</v>
          </cell>
          <cell r="K308">
            <v>215.61</v>
          </cell>
          <cell r="L308">
            <v>-99.64</v>
          </cell>
          <cell r="M308">
            <v>16.27</v>
          </cell>
          <cell r="N308">
            <v>59.9</v>
          </cell>
          <cell r="O308">
            <v>192.29</v>
          </cell>
          <cell r="P308">
            <v>-41.94</v>
          </cell>
          <cell r="Q308">
            <v>1444.1499999999999</v>
          </cell>
        </row>
        <row r="309">
          <cell r="A309">
            <v>55035</v>
          </cell>
          <cell r="B309" t="str">
            <v>Safety Bonuses</v>
          </cell>
          <cell r="E309">
            <v>0</v>
          </cell>
          <cell r="F309">
            <v>0</v>
          </cell>
          <cell r="G309">
            <v>0</v>
          </cell>
          <cell r="H309">
            <v>0</v>
          </cell>
          <cell r="I309">
            <v>0</v>
          </cell>
          <cell r="J309">
            <v>0</v>
          </cell>
          <cell r="K309">
            <v>0</v>
          </cell>
          <cell r="L309">
            <v>0</v>
          </cell>
          <cell r="M309">
            <v>0</v>
          </cell>
          <cell r="N309">
            <v>0</v>
          </cell>
          <cell r="O309">
            <v>0</v>
          </cell>
          <cell r="P309">
            <v>0</v>
          </cell>
          <cell r="Q309">
            <v>0</v>
          </cell>
        </row>
        <row r="310">
          <cell r="A310">
            <v>55036</v>
          </cell>
          <cell r="B310" t="str">
            <v>Other Bonus/Commission - Non-Safety</v>
          </cell>
          <cell r="E310">
            <v>0</v>
          </cell>
          <cell r="F310">
            <v>0</v>
          </cell>
          <cell r="G310">
            <v>0</v>
          </cell>
          <cell r="H310">
            <v>0</v>
          </cell>
          <cell r="I310">
            <v>0</v>
          </cell>
          <cell r="J310">
            <v>0</v>
          </cell>
          <cell r="K310">
            <v>0</v>
          </cell>
          <cell r="L310">
            <v>0</v>
          </cell>
          <cell r="M310">
            <v>0</v>
          </cell>
          <cell r="N310">
            <v>0</v>
          </cell>
          <cell r="O310">
            <v>0</v>
          </cell>
          <cell r="P310">
            <v>0</v>
          </cell>
          <cell r="Q310">
            <v>0</v>
          </cell>
        </row>
        <row r="311">
          <cell r="A311">
            <v>55045</v>
          </cell>
          <cell r="B311" t="str">
            <v>Contract Labor</v>
          </cell>
          <cell r="E311">
            <v>0</v>
          </cell>
          <cell r="F311">
            <v>0</v>
          </cell>
          <cell r="G311">
            <v>0</v>
          </cell>
          <cell r="H311">
            <v>0</v>
          </cell>
          <cell r="I311">
            <v>0</v>
          </cell>
          <cell r="J311">
            <v>0</v>
          </cell>
          <cell r="K311">
            <v>0</v>
          </cell>
          <cell r="L311">
            <v>0</v>
          </cell>
          <cell r="M311">
            <v>0</v>
          </cell>
          <cell r="N311">
            <v>0</v>
          </cell>
          <cell r="O311">
            <v>0</v>
          </cell>
          <cell r="P311">
            <v>0</v>
          </cell>
          <cell r="Q311">
            <v>0</v>
          </cell>
        </row>
        <row r="312">
          <cell r="A312">
            <v>55050</v>
          </cell>
          <cell r="B312" t="str">
            <v>Payroll Taxes</v>
          </cell>
          <cell r="E312">
            <v>526.11</v>
          </cell>
          <cell r="F312">
            <v>376.89</v>
          </cell>
          <cell r="G312">
            <v>487.16</v>
          </cell>
          <cell r="H312">
            <v>433.36</v>
          </cell>
          <cell r="I312">
            <v>441.95</v>
          </cell>
          <cell r="J312">
            <v>479.57</v>
          </cell>
          <cell r="K312">
            <v>386.21</v>
          </cell>
          <cell r="L312">
            <v>296.14999999999998</v>
          </cell>
          <cell r="M312">
            <v>200.44</v>
          </cell>
          <cell r="N312">
            <v>209.02</v>
          </cell>
          <cell r="O312">
            <v>287.25</v>
          </cell>
          <cell r="P312">
            <v>160.52000000000001</v>
          </cell>
          <cell r="Q312">
            <v>4284.630000000001</v>
          </cell>
        </row>
        <row r="313">
          <cell r="A313">
            <v>55060</v>
          </cell>
          <cell r="B313" t="str">
            <v>Group Insurance</v>
          </cell>
          <cell r="E313">
            <v>592</v>
          </cell>
          <cell r="F313">
            <v>592</v>
          </cell>
          <cell r="G313">
            <v>488</v>
          </cell>
          <cell r="H313">
            <v>696</v>
          </cell>
          <cell r="I313">
            <v>592</v>
          </cell>
          <cell r="J313">
            <v>592</v>
          </cell>
          <cell r="K313">
            <v>592</v>
          </cell>
          <cell r="L313">
            <v>592</v>
          </cell>
          <cell r="M313">
            <v>589</v>
          </cell>
          <cell r="N313">
            <v>693</v>
          </cell>
          <cell r="O313">
            <v>641</v>
          </cell>
          <cell r="P313">
            <v>641</v>
          </cell>
          <cell r="Q313">
            <v>7300</v>
          </cell>
        </row>
        <row r="314">
          <cell r="A314">
            <v>55065</v>
          </cell>
          <cell r="B314" t="str">
            <v>Vacation Pay</v>
          </cell>
          <cell r="E314">
            <v>1530.51</v>
          </cell>
          <cell r="F314">
            <v>299.68</v>
          </cell>
          <cell r="G314">
            <v>-333.52</v>
          </cell>
          <cell r="H314">
            <v>791.16</v>
          </cell>
          <cell r="I314">
            <v>342.62</v>
          </cell>
          <cell r="J314">
            <v>95.96</v>
          </cell>
          <cell r="K314">
            <v>412.42</v>
          </cell>
          <cell r="L314">
            <v>663.21</v>
          </cell>
          <cell r="M314">
            <v>-476.38</v>
          </cell>
          <cell r="N314">
            <v>100.96</v>
          </cell>
          <cell r="O314">
            <v>-21.16</v>
          </cell>
          <cell r="P314">
            <v>202.89</v>
          </cell>
          <cell r="Q314">
            <v>3608.35</v>
          </cell>
        </row>
        <row r="315">
          <cell r="A315">
            <v>55070</v>
          </cell>
          <cell r="B315" t="str">
            <v>Sick Pay</v>
          </cell>
          <cell r="E315">
            <v>0</v>
          </cell>
          <cell r="F315">
            <v>106.8</v>
          </cell>
          <cell r="G315">
            <v>0</v>
          </cell>
          <cell r="H315">
            <v>207</v>
          </cell>
          <cell r="I315">
            <v>107.64</v>
          </cell>
          <cell r="J315">
            <v>-66.239999999999995</v>
          </cell>
          <cell r="K315">
            <v>386.4</v>
          </cell>
          <cell r="L315">
            <v>0</v>
          </cell>
          <cell r="M315">
            <v>0</v>
          </cell>
          <cell r="N315">
            <v>0</v>
          </cell>
          <cell r="O315">
            <v>1048.8</v>
          </cell>
          <cell r="P315">
            <v>-386.4</v>
          </cell>
          <cell r="Q315">
            <v>1404</v>
          </cell>
        </row>
        <row r="316">
          <cell r="A316">
            <v>55086</v>
          </cell>
          <cell r="B316" t="str">
            <v>Safety and Training</v>
          </cell>
          <cell r="E316">
            <v>0</v>
          </cell>
          <cell r="F316">
            <v>0</v>
          </cell>
          <cell r="G316">
            <v>0</v>
          </cell>
          <cell r="H316">
            <v>102.92</v>
          </cell>
          <cell r="I316">
            <v>87.01</v>
          </cell>
          <cell r="J316">
            <v>0</v>
          </cell>
          <cell r="K316">
            <v>0</v>
          </cell>
          <cell r="L316">
            <v>0</v>
          </cell>
          <cell r="M316">
            <v>0</v>
          </cell>
          <cell r="N316">
            <v>25</v>
          </cell>
          <cell r="O316">
            <v>0</v>
          </cell>
          <cell r="P316">
            <v>0</v>
          </cell>
          <cell r="Q316">
            <v>214.93</v>
          </cell>
        </row>
        <row r="317">
          <cell r="A317">
            <v>55090</v>
          </cell>
          <cell r="B317" t="str">
            <v>Uniforms</v>
          </cell>
          <cell r="E317">
            <v>150.38</v>
          </cell>
          <cell r="F317">
            <v>176.83</v>
          </cell>
          <cell r="G317">
            <v>194.81</v>
          </cell>
          <cell r="H317">
            <v>160.08000000000001</v>
          </cell>
          <cell r="I317">
            <v>148.47</v>
          </cell>
          <cell r="J317">
            <v>225.16</v>
          </cell>
          <cell r="K317">
            <v>214.31</v>
          </cell>
          <cell r="L317">
            <v>616.44000000000005</v>
          </cell>
          <cell r="M317">
            <v>125.04</v>
          </cell>
          <cell r="N317">
            <v>178.98</v>
          </cell>
          <cell r="O317">
            <v>138.13999999999999</v>
          </cell>
          <cell r="P317">
            <v>154.04</v>
          </cell>
          <cell r="Q317">
            <v>2482.6799999999998</v>
          </cell>
        </row>
        <row r="318">
          <cell r="A318">
            <v>55115</v>
          </cell>
          <cell r="B318" t="str">
            <v>Pension and Profit Sharing</v>
          </cell>
          <cell r="E318">
            <v>0</v>
          </cell>
          <cell r="F318">
            <v>0</v>
          </cell>
          <cell r="G318">
            <v>0</v>
          </cell>
          <cell r="H318">
            <v>0</v>
          </cell>
          <cell r="I318">
            <v>0</v>
          </cell>
          <cell r="J318">
            <v>0</v>
          </cell>
          <cell r="K318">
            <v>0</v>
          </cell>
          <cell r="L318">
            <v>0</v>
          </cell>
          <cell r="M318">
            <v>0</v>
          </cell>
          <cell r="N318">
            <v>0</v>
          </cell>
          <cell r="O318">
            <v>0</v>
          </cell>
          <cell r="P318">
            <v>0</v>
          </cell>
          <cell r="Q318">
            <v>0</v>
          </cell>
        </row>
        <row r="319">
          <cell r="A319">
            <v>55116</v>
          </cell>
          <cell r="B319" t="str">
            <v>Union Benefit Expense</v>
          </cell>
          <cell r="E319">
            <v>0</v>
          </cell>
          <cell r="F319">
            <v>0</v>
          </cell>
          <cell r="G319">
            <v>0</v>
          </cell>
          <cell r="H319">
            <v>0</v>
          </cell>
          <cell r="I319">
            <v>0</v>
          </cell>
          <cell r="J319">
            <v>0</v>
          </cell>
          <cell r="K319">
            <v>0</v>
          </cell>
          <cell r="L319">
            <v>0</v>
          </cell>
          <cell r="M319">
            <v>0</v>
          </cell>
          <cell r="N319">
            <v>0</v>
          </cell>
          <cell r="O319">
            <v>0</v>
          </cell>
          <cell r="P319">
            <v>0</v>
          </cell>
          <cell r="Q319">
            <v>0</v>
          </cell>
        </row>
        <row r="320">
          <cell r="A320">
            <v>55117</v>
          </cell>
          <cell r="B320" t="str">
            <v>Union Pension</v>
          </cell>
          <cell r="E320">
            <v>0</v>
          </cell>
          <cell r="F320">
            <v>0</v>
          </cell>
          <cell r="G320">
            <v>0</v>
          </cell>
          <cell r="H320">
            <v>0</v>
          </cell>
          <cell r="I320">
            <v>0</v>
          </cell>
          <cell r="J320">
            <v>0</v>
          </cell>
          <cell r="K320">
            <v>0</v>
          </cell>
          <cell r="L320">
            <v>0</v>
          </cell>
          <cell r="M320">
            <v>0</v>
          </cell>
          <cell r="N320">
            <v>0</v>
          </cell>
          <cell r="O320">
            <v>0</v>
          </cell>
          <cell r="P320">
            <v>0</v>
          </cell>
          <cell r="Q320">
            <v>0</v>
          </cell>
        </row>
        <row r="321">
          <cell r="A321">
            <v>55120</v>
          </cell>
          <cell r="B321" t="str">
            <v>Parts and Materials</v>
          </cell>
          <cell r="E321">
            <v>8487.7999999999993</v>
          </cell>
          <cell r="F321">
            <v>7446.84</v>
          </cell>
          <cell r="G321">
            <v>15850.27</v>
          </cell>
          <cell r="H321">
            <v>18201.75</v>
          </cell>
          <cell r="I321">
            <v>9184.14</v>
          </cell>
          <cell r="J321">
            <v>13165.81</v>
          </cell>
          <cell r="K321">
            <v>11588.02</v>
          </cell>
          <cell r="L321">
            <v>15366.43</v>
          </cell>
          <cell r="M321">
            <v>-29929.23</v>
          </cell>
          <cell r="N321">
            <v>8572.4699999999993</v>
          </cell>
          <cell r="O321">
            <v>2939.21</v>
          </cell>
          <cell r="P321">
            <v>7744.74</v>
          </cell>
          <cell r="Q321">
            <v>88618.250000000015</v>
          </cell>
        </row>
        <row r="322">
          <cell r="A322">
            <v>55125</v>
          </cell>
          <cell r="B322" t="str">
            <v>Operating Supplies</v>
          </cell>
          <cell r="E322">
            <v>625.29999999999995</v>
          </cell>
          <cell r="F322">
            <v>287.99</v>
          </cell>
          <cell r="G322">
            <v>0</v>
          </cell>
          <cell r="H322">
            <v>809.74</v>
          </cell>
          <cell r="I322">
            <v>404.7</v>
          </cell>
          <cell r="J322">
            <v>0</v>
          </cell>
          <cell r="K322">
            <v>0</v>
          </cell>
          <cell r="L322">
            <v>0</v>
          </cell>
          <cell r="M322">
            <v>0</v>
          </cell>
          <cell r="N322">
            <v>0</v>
          </cell>
          <cell r="O322">
            <v>64.819999999999993</v>
          </cell>
          <cell r="P322">
            <v>0</v>
          </cell>
          <cell r="Q322">
            <v>2192.5500000000002</v>
          </cell>
        </row>
        <row r="323">
          <cell r="A323">
            <v>55135</v>
          </cell>
          <cell r="B323" t="str">
            <v>Equipment and Maint Repair</v>
          </cell>
          <cell r="E323">
            <v>0</v>
          </cell>
          <cell r="F323">
            <v>321.35000000000002</v>
          </cell>
          <cell r="G323">
            <v>309.18</v>
          </cell>
          <cell r="H323">
            <v>826.48</v>
          </cell>
          <cell r="I323">
            <v>87.89</v>
          </cell>
          <cell r="J323">
            <v>0</v>
          </cell>
          <cell r="K323">
            <v>0</v>
          </cell>
          <cell r="L323">
            <v>0</v>
          </cell>
          <cell r="M323">
            <v>531.54999999999995</v>
          </cell>
          <cell r="N323">
            <v>172.24</v>
          </cell>
          <cell r="O323">
            <v>0</v>
          </cell>
          <cell r="P323">
            <v>250.34</v>
          </cell>
          <cell r="Q323">
            <v>2499.0299999999997</v>
          </cell>
        </row>
        <row r="324">
          <cell r="A324">
            <v>55140</v>
          </cell>
          <cell r="B324" t="str">
            <v>Tires</v>
          </cell>
          <cell r="E324">
            <v>0</v>
          </cell>
          <cell r="F324">
            <v>0</v>
          </cell>
          <cell r="G324">
            <v>0</v>
          </cell>
          <cell r="H324">
            <v>0</v>
          </cell>
          <cell r="I324">
            <v>0</v>
          </cell>
          <cell r="J324">
            <v>0</v>
          </cell>
          <cell r="K324">
            <v>0</v>
          </cell>
          <cell r="L324">
            <v>0</v>
          </cell>
          <cell r="M324">
            <v>0</v>
          </cell>
          <cell r="N324">
            <v>0</v>
          </cell>
          <cell r="O324">
            <v>0</v>
          </cell>
          <cell r="P324">
            <v>0</v>
          </cell>
          <cell r="Q324">
            <v>0</v>
          </cell>
        </row>
        <row r="325">
          <cell r="A325">
            <v>55142</v>
          </cell>
          <cell r="B325" t="str">
            <v>Fuel Expense</v>
          </cell>
          <cell r="E325">
            <v>0</v>
          </cell>
          <cell r="F325">
            <v>0</v>
          </cell>
          <cell r="G325">
            <v>0</v>
          </cell>
          <cell r="H325">
            <v>0</v>
          </cell>
          <cell r="I325">
            <v>0</v>
          </cell>
          <cell r="J325">
            <v>0</v>
          </cell>
          <cell r="K325">
            <v>0</v>
          </cell>
          <cell r="L325">
            <v>0</v>
          </cell>
          <cell r="M325">
            <v>0</v>
          </cell>
          <cell r="N325">
            <v>0</v>
          </cell>
          <cell r="O325">
            <v>0</v>
          </cell>
          <cell r="P325">
            <v>0</v>
          </cell>
          <cell r="Q325">
            <v>0</v>
          </cell>
        </row>
        <row r="326">
          <cell r="A326">
            <v>55143</v>
          </cell>
          <cell r="B326" t="str">
            <v>Corporate Medical Waste Supplies</v>
          </cell>
          <cell r="E326">
            <v>0</v>
          </cell>
          <cell r="F326">
            <v>0</v>
          </cell>
          <cell r="G326">
            <v>0</v>
          </cell>
          <cell r="H326">
            <v>0</v>
          </cell>
          <cell r="I326">
            <v>0</v>
          </cell>
          <cell r="J326">
            <v>0</v>
          </cell>
          <cell r="K326">
            <v>0</v>
          </cell>
          <cell r="L326">
            <v>0</v>
          </cell>
          <cell r="M326">
            <v>0</v>
          </cell>
          <cell r="N326">
            <v>0</v>
          </cell>
          <cell r="O326">
            <v>0</v>
          </cell>
          <cell r="P326">
            <v>0</v>
          </cell>
          <cell r="Q326">
            <v>0</v>
          </cell>
        </row>
        <row r="327">
          <cell r="A327">
            <v>55146</v>
          </cell>
          <cell r="B327" t="str">
            <v>Oil and Grease</v>
          </cell>
          <cell r="E327">
            <v>0</v>
          </cell>
          <cell r="F327">
            <v>0</v>
          </cell>
          <cell r="G327">
            <v>0</v>
          </cell>
          <cell r="H327">
            <v>0</v>
          </cell>
          <cell r="I327">
            <v>0</v>
          </cell>
          <cell r="J327">
            <v>0</v>
          </cell>
          <cell r="K327">
            <v>0</v>
          </cell>
          <cell r="L327">
            <v>0</v>
          </cell>
          <cell r="M327">
            <v>0</v>
          </cell>
          <cell r="N327">
            <v>0</v>
          </cell>
          <cell r="O327">
            <v>0</v>
          </cell>
          <cell r="P327">
            <v>0</v>
          </cell>
          <cell r="Q327">
            <v>0</v>
          </cell>
        </row>
        <row r="328">
          <cell r="A328">
            <v>55147</v>
          </cell>
          <cell r="B328" t="str">
            <v>Outside Repairs</v>
          </cell>
          <cell r="E328">
            <v>0</v>
          </cell>
          <cell r="F328">
            <v>292.57</v>
          </cell>
          <cell r="G328">
            <v>0</v>
          </cell>
          <cell r="H328">
            <v>0</v>
          </cell>
          <cell r="I328">
            <v>0</v>
          </cell>
          <cell r="J328">
            <v>0</v>
          </cell>
          <cell r="K328">
            <v>0</v>
          </cell>
          <cell r="L328">
            <v>0</v>
          </cell>
          <cell r="M328">
            <v>0</v>
          </cell>
          <cell r="N328">
            <v>0</v>
          </cell>
          <cell r="O328">
            <v>0</v>
          </cell>
          <cell r="P328">
            <v>0</v>
          </cell>
          <cell r="Q328">
            <v>292.57</v>
          </cell>
        </row>
        <row r="329">
          <cell r="A329">
            <v>55148</v>
          </cell>
          <cell r="B329" t="str">
            <v>Allocated Exp In - District</v>
          </cell>
          <cell r="E329">
            <v>0</v>
          </cell>
          <cell r="F329">
            <v>116.52</v>
          </cell>
          <cell r="G329">
            <v>0</v>
          </cell>
          <cell r="H329">
            <v>0</v>
          </cell>
          <cell r="I329">
            <v>0</v>
          </cell>
          <cell r="J329">
            <v>0</v>
          </cell>
          <cell r="K329">
            <v>0</v>
          </cell>
          <cell r="L329">
            <v>0</v>
          </cell>
          <cell r="M329">
            <v>0</v>
          </cell>
          <cell r="N329">
            <v>0</v>
          </cell>
          <cell r="O329">
            <v>0</v>
          </cell>
          <cell r="P329">
            <v>0</v>
          </cell>
          <cell r="Q329">
            <v>116.52</v>
          </cell>
        </row>
        <row r="330">
          <cell r="A330">
            <v>55149</v>
          </cell>
          <cell r="B330" t="str">
            <v>Allocated Exp In Out - District</v>
          </cell>
          <cell r="E330">
            <v>0</v>
          </cell>
          <cell r="F330">
            <v>0</v>
          </cell>
          <cell r="G330">
            <v>0</v>
          </cell>
          <cell r="H330">
            <v>0</v>
          </cell>
          <cell r="I330">
            <v>0</v>
          </cell>
          <cell r="J330">
            <v>0</v>
          </cell>
          <cell r="K330">
            <v>0</v>
          </cell>
          <cell r="L330">
            <v>0</v>
          </cell>
          <cell r="M330">
            <v>0</v>
          </cell>
          <cell r="N330">
            <v>0</v>
          </cell>
          <cell r="O330">
            <v>0</v>
          </cell>
          <cell r="P330">
            <v>0</v>
          </cell>
          <cell r="Q330">
            <v>0</v>
          </cell>
        </row>
        <row r="331">
          <cell r="A331">
            <v>55150</v>
          </cell>
          <cell r="B331" t="str">
            <v>Utilities</v>
          </cell>
          <cell r="E331">
            <v>437.73</v>
          </cell>
          <cell r="F331">
            <v>510</v>
          </cell>
          <cell r="G331">
            <v>480.44</v>
          </cell>
          <cell r="H331">
            <v>460.73</v>
          </cell>
          <cell r="I331">
            <v>398.31</v>
          </cell>
          <cell r="J331">
            <v>372.03</v>
          </cell>
          <cell r="K331">
            <v>329.33</v>
          </cell>
          <cell r="L331">
            <v>0</v>
          </cell>
          <cell r="M331">
            <v>370.51</v>
          </cell>
          <cell r="N331">
            <v>344.08</v>
          </cell>
          <cell r="O331">
            <v>368.05</v>
          </cell>
          <cell r="P331">
            <v>368.05</v>
          </cell>
          <cell r="Q331">
            <v>4439.26</v>
          </cell>
        </row>
        <row r="332">
          <cell r="A332">
            <v>55181</v>
          </cell>
          <cell r="B332" t="str">
            <v>Freight</v>
          </cell>
          <cell r="E332">
            <v>0</v>
          </cell>
          <cell r="F332">
            <v>0</v>
          </cell>
          <cell r="G332">
            <v>0</v>
          </cell>
          <cell r="H332">
            <v>0</v>
          </cell>
          <cell r="I332">
            <v>0</v>
          </cell>
          <cell r="J332">
            <v>0</v>
          </cell>
          <cell r="K332">
            <v>0</v>
          </cell>
          <cell r="L332">
            <v>0</v>
          </cell>
          <cell r="M332">
            <v>0</v>
          </cell>
          <cell r="N332">
            <v>0</v>
          </cell>
          <cell r="O332">
            <v>0</v>
          </cell>
          <cell r="P332">
            <v>0</v>
          </cell>
          <cell r="Q332">
            <v>0</v>
          </cell>
        </row>
        <row r="333">
          <cell r="A333">
            <v>55335</v>
          </cell>
          <cell r="B333" t="str">
            <v>Miscellaneous</v>
          </cell>
          <cell r="E333">
            <v>0</v>
          </cell>
          <cell r="F333">
            <v>0</v>
          </cell>
          <cell r="G333">
            <v>0</v>
          </cell>
          <cell r="H333">
            <v>0</v>
          </cell>
          <cell r="I333">
            <v>0</v>
          </cell>
          <cell r="J333">
            <v>0</v>
          </cell>
          <cell r="K333">
            <v>0</v>
          </cell>
          <cell r="L333">
            <v>0</v>
          </cell>
          <cell r="M333">
            <v>0</v>
          </cell>
          <cell r="N333">
            <v>0</v>
          </cell>
          <cell r="O333">
            <v>0</v>
          </cell>
          <cell r="P333">
            <v>0</v>
          </cell>
          <cell r="Q333">
            <v>0</v>
          </cell>
        </row>
        <row r="334">
          <cell r="A334">
            <v>55900</v>
          </cell>
          <cell r="B334" t="str">
            <v>Capitalized Costs</v>
          </cell>
          <cell r="E334">
            <v>0</v>
          </cell>
          <cell r="F334">
            <v>0</v>
          </cell>
          <cell r="G334">
            <v>0</v>
          </cell>
          <cell r="H334">
            <v>0</v>
          </cell>
          <cell r="I334">
            <v>0</v>
          </cell>
          <cell r="J334">
            <v>0</v>
          </cell>
          <cell r="K334">
            <v>0</v>
          </cell>
          <cell r="L334">
            <v>0</v>
          </cell>
          <cell r="M334">
            <v>0</v>
          </cell>
          <cell r="N334">
            <v>0</v>
          </cell>
          <cell r="O334">
            <v>0</v>
          </cell>
          <cell r="P334">
            <v>0</v>
          </cell>
          <cell r="Q334">
            <v>0</v>
          </cell>
        </row>
        <row r="335">
          <cell r="A335">
            <v>55998</v>
          </cell>
          <cell r="B335" t="str">
            <v>Allocation Out - District</v>
          </cell>
          <cell r="E335">
            <v>0</v>
          </cell>
          <cell r="F335">
            <v>0</v>
          </cell>
          <cell r="G335">
            <v>0</v>
          </cell>
          <cell r="H335">
            <v>0</v>
          </cell>
          <cell r="I335">
            <v>0</v>
          </cell>
          <cell r="J335">
            <v>0</v>
          </cell>
          <cell r="K335">
            <v>0</v>
          </cell>
          <cell r="L335">
            <v>0</v>
          </cell>
          <cell r="M335">
            <v>0</v>
          </cell>
          <cell r="N335">
            <v>0</v>
          </cell>
          <cell r="O335">
            <v>0</v>
          </cell>
          <cell r="P335">
            <v>0</v>
          </cell>
          <cell r="Q335">
            <v>0</v>
          </cell>
        </row>
        <row r="336">
          <cell r="A336">
            <v>55999</v>
          </cell>
          <cell r="B336" t="str">
            <v>Allocation Out - Out District</v>
          </cell>
          <cell r="E336">
            <v>-3211.72</v>
          </cell>
          <cell r="F336">
            <v>-1377.44</v>
          </cell>
          <cell r="G336">
            <v>-15514.36</v>
          </cell>
          <cell r="H336">
            <v>-20245.62</v>
          </cell>
          <cell r="I336">
            <v>-8044.68</v>
          </cell>
          <cell r="J336">
            <v>-1309.6400000000001</v>
          </cell>
          <cell r="K336">
            <v>-416.83</v>
          </cell>
          <cell r="L336">
            <v>-3864.87</v>
          </cell>
          <cell r="M336">
            <v>-3105</v>
          </cell>
          <cell r="N336">
            <v>-3070</v>
          </cell>
          <cell r="O336">
            <v>-7561.32</v>
          </cell>
          <cell r="P336">
            <v>-4472.33</v>
          </cell>
          <cell r="Q336">
            <v>-72193.810000000012</v>
          </cell>
        </row>
        <row r="337">
          <cell r="A337" t="str">
            <v>Total Container</v>
          </cell>
          <cell r="E337">
            <v>13583.499999999998</v>
          </cell>
          <cell r="F337">
            <v>12807.949999999999</v>
          </cell>
          <cell r="G337">
            <v>7054.3099999999977</v>
          </cell>
          <cell r="H337">
            <v>6264.57</v>
          </cell>
          <cell r="I337">
            <v>8351.6000000000022</v>
          </cell>
          <cell r="J337">
            <v>18740.919999999998</v>
          </cell>
          <cell r="K337">
            <v>17157.88</v>
          </cell>
          <cell r="L337">
            <v>12673.93</v>
          </cell>
          <cell r="M337">
            <v>-28887.440000000002</v>
          </cell>
          <cell r="N337">
            <v>9496.82</v>
          </cell>
          <cell r="O337">
            <v>-520.4399999999996</v>
          </cell>
          <cell r="P337">
            <v>7227.3199999999979</v>
          </cell>
          <cell r="Q337">
            <v>83950.92</v>
          </cell>
        </row>
        <row r="339">
          <cell r="A339" t="str">
            <v>Supervisor</v>
          </cell>
        </row>
        <row r="340">
          <cell r="A340">
            <v>56010</v>
          </cell>
          <cell r="B340" t="str">
            <v>Salaries</v>
          </cell>
          <cell r="E340">
            <v>8076.93</v>
          </cell>
          <cell r="F340">
            <v>7692.32</v>
          </cell>
          <cell r="G340">
            <v>8846.17</v>
          </cell>
          <cell r="H340">
            <v>8461.56</v>
          </cell>
          <cell r="I340">
            <v>8176.05</v>
          </cell>
          <cell r="J340">
            <v>8565.3799999999992</v>
          </cell>
          <cell r="K340">
            <v>8565.39</v>
          </cell>
          <cell r="L340">
            <v>8565.39</v>
          </cell>
          <cell r="M340">
            <v>8565.39</v>
          </cell>
          <cell r="N340">
            <v>8176.07</v>
          </cell>
          <cell r="O340">
            <v>8565.39</v>
          </cell>
          <cell r="P340">
            <v>8954.7199999999993</v>
          </cell>
          <cell r="Q340">
            <v>101210.76</v>
          </cell>
        </row>
        <row r="341">
          <cell r="A341">
            <v>56020</v>
          </cell>
          <cell r="B341" t="str">
            <v>Wages Regular</v>
          </cell>
          <cell r="E341">
            <v>2832.84</v>
          </cell>
          <cell r="F341">
            <v>5053.68</v>
          </cell>
          <cell r="G341">
            <v>4774.8999999999996</v>
          </cell>
          <cell r="H341">
            <v>4762.42</v>
          </cell>
          <cell r="I341">
            <v>2680.17</v>
          </cell>
          <cell r="J341">
            <v>3378.56</v>
          </cell>
          <cell r="K341">
            <v>5325.53</v>
          </cell>
          <cell r="L341">
            <v>3835.06</v>
          </cell>
          <cell r="M341">
            <v>4435.92</v>
          </cell>
          <cell r="N341">
            <v>4522.72</v>
          </cell>
          <cell r="O341">
            <v>4731.6499999999996</v>
          </cell>
          <cell r="P341">
            <v>4844.54</v>
          </cell>
          <cell r="Q341">
            <v>51177.990000000005</v>
          </cell>
        </row>
        <row r="342">
          <cell r="A342">
            <v>56025</v>
          </cell>
          <cell r="B342" t="str">
            <v>Wages O.T.</v>
          </cell>
          <cell r="E342">
            <v>274.88</v>
          </cell>
          <cell r="F342">
            <v>259.24</v>
          </cell>
          <cell r="G342">
            <v>649.44000000000005</v>
          </cell>
          <cell r="H342">
            <v>504.21</v>
          </cell>
          <cell r="I342">
            <v>341.07</v>
          </cell>
          <cell r="J342">
            <v>196.68</v>
          </cell>
          <cell r="K342">
            <v>716.35</v>
          </cell>
          <cell r="L342">
            <v>71.97</v>
          </cell>
          <cell r="M342">
            <v>716.15</v>
          </cell>
          <cell r="N342">
            <v>388.74</v>
          </cell>
          <cell r="O342">
            <v>560.69000000000005</v>
          </cell>
          <cell r="P342">
            <v>692.62</v>
          </cell>
          <cell r="Q342">
            <v>5372.04</v>
          </cell>
        </row>
        <row r="343">
          <cell r="A343">
            <v>56035</v>
          </cell>
          <cell r="B343" t="str">
            <v>Safety Bonuses</v>
          </cell>
          <cell r="E343">
            <v>0</v>
          </cell>
          <cell r="F343">
            <v>0</v>
          </cell>
          <cell r="G343">
            <v>0</v>
          </cell>
          <cell r="H343">
            <v>0</v>
          </cell>
          <cell r="I343">
            <v>0</v>
          </cell>
          <cell r="J343">
            <v>0</v>
          </cell>
          <cell r="K343">
            <v>0</v>
          </cell>
          <cell r="L343">
            <v>0</v>
          </cell>
          <cell r="M343">
            <v>0</v>
          </cell>
          <cell r="N343">
            <v>0</v>
          </cell>
          <cell r="O343">
            <v>0</v>
          </cell>
          <cell r="P343">
            <v>0</v>
          </cell>
          <cell r="Q343">
            <v>0</v>
          </cell>
        </row>
        <row r="344">
          <cell r="A344">
            <v>56036</v>
          </cell>
          <cell r="B344" t="str">
            <v>Other Bonus/Commission - Non-Safety</v>
          </cell>
          <cell r="E344">
            <v>0</v>
          </cell>
          <cell r="F344">
            <v>0</v>
          </cell>
          <cell r="G344">
            <v>0</v>
          </cell>
          <cell r="H344">
            <v>0</v>
          </cell>
          <cell r="I344">
            <v>0</v>
          </cell>
          <cell r="J344">
            <v>0</v>
          </cell>
          <cell r="K344">
            <v>0</v>
          </cell>
          <cell r="L344">
            <v>0</v>
          </cell>
          <cell r="M344">
            <v>0</v>
          </cell>
          <cell r="N344">
            <v>0</v>
          </cell>
          <cell r="O344">
            <v>0</v>
          </cell>
          <cell r="P344">
            <v>0</v>
          </cell>
          <cell r="Q344">
            <v>0</v>
          </cell>
        </row>
        <row r="345">
          <cell r="A345">
            <v>56037</v>
          </cell>
          <cell r="B345" t="str">
            <v>Termination Pay</v>
          </cell>
          <cell r="E345">
            <v>0</v>
          </cell>
          <cell r="F345">
            <v>0</v>
          </cell>
          <cell r="G345">
            <v>0</v>
          </cell>
          <cell r="H345">
            <v>0</v>
          </cell>
          <cell r="I345">
            <v>0</v>
          </cell>
          <cell r="J345">
            <v>0</v>
          </cell>
          <cell r="K345">
            <v>0</v>
          </cell>
          <cell r="L345">
            <v>0</v>
          </cell>
          <cell r="M345">
            <v>0</v>
          </cell>
          <cell r="N345">
            <v>0</v>
          </cell>
          <cell r="O345">
            <v>0</v>
          </cell>
          <cell r="P345">
            <v>0</v>
          </cell>
          <cell r="Q345">
            <v>0</v>
          </cell>
        </row>
        <row r="346">
          <cell r="A346">
            <v>56045</v>
          </cell>
          <cell r="B346" t="str">
            <v>Contract Labor</v>
          </cell>
          <cell r="E346">
            <v>0</v>
          </cell>
          <cell r="F346">
            <v>0</v>
          </cell>
          <cell r="G346">
            <v>0</v>
          </cell>
          <cell r="H346">
            <v>0</v>
          </cell>
          <cell r="I346">
            <v>2127.6</v>
          </cell>
          <cell r="J346">
            <v>283.68</v>
          </cell>
          <cell r="K346">
            <v>0</v>
          </cell>
          <cell r="L346">
            <v>0</v>
          </cell>
          <cell r="M346">
            <v>0</v>
          </cell>
          <cell r="N346">
            <v>0</v>
          </cell>
          <cell r="O346">
            <v>0</v>
          </cell>
          <cell r="P346">
            <v>0</v>
          </cell>
          <cell r="Q346">
            <v>2411.2799999999997</v>
          </cell>
        </row>
        <row r="347">
          <cell r="A347">
            <v>56050</v>
          </cell>
          <cell r="B347" t="str">
            <v>Payroll Taxes</v>
          </cell>
          <cell r="E347">
            <v>1457.13</v>
          </cell>
          <cell r="F347">
            <v>1086.04</v>
          </cell>
          <cell r="G347">
            <v>1432.76</v>
          </cell>
          <cell r="H347">
            <v>1237.58</v>
          </cell>
          <cell r="I347">
            <v>1015.69</v>
          </cell>
          <cell r="J347">
            <v>1252.47</v>
          </cell>
          <cell r="K347">
            <v>1534.22</v>
          </cell>
          <cell r="L347">
            <v>1138.26</v>
          </cell>
          <cell r="M347">
            <v>1122.4100000000001</v>
          </cell>
          <cell r="N347">
            <v>1083.83</v>
          </cell>
          <cell r="O347">
            <v>1262.81</v>
          </cell>
          <cell r="P347">
            <v>1237.03</v>
          </cell>
          <cell r="Q347">
            <v>14860.230000000001</v>
          </cell>
        </row>
        <row r="348">
          <cell r="A348">
            <v>56060</v>
          </cell>
          <cell r="B348" t="str">
            <v>Group Insurance</v>
          </cell>
          <cell r="E348">
            <v>2260</v>
          </cell>
          <cell r="F348">
            <v>2260</v>
          </cell>
          <cell r="G348">
            <v>2015</v>
          </cell>
          <cell r="H348">
            <v>2505</v>
          </cell>
          <cell r="I348">
            <v>2286.75</v>
          </cell>
          <cell r="J348">
            <v>2260</v>
          </cell>
          <cell r="K348">
            <v>2233.2399999999998</v>
          </cell>
          <cell r="L348">
            <v>2260</v>
          </cell>
          <cell r="M348">
            <v>2015</v>
          </cell>
          <cell r="N348">
            <v>2505</v>
          </cell>
          <cell r="O348">
            <v>2260</v>
          </cell>
          <cell r="P348">
            <v>2260</v>
          </cell>
          <cell r="Q348">
            <v>27119.989999999998</v>
          </cell>
        </row>
        <row r="349">
          <cell r="A349">
            <v>56065</v>
          </cell>
          <cell r="B349" t="str">
            <v>Vacation Pay</v>
          </cell>
          <cell r="E349">
            <v>1525.21</v>
          </cell>
          <cell r="F349">
            <v>-107.25</v>
          </cell>
          <cell r="G349">
            <v>686</v>
          </cell>
          <cell r="H349">
            <v>651.78</v>
          </cell>
          <cell r="I349">
            <v>5006.99</v>
          </cell>
          <cell r="J349">
            <v>-77.53</v>
          </cell>
          <cell r="K349">
            <v>1031.8800000000001</v>
          </cell>
          <cell r="L349">
            <v>1229.18</v>
          </cell>
          <cell r="M349">
            <v>-193.57</v>
          </cell>
          <cell r="N349">
            <v>1097.0899999999999</v>
          </cell>
          <cell r="O349">
            <v>647.59</v>
          </cell>
          <cell r="P349">
            <v>92.16</v>
          </cell>
          <cell r="Q349">
            <v>11589.53</v>
          </cell>
        </row>
        <row r="350">
          <cell r="A350">
            <v>56070</v>
          </cell>
          <cell r="B350" t="str">
            <v>Sick Pay</v>
          </cell>
          <cell r="E350">
            <v>197.6</v>
          </cell>
          <cell r="F350">
            <v>-54.84</v>
          </cell>
          <cell r="G350">
            <v>58.3</v>
          </cell>
          <cell r="H350">
            <v>30.87</v>
          </cell>
          <cell r="I350">
            <v>0</v>
          </cell>
          <cell r="J350">
            <v>421.35</v>
          </cell>
          <cell r="K350">
            <v>0</v>
          </cell>
          <cell r="L350">
            <v>0</v>
          </cell>
          <cell r="M350">
            <v>371.67</v>
          </cell>
          <cell r="N350">
            <v>-106.19</v>
          </cell>
          <cell r="O350">
            <v>333.34</v>
          </cell>
          <cell r="P350">
            <v>-137.26</v>
          </cell>
          <cell r="Q350">
            <v>1114.8399999999999</v>
          </cell>
        </row>
        <row r="351">
          <cell r="A351">
            <v>56086</v>
          </cell>
          <cell r="B351" t="str">
            <v>Safety and Training</v>
          </cell>
          <cell r="E351">
            <v>259.02</v>
          </cell>
          <cell r="F351">
            <v>48.7</v>
          </cell>
          <cell r="G351">
            <v>93.68</v>
          </cell>
          <cell r="H351">
            <v>64.45</v>
          </cell>
          <cell r="I351">
            <v>0</v>
          </cell>
          <cell r="J351">
            <v>194.76</v>
          </cell>
          <cell r="K351">
            <v>1077.77</v>
          </cell>
          <cell r="L351">
            <v>241.93</v>
          </cell>
          <cell r="M351">
            <v>798.35</v>
          </cell>
          <cell r="N351">
            <v>821.91</v>
          </cell>
          <cell r="O351">
            <v>200.16</v>
          </cell>
          <cell r="P351">
            <v>135.97999999999999</v>
          </cell>
          <cell r="Q351">
            <v>3936.7099999999996</v>
          </cell>
        </row>
        <row r="352">
          <cell r="A352">
            <v>56090</v>
          </cell>
          <cell r="B352" t="str">
            <v>Uniforms</v>
          </cell>
          <cell r="E352">
            <v>1795.66</v>
          </cell>
          <cell r="F352">
            <v>143.75</v>
          </cell>
          <cell r="G352">
            <v>1117.68</v>
          </cell>
          <cell r="H352">
            <v>663</v>
          </cell>
          <cell r="I352">
            <v>503.29</v>
          </cell>
          <cell r="J352">
            <v>889.18</v>
          </cell>
          <cell r="K352">
            <v>1081.28</v>
          </cell>
          <cell r="L352">
            <v>680.36</v>
          </cell>
          <cell r="M352">
            <v>906.86</v>
          </cell>
          <cell r="N352">
            <v>144.98000000000002</v>
          </cell>
          <cell r="O352">
            <v>1093.78</v>
          </cell>
          <cell r="P352">
            <v>477.8</v>
          </cell>
          <cell r="Q352">
            <v>9497.619999999999</v>
          </cell>
        </row>
        <row r="353">
          <cell r="A353">
            <v>56095</v>
          </cell>
          <cell r="B353" t="str">
            <v>Empl &amp; Commun Activ</v>
          </cell>
          <cell r="E353">
            <v>727.54</v>
          </cell>
          <cell r="F353">
            <v>-266.95</v>
          </cell>
          <cell r="G353">
            <v>0</v>
          </cell>
          <cell r="H353">
            <v>92.48</v>
          </cell>
          <cell r="I353">
            <v>485.76</v>
          </cell>
          <cell r="J353">
            <v>463.36</v>
          </cell>
          <cell r="K353">
            <v>0</v>
          </cell>
          <cell r="L353">
            <v>0</v>
          </cell>
          <cell r="M353">
            <v>293.06</v>
          </cell>
          <cell r="N353">
            <v>28.73</v>
          </cell>
          <cell r="O353">
            <v>-181.04</v>
          </cell>
          <cell r="P353">
            <v>0</v>
          </cell>
          <cell r="Q353">
            <v>1642.94</v>
          </cell>
        </row>
        <row r="354">
          <cell r="A354">
            <v>56105</v>
          </cell>
          <cell r="B354" t="str">
            <v>Employee Relocation</v>
          </cell>
          <cell r="E354">
            <v>0</v>
          </cell>
          <cell r="F354">
            <v>0</v>
          </cell>
          <cell r="G354">
            <v>0</v>
          </cell>
          <cell r="H354">
            <v>0</v>
          </cell>
          <cell r="I354">
            <v>0</v>
          </cell>
          <cell r="J354">
            <v>0</v>
          </cell>
          <cell r="K354">
            <v>0</v>
          </cell>
          <cell r="L354">
            <v>0</v>
          </cell>
          <cell r="M354">
            <v>0</v>
          </cell>
          <cell r="N354">
            <v>0</v>
          </cell>
          <cell r="O354">
            <v>0</v>
          </cell>
          <cell r="P354">
            <v>0</v>
          </cell>
          <cell r="Q354">
            <v>0</v>
          </cell>
        </row>
        <row r="355">
          <cell r="A355">
            <v>56108</v>
          </cell>
          <cell r="B355" t="str">
            <v>School Tuition</v>
          </cell>
          <cell r="E355">
            <v>0</v>
          </cell>
          <cell r="F355">
            <v>0</v>
          </cell>
          <cell r="G355">
            <v>0</v>
          </cell>
          <cell r="H355">
            <v>0</v>
          </cell>
          <cell r="I355">
            <v>0</v>
          </cell>
          <cell r="J355">
            <v>0</v>
          </cell>
          <cell r="K355">
            <v>0</v>
          </cell>
          <cell r="L355">
            <v>0</v>
          </cell>
          <cell r="M355">
            <v>0</v>
          </cell>
          <cell r="N355">
            <v>0</v>
          </cell>
          <cell r="O355">
            <v>0</v>
          </cell>
          <cell r="P355">
            <v>0</v>
          </cell>
          <cell r="Q355">
            <v>0</v>
          </cell>
        </row>
        <row r="356">
          <cell r="A356">
            <v>56115</v>
          </cell>
          <cell r="B356" t="str">
            <v>Pension and Profit Sharing</v>
          </cell>
          <cell r="E356">
            <v>226.28</v>
          </cell>
          <cell r="F356">
            <v>217.62</v>
          </cell>
          <cell r="G356">
            <v>333.09</v>
          </cell>
          <cell r="H356">
            <v>220.44</v>
          </cell>
          <cell r="I356">
            <v>189.47</v>
          </cell>
          <cell r="J356">
            <v>211.84</v>
          </cell>
          <cell r="K356">
            <v>270.73</v>
          </cell>
          <cell r="L356">
            <v>224.38</v>
          </cell>
          <cell r="M356">
            <v>228.09</v>
          </cell>
          <cell r="N356">
            <v>329.68</v>
          </cell>
          <cell r="O356">
            <v>224.86</v>
          </cell>
          <cell r="P356">
            <v>246.21</v>
          </cell>
          <cell r="Q356">
            <v>2922.69</v>
          </cell>
        </row>
        <row r="357">
          <cell r="A357">
            <v>56116</v>
          </cell>
          <cell r="B357" t="str">
            <v>Union Benefit Expense</v>
          </cell>
          <cell r="E357">
            <v>0</v>
          </cell>
          <cell r="F357">
            <v>0</v>
          </cell>
          <cell r="G357">
            <v>0</v>
          </cell>
          <cell r="H357">
            <v>0</v>
          </cell>
          <cell r="I357">
            <v>0</v>
          </cell>
          <cell r="J357">
            <v>0</v>
          </cell>
          <cell r="K357">
            <v>0</v>
          </cell>
          <cell r="L357">
            <v>0</v>
          </cell>
          <cell r="M357">
            <v>0</v>
          </cell>
          <cell r="N357">
            <v>0</v>
          </cell>
          <cell r="O357">
            <v>0</v>
          </cell>
          <cell r="P357">
            <v>0</v>
          </cell>
          <cell r="Q357">
            <v>0</v>
          </cell>
        </row>
        <row r="358">
          <cell r="A358">
            <v>56117</v>
          </cell>
          <cell r="B358" t="str">
            <v>Union Pension</v>
          </cell>
          <cell r="E358">
            <v>0</v>
          </cell>
          <cell r="F358">
            <v>0</v>
          </cell>
          <cell r="G358">
            <v>0</v>
          </cell>
          <cell r="H358">
            <v>0</v>
          </cell>
          <cell r="I358">
            <v>0</v>
          </cell>
          <cell r="J358">
            <v>0</v>
          </cell>
          <cell r="K358">
            <v>0</v>
          </cell>
          <cell r="L358">
            <v>0</v>
          </cell>
          <cell r="M358">
            <v>0</v>
          </cell>
          <cell r="N358">
            <v>0</v>
          </cell>
          <cell r="O358">
            <v>0</v>
          </cell>
          <cell r="P358">
            <v>0</v>
          </cell>
          <cell r="Q358">
            <v>0</v>
          </cell>
        </row>
        <row r="359">
          <cell r="A359">
            <v>56125</v>
          </cell>
          <cell r="B359" t="str">
            <v>Operating Supplies</v>
          </cell>
          <cell r="E359">
            <v>1415.21</v>
          </cell>
          <cell r="F359">
            <v>1483.02</v>
          </cell>
          <cell r="G359">
            <v>1740.94</v>
          </cell>
          <cell r="H359">
            <v>445.37</v>
          </cell>
          <cell r="I359">
            <v>804.72</v>
          </cell>
          <cell r="J359">
            <v>164.82</v>
          </cell>
          <cell r="K359">
            <v>658.52</v>
          </cell>
          <cell r="L359">
            <v>1100.71</v>
          </cell>
          <cell r="M359">
            <v>1250.03</v>
          </cell>
          <cell r="N359">
            <v>1674.36</v>
          </cell>
          <cell r="O359">
            <v>765.8</v>
          </cell>
          <cell r="P359">
            <v>382.82</v>
          </cell>
          <cell r="Q359">
            <v>11886.32</v>
          </cell>
        </row>
        <row r="360">
          <cell r="A360">
            <v>56140</v>
          </cell>
          <cell r="B360" t="str">
            <v>Tires</v>
          </cell>
          <cell r="E360">
            <v>0</v>
          </cell>
          <cell r="F360">
            <v>0</v>
          </cell>
          <cell r="G360">
            <v>0</v>
          </cell>
          <cell r="H360">
            <v>0</v>
          </cell>
          <cell r="I360">
            <v>0</v>
          </cell>
          <cell r="J360">
            <v>0</v>
          </cell>
          <cell r="K360">
            <v>0</v>
          </cell>
          <cell r="L360">
            <v>0</v>
          </cell>
          <cell r="M360">
            <v>0</v>
          </cell>
          <cell r="N360">
            <v>0</v>
          </cell>
          <cell r="O360">
            <v>0</v>
          </cell>
          <cell r="P360">
            <v>0</v>
          </cell>
          <cell r="Q360">
            <v>0</v>
          </cell>
        </row>
        <row r="361">
          <cell r="A361">
            <v>56142</v>
          </cell>
          <cell r="B361" t="str">
            <v>Fuel Expense</v>
          </cell>
          <cell r="E361">
            <v>0</v>
          </cell>
          <cell r="F361">
            <v>0</v>
          </cell>
          <cell r="G361">
            <v>0</v>
          </cell>
          <cell r="H361">
            <v>0</v>
          </cell>
          <cell r="I361">
            <v>0</v>
          </cell>
          <cell r="J361">
            <v>0</v>
          </cell>
          <cell r="K361">
            <v>0</v>
          </cell>
          <cell r="L361">
            <v>0</v>
          </cell>
          <cell r="M361">
            <v>0</v>
          </cell>
          <cell r="N361">
            <v>0</v>
          </cell>
          <cell r="O361">
            <v>0</v>
          </cell>
          <cell r="P361">
            <v>20</v>
          </cell>
          <cell r="Q361">
            <v>20</v>
          </cell>
        </row>
        <row r="362">
          <cell r="A362">
            <v>56148</v>
          </cell>
          <cell r="B362" t="str">
            <v>Allocated Exp In - District</v>
          </cell>
          <cell r="E362">
            <v>0</v>
          </cell>
          <cell r="F362">
            <v>0</v>
          </cell>
          <cell r="G362">
            <v>0</v>
          </cell>
          <cell r="H362">
            <v>0</v>
          </cell>
          <cell r="I362">
            <v>0</v>
          </cell>
          <cell r="J362">
            <v>0</v>
          </cell>
          <cell r="K362">
            <v>0</v>
          </cell>
          <cell r="L362">
            <v>0</v>
          </cell>
          <cell r="M362">
            <v>0</v>
          </cell>
          <cell r="N362">
            <v>0</v>
          </cell>
          <cell r="O362">
            <v>0</v>
          </cell>
          <cell r="P362">
            <v>0</v>
          </cell>
          <cell r="Q362">
            <v>0</v>
          </cell>
        </row>
        <row r="363">
          <cell r="A363">
            <v>56149</v>
          </cell>
          <cell r="B363" t="str">
            <v>Allocated Exp In Out - District</v>
          </cell>
          <cell r="E363">
            <v>0</v>
          </cell>
          <cell r="F363">
            <v>0</v>
          </cell>
          <cell r="G363">
            <v>0</v>
          </cell>
          <cell r="H363">
            <v>0</v>
          </cell>
          <cell r="I363">
            <v>0</v>
          </cell>
          <cell r="J363">
            <v>0</v>
          </cell>
          <cell r="K363">
            <v>0</v>
          </cell>
          <cell r="L363">
            <v>0</v>
          </cell>
          <cell r="M363">
            <v>0</v>
          </cell>
          <cell r="N363">
            <v>0</v>
          </cell>
          <cell r="O363">
            <v>0</v>
          </cell>
          <cell r="P363">
            <v>0</v>
          </cell>
          <cell r="Q363">
            <v>0</v>
          </cell>
        </row>
        <row r="364">
          <cell r="A364">
            <v>56165</v>
          </cell>
          <cell r="B364" t="str">
            <v>Communications</v>
          </cell>
          <cell r="E364">
            <v>4606.6000000000004</v>
          </cell>
          <cell r="F364">
            <v>4350.2299999999996</v>
          </cell>
          <cell r="G364">
            <v>4615.41</v>
          </cell>
          <cell r="H364">
            <v>1003.34</v>
          </cell>
          <cell r="I364">
            <v>7555.03</v>
          </cell>
          <cell r="J364">
            <v>4491</v>
          </cell>
          <cell r="K364">
            <v>4590.99</v>
          </cell>
          <cell r="L364">
            <v>470.11</v>
          </cell>
          <cell r="M364">
            <v>4254.96</v>
          </cell>
          <cell r="N364">
            <v>4208.18</v>
          </cell>
          <cell r="O364">
            <v>512.84</v>
          </cell>
          <cell r="P364">
            <v>4070.45</v>
          </cell>
          <cell r="Q364">
            <v>44729.139999999992</v>
          </cell>
        </row>
        <row r="365">
          <cell r="A365">
            <v>56200</v>
          </cell>
          <cell r="B365" t="str">
            <v>Travel</v>
          </cell>
          <cell r="E365">
            <v>0</v>
          </cell>
          <cell r="F365">
            <v>69</v>
          </cell>
          <cell r="G365">
            <v>98.25</v>
          </cell>
          <cell r="H365">
            <v>52.88</v>
          </cell>
          <cell r="I365">
            <v>0</v>
          </cell>
          <cell r="J365">
            <v>0</v>
          </cell>
          <cell r="K365">
            <v>0</v>
          </cell>
          <cell r="L365">
            <v>0</v>
          </cell>
          <cell r="M365">
            <v>0</v>
          </cell>
          <cell r="N365">
            <v>5.62</v>
          </cell>
          <cell r="O365">
            <v>0</v>
          </cell>
          <cell r="P365">
            <v>0</v>
          </cell>
          <cell r="Q365">
            <v>225.75</v>
          </cell>
        </row>
        <row r="366">
          <cell r="A366">
            <v>56201</v>
          </cell>
          <cell r="B366" t="str">
            <v>Meal and Entertainment</v>
          </cell>
          <cell r="E366">
            <v>0</v>
          </cell>
          <cell r="F366">
            <v>0</v>
          </cell>
          <cell r="G366">
            <v>0</v>
          </cell>
          <cell r="H366">
            <v>0</v>
          </cell>
          <cell r="I366">
            <v>0</v>
          </cell>
          <cell r="J366">
            <v>103.1</v>
          </cell>
          <cell r="K366">
            <v>0</v>
          </cell>
          <cell r="L366">
            <v>0</v>
          </cell>
          <cell r="M366">
            <v>0</v>
          </cell>
          <cell r="N366">
            <v>44.52</v>
          </cell>
          <cell r="O366">
            <v>90.55</v>
          </cell>
          <cell r="P366">
            <v>110.62</v>
          </cell>
          <cell r="Q366">
            <v>348.79</v>
          </cell>
        </row>
        <row r="367">
          <cell r="A367">
            <v>56210</v>
          </cell>
          <cell r="B367" t="str">
            <v>Office Supply and Equip</v>
          </cell>
          <cell r="E367">
            <v>907.9</v>
          </cell>
          <cell r="F367">
            <v>1266.8599999999999</v>
          </cell>
          <cell r="G367">
            <v>1175.05</v>
          </cell>
          <cell r="H367">
            <v>2018.74</v>
          </cell>
          <cell r="I367">
            <v>1340.75</v>
          </cell>
          <cell r="J367">
            <v>1056.72</v>
          </cell>
          <cell r="K367">
            <v>1348.09</v>
          </cell>
          <cell r="L367">
            <v>2224.39</v>
          </cell>
          <cell r="M367">
            <v>1094.46</v>
          </cell>
          <cell r="N367">
            <v>1045.8699999999999</v>
          </cell>
          <cell r="O367">
            <v>1613.32</v>
          </cell>
          <cell r="P367">
            <v>1365.17</v>
          </cell>
          <cell r="Q367">
            <v>16457.32</v>
          </cell>
        </row>
        <row r="368">
          <cell r="A368">
            <v>56335</v>
          </cell>
          <cell r="B368" t="str">
            <v>Miscellaneous</v>
          </cell>
          <cell r="E368">
            <v>0</v>
          </cell>
          <cell r="F368">
            <v>0</v>
          </cell>
          <cell r="G368">
            <v>0</v>
          </cell>
          <cell r="H368">
            <v>0</v>
          </cell>
          <cell r="I368">
            <v>0</v>
          </cell>
          <cell r="J368">
            <v>0</v>
          </cell>
          <cell r="K368">
            <v>0</v>
          </cell>
          <cell r="L368">
            <v>0</v>
          </cell>
          <cell r="M368">
            <v>0</v>
          </cell>
          <cell r="N368">
            <v>0</v>
          </cell>
          <cell r="O368">
            <v>0</v>
          </cell>
          <cell r="P368">
            <v>0</v>
          </cell>
          <cell r="Q368">
            <v>0</v>
          </cell>
        </row>
        <row r="369">
          <cell r="A369">
            <v>56998</v>
          </cell>
          <cell r="B369" t="str">
            <v>Allocation Out - District</v>
          </cell>
          <cell r="E369">
            <v>0</v>
          </cell>
          <cell r="F369">
            <v>0</v>
          </cell>
          <cell r="G369">
            <v>0</v>
          </cell>
          <cell r="H369">
            <v>0</v>
          </cell>
          <cell r="I369">
            <v>0</v>
          </cell>
          <cell r="J369">
            <v>0</v>
          </cell>
          <cell r="K369">
            <v>0</v>
          </cell>
          <cell r="L369">
            <v>0</v>
          </cell>
          <cell r="M369">
            <v>0</v>
          </cell>
          <cell r="N369">
            <v>0</v>
          </cell>
          <cell r="O369">
            <v>0</v>
          </cell>
          <cell r="P369">
            <v>0</v>
          </cell>
          <cell r="Q369">
            <v>0</v>
          </cell>
        </row>
        <row r="370">
          <cell r="A370">
            <v>56999</v>
          </cell>
          <cell r="B370" t="str">
            <v>Allocation Out - Out District</v>
          </cell>
          <cell r="E370">
            <v>0</v>
          </cell>
          <cell r="F370">
            <v>0</v>
          </cell>
          <cell r="G370">
            <v>0</v>
          </cell>
          <cell r="H370">
            <v>0</v>
          </cell>
          <cell r="I370">
            <v>0</v>
          </cell>
          <cell r="J370">
            <v>0</v>
          </cell>
          <cell r="K370">
            <v>0</v>
          </cell>
          <cell r="L370">
            <v>0</v>
          </cell>
          <cell r="M370">
            <v>0</v>
          </cell>
          <cell r="N370">
            <v>0</v>
          </cell>
          <cell r="O370">
            <v>0</v>
          </cell>
          <cell r="P370">
            <v>0</v>
          </cell>
          <cell r="Q370">
            <v>0</v>
          </cell>
        </row>
        <row r="371">
          <cell r="A371" t="str">
            <v>Total Supervisor</v>
          </cell>
          <cell r="E371">
            <v>26562.799999999996</v>
          </cell>
          <cell r="F371">
            <v>23501.42</v>
          </cell>
          <cell r="G371">
            <v>27636.67</v>
          </cell>
          <cell r="H371">
            <v>22714.119999999995</v>
          </cell>
          <cell r="I371">
            <v>32513.34</v>
          </cell>
          <cell r="J371">
            <v>23855.37</v>
          </cell>
          <cell r="K371">
            <v>28433.989999999994</v>
          </cell>
          <cell r="L371">
            <v>22041.739999999998</v>
          </cell>
          <cell r="M371">
            <v>25858.779999999995</v>
          </cell>
          <cell r="N371">
            <v>25971.11</v>
          </cell>
          <cell r="O371">
            <v>22681.739999999998</v>
          </cell>
          <cell r="P371">
            <v>24752.86</v>
          </cell>
          <cell r="Q371">
            <v>306523.94</v>
          </cell>
        </row>
        <row r="373">
          <cell r="A373" t="str">
            <v>Other Operating Expense</v>
          </cell>
        </row>
        <row r="374">
          <cell r="A374">
            <v>46020</v>
          </cell>
          <cell r="B374" t="str">
            <v>Post Closure Amortization</v>
          </cell>
          <cell r="E374">
            <v>0</v>
          </cell>
          <cell r="F374">
            <v>0</v>
          </cell>
          <cell r="G374">
            <v>0</v>
          </cell>
          <cell r="H374">
            <v>0</v>
          </cell>
          <cell r="I374">
            <v>0</v>
          </cell>
          <cell r="J374">
            <v>0</v>
          </cell>
          <cell r="K374">
            <v>0</v>
          </cell>
          <cell r="L374">
            <v>0</v>
          </cell>
          <cell r="M374">
            <v>0</v>
          </cell>
          <cell r="N374">
            <v>0</v>
          </cell>
          <cell r="O374">
            <v>0</v>
          </cell>
          <cell r="P374">
            <v>0</v>
          </cell>
          <cell r="Q374">
            <v>0</v>
          </cell>
        </row>
        <row r="375">
          <cell r="A375">
            <v>57051</v>
          </cell>
          <cell r="B375" t="str">
            <v>AA Premiums</v>
          </cell>
          <cell r="E375">
            <v>0</v>
          </cell>
          <cell r="F375">
            <v>0</v>
          </cell>
          <cell r="G375">
            <v>0</v>
          </cell>
          <cell r="H375">
            <v>0</v>
          </cell>
          <cell r="I375">
            <v>0</v>
          </cell>
          <cell r="J375">
            <v>0</v>
          </cell>
          <cell r="K375">
            <v>0</v>
          </cell>
          <cell r="L375">
            <v>0</v>
          </cell>
          <cell r="M375">
            <v>0</v>
          </cell>
          <cell r="N375">
            <v>0</v>
          </cell>
          <cell r="O375">
            <v>0</v>
          </cell>
          <cell r="P375">
            <v>0</v>
          </cell>
          <cell r="Q375">
            <v>0</v>
          </cell>
        </row>
        <row r="376">
          <cell r="A376">
            <v>57125</v>
          </cell>
          <cell r="B376" t="str">
            <v>Operating Supplies</v>
          </cell>
          <cell r="E376">
            <v>0</v>
          </cell>
          <cell r="F376">
            <v>0</v>
          </cell>
          <cell r="G376">
            <v>0</v>
          </cell>
          <cell r="H376">
            <v>427.66</v>
          </cell>
          <cell r="I376">
            <v>0</v>
          </cell>
          <cell r="J376">
            <v>0</v>
          </cell>
          <cell r="K376">
            <v>0</v>
          </cell>
          <cell r="L376">
            <v>0</v>
          </cell>
          <cell r="M376">
            <v>0</v>
          </cell>
          <cell r="N376">
            <v>224.45</v>
          </cell>
          <cell r="O376">
            <v>3002.92</v>
          </cell>
          <cell r="P376">
            <v>0</v>
          </cell>
          <cell r="Q376">
            <v>3655.03</v>
          </cell>
        </row>
        <row r="377">
          <cell r="A377">
            <v>57147</v>
          </cell>
          <cell r="B377" t="str">
            <v>Bldg &amp; Property</v>
          </cell>
          <cell r="E377">
            <v>8063.84</v>
          </cell>
          <cell r="F377">
            <v>8169.88</v>
          </cell>
          <cell r="G377">
            <v>6041.82</v>
          </cell>
          <cell r="H377">
            <v>6588.54</v>
          </cell>
          <cell r="I377">
            <v>4365.71</v>
          </cell>
          <cell r="J377">
            <v>4713.99</v>
          </cell>
          <cell r="K377">
            <v>10806.84</v>
          </cell>
          <cell r="L377">
            <v>9251.0400000000009</v>
          </cell>
          <cell r="M377">
            <v>6193.48</v>
          </cell>
          <cell r="N377">
            <v>8759.64</v>
          </cell>
          <cell r="O377">
            <v>5195.24</v>
          </cell>
          <cell r="P377">
            <v>16632.82</v>
          </cell>
          <cell r="Q377">
            <v>94782.84</v>
          </cell>
        </row>
        <row r="378">
          <cell r="A378">
            <v>57148</v>
          </cell>
          <cell r="B378" t="str">
            <v>Allocated In - District</v>
          </cell>
          <cell r="E378">
            <v>0</v>
          </cell>
          <cell r="F378">
            <v>0</v>
          </cell>
          <cell r="G378">
            <v>0</v>
          </cell>
          <cell r="H378">
            <v>0</v>
          </cell>
          <cell r="I378">
            <v>0</v>
          </cell>
          <cell r="J378">
            <v>0</v>
          </cell>
          <cell r="K378">
            <v>0</v>
          </cell>
          <cell r="L378">
            <v>0</v>
          </cell>
          <cell r="M378">
            <v>0</v>
          </cell>
          <cell r="N378">
            <v>0</v>
          </cell>
          <cell r="O378">
            <v>0</v>
          </cell>
          <cell r="P378">
            <v>0</v>
          </cell>
          <cell r="Q378">
            <v>0</v>
          </cell>
        </row>
        <row r="379">
          <cell r="A379">
            <v>57149</v>
          </cell>
          <cell r="B379" t="str">
            <v>Allocated In - Out District</v>
          </cell>
          <cell r="E379">
            <v>0</v>
          </cell>
          <cell r="F379">
            <v>0</v>
          </cell>
          <cell r="G379">
            <v>0</v>
          </cell>
          <cell r="H379">
            <v>0</v>
          </cell>
          <cell r="I379">
            <v>0</v>
          </cell>
          <cell r="J379">
            <v>0</v>
          </cell>
          <cell r="K379">
            <v>0</v>
          </cell>
          <cell r="L379">
            <v>0</v>
          </cell>
          <cell r="M379">
            <v>0</v>
          </cell>
          <cell r="N379">
            <v>0</v>
          </cell>
          <cell r="O379">
            <v>0</v>
          </cell>
          <cell r="P379">
            <v>0</v>
          </cell>
          <cell r="Q379">
            <v>0</v>
          </cell>
        </row>
        <row r="380">
          <cell r="A380">
            <v>57150</v>
          </cell>
          <cell r="B380" t="str">
            <v>Utilities</v>
          </cell>
          <cell r="E380">
            <v>1384.3</v>
          </cell>
          <cell r="F380">
            <v>289.72000000000003</v>
          </cell>
          <cell r="G380">
            <v>352.8</v>
          </cell>
          <cell r="H380">
            <v>250.3</v>
          </cell>
          <cell r="I380">
            <v>272.69</v>
          </cell>
          <cell r="J380">
            <v>171.46</v>
          </cell>
          <cell r="K380">
            <v>268.27</v>
          </cell>
          <cell r="L380">
            <v>157.77000000000001</v>
          </cell>
          <cell r="M380">
            <v>921.26</v>
          </cell>
          <cell r="N380">
            <v>178.68</v>
          </cell>
          <cell r="O380">
            <v>1625.08</v>
          </cell>
          <cell r="P380">
            <v>312.62</v>
          </cell>
          <cell r="Q380">
            <v>6184.95</v>
          </cell>
        </row>
        <row r="381">
          <cell r="A381">
            <v>57165</v>
          </cell>
          <cell r="B381" t="str">
            <v>Communications</v>
          </cell>
          <cell r="E381">
            <v>0</v>
          </cell>
          <cell r="F381">
            <v>0</v>
          </cell>
          <cell r="G381">
            <v>0</v>
          </cell>
          <cell r="H381">
            <v>0</v>
          </cell>
          <cell r="I381">
            <v>0</v>
          </cell>
          <cell r="J381">
            <v>0</v>
          </cell>
          <cell r="K381">
            <v>0</v>
          </cell>
          <cell r="L381">
            <v>0</v>
          </cell>
          <cell r="M381">
            <v>0</v>
          </cell>
          <cell r="N381">
            <v>0</v>
          </cell>
          <cell r="O381">
            <v>0</v>
          </cell>
          <cell r="P381">
            <v>0</v>
          </cell>
          <cell r="Q381">
            <v>0</v>
          </cell>
        </row>
        <row r="382">
          <cell r="A382">
            <v>57166</v>
          </cell>
          <cell r="B382" t="str">
            <v>Leachate Treatment</v>
          </cell>
          <cell r="E382">
            <v>0</v>
          </cell>
          <cell r="F382">
            <v>0</v>
          </cell>
          <cell r="G382">
            <v>0</v>
          </cell>
          <cell r="H382">
            <v>0</v>
          </cell>
          <cell r="I382">
            <v>0</v>
          </cell>
          <cell r="J382">
            <v>0</v>
          </cell>
          <cell r="K382">
            <v>0</v>
          </cell>
          <cell r="L382">
            <v>0</v>
          </cell>
          <cell r="M382">
            <v>0</v>
          </cell>
          <cell r="N382">
            <v>0</v>
          </cell>
          <cell r="O382">
            <v>0</v>
          </cell>
          <cell r="P382">
            <v>0</v>
          </cell>
          <cell r="Q382">
            <v>0</v>
          </cell>
        </row>
        <row r="383">
          <cell r="A383">
            <v>57170</v>
          </cell>
          <cell r="B383" t="str">
            <v>Real Estate Rentals</v>
          </cell>
          <cell r="E383">
            <v>17643.07</v>
          </cell>
          <cell r="F383">
            <v>17035.48</v>
          </cell>
          <cell r="G383">
            <v>17673.07</v>
          </cell>
          <cell r="H383">
            <v>17402.849999999999</v>
          </cell>
          <cell r="I383">
            <v>17402.849999999999</v>
          </cell>
          <cell r="J383">
            <v>17402.849999999999</v>
          </cell>
          <cell r="K383">
            <v>17402.849999999999</v>
          </cell>
          <cell r="L383">
            <v>17402.849999999999</v>
          </cell>
          <cell r="M383">
            <v>18791.8</v>
          </cell>
          <cell r="N383">
            <v>17402.849999999999</v>
          </cell>
          <cell r="O383">
            <v>18791.8</v>
          </cell>
          <cell r="P383">
            <v>2852.62</v>
          </cell>
          <cell r="Q383">
            <v>197204.94</v>
          </cell>
        </row>
        <row r="384">
          <cell r="A384">
            <v>57175</v>
          </cell>
          <cell r="B384" t="str">
            <v>Equipment Vehicle Rental</v>
          </cell>
          <cell r="E384">
            <v>328.66</v>
          </cell>
          <cell r="F384">
            <v>0</v>
          </cell>
          <cell r="G384">
            <v>0</v>
          </cell>
          <cell r="H384">
            <v>0</v>
          </cell>
          <cell r="I384">
            <v>0</v>
          </cell>
          <cell r="J384">
            <v>0</v>
          </cell>
          <cell r="K384">
            <v>0</v>
          </cell>
          <cell r="L384">
            <v>0</v>
          </cell>
          <cell r="M384">
            <v>0</v>
          </cell>
          <cell r="N384">
            <v>0</v>
          </cell>
          <cell r="O384">
            <v>2091.2399999999998</v>
          </cell>
          <cell r="P384">
            <v>397.36</v>
          </cell>
          <cell r="Q384">
            <v>2817.2599999999998</v>
          </cell>
        </row>
        <row r="385">
          <cell r="A385">
            <v>57185</v>
          </cell>
          <cell r="B385" t="str">
            <v>Postage</v>
          </cell>
          <cell r="E385">
            <v>0</v>
          </cell>
          <cell r="F385">
            <v>0</v>
          </cell>
          <cell r="G385">
            <v>0</v>
          </cell>
          <cell r="H385">
            <v>0</v>
          </cell>
          <cell r="I385">
            <v>0</v>
          </cell>
          <cell r="J385">
            <v>0</v>
          </cell>
          <cell r="K385">
            <v>0</v>
          </cell>
          <cell r="L385">
            <v>0</v>
          </cell>
          <cell r="M385">
            <v>0</v>
          </cell>
          <cell r="N385">
            <v>0</v>
          </cell>
          <cell r="O385">
            <v>0</v>
          </cell>
          <cell r="P385">
            <v>0</v>
          </cell>
          <cell r="Q385">
            <v>0</v>
          </cell>
        </row>
        <row r="386">
          <cell r="A386">
            <v>57252</v>
          </cell>
          <cell r="B386" t="str">
            <v>Subcontract Expense</v>
          </cell>
          <cell r="E386">
            <v>0</v>
          </cell>
          <cell r="F386">
            <v>0</v>
          </cell>
          <cell r="G386">
            <v>0</v>
          </cell>
          <cell r="H386">
            <v>0</v>
          </cell>
          <cell r="I386">
            <v>0</v>
          </cell>
          <cell r="J386">
            <v>0</v>
          </cell>
          <cell r="K386">
            <v>0</v>
          </cell>
          <cell r="L386">
            <v>0</v>
          </cell>
          <cell r="M386">
            <v>0</v>
          </cell>
          <cell r="N386">
            <v>0</v>
          </cell>
          <cell r="O386">
            <v>0</v>
          </cell>
          <cell r="P386">
            <v>0</v>
          </cell>
          <cell r="Q386">
            <v>0</v>
          </cell>
        </row>
        <row r="387">
          <cell r="A387">
            <v>57254</v>
          </cell>
          <cell r="B387" t="str">
            <v>Drive Cam Fees</v>
          </cell>
          <cell r="E387">
            <v>5737.5</v>
          </cell>
          <cell r="F387">
            <v>5737.5</v>
          </cell>
          <cell r="G387">
            <v>5737.5</v>
          </cell>
          <cell r="H387">
            <v>5737.5</v>
          </cell>
          <cell r="I387">
            <v>3780</v>
          </cell>
          <cell r="J387">
            <v>3780</v>
          </cell>
          <cell r="K387">
            <v>3780</v>
          </cell>
          <cell r="L387">
            <v>3780</v>
          </cell>
          <cell r="M387">
            <v>3780</v>
          </cell>
          <cell r="N387">
            <v>3780</v>
          </cell>
          <cell r="O387">
            <v>3780</v>
          </cell>
          <cell r="P387">
            <v>3780</v>
          </cell>
          <cell r="Q387">
            <v>53190</v>
          </cell>
        </row>
        <row r="388">
          <cell r="A388">
            <v>57255</v>
          </cell>
          <cell r="B388" t="str">
            <v>Other Prof Fees</v>
          </cell>
          <cell r="E388">
            <v>0</v>
          </cell>
          <cell r="F388">
            <v>0</v>
          </cell>
          <cell r="G388">
            <v>13.5</v>
          </cell>
          <cell r="H388">
            <v>13.5</v>
          </cell>
          <cell r="I388">
            <v>13.5</v>
          </cell>
          <cell r="J388">
            <v>13.5</v>
          </cell>
          <cell r="K388">
            <v>0</v>
          </cell>
          <cell r="L388">
            <v>13.5</v>
          </cell>
          <cell r="M388">
            <v>13.5</v>
          </cell>
          <cell r="N388">
            <v>13.5</v>
          </cell>
          <cell r="O388">
            <v>13.5</v>
          </cell>
          <cell r="P388">
            <v>0</v>
          </cell>
          <cell r="Q388">
            <v>108</v>
          </cell>
        </row>
        <row r="389">
          <cell r="A389">
            <v>57256</v>
          </cell>
          <cell r="B389" t="str">
            <v>Laboratory Fees</v>
          </cell>
          <cell r="E389">
            <v>0</v>
          </cell>
          <cell r="F389">
            <v>0</v>
          </cell>
          <cell r="G389">
            <v>0</v>
          </cell>
          <cell r="H389">
            <v>0</v>
          </cell>
          <cell r="I389">
            <v>0</v>
          </cell>
          <cell r="J389">
            <v>0</v>
          </cell>
          <cell r="K389">
            <v>0</v>
          </cell>
          <cell r="L389">
            <v>0</v>
          </cell>
          <cell r="M389">
            <v>0</v>
          </cell>
          <cell r="N389">
            <v>0</v>
          </cell>
          <cell r="O389">
            <v>0</v>
          </cell>
          <cell r="P389">
            <v>0</v>
          </cell>
          <cell r="Q389">
            <v>0</v>
          </cell>
        </row>
        <row r="390">
          <cell r="A390">
            <v>57257</v>
          </cell>
          <cell r="B390" t="str">
            <v>Engineering Fees</v>
          </cell>
          <cell r="E390">
            <v>0</v>
          </cell>
          <cell r="F390">
            <v>0</v>
          </cell>
          <cell r="G390">
            <v>0</v>
          </cell>
          <cell r="H390">
            <v>0</v>
          </cell>
          <cell r="I390">
            <v>0</v>
          </cell>
          <cell r="J390">
            <v>54300.08</v>
          </cell>
          <cell r="K390">
            <v>3763.13</v>
          </cell>
          <cell r="L390">
            <v>4344.38</v>
          </cell>
          <cell r="M390">
            <v>0</v>
          </cell>
          <cell r="N390">
            <v>0</v>
          </cell>
          <cell r="O390">
            <v>0</v>
          </cell>
          <cell r="P390">
            <v>0</v>
          </cell>
          <cell r="Q390">
            <v>62407.59</v>
          </cell>
        </row>
        <row r="391">
          <cell r="A391">
            <v>57275</v>
          </cell>
          <cell r="B391" t="str">
            <v>Property Taxes</v>
          </cell>
          <cell r="E391">
            <v>648.66999999999996</v>
          </cell>
          <cell r="F391">
            <v>748.26</v>
          </cell>
          <cell r="G391">
            <v>748.26</v>
          </cell>
          <cell r="H391">
            <v>931.59</v>
          </cell>
          <cell r="I391">
            <v>931.59</v>
          </cell>
          <cell r="J391">
            <v>931.61</v>
          </cell>
          <cell r="K391">
            <v>676.33</v>
          </cell>
          <cell r="L391">
            <v>676.33</v>
          </cell>
          <cell r="M391">
            <v>676.33</v>
          </cell>
          <cell r="N391">
            <v>676.33</v>
          </cell>
          <cell r="O391">
            <v>676.33</v>
          </cell>
          <cell r="P391">
            <v>676.33</v>
          </cell>
          <cell r="Q391">
            <v>8997.9599999999991</v>
          </cell>
        </row>
        <row r="392">
          <cell r="A392">
            <v>57280</v>
          </cell>
          <cell r="B392" t="str">
            <v>Other Taxes</v>
          </cell>
          <cell r="E392">
            <v>0</v>
          </cell>
          <cell r="F392">
            <v>0</v>
          </cell>
          <cell r="G392">
            <v>0</v>
          </cell>
          <cell r="H392">
            <v>0</v>
          </cell>
          <cell r="I392">
            <v>0</v>
          </cell>
          <cell r="J392">
            <v>0</v>
          </cell>
          <cell r="K392">
            <v>0</v>
          </cell>
          <cell r="L392">
            <v>0</v>
          </cell>
          <cell r="M392">
            <v>0</v>
          </cell>
          <cell r="N392">
            <v>0</v>
          </cell>
          <cell r="O392">
            <v>0</v>
          </cell>
          <cell r="P392">
            <v>0</v>
          </cell>
          <cell r="Q392">
            <v>0</v>
          </cell>
        </row>
        <row r="393">
          <cell r="A393">
            <v>57324</v>
          </cell>
          <cell r="B393" t="str">
            <v>Penalties and Violations</v>
          </cell>
          <cell r="E393">
            <v>0</v>
          </cell>
          <cell r="F393">
            <v>0</v>
          </cell>
          <cell r="G393">
            <v>0</v>
          </cell>
          <cell r="H393">
            <v>0</v>
          </cell>
          <cell r="I393">
            <v>0</v>
          </cell>
          <cell r="J393">
            <v>0</v>
          </cell>
          <cell r="K393">
            <v>0</v>
          </cell>
          <cell r="L393">
            <v>0</v>
          </cell>
          <cell r="M393">
            <v>0</v>
          </cell>
          <cell r="N393">
            <v>266.95</v>
          </cell>
          <cell r="O393">
            <v>266.95</v>
          </cell>
          <cell r="P393">
            <v>0</v>
          </cell>
          <cell r="Q393">
            <v>533.9</v>
          </cell>
        </row>
        <row r="394">
          <cell r="A394">
            <v>57335</v>
          </cell>
          <cell r="B394" t="str">
            <v>Miscellaneous</v>
          </cell>
          <cell r="E394">
            <v>0</v>
          </cell>
          <cell r="F394">
            <v>0</v>
          </cell>
          <cell r="G394">
            <v>0</v>
          </cell>
          <cell r="H394">
            <v>0</v>
          </cell>
          <cell r="I394">
            <v>0</v>
          </cell>
          <cell r="J394">
            <v>-33322.47</v>
          </cell>
          <cell r="K394">
            <v>33322.47</v>
          </cell>
          <cell r="L394">
            <v>0</v>
          </cell>
          <cell r="M394">
            <v>0</v>
          </cell>
          <cell r="N394">
            <v>0</v>
          </cell>
          <cell r="O394">
            <v>0</v>
          </cell>
          <cell r="P394">
            <v>0</v>
          </cell>
          <cell r="Q394">
            <v>0</v>
          </cell>
        </row>
        <row r="395">
          <cell r="A395">
            <v>57345</v>
          </cell>
          <cell r="B395" t="str">
            <v>Secruity Services</v>
          </cell>
          <cell r="E395">
            <v>187.5</v>
          </cell>
          <cell r="F395">
            <v>187.5</v>
          </cell>
          <cell r="G395">
            <v>187.5</v>
          </cell>
          <cell r="H395">
            <v>187.5</v>
          </cell>
          <cell r="I395">
            <v>187.5</v>
          </cell>
          <cell r="J395">
            <v>187.5</v>
          </cell>
          <cell r="K395">
            <v>187.5</v>
          </cell>
          <cell r="L395">
            <v>187.5</v>
          </cell>
          <cell r="M395">
            <v>187.5</v>
          </cell>
          <cell r="N395">
            <v>187.5</v>
          </cell>
          <cell r="O395">
            <v>187.5</v>
          </cell>
          <cell r="P395">
            <v>250</v>
          </cell>
          <cell r="Q395">
            <v>2312.5</v>
          </cell>
        </row>
        <row r="396">
          <cell r="A396">
            <v>57353</v>
          </cell>
          <cell r="B396" t="str">
            <v>Monitoring and Maint</v>
          </cell>
          <cell r="E396">
            <v>0</v>
          </cell>
          <cell r="F396">
            <v>0</v>
          </cell>
          <cell r="G396">
            <v>0</v>
          </cell>
          <cell r="H396">
            <v>0</v>
          </cell>
          <cell r="I396">
            <v>0</v>
          </cell>
          <cell r="J396">
            <v>0</v>
          </cell>
          <cell r="K396">
            <v>0</v>
          </cell>
          <cell r="L396">
            <v>0</v>
          </cell>
          <cell r="M396">
            <v>0</v>
          </cell>
          <cell r="N396">
            <v>0</v>
          </cell>
          <cell r="O396">
            <v>0</v>
          </cell>
          <cell r="P396">
            <v>0</v>
          </cell>
          <cell r="Q396">
            <v>0</v>
          </cell>
        </row>
        <row r="397">
          <cell r="A397">
            <v>57356</v>
          </cell>
          <cell r="B397" t="str">
            <v>Cover Cost</v>
          </cell>
          <cell r="E397">
            <v>0</v>
          </cell>
          <cell r="F397">
            <v>0</v>
          </cell>
          <cell r="G397">
            <v>0</v>
          </cell>
          <cell r="H397">
            <v>0</v>
          </cell>
          <cell r="I397">
            <v>0</v>
          </cell>
          <cell r="J397">
            <v>0</v>
          </cell>
          <cell r="K397">
            <v>0</v>
          </cell>
          <cell r="L397">
            <v>0</v>
          </cell>
          <cell r="M397">
            <v>0</v>
          </cell>
          <cell r="N397">
            <v>0</v>
          </cell>
          <cell r="O397">
            <v>0</v>
          </cell>
          <cell r="P397">
            <v>0</v>
          </cell>
          <cell r="Q397">
            <v>0</v>
          </cell>
        </row>
        <row r="398">
          <cell r="A398">
            <v>57357</v>
          </cell>
          <cell r="B398" t="str">
            <v>Permits</v>
          </cell>
          <cell r="E398">
            <v>65</v>
          </cell>
          <cell r="F398">
            <v>0</v>
          </cell>
          <cell r="G398">
            <v>132.5</v>
          </cell>
          <cell r="H398">
            <v>0</v>
          </cell>
          <cell r="I398">
            <v>0</v>
          </cell>
          <cell r="J398">
            <v>132.5</v>
          </cell>
          <cell r="K398">
            <v>0</v>
          </cell>
          <cell r="L398">
            <v>0</v>
          </cell>
          <cell r="M398">
            <v>132.5</v>
          </cell>
          <cell r="N398">
            <v>1975</v>
          </cell>
          <cell r="O398">
            <v>0</v>
          </cell>
          <cell r="P398">
            <v>132.5</v>
          </cell>
          <cell r="Q398">
            <v>2570</v>
          </cell>
        </row>
        <row r="399">
          <cell r="A399">
            <v>57360</v>
          </cell>
          <cell r="B399" t="str">
            <v>Royalties</v>
          </cell>
          <cell r="E399">
            <v>0</v>
          </cell>
          <cell r="F399">
            <v>0</v>
          </cell>
          <cell r="G399">
            <v>0</v>
          </cell>
          <cell r="H399">
            <v>0</v>
          </cell>
          <cell r="I399">
            <v>0</v>
          </cell>
          <cell r="J399">
            <v>0</v>
          </cell>
          <cell r="K399">
            <v>0</v>
          </cell>
          <cell r="L399">
            <v>0</v>
          </cell>
          <cell r="M399">
            <v>0</v>
          </cell>
          <cell r="N399">
            <v>0</v>
          </cell>
          <cell r="O399">
            <v>0</v>
          </cell>
          <cell r="P399">
            <v>0</v>
          </cell>
          <cell r="Q399">
            <v>0</v>
          </cell>
        </row>
        <row r="400">
          <cell r="A400">
            <v>57370</v>
          </cell>
          <cell r="B400" t="str">
            <v>Bonds Expense</v>
          </cell>
          <cell r="E400">
            <v>4619.28</v>
          </cell>
          <cell r="F400">
            <v>6292.28</v>
          </cell>
          <cell r="G400">
            <v>6547.28</v>
          </cell>
          <cell r="H400">
            <v>5761.53</v>
          </cell>
          <cell r="I400">
            <v>5761.53</v>
          </cell>
          <cell r="J400">
            <v>5761.53</v>
          </cell>
          <cell r="K400">
            <v>5761.49</v>
          </cell>
          <cell r="L400">
            <v>5761.53</v>
          </cell>
          <cell r="M400">
            <v>5761.53</v>
          </cell>
          <cell r="N400">
            <v>5761.53</v>
          </cell>
          <cell r="O400">
            <v>6186.53</v>
          </cell>
          <cell r="P400">
            <v>4741.53</v>
          </cell>
          <cell r="Q400">
            <v>68717.569999999992</v>
          </cell>
        </row>
        <row r="401">
          <cell r="A401">
            <v>57900</v>
          </cell>
          <cell r="B401" t="str">
            <v>Capitalized Costs</v>
          </cell>
          <cell r="E401">
            <v>0</v>
          </cell>
          <cell r="F401">
            <v>0</v>
          </cell>
          <cell r="G401">
            <v>0</v>
          </cell>
          <cell r="H401">
            <v>0</v>
          </cell>
          <cell r="I401">
            <v>0</v>
          </cell>
          <cell r="J401">
            <v>0</v>
          </cell>
          <cell r="K401">
            <v>0</v>
          </cell>
          <cell r="L401">
            <v>0</v>
          </cell>
          <cell r="M401">
            <v>0</v>
          </cell>
          <cell r="N401">
            <v>0</v>
          </cell>
          <cell r="O401">
            <v>0</v>
          </cell>
          <cell r="P401">
            <v>0</v>
          </cell>
          <cell r="Q401">
            <v>0</v>
          </cell>
        </row>
        <row r="402">
          <cell r="A402">
            <v>57998</v>
          </cell>
          <cell r="B402" t="str">
            <v>Allocation Out - District</v>
          </cell>
          <cell r="E402">
            <v>0</v>
          </cell>
          <cell r="F402">
            <v>0</v>
          </cell>
          <cell r="G402">
            <v>0</v>
          </cell>
          <cell r="H402">
            <v>0</v>
          </cell>
          <cell r="I402">
            <v>0</v>
          </cell>
          <cell r="J402">
            <v>0</v>
          </cell>
          <cell r="K402">
            <v>0</v>
          </cell>
          <cell r="L402">
            <v>0</v>
          </cell>
          <cell r="M402">
            <v>0</v>
          </cell>
          <cell r="N402">
            <v>0</v>
          </cell>
          <cell r="O402">
            <v>0</v>
          </cell>
          <cell r="P402">
            <v>0</v>
          </cell>
          <cell r="Q402">
            <v>0</v>
          </cell>
        </row>
        <row r="403">
          <cell r="A403">
            <v>57999</v>
          </cell>
          <cell r="B403" t="str">
            <v>Allocation Out - Out District</v>
          </cell>
          <cell r="E403">
            <v>0</v>
          </cell>
          <cell r="F403">
            <v>0</v>
          </cell>
          <cell r="G403">
            <v>0</v>
          </cell>
          <cell r="H403">
            <v>0</v>
          </cell>
          <cell r="I403">
            <v>0</v>
          </cell>
          <cell r="J403">
            <v>0</v>
          </cell>
          <cell r="K403">
            <v>0</v>
          </cell>
          <cell r="L403">
            <v>0</v>
          </cell>
          <cell r="M403">
            <v>0</v>
          </cell>
          <cell r="N403">
            <v>0</v>
          </cell>
          <cell r="O403">
            <v>0</v>
          </cell>
          <cell r="P403">
            <v>0</v>
          </cell>
          <cell r="Q403">
            <v>0</v>
          </cell>
        </row>
        <row r="404">
          <cell r="A404">
            <v>70265</v>
          </cell>
          <cell r="B404" t="str">
            <v>Amortization of Long Term Contracts</v>
          </cell>
          <cell r="E404">
            <v>0</v>
          </cell>
          <cell r="F404">
            <v>0</v>
          </cell>
          <cell r="G404">
            <v>0</v>
          </cell>
          <cell r="H404">
            <v>0</v>
          </cell>
          <cell r="I404">
            <v>0</v>
          </cell>
          <cell r="J404">
            <v>0</v>
          </cell>
          <cell r="K404">
            <v>0</v>
          </cell>
          <cell r="L404">
            <v>0</v>
          </cell>
          <cell r="M404">
            <v>0</v>
          </cell>
          <cell r="N404">
            <v>0</v>
          </cell>
          <cell r="O404">
            <v>0</v>
          </cell>
          <cell r="P404">
            <v>0</v>
          </cell>
          <cell r="Q404">
            <v>0</v>
          </cell>
        </row>
        <row r="405">
          <cell r="A405">
            <v>80050</v>
          </cell>
          <cell r="B405" t="str">
            <v>Interest Expense Closure/Post Closure</v>
          </cell>
          <cell r="E405">
            <v>0</v>
          </cell>
          <cell r="F405">
            <v>0</v>
          </cell>
          <cell r="G405">
            <v>0</v>
          </cell>
          <cell r="H405">
            <v>0</v>
          </cell>
          <cell r="I405">
            <v>0</v>
          </cell>
          <cell r="J405">
            <v>0</v>
          </cell>
          <cell r="K405">
            <v>0</v>
          </cell>
          <cell r="L405">
            <v>0</v>
          </cell>
          <cell r="M405">
            <v>0</v>
          </cell>
          <cell r="N405">
            <v>0</v>
          </cell>
          <cell r="O405">
            <v>0</v>
          </cell>
          <cell r="P405">
            <v>0</v>
          </cell>
          <cell r="Q405">
            <v>0</v>
          </cell>
        </row>
        <row r="406">
          <cell r="A406" t="str">
            <v>Total Other Operating Expense</v>
          </cell>
          <cell r="E406">
            <v>38677.819999999992</v>
          </cell>
          <cell r="F406">
            <v>38460.620000000003</v>
          </cell>
          <cell r="G406">
            <v>37434.229999999996</v>
          </cell>
          <cell r="H406">
            <v>37300.97</v>
          </cell>
          <cell r="I406">
            <v>32715.37</v>
          </cell>
          <cell r="J406">
            <v>54072.55</v>
          </cell>
          <cell r="K406">
            <v>75968.88</v>
          </cell>
          <cell r="L406">
            <v>41574.9</v>
          </cell>
          <cell r="M406">
            <v>36457.9</v>
          </cell>
          <cell r="N406">
            <v>39226.43</v>
          </cell>
          <cell r="O406">
            <v>41817.089999999997</v>
          </cell>
          <cell r="P406">
            <v>29775.78</v>
          </cell>
          <cell r="Q406">
            <v>503482.54000000004</v>
          </cell>
        </row>
        <row r="408">
          <cell r="A408" t="str">
            <v>Insurance</v>
          </cell>
        </row>
        <row r="409">
          <cell r="A409">
            <v>59148</v>
          </cell>
          <cell r="B409" t="str">
            <v>Allocation In - District</v>
          </cell>
          <cell r="E409">
            <v>0</v>
          </cell>
          <cell r="F409">
            <v>0</v>
          </cell>
          <cell r="G409">
            <v>0</v>
          </cell>
          <cell r="H409">
            <v>0</v>
          </cell>
          <cell r="I409">
            <v>0</v>
          </cell>
          <cell r="J409">
            <v>0</v>
          </cell>
          <cell r="K409">
            <v>0</v>
          </cell>
          <cell r="L409">
            <v>0</v>
          </cell>
          <cell r="M409">
            <v>0</v>
          </cell>
          <cell r="N409">
            <v>0</v>
          </cell>
          <cell r="O409">
            <v>0</v>
          </cell>
          <cell r="P409">
            <v>0</v>
          </cell>
          <cell r="Q409">
            <v>0</v>
          </cell>
        </row>
        <row r="410">
          <cell r="A410">
            <v>59149</v>
          </cell>
          <cell r="B410" t="str">
            <v>Allocation In - Out District</v>
          </cell>
          <cell r="E410">
            <v>0</v>
          </cell>
          <cell r="F410">
            <v>0</v>
          </cell>
          <cell r="G410">
            <v>0</v>
          </cell>
          <cell r="H410">
            <v>0</v>
          </cell>
          <cell r="I410">
            <v>0</v>
          </cell>
          <cell r="J410">
            <v>0</v>
          </cell>
          <cell r="K410">
            <v>0</v>
          </cell>
          <cell r="L410">
            <v>0</v>
          </cell>
          <cell r="M410">
            <v>0</v>
          </cell>
          <cell r="N410">
            <v>0</v>
          </cell>
          <cell r="O410">
            <v>0</v>
          </cell>
          <cell r="P410">
            <v>0</v>
          </cell>
          <cell r="Q410">
            <v>0</v>
          </cell>
        </row>
        <row r="411">
          <cell r="A411">
            <v>59271</v>
          </cell>
          <cell r="B411" t="str">
            <v>Property and Liability Insurance</v>
          </cell>
          <cell r="E411">
            <v>0</v>
          </cell>
          <cell r="F411">
            <v>0</v>
          </cell>
          <cell r="G411">
            <v>0</v>
          </cell>
          <cell r="H411">
            <v>0</v>
          </cell>
          <cell r="I411">
            <v>0</v>
          </cell>
          <cell r="J411">
            <v>0</v>
          </cell>
          <cell r="K411">
            <v>0</v>
          </cell>
          <cell r="L411">
            <v>0</v>
          </cell>
          <cell r="M411">
            <v>0</v>
          </cell>
          <cell r="N411">
            <v>0</v>
          </cell>
          <cell r="O411">
            <v>0</v>
          </cell>
          <cell r="P411">
            <v>0</v>
          </cell>
          <cell r="Q411">
            <v>0</v>
          </cell>
        </row>
        <row r="412">
          <cell r="A412">
            <v>59326</v>
          </cell>
          <cell r="B412" t="str">
            <v>Deductible - Current</v>
          </cell>
          <cell r="E412">
            <v>0</v>
          </cell>
          <cell r="F412">
            <v>0</v>
          </cell>
          <cell r="G412">
            <v>0</v>
          </cell>
          <cell r="H412">
            <v>0</v>
          </cell>
          <cell r="I412">
            <v>0</v>
          </cell>
          <cell r="J412">
            <v>0</v>
          </cell>
          <cell r="K412">
            <v>0</v>
          </cell>
          <cell r="L412">
            <v>0</v>
          </cell>
          <cell r="M412">
            <v>0</v>
          </cell>
          <cell r="N412">
            <v>0</v>
          </cell>
          <cell r="O412">
            <v>0</v>
          </cell>
          <cell r="P412">
            <v>0</v>
          </cell>
          <cell r="Q412">
            <v>0</v>
          </cell>
        </row>
        <row r="413">
          <cell r="A413">
            <v>59327</v>
          </cell>
          <cell r="B413" t="str">
            <v>Deductible - Damage</v>
          </cell>
          <cell r="E413">
            <v>0</v>
          </cell>
          <cell r="F413">
            <v>0</v>
          </cell>
          <cell r="G413">
            <v>0</v>
          </cell>
          <cell r="H413">
            <v>0</v>
          </cell>
          <cell r="I413">
            <v>0</v>
          </cell>
          <cell r="J413">
            <v>0</v>
          </cell>
          <cell r="K413">
            <v>0</v>
          </cell>
          <cell r="L413">
            <v>0</v>
          </cell>
          <cell r="M413">
            <v>0</v>
          </cell>
          <cell r="N413">
            <v>0</v>
          </cell>
          <cell r="O413">
            <v>0</v>
          </cell>
          <cell r="P413">
            <v>0</v>
          </cell>
          <cell r="Q413">
            <v>0</v>
          </cell>
        </row>
        <row r="414">
          <cell r="A414">
            <v>59328</v>
          </cell>
          <cell r="B414" t="str">
            <v>Claim Recoveries</v>
          </cell>
          <cell r="E414">
            <v>0</v>
          </cell>
          <cell r="F414">
            <v>0</v>
          </cell>
          <cell r="G414">
            <v>0</v>
          </cell>
          <cell r="H414">
            <v>0</v>
          </cell>
          <cell r="I414">
            <v>0</v>
          </cell>
          <cell r="J414">
            <v>0</v>
          </cell>
          <cell r="K414">
            <v>0</v>
          </cell>
          <cell r="L414">
            <v>0</v>
          </cell>
          <cell r="M414">
            <v>0</v>
          </cell>
          <cell r="N414">
            <v>0</v>
          </cell>
          <cell r="O414">
            <v>0</v>
          </cell>
          <cell r="P414">
            <v>0</v>
          </cell>
          <cell r="Q414">
            <v>0</v>
          </cell>
        </row>
        <row r="415">
          <cell r="A415">
            <v>59330</v>
          </cell>
          <cell r="B415" t="str">
            <v>Deduct - Prior Year</v>
          </cell>
          <cell r="E415">
            <v>0</v>
          </cell>
          <cell r="F415">
            <v>0</v>
          </cell>
          <cell r="G415">
            <v>0</v>
          </cell>
          <cell r="H415">
            <v>0</v>
          </cell>
          <cell r="I415">
            <v>0</v>
          </cell>
          <cell r="J415">
            <v>0</v>
          </cell>
          <cell r="K415">
            <v>0</v>
          </cell>
          <cell r="L415">
            <v>0</v>
          </cell>
          <cell r="M415">
            <v>0</v>
          </cell>
          <cell r="N415">
            <v>0</v>
          </cell>
          <cell r="O415">
            <v>0</v>
          </cell>
          <cell r="P415">
            <v>0</v>
          </cell>
          <cell r="Q415">
            <v>0</v>
          </cell>
        </row>
        <row r="416">
          <cell r="A416">
            <v>59331</v>
          </cell>
          <cell r="B416" t="str">
            <v>RM Fixed Costs</v>
          </cell>
          <cell r="E416">
            <v>0</v>
          </cell>
          <cell r="F416">
            <v>0</v>
          </cell>
          <cell r="G416">
            <v>0</v>
          </cell>
          <cell r="H416">
            <v>0</v>
          </cell>
          <cell r="I416">
            <v>0</v>
          </cell>
          <cell r="J416">
            <v>0</v>
          </cell>
          <cell r="K416">
            <v>0</v>
          </cell>
          <cell r="L416">
            <v>0</v>
          </cell>
          <cell r="M416">
            <v>0</v>
          </cell>
          <cell r="N416">
            <v>0</v>
          </cell>
          <cell r="O416">
            <v>0</v>
          </cell>
          <cell r="P416">
            <v>0</v>
          </cell>
          <cell r="Q416">
            <v>0</v>
          </cell>
        </row>
        <row r="417">
          <cell r="A417">
            <v>59340</v>
          </cell>
          <cell r="B417" t="str">
            <v>Self Insurance Premium</v>
          </cell>
          <cell r="E417">
            <v>10091.379999999999</v>
          </cell>
          <cell r="F417">
            <v>10091.379999999999</v>
          </cell>
          <cell r="G417">
            <v>10091.379999999999</v>
          </cell>
          <cell r="H417">
            <v>10091.379999999999</v>
          </cell>
          <cell r="I417">
            <v>10091.379999999999</v>
          </cell>
          <cell r="J417">
            <v>10091.379999999999</v>
          </cell>
          <cell r="K417">
            <v>10091.379999999999</v>
          </cell>
          <cell r="L417">
            <v>10091.379999999999</v>
          </cell>
          <cell r="M417">
            <v>10091.379999999999</v>
          </cell>
          <cell r="N417">
            <v>10091.379999999999</v>
          </cell>
          <cell r="O417">
            <v>10091.379999999999</v>
          </cell>
          <cell r="P417">
            <v>10091.379999999999</v>
          </cell>
          <cell r="Q417">
            <v>121096.56000000001</v>
          </cell>
        </row>
        <row r="418">
          <cell r="A418">
            <v>59341</v>
          </cell>
          <cell r="B418" t="str">
            <v>A&amp;L - Current Year Claims</v>
          </cell>
          <cell r="E418">
            <v>-6142.07</v>
          </cell>
          <cell r="F418">
            <v>-2400</v>
          </cell>
          <cell r="G418">
            <v>400</v>
          </cell>
          <cell r="H418">
            <v>9853.9</v>
          </cell>
          <cell r="I418">
            <v>0</v>
          </cell>
          <cell r="J418">
            <v>0</v>
          </cell>
          <cell r="K418">
            <v>0</v>
          </cell>
          <cell r="L418">
            <v>4250</v>
          </cell>
          <cell r="M418">
            <v>8924.2000000000007</v>
          </cell>
          <cell r="N418">
            <v>751</v>
          </cell>
          <cell r="O418">
            <v>2071.27</v>
          </cell>
          <cell r="P418">
            <v>24430</v>
          </cell>
          <cell r="Q418">
            <v>42138.3</v>
          </cell>
        </row>
        <row r="419">
          <cell r="A419">
            <v>59342</v>
          </cell>
          <cell r="B419" t="str">
            <v>A&amp;L - Prior Year Claims</v>
          </cell>
          <cell r="E419">
            <v>0</v>
          </cell>
          <cell r="F419">
            <v>0</v>
          </cell>
          <cell r="G419">
            <v>0</v>
          </cell>
          <cell r="H419">
            <v>-10802.07</v>
          </cell>
          <cell r="I419">
            <v>-2004.25</v>
          </cell>
          <cell r="J419">
            <v>1249.05</v>
          </cell>
          <cell r="K419">
            <v>6999.75</v>
          </cell>
          <cell r="L419">
            <v>0</v>
          </cell>
          <cell r="M419">
            <v>0</v>
          </cell>
          <cell r="N419">
            <v>2499.5</v>
          </cell>
          <cell r="O419">
            <v>0</v>
          </cell>
          <cell r="P419">
            <v>0</v>
          </cell>
          <cell r="Q419">
            <v>-2058.0200000000004</v>
          </cell>
        </row>
        <row r="420">
          <cell r="A420">
            <v>59343</v>
          </cell>
          <cell r="B420" t="str">
            <v>WC - Current Year Claims</v>
          </cell>
          <cell r="E420">
            <v>7290.88</v>
          </cell>
          <cell r="F420">
            <v>-17465.98</v>
          </cell>
          <cell r="G420">
            <v>13819.28</v>
          </cell>
          <cell r="H420">
            <v>8553.6</v>
          </cell>
          <cell r="I420">
            <v>5696</v>
          </cell>
          <cell r="J420">
            <v>3275.7</v>
          </cell>
          <cell r="K420">
            <v>6448.16</v>
          </cell>
          <cell r="L420">
            <v>2722</v>
          </cell>
          <cell r="M420">
            <v>820</v>
          </cell>
          <cell r="N420">
            <v>-18388.02</v>
          </cell>
          <cell r="O420">
            <v>-1818.92</v>
          </cell>
          <cell r="P420">
            <v>2266.29</v>
          </cell>
          <cell r="Q420">
            <v>13218.990000000002</v>
          </cell>
        </row>
        <row r="421">
          <cell r="A421">
            <v>59344</v>
          </cell>
          <cell r="B421" t="str">
            <v>WC - Prior Year Claims</v>
          </cell>
          <cell r="E421">
            <v>0</v>
          </cell>
          <cell r="F421">
            <v>0</v>
          </cell>
          <cell r="G421">
            <v>0</v>
          </cell>
          <cell r="H421">
            <v>-9078.02</v>
          </cell>
          <cell r="I421">
            <v>16579.04</v>
          </cell>
          <cell r="J421">
            <v>98644.06</v>
          </cell>
          <cell r="K421">
            <v>-15344.09</v>
          </cell>
          <cell r="L421">
            <v>-28729.19</v>
          </cell>
          <cell r="M421">
            <v>17918.650000000001</v>
          </cell>
          <cell r="N421">
            <v>-103.64</v>
          </cell>
          <cell r="O421">
            <v>1197.08</v>
          </cell>
          <cell r="P421">
            <v>-19684.740000000002</v>
          </cell>
          <cell r="Q421">
            <v>61399.150000000009</v>
          </cell>
        </row>
        <row r="422">
          <cell r="A422">
            <v>59350</v>
          </cell>
          <cell r="B422" t="str">
            <v>Self Isurance IBNR Estimates</v>
          </cell>
          <cell r="E422">
            <v>0</v>
          </cell>
          <cell r="F422">
            <v>0</v>
          </cell>
          <cell r="G422">
            <v>0</v>
          </cell>
          <cell r="H422">
            <v>0</v>
          </cell>
          <cell r="I422">
            <v>0</v>
          </cell>
          <cell r="J422">
            <v>0</v>
          </cell>
          <cell r="K422">
            <v>0</v>
          </cell>
          <cell r="L422">
            <v>0</v>
          </cell>
          <cell r="M422">
            <v>0</v>
          </cell>
          <cell r="N422">
            <v>0</v>
          </cell>
          <cell r="O422">
            <v>0</v>
          </cell>
          <cell r="P422">
            <v>0</v>
          </cell>
          <cell r="Q422">
            <v>0</v>
          </cell>
        </row>
        <row r="423">
          <cell r="A423">
            <v>59400</v>
          </cell>
          <cell r="B423" t="str">
            <v>Damages paid by District</v>
          </cell>
          <cell r="E423">
            <v>5142.99</v>
          </cell>
          <cell r="F423">
            <v>1000</v>
          </cell>
          <cell r="G423">
            <v>2757.56</v>
          </cell>
          <cell r="H423">
            <v>0</v>
          </cell>
          <cell r="I423">
            <v>1701.74</v>
          </cell>
          <cell r="J423">
            <v>6490.95</v>
          </cell>
          <cell r="K423">
            <v>104.97</v>
          </cell>
          <cell r="L423">
            <v>48.7</v>
          </cell>
          <cell r="M423">
            <v>0</v>
          </cell>
          <cell r="N423">
            <v>11054.22</v>
          </cell>
          <cell r="O423">
            <v>655.83</v>
          </cell>
          <cell r="P423">
            <v>11383.6</v>
          </cell>
          <cell r="Q423">
            <v>40340.559999999998</v>
          </cell>
        </row>
        <row r="424">
          <cell r="A424">
            <v>59401</v>
          </cell>
          <cell r="B424" t="str">
            <v>Insurance claim repairs</v>
          </cell>
          <cell r="E424">
            <v>0</v>
          </cell>
          <cell r="F424">
            <v>0</v>
          </cell>
          <cell r="G424">
            <v>0</v>
          </cell>
          <cell r="H424">
            <v>0</v>
          </cell>
          <cell r="I424">
            <v>0</v>
          </cell>
          <cell r="J424">
            <v>0</v>
          </cell>
          <cell r="K424">
            <v>0</v>
          </cell>
          <cell r="L424">
            <v>0</v>
          </cell>
          <cell r="M424">
            <v>0</v>
          </cell>
          <cell r="N424">
            <v>10000</v>
          </cell>
          <cell r="O424">
            <v>31.43</v>
          </cell>
          <cell r="P424">
            <v>-10904.79</v>
          </cell>
          <cell r="Q424">
            <v>-873.36000000000058</v>
          </cell>
        </row>
        <row r="425">
          <cell r="A425">
            <v>59500</v>
          </cell>
          <cell r="B425" t="str">
            <v>Workers Comp Prem</v>
          </cell>
          <cell r="E425">
            <v>4000</v>
          </cell>
          <cell r="F425">
            <v>2000</v>
          </cell>
          <cell r="G425">
            <v>2000</v>
          </cell>
          <cell r="H425">
            <v>2000</v>
          </cell>
          <cell r="I425">
            <v>1000</v>
          </cell>
          <cell r="J425">
            <v>2000</v>
          </cell>
          <cell r="K425">
            <v>2000</v>
          </cell>
          <cell r="L425">
            <v>2000</v>
          </cell>
          <cell r="M425">
            <v>3000</v>
          </cell>
          <cell r="N425">
            <v>3000</v>
          </cell>
          <cell r="O425">
            <v>3000</v>
          </cell>
          <cell r="P425">
            <v>0</v>
          </cell>
          <cell r="Q425">
            <v>26000</v>
          </cell>
        </row>
        <row r="426">
          <cell r="A426">
            <v>59998</v>
          </cell>
          <cell r="B426" t="str">
            <v>Allocation Out - District</v>
          </cell>
          <cell r="E426">
            <v>0</v>
          </cell>
          <cell r="F426">
            <v>0</v>
          </cell>
          <cell r="G426">
            <v>0</v>
          </cell>
          <cell r="H426">
            <v>0</v>
          </cell>
          <cell r="I426">
            <v>0</v>
          </cell>
          <cell r="J426">
            <v>0</v>
          </cell>
          <cell r="K426">
            <v>0</v>
          </cell>
          <cell r="L426">
            <v>0</v>
          </cell>
          <cell r="M426">
            <v>0</v>
          </cell>
          <cell r="N426">
            <v>0</v>
          </cell>
          <cell r="O426">
            <v>0</v>
          </cell>
          <cell r="P426">
            <v>0</v>
          </cell>
          <cell r="Q426">
            <v>0</v>
          </cell>
        </row>
        <row r="427">
          <cell r="A427">
            <v>59999</v>
          </cell>
          <cell r="B427" t="str">
            <v>Allocation Out - Out District</v>
          </cell>
          <cell r="E427">
            <v>0</v>
          </cell>
          <cell r="F427">
            <v>0</v>
          </cell>
          <cell r="G427">
            <v>0</v>
          </cell>
          <cell r="H427">
            <v>0</v>
          </cell>
          <cell r="I427">
            <v>0</v>
          </cell>
          <cell r="J427">
            <v>0</v>
          </cell>
          <cell r="K427">
            <v>0</v>
          </cell>
          <cell r="L427">
            <v>0</v>
          </cell>
          <cell r="M427">
            <v>0</v>
          </cell>
          <cell r="N427">
            <v>0</v>
          </cell>
          <cell r="O427">
            <v>0</v>
          </cell>
          <cell r="P427">
            <v>0</v>
          </cell>
          <cell r="Q427">
            <v>0</v>
          </cell>
        </row>
        <row r="428">
          <cell r="A428" t="str">
            <v>Total Insurance</v>
          </cell>
          <cell r="E428">
            <v>20383.18</v>
          </cell>
          <cell r="F428">
            <v>-6774.6</v>
          </cell>
          <cell r="G428">
            <v>29068.22</v>
          </cell>
          <cell r="H428">
            <v>10618.789999999997</v>
          </cell>
          <cell r="I428">
            <v>33063.910000000003</v>
          </cell>
          <cell r="J428">
            <v>121751.14</v>
          </cell>
          <cell r="K428">
            <v>10300.169999999996</v>
          </cell>
          <cell r="L428">
            <v>-9617.11</v>
          </cell>
          <cell r="M428">
            <v>40754.230000000003</v>
          </cell>
          <cell r="N428">
            <v>18904.439999999999</v>
          </cell>
          <cell r="O428">
            <v>15228.07</v>
          </cell>
          <cell r="P428">
            <v>17581.739999999998</v>
          </cell>
          <cell r="Q428">
            <v>301262.18000000005</v>
          </cell>
        </row>
        <row r="430">
          <cell r="A430" t="str">
            <v>Disposal of Assets and Operations</v>
          </cell>
        </row>
        <row r="431">
          <cell r="A431">
            <v>72000</v>
          </cell>
          <cell r="B431" t="str">
            <v>Gain/Loss on Disposal of Operations</v>
          </cell>
          <cell r="E431">
            <v>0</v>
          </cell>
          <cell r="F431">
            <v>0</v>
          </cell>
          <cell r="G431">
            <v>0</v>
          </cell>
          <cell r="H431">
            <v>0</v>
          </cell>
          <cell r="I431">
            <v>0</v>
          </cell>
          <cell r="J431">
            <v>0</v>
          </cell>
          <cell r="K431">
            <v>0</v>
          </cell>
          <cell r="L431">
            <v>0</v>
          </cell>
          <cell r="M431">
            <v>0</v>
          </cell>
          <cell r="N431">
            <v>0</v>
          </cell>
          <cell r="O431">
            <v>0</v>
          </cell>
          <cell r="P431">
            <v>0</v>
          </cell>
          <cell r="Q431">
            <v>0</v>
          </cell>
        </row>
        <row r="432">
          <cell r="A432">
            <v>91010</v>
          </cell>
          <cell r="B432" t="str">
            <v>Gain/Loss on Sale of Asset</v>
          </cell>
          <cell r="E432">
            <v>0</v>
          </cell>
          <cell r="F432">
            <v>0</v>
          </cell>
          <cell r="G432">
            <v>0</v>
          </cell>
          <cell r="H432">
            <v>1319.45</v>
          </cell>
          <cell r="I432">
            <v>0</v>
          </cell>
          <cell r="J432">
            <v>24949.35</v>
          </cell>
          <cell r="K432">
            <v>-33354.22</v>
          </cell>
          <cell r="L432">
            <v>-3080</v>
          </cell>
          <cell r="M432">
            <v>0</v>
          </cell>
          <cell r="N432">
            <v>0</v>
          </cell>
          <cell r="O432">
            <v>0</v>
          </cell>
          <cell r="P432">
            <v>0</v>
          </cell>
          <cell r="Q432">
            <v>-10165.420000000002</v>
          </cell>
        </row>
        <row r="433">
          <cell r="A433" t="str">
            <v>Total Disposal of Assets and Operations</v>
          </cell>
          <cell r="E433">
            <v>0</v>
          </cell>
          <cell r="F433">
            <v>0</v>
          </cell>
          <cell r="G433">
            <v>0</v>
          </cell>
          <cell r="H433">
            <v>1319.45</v>
          </cell>
          <cell r="I433">
            <v>0</v>
          </cell>
          <cell r="J433">
            <v>24949.35</v>
          </cell>
          <cell r="K433">
            <v>-33354.22</v>
          </cell>
          <cell r="L433">
            <v>-3080</v>
          </cell>
          <cell r="M433">
            <v>0</v>
          </cell>
          <cell r="N433">
            <v>0</v>
          </cell>
          <cell r="O433">
            <v>0</v>
          </cell>
          <cell r="P433">
            <v>0</v>
          </cell>
          <cell r="Q433">
            <v>-10165.420000000002</v>
          </cell>
        </row>
        <row r="435">
          <cell r="A435" t="str">
            <v>Total Operating Costs</v>
          </cell>
          <cell r="E435">
            <v>691108.55</v>
          </cell>
          <cell r="F435">
            <v>591691.37000000011</v>
          </cell>
          <cell r="G435">
            <v>679572.21999999986</v>
          </cell>
          <cell r="H435">
            <v>649398.42000000004</v>
          </cell>
          <cell r="I435">
            <v>715012.80999999994</v>
          </cell>
          <cell r="J435">
            <v>823534.92999999993</v>
          </cell>
          <cell r="K435">
            <v>725146.60999999987</v>
          </cell>
          <cell r="L435">
            <v>671623.93</v>
          </cell>
          <cell r="M435">
            <v>721331.92999999993</v>
          </cell>
          <cell r="N435">
            <v>675314.14999999991</v>
          </cell>
          <cell r="O435">
            <v>713873.94</v>
          </cell>
          <cell r="P435">
            <v>696947.79999999981</v>
          </cell>
          <cell r="Q435">
            <v>8354556.6600000001</v>
          </cell>
        </row>
        <row r="437">
          <cell r="A437" t="str">
            <v>Gross Profit</v>
          </cell>
          <cell r="E437">
            <v>958596.29999999981</v>
          </cell>
          <cell r="F437">
            <v>1078399.0499999998</v>
          </cell>
          <cell r="G437">
            <v>980681.78999999992</v>
          </cell>
          <cell r="H437">
            <v>1060013.06</v>
          </cell>
          <cell r="I437">
            <v>998324.67999999935</v>
          </cell>
          <cell r="J437">
            <v>884006.14000000036</v>
          </cell>
          <cell r="K437">
            <v>999176.6099999994</v>
          </cell>
          <cell r="L437">
            <v>1029352.5499999995</v>
          </cell>
          <cell r="M437">
            <v>1005221.45</v>
          </cell>
          <cell r="N437">
            <v>1062170.0200000005</v>
          </cell>
          <cell r="O437">
            <v>1010676.3699999996</v>
          </cell>
          <cell r="P437">
            <v>1011952.0500000003</v>
          </cell>
          <cell r="Q437">
            <v>12078570.07</v>
          </cell>
        </row>
        <row r="439">
          <cell r="A439" t="str">
            <v>SG&amp;A</v>
          </cell>
        </row>
        <row r="440">
          <cell r="A440" t="str">
            <v>Sales</v>
          </cell>
        </row>
        <row r="441">
          <cell r="A441">
            <v>60010</v>
          </cell>
          <cell r="B441" t="str">
            <v>Salaries</v>
          </cell>
          <cell r="E441">
            <v>0</v>
          </cell>
          <cell r="F441">
            <v>0</v>
          </cell>
          <cell r="G441">
            <v>0</v>
          </cell>
          <cell r="H441">
            <v>0</v>
          </cell>
          <cell r="I441">
            <v>0</v>
          </cell>
          <cell r="J441">
            <v>0</v>
          </cell>
          <cell r="K441">
            <v>0</v>
          </cell>
          <cell r="L441">
            <v>0</v>
          </cell>
          <cell r="M441">
            <v>0</v>
          </cell>
          <cell r="N441">
            <v>0</v>
          </cell>
          <cell r="O441">
            <v>0</v>
          </cell>
          <cell r="P441">
            <v>0</v>
          </cell>
          <cell r="Q441">
            <v>0</v>
          </cell>
        </row>
        <row r="442">
          <cell r="A442">
            <v>60020</v>
          </cell>
          <cell r="B442" t="str">
            <v>Wages Regular</v>
          </cell>
          <cell r="E442">
            <v>0</v>
          </cell>
          <cell r="F442">
            <v>0</v>
          </cell>
          <cell r="G442">
            <v>0</v>
          </cell>
          <cell r="H442">
            <v>0</v>
          </cell>
          <cell r="I442">
            <v>0</v>
          </cell>
          <cell r="J442">
            <v>0</v>
          </cell>
          <cell r="K442">
            <v>0</v>
          </cell>
          <cell r="L442">
            <v>0</v>
          </cell>
          <cell r="M442">
            <v>0</v>
          </cell>
          <cell r="N442">
            <v>0</v>
          </cell>
          <cell r="O442">
            <v>0</v>
          </cell>
          <cell r="P442">
            <v>0</v>
          </cell>
          <cell r="Q442">
            <v>0</v>
          </cell>
        </row>
        <row r="443">
          <cell r="A443">
            <v>60025</v>
          </cell>
          <cell r="B443" t="str">
            <v>Wages O.T.</v>
          </cell>
          <cell r="E443">
            <v>0</v>
          </cell>
          <cell r="F443">
            <v>0</v>
          </cell>
          <cell r="G443">
            <v>0</v>
          </cell>
          <cell r="H443">
            <v>0</v>
          </cell>
          <cell r="I443">
            <v>0</v>
          </cell>
          <cell r="J443">
            <v>0</v>
          </cell>
          <cell r="K443">
            <v>0</v>
          </cell>
          <cell r="L443">
            <v>0</v>
          </cell>
          <cell r="M443">
            <v>0</v>
          </cell>
          <cell r="N443">
            <v>0</v>
          </cell>
          <cell r="O443">
            <v>0</v>
          </cell>
          <cell r="P443">
            <v>0</v>
          </cell>
          <cell r="Q443">
            <v>0</v>
          </cell>
        </row>
        <row r="444">
          <cell r="A444">
            <v>60030</v>
          </cell>
          <cell r="B444" t="str">
            <v>Bonuses and Commissions</v>
          </cell>
          <cell r="E444">
            <v>0</v>
          </cell>
          <cell r="F444">
            <v>0</v>
          </cell>
          <cell r="G444">
            <v>0</v>
          </cell>
          <cell r="H444">
            <v>0</v>
          </cell>
          <cell r="I444">
            <v>0</v>
          </cell>
          <cell r="J444">
            <v>0</v>
          </cell>
          <cell r="K444">
            <v>0</v>
          </cell>
          <cell r="L444">
            <v>0</v>
          </cell>
          <cell r="M444">
            <v>0</v>
          </cell>
          <cell r="N444">
            <v>0</v>
          </cell>
          <cell r="O444">
            <v>0</v>
          </cell>
          <cell r="P444">
            <v>0</v>
          </cell>
          <cell r="Q444">
            <v>0</v>
          </cell>
        </row>
        <row r="445">
          <cell r="A445">
            <v>60035</v>
          </cell>
          <cell r="B445" t="str">
            <v>Safety Bonuses</v>
          </cell>
          <cell r="E445">
            <v>0</v>
          </cell>
          <cell r="F445">
            <v>0</v>
          </cell>
          <cell r="G445">
            <v>0</v>
          </cell>
          <cell r="H445">
            <v>0</v>
          </cell>
          <cell r="I445">
            <v>0</v>
          </cell>
          <cell r="J445">
            <v>0</v>
          </cell>
          <cell r="K445">
            <v>0</v>
          </cell>
          <cell r="L445">
            <v>0</v>
          </cell>
          <cell r="M445">
            <v>0</v>
          </cell>
          <cell r="N445">
            <v>0</v>
          </cell>
          <cell r="O445">
            <v>0</v>
          </cell>
          <cell r="P445">
            <v>0</v>
          </cell>
          <cell r="Q445">
            <v>0</v>
          </cell>
        </row>
        <row r="446">
          <cell r="A446">
            <v>60037</v>
          </cell>
          <cell r="B446" t="str">
            <v>Termination Pay</v>
          </cell>
          <cell r="E446">
            <v>0</v>
          </cell>
          <cell r="F446">
            <v>0</v>
          </cell>
          <cell r="G446">
            <v>0</v>
          </cell>
          <cell r="H446">
            <v>0</v>
          </cell>
          <cell r="I446">
            <v>0</v>
          </cell>
          <cell r="J446">
            <v>0</v>
          </cell>
          <cell r="K446">
            <v>0</v>
          </cell>
          <cell r="L446">
            <v>0</v>
          </cell>
          <cell r="M446">
            <v>0</v>
          </cell>
          <cell r="N446">
            <v>0</v>
          </cell>
          <cell r="O446">
            <v>0</v>
          </cell>
          <cell r="P446">
            <v>0</v>
          </cell>
          <cell r="Q446">
            <v>0</v>
          </cell>
        </row>
        <row r="447">
          <cell r="A447">
            <v>60045</v>
          </cell>
          <cell r="B447" t="str">
            <v>Contract Labor</v>
          </cell>
          <cell r="E447">
            <v>0</v>
          </cell>
          <cell r="F447">
            <v>0</v>
          </cell>
          <cell r="G447">
            <v>0</v>
          </cell>
          <cell r="H447">
            <v>0</v>
          </cell>
          <cell r="I447">
            <v>0</v>
          </cell>
          <cell r="J447">
            <v>0</v>
          </cell>
          <cell r="K447">
            <v>0</v>
          </cell>
          <cell r="L447">
            <v>0</v>
          </cell>
          <cell r="M447">
            <v>0</v>
          </cell>
          <cell r="N447">
            <v>0</v>
          </cell>
          <cell r="O447">
            <v>0</v>
          </cell>
          <cell r="P447">
            <v>0</v>
          </cell>
          <cell r="Q447">
            <v>0</v>
          </cell>
        </row>
        <row r="448">
          <cell r="A448">
            <v>60050</v>
          </cell>
          <cell r="B448" t="str">
            <v>Payroll Taxes</v>
          </cell>
          <cell r="E448">
            <v>0</v>
          </cell>
          <cell r="F448">
            <v>0</v>
          </cell>
          <cell r="G448">
            <v>0</v>
          </cell>
          <cell r="H448">
            <v>0</v>
          </cell>
          <cell r="I448">
            <v>0</v>
          </cell>
          <cell r="J448">
            <v>0</v>
          </cell>
          <cell r="K448">
            <v>0</v>
          </cell>
          <cell r="L448">
            <v>0</v>
          </cell>
          <cell r="M448">
            <v>0</v>
          </cell>
          <cell r="N448">
            <v>0</v>
          </cell>
          <cell r="O448">
            <v>0</v>
          </cell>
          <cell r="P448">
            <v>0</v>
          </cell>
          <cell r="Q448">
            <v>0</v>
          </cell>
        </row>
        <row r="449">
          <cell r="A449">
            <v>60060</v>
          </cell>
          <cell r="B449" t="str">
            <v>Group Insurance</v>
          </cell>
          <cell r="E449">
            <v>0</v>
          </cell>
          <cell r="F449">
            <v>0</v>
          </cell>
          <cell r="G449">
            <v>0</v>
          </cell>
          <cell r="H449">
            <v>0</v>
          </cell>
          <cell r="I449">
            <v>0</v>
          </cell>
          <cell r="J449">
            <v>0</v>
          </cell>
          <cell r="K449">
            <v>0</v>
          </cell>
          <cell r="L449">
            <v>0</v>
          </cell>
          <cell r="M449">
            <v>0</v>
          </cell>
          <cell r="N449">
            <v>0</v>
          </cell>
          <cell r="O449">
            <v>0</v>
          </cell>
          <cell r="P449">
            <v>0</v>
          </cell>
          <cell r="Q449">
            <v>0</v>
          </cell>
        </row>
        <row r="450">
          <cell r="A450">
            <v>60065</v>
          </cell>
          <cell r="B450" t="str">
            <v>Vacation Pay</v>
          </cell>
          <cell r="E450">
            <v>0</v>
          </cell>
          <cell r="F450">
            <v>0</v>
          </cell>
          <cell r="G450">
            <v>0</v>
          </cell>
          <cell r="H450">
            <v>0</v>
          </cell>
          <cell r="I450">
            <v>0</v>
          </cell>
          <cell r="J450">
            <v>0</v>
          </cell>
          <cell r="K450">
            <v>0</v>
          </cell>
          <cell r="L450">
            <v>8.23</v>
          </cell>
          <cell r="M450">
            <v>-8.23</v>
          </cell>
          <cell r="N450">
            <v>0</v>
          </cell>
          <cell r="O450">
            <v>0</v>
          </cell>
          <cell r="P450">
            <v>0</v>
          </cell>
          <cell r="Q450">
            <v>0</v>
          </cell>
        </row>
        <row r="451">
          <cell r="A451">
            <v>60070</v>
          </cell>
          <cell r="B451" t="str">
            <v>Sick Pay</v>
          </cell>
          <cell r="E451">
            <v>0</v>
          </cell>
          <cell r="F451">
            <v>0</v>
          </cell>
          <cell r="G451">
            <v>0</v>
          </cell>
          <cell r="H451">
            <v>0</v>
          </cell>
          <cell r="I451">
            <v>0</v>
          </cell>
          <cell r="J451">
            <v>0</v>
          </cell>
          <cell r="K451">
            <v>0</v>
          </cell>
          <cell r="L451">
            <v>0</v>
          </cell>
          <cell r="M451">
            <v>0</v>
          </cell>
          <cell r="N451">
            <v>0</v>
          </cell>
          <cell r="O451">
            <v>0</v>
          </cell>
          <cell r="P451">
            <v>0</v>
          </cell>
          <cell r="Q451">
            <v>0</v>
          </cell>
        </row>
        <row r="452">
          <cell r="A452">
            <v>60086</v>
          </cell>
          <cell r="B452" t="str">
            <v>Safety and Training</v>
          </cell>
          <cell r="E452">
            <v>0</v>
          </cell>
          <cell r="F452">
            <v>0</v>
          </cell>
          <cell r="G452">
            <v>0</v>
          </cell>
          <cell r="H452">
            <v>0</v>
          </cell>
          <cell r="I452">
            <v>0</v>
          </cell>
          <cell r="J452">
            <v>0</v>
          </cell>
          <cell r="K452">
            <v>0</v>
          </cell>
          <cell r="L452">
            <v>0</v>
          </cell>
          <cell r="M452">
            <v>0</v>
          </cell>
          <cell r="N452">
            <v>0</v>
          </cell>
          <cell r="O452">
            <v>0</v>
          </cell>
          <cell r="P452">
            <v>0</v>
          </cell>
          <cell r="Q452">
            <v>0</v>
          </cell>
        </row>
        <row r="453">
          <cell r="A453">
            <v>60095</v>
          </cell>
          <cell r="B453" t="str">
            <v>Empl &amp; Commun Activ</v>
          </cell>
          <cell r="E453">
            <v>0</v>
          </cell>
          <cell r="F453">
            <v>0</v>
          </cell>
          <cell r="G453">
            <v>0</v>
          </cell>
          <cell r="H453">
            <v>0</v>
          </cell>
          <cell r="I453">
            <v>0</v>
          </cell>
          <cell r="J453">
            <v>0</v>
          </cell>
          <cell r="K453">
            <v>0</v>
          </cell>
          <cell r="L453">
            <v>0</v>
          </cell>
          <cell r="M453">
            <v>0</v>
          </cell>
          <cell r="N453">
            <v>0</v>
          </cell>
          <cell r="O453">
            <v>0</v>
          </cell>
          <cell r="P453">
            <v>0</v>
          </cell>
          <cell r="Q453">
            <v>0</v>
          </cell>
        </row>
        <row r="454">
          <cell r="A454">
            <v>60105</v>
          </cell>
          <cell r="B454" t="str">
            <v>Employee Relocation</v>
          </cell>
          <cell r="E454">
            <v>0</v>
          </cell>
          <cell r="F454">
            <v>0</v>
          </cell>
          <cell r="G454">
            <v>0</v>
          </cell>
          <cell r="H454">
            <v>0</v>
          </cell>
          <cell r="I454">
            <v>0</v>
          </cell>
          <cell r="J454">
            <v>0</v>
          </cell>
          <cell r="K454">
            <v>0</v>
          </cell>
          <cell r="L454">
            <v>0</v>
          </cell>
          <cell r="M454">
            <v>0</v>
          </cell>
          <cell r="N454">
            <v>0</v>
          </cell>
          <cell r="O454">
            <v>0</v>
          </cell>
          <cell r="P454">
            <v>0</v>
          </cell>
          <cell r="Q454">
            <v>0</v>
          </cell>
        </row>
        <row r="455">
          <cell r="A455">
            <v>60115</v>
          </cell>
          <cell r="B455" t="str">
            <v>School Tuition</v>
          </cell>
          <cell r="E455">
            <v>0</v>
          </cell>
          <cell r="F455">
            <v>0</v>
          </cell>
          <cell r="G455">
            <v>0</v>
          </cell>
          <cell r="H455">
            <v>0</v>
          </cell>
          <cell r="I455">
            <v>0</v>
          </cell>
          <cell r="J455">
            <v>0</v>
          </cell>
          <cell r="K455">
            <v>0</v>
          </cell>
          <cell r="L455">
            <v>0</v>
          </cell>
          <cell r="M455">
            <v>0</v>
          </cell>
          <cell r="N455">
            <v>0</v>
          </cell>
          <cell r="O455">
            <v>0</v>
          </cell>
          <cell r="P455">
            <v>0</v>
          </cell>
          <cell r="Q455">
            <v>0</v>
          </cell>
        </row>
        <row r="456">
          <cell r="A456">
            <v>60116</v>
          </cell>
          <cell r="B456" t="str">
            <v>Pension and Profit Sharing</v>
          </cell>
          <cell r="E456">
            <v>0</v>
          </cell>
          <cell r="F456">
            <v>0</v>
          </cell>
          <cell r="G456">
            <v>0</v>
          </cell>
          <cell r="H456">
            <v>0</v>
          </cell>
          <cell r="I456">
            <v>0</v>
          </cell>
          <cell r="J456">
            <v>0</v>
          </cell>
          <cell r="K456">
            <v>0</v>
          </cell>
          <cell r="L456">
            <v>0</v>
          </cell>
          <cell r="M456">
            <v>0</v>
          </cell>
          <cell r="N456">
            <v>0</v>
          </cell>
          <cell r="O456">
            <v>0</v>
          </cell>
          <cell r="P456">
            <v>0</v>
          </cell>
          <cell r="Q456">
            <v>0</v>
          </cell>
        </row>
        <row r="457">
          <cell r="A457">
            <v>60117</v>
          </cell>
          <cell r="B457" t="str">
            <v>Union Pension</v>
          </cell>
          <cell r="E457">
            <v>0</v>
          </cell>
          <cell r="F457">
            <v>0</v>
          </cell>
          <cell r="G457">
            <v>0</v>
          </cell>
          <cell r="H457">
            <v>0</v>
          </cell>
          <cell r="I457">
            <v>0</v>
          </cell>
          <cell r="J457">
            <v>0</v>
          </cell>
          <cell r="K457">
            <v>0</v>
          </cell>
          <cell r="L457">
            <v>0</v>
          </cell>
          <cell r="M457">
            <v>0</v>
          </cell>
          <cell r="N457">
            <v>0</v>
          </cell>
          <cell r="O457">
            <v>0</v>
          </cell>
          <cell r="P457">
            <v>0</v>
          </cell>
          <cell r="Q457">
            <v>0</v>
          </cell>
        </row>
        <row r="458">
          <cell r="A458">
            <v>60148</v>
          </cell>
          <cell r="B458" t="str">
            <v>Allocated Exp In - District</v>
          </cell>
          <cell r="E458">
            <v>2300</v>
          </cell>
          <cell r="F458">
            <v>2448</v>
          </cell>
          <cell r="G458">
            <v>2391</v>
          </cell>
          <cell r="H458">
            <v>2584.5</v>
          </cell>
          <cell r="I458">
            <v>2565</v>
          </cell>
          <cell r="J458">
            <v>3535</v>
          </cell>
          <cell r="K458">
            <v>2899</v>
          </cell>
          <cell r="L458">
            <v>2443</v>
          </cell>
          <cell r="M458">
            <v>1800</v>
          </cell>
          <cell r="N458">
            <v>2326</v>
          </cell>
          <cell r="O458">
            <v>2339</v>
          </cell>
          <cell r="P458">
            <v>0</v>
          </cell>
          <cell r="Q458">
            <v>27630.5</v>
          </cell>
        </row>
        <row r="459">
          <cell r="A459">
            <v>60149</v>
          </cell>
          <cell r="B459" t="str">
            <v>Allocated Exp In Out - District</v>
          </cell>
          <cell r="E459">
            <v>0</v>
          </cell>
          <cell r="F459">
            <v>0</v>
          </cell>
          <cell r="G459">
            <v>0</v>
          </cell>
          <cell r="H459">
            <v>0</v>
          </cell>
          <cell r="I459">
            <v>0</v>
          </cell>
          <cell r="J459">
            <v>0</v>
          </cell>
          <cell r="K459">
            <v>0</v>
          </cell>
          <cell r="L459">
            <v>0</v>
          </cell>
          <cell r="M459">
            <v>0</v>
          </cell>
          <cell r="N459">
            <v>0</v>
          </cell>
          <cell r="O459">
            <v>0</v>
          </cell>
          <cell r="P459">
            <v>0</v>
          </cell>
          <cell r="Q459">
            <v>0</v>
          </cell>
        </row>
        <row r="460">
          <cell r="A460">
            <v>60165</v>
          </cell>
          <cell r="B460" t="str">
            <v>Communications</v>
          </cell>
          <cell r="E460">
            <v>0</v>
          </cell>
          <cell r="F460">
            <v>0</v>
          </cell>
          <cell r="G460">
            <v>0</v>
          </cell>
          <cell r="H460">
            <v>0</v>
          </cell>
          <cell r="I460">
            <v>0</v>
          </cell>
          <cell r="J460">
            <v>0</v>
          </cell>
          <cell r="K460">
            <v>0</v>
          </cell>
          <cell r="L460">
            <v>0</v>
          </cell>
          <cell r="M460">
            <v>0</v>
          </cell>
          <cell r="N460">
            <v>0</v>
          </cell>
          <cell r="O460">
            <v>0</v>
          </cell>
          <cell r="P460">
            <v>0</v>
          </cell>
          <cell r="Q460">
            <v>0</v>
          </cell>
        </row>
        <row r="461">
          <cell r="A461">
            <v>60170</v>
          </cell>
          <cell r="B461" t="str">
            <v>Real Estate Rentals</v>
          </cell>
          <cell r="E461">
            <v>0</v>
          </cell>
          <cell r="F461">
            <v>0</v>
          </cell>
          <cell r="G461">
            <v>0</v>
          </cell>
          <cell r="H461">
            <v>0</v>
          </cell>
          <cell r="I461">
            <v>0</v>
          </cell>
          <cell r="J461">
            <v>0</v>
          </cell>
          <cell r="K461">
            <v>0</v>
          </cell>
          <cell r="L461">
            <v>0</v>
          </cell>
          <cell r="M461">
            <v>0</v>
          </cell>
          <cell r="N461">
            <v>0</v>
          </cell>
          <cell r="O461">
            <v>0</v>
          </cell>
          <cell r="P461">
            <v>0</v>
          </cell>
          <cell r="Q461">
            <v>0</v>
          </cell>
        </row>
        <row r="462">
          <cell r="A462">
            <v>60175</v>
          </cell>
          <cell r="B462" t="str">
            <v>Equip/Vehicle Rental</v>
          </cell>
          <cell r="E462">
            <v>0</v>
          </cell>
          <cell r="F462">
            <v>0</v>
          </cell>
          <cell r="G462">
            <v>0</v>
          </cell>
          <cell r="H462">
            <v>0</v>
          </cell>
          <cell r="I462">
            <v>0</v>
          </cell>
          <cell r="J462">
            <v>0</v>
          </cell>
          <cell r="K462">
            <v>0</v>
          </cell>
          <cell r="L462">
            <v>0</v>
          </cell>
          <cell r="M462">
            <v>0</v>
          </cell>
          <cell r="N462">
            <v>0</v>
          </cell>
          <cell r="O462">
            <v>0</v>
          </cell>
          <cell r="P462">
            <v>0</v>
          </cell>
          <cell r="Q462">
            <v>0</v>
          </cell>
        </row>
        <row r="463">
          <cell r="A463">
            <v>60185</v>
          </cell>
          <cell r="B463" t="str">
            <v>Postage</v>
          </cell>
          <cell r="E463">
            <v>198.54</v>
          </cell>
          <cell r="F463">
            <v>0</v>
          </cell>
          <cell r="G463">
            <v>0</v>
          </cell>
          <cell r="H463">
            <v>0</v>
          </cell>
          <cell r="I463">
            <v>0</v>
          </cell>
          <cell r="J463">
            <v>0</v>
          </cell>
          <cell r="K463">
            <v>0</v>
          </cell>
          <cell r="L463">
            <v>0</v>
          </cell>
          <cell r="M463">
            <v>0</v>
          </cell>
          <cell r="N463">
            <v>0</v>
          </cell>
          <cell r="O463">
            <v>0</v>
          </cell>
          <cell r="P463">
            <v>0</v>
          </cell>
          <cell r="Q463">
            <v>198.54</v>
          </cell>
        </row>
        <row r="464">
          <cell r="A464">
            <v>60195</v>
          </cell>
          <cell r="B464" t="str">
            <v>Dues and Subscriptions</v>
          </cell>
          <cell r="E464">
            <v>0</v>
          </cell>
          <cell r="F464">
            <v>0</v>
          </cell>
          <cell r="G464">
            <v>0</v>
          </cell>
          <cell r="H464">
            <v>0</v>
          </cell>
          <cell r="I464">
            <v>0</v>
          </cell>
          <cell r="J464">
            <v>0</v>
          </cell>
          <cell r="K464">
            <v>0</v>
          </cell>
          <cell r="L464">
            <v>0</v>
          </cell>
          <cell r="M464">
            <v>0</v>
          </cell>
          <cell r="N464">
            <v>0</v>
          </cell>
          <cell r="O464">
            <v>0</v>
          </cell>
          <cell r="P464">
            <v>0</v>
          </cell>
          <cell r="Q464">
            <v>0</v>
          </cell>
        </row>
        <row r="465">
          <cell r="A465">
            <v>60196</v>
          </cell>
          <cell r="B465" t="str">
            <v>Club Dues</v>
          </cell>
          <cell r="E465">
            <v>0</v>
          </cell>
          <cell r="F465">
            <v>0</v>
          </cell>
          <cell r="G465">
            <v>0</v>
          </cell>
          <cell r="H465">
            <v>0</v>
          </cell>
          <cell r="I465">
            <v>0</v>
          </cell>
          <cell r="J465">
            <v>0</v>
          </cell>
          <cell r="K465">
            <v>0</v>
          </cell>
          <cell r="L465">
            <v>0</v>
          </cell>
          <cell r="M465">
            <v>0</v>
          </cell>
          <cell r="N465">
            <v>0</v>
          </cell>
          <cell r="O465">
            <v>0</v>
          </cell>
          <cell r="P465">
            <v>0</v>
          </cell>
          <cell r="Q465">
            <v>0</v>
          </cell>
        </row>
        <row r="466">
          <cell r="A466">
            <v>60200</v>
          </cell>
          <cell r="B466" t="str">
            <v>Travel</v>
          </cell>
          <cell r="E466">
            <v>0</v>
          </cell>
          <cell r="F466">
            <v>0</v>
          </cell>
          <cell r="G466">
            <v>0</v>
          </cell>
          <cell r="H466">
            <v>0</v>
          </cell>
          <cell r="I466">
            <v>0</v>
          </cell>
          <cell r="J466">
            <v>0</v>
          </cell>
          <cell r="K466">
            <v>0</v>
          </cell>
          <cell r="L466">
            <v>0</v>
          </cell>
          <cell r="M466">
            <v>0</v>
          </cell>
          <cell r="N466">
            <v>0</v>
          </cell>
          <cell r="O466">
            <v>0</v>
          </cell>
          <cell r="P466">
            <v>0</v>
          </cell>
          <cell r="Q466">
            <v>0</v>
          </cell>
        </row>
        <row r="467">
          <cell r="A467">
            <v>60201</v>
          </cell>
          <cell r="B467" t="str">
            <v>Entertainment</v>
          </cell>
          <cell r="E467">
            <v>0</v>
          </cell>
          <cell r="F467">
            <v>0</v>
          </cell>
          <cell r="G467">
            <v>0</v>
          </cell>
          <cell r="H467">
            <v>0</v>
          </cell>
          <cell r="I467">
            <v>0</v>
          </cell>
          <cell r="J467">
            <v>0</v>
          </cell>
          <cell r="K467">
            <v>0</v>
          </cell>
          <cell r="L467">
            <v>0</v>
          </cell>
          <cell r="M467">
            <v>0</v>
          </cell>
          <cell r="N467">
            <v>0</v>
          </cell>
          <cell r="O467">
            <v>0</v>
          </cell>
          <cell r="P467">
            <v>0</v>
          </cell>
          <cell r="Q467">
            <v>0</v>
          </cell>
        </row>
        <row r="468">
          <cell r="A468">
            <v>60205</v>
          </cell>
          <cell r="B468" t="str">
            <v>Travel - Auto</v>
          </cell>
          <cell r="E468">
            <v>0</v>
          </cell>
          <cell r="F468">
            <v>0</v>
          </cell>
          <cell r="G468">
            <v>0</v>
          </cell>
          <cell r="H468">
            <v>0</v>
          </cell>
          <cell r="I468">
            <v>0</v>
          </cell>
          <cell r="J468">
            <v>0</v>
          </cell>
          <cell r="K468">
            <v>58.5</v>
          </cell>
          <cell r="L468">
            <v>177.74</v>
          </cell>
          <cell r="M468">
            <v>-77.739999999999995</v>
          </cell>
          <cell r="N468">
            <v>0</v>
          </cell>
          <cell r="O468">
            <v>75.52</v>
          </cell>
          <cell r="P468">
            <v>23.74</v>
          </cell>
          <cell r="Q468">
            <v>257.76</v>
          </cell>
        </row>
        <row r="469">
          <cell r="A469">
            <v>60210</v>
          </cell>
          <cell r="B469" t="str">
            <v>Office Supplies and Equip</v>
          </cell>
          <cell r="E469">
            <v>0</v>
          </cell>
          <cell r="F469">
            <v>0</v>
          </cell>
          <cell r="G469">
            <v>0</v>
          </cell>
          <cell r="H469">
            <v>0</v>
          </cell>
          <cell r="I469">
            <v>0</v>
          </cell>
          <cell r="J469">
            <v>0</v>
          </cell>
          <cell r="K469">
            <v>0</v>
          </cell>
          <cell r="L469">
            <v>0</v>
          </cell>
          <cell r="M469">
            <v>0</v>
          </cell>
          <cell r="N469">
            <v>0</v>
          </cell>
          <cell r="O469">
            <v>0</v>
          </cell>
          <cell r="P469">
            <v>0</v>
          </cell>
          <cell r="Q469">
            <v>0</v>
          </cell>
        </row>
        <row r="470">
          <cell r="A470">
            <v>60225</v>
          </cell>
          <cell r="B470" t="str">
            <v>Advertising and Promotions</v>
          </cell>
          <cell r="E470">
            <v>12977.33</v>
          </cell>
          <cell r="F470">
            <v>949.64</v>
          </cell>
          <cell r="G470">
            <v>5900.84</v>
          </cell>
          <cell r="H470">
            <v>4161.1099999999997</v>
          </cell>
          <cell r="I470">
            <v>3165.78</v>
          </cell>
          <cell r="J470">
            <v>4520.0600000000004</v>
          </cell>
          <cell r="K470">
            <v>1806.35</v>
          </cell>
          <cell r="L470">
            <v>955.59</v>
          </cell>
          <cell r="M470">
            <v>28827.18</v>
          </cell>
          <cell r="N470">
            <v>25999.119999999999</v>
          </cell>
          <cell r="O470">
            <v>1245.2</v>
          </cell>
          <cell r="P470">
            <v>38523.21</v>
          </cell>
          <cell r="Q470">
            <v>129031.41</v>
          </cell>
        </row>
        <row r="471">
          <cell r="A471">
            <v>60234</v>
          </cell>
          <cell r="B471" t="str">
            <v>O/S Sales Exp</v>
          </cell>
          <cell r="E471">
            <v>0</v>
          </cell>
          <cell r="F471">
            <v>0</v>
          </cell>
          <cell r="G471">
            <v>0</v>
          </cell>
          <cell r="H471">
            <v>0</v>
          </cell>
          <cell r="I471">
            <v>0</v>
          </cell>
          <cell r="J471">
            <v>0</v>
          </cell>
          <cell r="K471">
            <v>0</v>
          </cell>
          <cell r="L471">
            <v>0</v>
          </cell>
          <cell r="M471">
            <v>0</v>
          </cell>
          <cell r="N471">
            <v>0</v>
          </cell>
          <cell r="O471">
            <v>0</v>
          </cell>
          <cell r="P471">
            <v>0</v>
          </cell>
          <cell r="Q471">
            <v>0</v>
          </cell>
        </row>
        <row r="472">
          <cell r="A472">
            <v>60255</v>
          </cell>
          <cell r="B472" t="str">
            <v>Other Prof Fees</v>
          </cell>
          <cell r="E472">
            <v>0</v>
          </cell>
          <cell r="F472">
            <v>0</v>
          </cell>
          <cell r="G472">
            <v>0</v>
          </cell>
          <cell r="H472">
            <v>0</v>
          </cell>
          <cell r="I472">
            <v>0</v>
          </cell>
          <cell r="J472">
            <v>0</v>
          </cell>
          <cell r="K472">
            <v>0</v>
          </cell>
          <cell r="L472">
            <v>0</v>
          </cell>
          <cell r="M472">
            <v>0</v>
          </cell>
          <cell r="N472">
            <v>0</v>
          </cell>
          <cell r="O472">
            <v>0</v>
          </cell>
          <cell r="P472">
            <v>0</v>
          </cell>
          <cell r="Q472">
            <v>0</v>
          </cell>
        </row>
        <row r="473">
          <cell r="A473">
            <v>60326</v>
          </cell>
          <cell r="B473" t="str">
            <v>Deduct - Current Yr</v>
          </cell>
          <cell r="E473">
            <v>0</v>
          </cell>
          <cell r="F473">
            <v>0</v>
          </cell>
          <cell r="G473">
            <v>0</v>
          </cell>
          <cell r="H473">
            <v>0</v>
          </cell>
          <cell r="I473">
            <v>0</v>
          </cell>
          <cell r="J473">
            <v>0</v>
          </cell>
          <cell r="K473">
            <v>0</v>
          </cell>
          <cell r="L473">
            <v>0</v>
          </cell>
          <cell r="M473">
            <v>0</v>
          </cell>
          <cell r="N473">
            <v>0</v>
          </cell>
          <cell r="O473">
            <v>0</v>
          </cell>
          <cell r="P473">
            <v>0</v>
          </cell>
          <cell r="Q473">
            <v>0</v>
          </cell>
        </row>
        <row r="474">
          <cell r="A474">
            <v>60327</v>
          </cell>
          <cell r="B474" t="str">
            <v>Deduct - Damage</v>
          </cell>
          <cell r="E474">
            <v>0</v>
          </cell>
          <cell r="F474">
            <v>0</v>
          </cell>
          <cell r="G474">
            <v>0</v>
          </cell>
          <cell r="H474">
            <v>0</v>
          </cell>
          <cell r="I474">
            <v>0</v>
          </cell>
          <cell r="J474">
            <v>0</v>
          </cell>
          <cell r="K474">
            <v>0</v>
          </cell>
          <cell r="L474">
            <v>0</v>
          </cell>
          <cell r="M474">
            <v>0</v>
          </cell>
          <cell r="N474">
            <v>0</v>
          </cell>
          <cell r="O474">
            <v>0</v>
          </cell>
          <cell r="P474">
            <v>0</v>
          </cell>
          <cell r="Q474">
            <v>0</v>
          </cell>
        </row>
        <row r="475">
          <cell r="A475">
            <v>60328</v>
          </cell>
          <cell r="B475" t="str">
            <v>Claim Recoveries</v>
          </cell>
          <cell r="E475">
            <v>0</v>
          </cell>
          <cell r="F475">
            <v>0</v>
          </cell>
          <cell r="G475">
            <v>0</v>
          </cell>
          <cell r="H475">
            <v>0</v>
          </cell>
          <cell r="I475">
            <v>0</v>
          </cell>
          <cell r="J475">
            <v>0</v>
          </cell>
          <cell r="K475">
            <v>0</v>
          </cell>
          <cell r="L475">
            <v>0</v>
          </cell>
          <cell r="M475">
            <v>0</v>
          </cell>
          <cell r="N475">
            <v>0</v>
          </cell>
          <cell r="O475">
            <v>0</v>
          </cell>
          <cell r="P475">
            <v>0</v>
          </cell>
          <cell r="Q475">
            <v>0</v>
          </cell>
        </row>
        <row r="476">
          <cell r="A476">
            <v>60330</v>
          </cell>
          <cell r="B476" t="str">
            <v>Deduct Prior Year</v>
          </cell>
          <cell r="E476">
            <v>0</v>
          </cell>
          <cell r="F476">
            <v>0</v>
          </cell>
          <cell r="G476">
            <v>0</v>
          </cell>
          <cell r="H476">
            <v>0</v>
          </cell>
          <cell r="I476">
            <v>0</v>
          </cell>
          <cell r="J476">
            <v>0</v>
          </cell>
          <cell r="K476">
            <v>0</v>
          </cell>
          <cell r="L476">
            <v>0</v>
          </cell>
          <cell r="M476">
            <v>0</v>
          </cell>
          <cell r="N476">
            <v>0</v>
          </cell>
          <cell r="O476">
            <v>0</v>
          </cell>
          <cell r="P476">
            <v>0</v>
          </cell>
          <cell r="Q476">
            <v>0</v>
          </cell>
        </row>
        <row r="477">
          <cell r="A477">
            <v>60335</v>
          </cell>
          <cell r="B477" t="str">
            <v>Miscellaneous</v>
          </cell>
          <cell r="E477">
            <v>0</v>
          </cell>
          <cell r="F477">
            <v>0</v>
          </cell>
          <cell r="G477">
            <v>0</v>
          </cell>
          <cell r="H477">
            <v>0</v>
          </cell>
          <cell r="I477">
            <v>0</v>
          </cell>
          <cell r="J477">
            <v>0</v>
          </cell>
          <cell r="K477">
            <v>0</v>
          </cell>
          <cell r="L477">
            <v>0</v>
          </cell>
          <cell r="M477">
            <v>0</v>
          </cell>
          <cell r="N477">
            <v>0</v>
          </cell>
          <cell r="O477">
            <v>0</v>
          </cell>
          <cell r="P477">
            <v>0</v>
          </cell>
          <cell r="Q477">
            <v>0</v>
          </cell>
        </row>
        <row r="478">
          <cell r="A478">
            <v>60998</v>
          </cell>
          <cell r="B478" t="str">
            <v>Allocation Out - District</v>
          </cell>
          <cell r="E478">
            <v>0</v>
          </cell>
          <cell r="F478">
            <v>0</v>
          </cell>
          <cell r="G478">
            <v>0</v>
          </cell>
          <cell r="H478">
            <v>0</v>
          </cell>
          <cell r="I478">
            <v>0</v>
          </cell>
          <cell r="J478">
            <v>0</v>
          </cell>
          <cell r="K478">
            <v>0</v>
          </cell>
          <cell r="L478">
            <v>0</v>
          </cell>
          <cell r="M478">
            <v>0</v>
          </cell>
          <cell r="N478">
            <v>0</v>
          </cell>
          <cell r="O478">
            <v>0</v>
          </cell>
          <cell r="P478">
            <v>0</v>
          </cell>
          <cell r="Q478">
            <v>0</v>
          </cell>
        </row>
        <row r="479">
          <cell r="A479">
            <v>60999</v>
          </cell>
          <cell r="B479" t="str">
            <v>Allocation Out - Out District</v>
          </cell>
          <cell r="E479">
            <v>0</v>
          </cell>
          <cell r="F479">
            <v>0</v>
          </cell>
          <cell r="G479">
            <v>0</v>
          </cell>
          <cell r="H479">
            <v>0</v>
          </cell>
          <cell r="I479">
            <v>0</v>
          </cell>
          <cell r="J479">
            <v>0</v>
          </cell>
          <cell r="K479">
            <v>0</v>
          </cell>
          <cell r="L479">
            <v>0</v>
          </cell>
          <cell r="M479">
            <v>0</v>
          </cell>
          <cell r="N479">
            <v>0</v>
          </cell>
          <cell r="O479">
            <v>0</v>
          </cell>
          <cell r="P479">
            <v>0</v>
          </cell>
          <cell r="Q479">
            <v>0</v>
          </cell>
        </row>
        <row r="480">
          <cell r="A480" t="str">
            <v>Total Sales</v>
          </cell>
          <cell r="E480">
            <v>15475.869999999999</v>
          </cell>
          <cell r="F480">
            <v>3397.64</v>
          </cell>
          <cell r="G480">
            <v>8291.84</v>
          </cell>
          <cell r="H480">
            <v>6745.61</v>
          </cell>
          <cell r="I480">
            <v>5730.7800000000007</v>
          </cell>
          <cell r="J480">
            <v>8055.06</v>
          </cell>
          <cell r="K480">
            <v>4763.8500000000004</v>
          </cell>
          <cell r="L480">
            <v>3584.5600000000004</v>
          </cell>
          <cell r="M480">
            <v>30541.21</v>
          </cell>
          <cell r="N480">
            <v>28325.119999999999</v>
          </cell>
          <cell r="O480">
            <v>3659.7200000000003</v>
          </cell>
          <cell r="P480">
            <v>38546.949999999997</v>
          </cell>
          <cell r="Q480">
            <v>157118.21</v>
          </cell>
        </row>
        <row r="482">
          <cell r="A482" t="str">
            <v>G&amp;A</v>
          </cell>
        </row>
        <row r="483">
          <cell r="A483">
            <v>70010</v>
          </cell>
          <cell r="B483" t="str">
            <v>Salaries</v>
          </cell>
          <cell r="E483">
            <v>31950.25</v>
          </cell>
          <cell r="F483">
            <v>29217.37</v>
          </cell>
          <cell r="G483">
            <v>34993.21</v>
          </cell>
          <cell r="H483">
            <v>32805.65</v>
          </cell>
          <cell r="I483">
            <v>33117.839999999997</v>
          </cell>
          <cell r="J483">
            <v>36102.11</v>
          </cell>
          <cell r="K483">
            <v>36862.230000000003</v>
          </cell>
          <cell r="L483">
            <v>32246.880000000001</v>
          </cell>
          <cell r="M483">
            <v>35474.660000000003</v>
          </cell>
          <cell r="N483">
            <v>34757.17</v>
          </cell>
          <cell r="O483">
            <v>34601.15</v>
          </cell>
          <cell r="P483">
            <v>36751.879999999997</v>
          </cell>
          <cell r="Q483">
            <v>408880.39999999997</v>
          </cell>
        </row>
        <row r="484">
          <cell r="A484">
            <v>70015</v>
          </cell>
          <cell r="B484" t="str">
            <v>Deferred Comp Earnings</v>
          </cell>
          <cell r="E484">
            <v>0</v>
          </cell>
          <cell r="F484">
            <v>0</v>
          </cell>
          <cell r="G484">
            <v>0</v>
          </cell>
          <cell r="H484">
            <v>0</v>
          </cell>
          <cell r="I484">
            <v>0</v>
          </cell>
          <cell r="J484">
            <v>0</v>
          </cell>
          <cell r="K484">
            <v>0</v>
          </cell>
          <cell r="L484">
            <v>0</v>
          </cell>
          <cell r="M484">
            <v>0</v>
          </cell>
          <cell r="N484">
            <v>0</v>
          </cell>
          <cell r="O484">
            <v>0</v>
          </cell>
          <cell r="P484">
            <v>0</v>
          </cell>
          <cell r="Q484">
            <v>0</v>
          </cell>
        </row>
        <row r="485">
          <cell r="A485">
            <v>70020</v>
          </cell>
          <cell r="B485" t="str">
            <v>Wages Regular</v>
          </cell>
          <cell r="E485">
            <v>39238.25</v>
          </cell>
          <cell r="F485">
            <v>41055.800000000003</v>
          </cell>
          <cell r="G485">
            <v>43441.67</v>
          </cell>
          <cell r="H485">
            <v>43159.68</v>
          </cell>
          <cell r="I485">
            <v>40707.99</v>
          </cell>
          <cell r="J485">
            <v>44340.75</v>
          </cell>
          <cell r="K485">
            <v>44034.15</v>
          </cell>
          <cell r="L485">
            <v>37123.65</v>
          </cell>
          <cell r="M485">
            <v>40606.129999999997</v>
          </cell>
          <cell r="N485">
            <v>42194.06</v>
          </cell>
          <cell r="O485">
            <v>45471.69</v>
          </cell>
          <cell r="P485">
            <v>48949.11</v>
          </cell>
          <cell r="Q485">
            <v>510322.93</v>
          </cell>
        </row>
        <row r="486">
          <cell r="A486">
            <v>70025</v>
          </cell>
          <cell r="B486" t="str">
            <v>Wages O.T.</v>
          </cell>
          <cell r="E486">
            <v>2096.58</v>
          </cell>
          <cell r="F486">
            <v>2256.92</v>
          </cell>
          <cell r="G486">
            <v>520.88</v>
          </cell>
          <cell r="H486">
            <v>1862.34</v>
          </cell>
          <cell r="I486">
            <v>3126.98</v>
          </cell>
          <cell r="J486">
            <v>1540.45</v>
          </cell>
          <cell r="K486">
            <v>2442.46</v>
          </cell>
          <cell r="L486">
            <v>2985.84</v>
          </cell>
          <cell r="M486">
            <v>1455.97</v>
          </cell>
          <cell r="N486">
            <v>1845.98</v>
          </cell>
          <cell r="O486">
            <v>2373.81</v>
          </cell>
          <cell r="P486">
            <v>1626.79</v>
          </cell>
          <cell r="Q486">
            <v>24135.000000000004</v>
          </cell>
        </row>
        <row r="487">
          <cell r="A487">
            <v>70030</v>
          </cell>
          <cell r="B487" t="str">
            <v>Corp Allocated Bonus</v>
          </cell>
          <cell r="E487">
            <v>0</v>
          </cell>
          <cell r="F487">
            <v>0</v>
          </cell>
          <cell r="G487">
            <v>0</v>
          </cell>
          <cell r="H487">
            <v>0</v>
          </cell>
          <cell r="I487">
            <v>0</v>
          </cell>
          <cell r="J487">
            <v>0</v>
          </cell>
          <cell r="K487">
            <v>0</v>
          </cell>
          <cell r="L487">
            <v>0</v>
          </cell>
          <cell r="M487">
            <v>0</v>
          </cell>
          <cell r="N487">
            <v>0</v>
          </cell>
          <cell r="O487">
            <v>0</v>
          </cell>
          <cell r="P487">
            <v>0</v>
          </cell>
          <cell r="Q487">
            <v>0</v>
          </cell>
        </row>
        <row r="488">
          <cell r="A488">
            <v>70035</v>
          </cell>
          <cell r="B488" t="str">
            <v>Safety Bonuses</v>
          </cell>
          <cell r="E488">
            <v>0</v>
          </cell>
          <cell r="F488">
            <v>0</v>
          </cell>
          <cell r="G488">
            <v>0</v>
          </cell>
          <cell r="H488">
            <v>0</v>
          </cell>
          <cell r="I488">
            <v>0</v>
          </cell>
          <cell r="J488">
            <v>0</v>
          </cell>
          <cell r="K488">
            <v>0</v>
          </cell>
          <cell r="L488">
            <v>0</v>
          </cell>
          <cell r="M488">
            <v>0</v>
          </cell>
          <cell r="N488">
            <v>0</v>
          </cell>
          <cell r="O488">
            <v>0</v>
          </cell>
          <cell r="P488">
            <v>0</v>
          </cell>
          <cell r="Q488">
            <v>0</v>
          </cell>
        </row>
        <row r="489">
          <cell r="A489">
            <v>70036</v>
          </cell>
          <cell r="B489" t="str">
            <v>Other Bonus/Commission - Non-Safety</v>
          </cell>
          <cell r="E489">
            <v>4809.7700000000004</v>
          </cell>
          <cell r="F489">
            <v>2140.23</v>
          </cell>
          <cell r="G489">
            <v>5107.6499999999996</v>
          </cell>
          <cell r="H489">
            <v>4226.5600000000004</v>
          </cell>
          <cell r="I489">
            <v>1425.85</v>
          </cell>
          <cell r="J489">
            <v>387.84</v>
          </cell>
          <cell r="K489">
            <v>100</v>
          </cell>
          <cell r="L489">
            <v>3426.61</v>
          </cell>
          <cell r="M489">
            <v>665.4</v>
          </cell>
          <cell r="N489">
            <v>-1015.84</v>
          </cell>
          <cell r="O489">
            <v>581.19000000000005</v>
          </cell>
          <cell r="P489">
            <v>5025.8500000000004</v>
          </cell>
          <cell r="Q489">
            <v>26881.11</v>
          </cell>
        </row>
        <row r="490">
          <cell r="A490">
            <v>70037</v>
          </cell>
          <cell r="B490" t="str">
            <v>Termination Pay</v>
          </cell>
          <cell r="E490">
            <v>0</v>
          </cell>
          <cell r="F490">
            <v>0</v>
          </cell>
          <cell r="G490">
            <v>0</v>
          </cell>
          <cell r="H490">
            <v>0</v>
          </cell>
          <cell r="I490">
            <v>0</v>
          </cell>
          <cell r="J490">
            <v>0</v>
          </cell>
          <cell r="K490">
            <v>0</v>
          </cell>
          <cell r="L490">
            <v>0</v>
          </cell>
          <cell r="M490">
            <v>0</v>
          </cell>
          <cell r="N490">
            <v>0</v>
          </cell>
          <cell r="O490">
            <v>0</v>
          </cell>
          <cell r="P490">
            <v>0</v>
          </cell>
          <cell r="Q490">
            <v>0</v>
          </cell>
        </row>
        <row r="491">
          <cell r="A491">
            <v>70045</v>
          </cell>
          <cell r="B491" t="str">
            <v>Contract Labor</v>
          </cell>
          <cell r="E491">
            <v>6680.67</v>
          </cell>
          <cell r="F491">
            <v>232.03</v>
          </cell>
          <cell r="G491">
            <v>0</v>
          </cell>
          <cell r="H491">
            <v>0</v>
          </cell>
          <cell r="I491">
            <v>0</v>
          </cell>
          <cell r="J491">
            <v>0</v>
          </cell>
          <cell r="K491">
            <v>0</v>
          </cell>
          <cell r="L491">
            <v>10440.92</v>
          </cell>
          <cell r="M491">
            <v>7401.37</v>
          </cell>
          <cell r="N491">
            <v>14152.75</v>
          </cell>
          <cell r="O491">
            <v>1820.49</v>
          </cell>
          <cell r="P491">
            <v>6453.68</v>
          </cell>
          <cell r="Q491">
            <v>47181.909999999996</v>
          </cell>
        </row>
        <row r="492">
          <cell r="A492">
            <v>70050</v>
          </cell>
          <cell r="B492" t="str">
            <v>Payroll Taxes</v>
          </cell>
          <cell r="E492">
            <v>9179.65</v>
          </cell>
          <cell r="F492">
            <v>6291.4</v>
          </cell>
          <cell r="G492">
            <v>7661.43</v>
          </cell>
          <cell r="H492">
            <v>6697.51</v>
          </cell>
          <cell r="I492">
            <v>6629.71</v>
          </cell>
          <cell r="J492">
            <v>7324.51</v>
          </cell>
          <cell r="K492">
            <v>5887.85</v>
          </cell>
          <cell r="L492">
            <v>5608.72</v>
          </cell>
          <cell r="M492">
            <v>5768.98</v>
          </cell>
          <cell r="N492">
            <v>5999.27</v>
          </cell>
          <cell r="O492">
            <v>6190.7</v>
          </cell>
          <cell r="P492">
            <v>6776.28</v>
          </cell>
          <cell r="Q492">
            <v>80016.009999999995</v>
          </cell>
        </row>
        <row r="493">
          <cell r="A493">
            <v>70060</v>
          </cell>
          <cell r="B493" t="str">
            <v>Group Insurance</v>
          </cell>
          <cell r="E493">
            <v>10365.61</v>
          </cell>
          <cell r="F493">
            <v>10230.65</v>
          </cell>
          <cell r="G493">
            <v>8851.43</v>
          </cell>
          <cell r="H493">
            <v>12049.32</v>
          </cell>
          <cell r="I493">
            <v>9943.51</v>
          </cell>
          <cell r="J493">
            <v>9742.43</v>
          </cell>
          <cell r="K493">
            <v>9734.74</v>
          </cell>
          <cell r="L493">
            <v>9561.06</v>
          </cell>
          <cell r="M493">
            <v>8494.4699999999993</v>
          </cell>
          <cell r="N493">
            <v>11177.83</v>
          </cell>
          <cell r="O493">
            <v>11411.65</v>
          </cell>
          <cell r="P493">
            <v>11731.69</v>
          </cell>
          <cell r="Q493">
            <v>123294.39</v>
          </cell>
        </row>
        <row r="494">
          <cell r="A494">
            <v>70065</v>
          </cell>
          <cell r="B494" t="str">
            <v>Vacation Pay</v>
          </cell>
          <cell r="E494">
            <v>5445.15</v>
          </cell>
          <cell r="F494">
            <v>2867.53</v>
          </cell>
          <cell r="G494">
            <v>2000.31</v>
          </cell>
          <cell r="H494">
            <v>3981.39</v>
          </cell>
          <cell r="I494">
            <v>4870.18</v>
          </cell>
          <cell r="J494">
            <v>3114.5</v>
          </cell>
          <cell r="K494">
            <v>4765.6099999999997</v>
          </cell>
          <cell r="L494">
            <v>2058.0100000000002</v>
          </cell>
          <cell r="M494">
            <v>3147.12</v>
          </cell>
          <cell r="N494">
            <v>4048.56</v>
          </cell>
          <cell r="O494">
            <v>2256.75</v>
          </cell>
          <cell r="P494">
            <v>3468.68</v>
          </cell>
          <cell r="Q494">
            <v>42023.79</v>
          </cell>
        </row>
        <row r="495">
          <cell r="A495">
            <v>70070</v>
          </cell>
          <cell r="B495" t="str">
            <v>Sick Pay</v>
          </cell>
          <cell r="E495">
            <v>334.55</v>
          </cell>
          <cell r="F495">
            <v>550.89</v>
          </cell>
          <cell r="G495">
            <v>1270.23</v>
          </cell>
          <cell r="H495">
            <v>745.77</v>
          </cell>
          <cell r="I495">
            <v>1246.57</v>
          </cell>
          <cell r="J495">
            <v>334.08</v>
          </cell>
          <cell r="K495">
            <v>365.29</v>
          </cell>
          <cell r="L495">
            <v>1258.6099999999999</v>
          </cell>
          <cell r="M495">
            <v>594.48</v>
          </cell>
          <cell r="N495">
            <v>799.28</v>
          </cell>
          <cell r="O495">
            <v>359.64</v>
          </cell>
          <cell r="P495">
            <v>428.72</v>
          </cell>
          <cell r="Q495">
            <v>8288.1099999999988</v>
          </cell>
        </row>
        <row r="496">
          <cell r="A496">
            <v>70086</v>
          </cell>
          <cell r="B496" t="str">
            <v>Safety and Training</v>
          </cell>
          <cell r="E496">
            <v>307.08999999999997</v>
          </cell>
          <cell r="F496">
            <v>-262.68</v>
          </cell>
          <cell r="G496">
            <v>0</v>
          </cell>
          <cell r="H496">
            <v>0</v>
          </cell>
          <cell r="I496">
            <v>0</v>
          </cell>
          <cell r="J496">
            <v>0</v>
          </cell>
          <cell r="K496">
            <v>0</v>
          </cell>
          <cell r="L496">
            <v>0</v>
          </cell>
          <cell r="M496">
            <v>146.11000000000001</v>
          </cell>
          <cell r="N496">
            <v>550</v>
          </cell>
          <cell r="O496">
            <v>70</v>
          </cell>
          <cell r="P496">
            <v>2091.2399999999998</v>
          </cell>
          <cell r="Q496">
            <v>2901.7599999999998</v>
          </cell>
        </row>
        <row r="497">
          <cell r="A497">
            <v>70090</v>
          </cell>
          <cell r="B497" t="str">
            <v>WCN Training</v>
          </cell>
          <cell r="E497">
            <v>0</v>
          </cell>
          <cell r="F497">
            <v>912.78</v>
          </cell>
          <cell r="G497">
            <v>0</v>
          </cell>
          <cell r="H497">
            <v>0</v>
          </cell>
          <cell r="I497">
            <v>0</v>
          </cell>
          <cell r="J497">
            <v>0</v>
          </cell>
          <cell r="K497">
            <v>0</v>
          </cell>
          <cell r="L497">
            <v>0</v>
          </cell>
          <cell r="M497">
            <v>0</v>
          </cell>
          <cell r="N497">
            <v>0</v>
          </cell>
          <cell r="O497">
            <v>0</v>
          </cell>
          <cell r="P497">
            <v>0</v>
          </cell>
          <cell r="Q497">
            <v>912.78</v>
          </cell>
        </row>
        <row r="498">
          <cell r="A498">
            <v>70095</v>
          </cell>
          <cell r="B498" t="str">
            <v>Empl &amp; Commun Activ</v>
          </cell>
          <cell r="E498">
            <v>14055.36</v>
          </cell>
          <cell r="F498">
            <v>3129.49</v>
          </cell>
          <cell r="G498">
            <v>-8366.42</v>
          </cell>
          <cell r="H498">
            <v>1482.03</v>
          </cell>
          <cell r="I498">
            <v>4740.3999999999996</v>
          </cell>
          <cell r="J498">
            <v>5688.11</v>
          </cell>
          <cell r="K498">
            <v>11283.12</v>
          </cell>
          <cell r="L498">
            <v>21266.09</v>
          </cell>
          <cell r="M498">
            <v>1553.42</v>
          </cell>
          <cell r="N498">
            <v>3453.38</v>
          </cell>
          <cell r="O498">
            <v>4558.05</v>
          </cell>
          <cell r="P498">
            <v>3947.63</v>
          </cell>
          <cell r="Q498">
            <v>66790.659999999989</v>
          </cell>
        </row>
        <row r="499">
          <cell r="A499">
            <v>70105</v>
          </cell>
          <cell r="B499" t="str">
            <v>Employee Relocation</v>
          </cell>
          <cell r="E499">
            <v>0</v>
          </cell>
          <cell r="F499">
            <v>0</v>
          </cell>
          <cell r="G499">
            <v>0</v>
          </cell>
          <cell r="H499">
            <v>0</v>
          </cell>
          <cell r="I499">
            <v>0</v>
          </cell>
          <cell r="J499">
            <v>0</v>
          </cell>
          <cell r="K499">
            <v>0</v>
          </cell>
          <cell r="L499">
            <v>0</v>
          </cell>
          <cell r="M499">
            <v>0</v>
          </cell>
          <cell r="N499">
            <v>0</v>
          </cell>
          <cell r="O499">
            <v>0</v>
          </cell>
          <cell r="P499">
            <v>0</v>
          </cell>
          <cell r="Q499">
            <v>0</v>
          </cell>
        </row>
        <row r="500">
          <cell r="A500">
            <v>70107</v>
          </cell>
          <cell r="B500" t="str">
            <v>Housing Subsidy</v>
          </cell>
          <cell r="E500">
            <v>0</v>
          </cell>
          <cell r="F500">
            <v>0</v>
          </cell>
          <cell r="G500">
            <v>0</v>
          </cell>
          <cell r="H500">
            <v>0</v>
          </cell>
          <cell r="I500">
            <v>0</v>
          </cell>
          <cell r="J500">
            <v>0</v>
          </cell>
          <cell r="K500">
            <v>0</v>
          </cell>
          <cell r="L500">
            <v>0</v>
          </cell>
          <cell r="M500">
            <v>0</v>
          </cell>
          <cell r="N500">
            <v>0</v>
          </cell>
          <cell r="O500">
            <v>0</v>
          </cell>
          <cell r="P500">
            <v>0</v>
          </cell>
          <cell r="Q500">
            <v>0</v>
          </cell>
        </row>
        <row r="501">
          <cell r="A501">
            <v>70108</v>
          </cell>
          <cell r="B501" t="str">
            <v>School Tuition</v>
          </cell>
          <cell r="E501">
            <v>0</v>
          </cell>
          <cell r="F501">
            <v>0</v>
          </cell>
          <cell r="G501">
            <v>0</v>
          </cell>
          <cell r="H501">
            <v>0</v>
          </cell>
          <cell r="I501">
            <v>0</v>
          </cell>
          <cell r="J501">
            <v>0</v>
          </cell>
          <cell r="K501">
            <v>0</v>
          </cell>
          <cell r="L501">
            <v>0</v>
          </cell>
          <cell r="M501">
            <v>0</v>
          </cell>
          <cell r="N501">
            <v>0</v>
          </cell>
          <cell r="O501">
            <v>0</v>
          </cell>
          <cell r="P501">
            <v>0</v>
          </cell>
          <cell r="Q501">
            <v>0</v>
          </cell>
        </row>
        <row r="502">
          <cell r="A502">
            <v>70110</v>
          </cell>
          <cell r="B502" t="str">
            <v>Contributions</v>
          </cell>
          <cell r="E502">
            <v>937.5</v>
          </cell>
          <cell r="F502">
            <v>-1250</v>
          </cell>
          <cell r="G502">
            <v>500</v>
          </cell>
          <cell r="H502">
            <v>2250</v>
          </cell>
          <cell r="I502">
            <v>250</v>
          </cell>
          <cell r="J502">
            <v>500</v>
          </cell>
          <cell r="K502">
            <v>1191.54</v>
          </cell>
          <cell r="L502">
            <v>500</v>
          </cell>
          <cell r="M502">
            <v>0</v>
          </cell>
          <cell r="N502">
            <v>0</v>
          </cell>
          <cell r="O502">
            <v>500</v>
          </cell>
          <cell r="P502">
            <v>0</v>
          </cell>
          <cell r="Q502">
            <v>5379.04</v>
          </cell>
        </row>
        <row r="503">
          <cell r="A503">
            <v>70111</v>
          </cell>
          <cell r="B503" t="str">
            <v>Non Cash Charitable</v>
          </cell>
          <cell r="E503">
            <v>0</v>
          </cell>
          <cell r="F503">
            <v>0</v>
          </cell>
          <cell r="G503">
            <v>0</v>
          </cell>
          <cell r="H503">
            <v>0</v>
          </cell>
          <cell r="I503">
            <v>0</v>
          </cell>
          <cell r="J503">
            <v>0</v>
          </cell>
          <cell r="K503">
            <v>0</v>
          </cell>
          <cell r="L503">
            <v>0</v>
          </cell>
          <cell r="M503">
            <v>0</v>
          </cell>
          <cell r="N503">
            <v>0</v>
          </cell>
          <cell r="O503">
            <v>0</v>
          </cell>
          <cell r="P503">
            <v>0</v>
          </cell>
          <cell r="Q503">
            <v>0</v>
          </cell>
        </row>
        <row r="504">
          <cell r="A504">
            <v>70112</v>
          </cell>
          <cell r="B504" t="str">
            <v>Political Contributions</v>
          </cell>
          <cell r="E504">
            <v>0</v>
          </cell>
          <cell r="F504">
            <v>0</v>
          </cell>
          <cell r="G504">
            <v>0</v>
          </cell>
          <cell r="H504">
            <v>1250</v>
          </cell>
          <cell r="I504">
            <v>0</v>
          </cell>
          <cell r="J504">
            <v>0</v>
          </cell>
          <cell r="K504">
            <v>1250</v>
          </cell>
          <cell r="L504">
            <v>0</v>
          </cell>
          <cell r="M504">
            <v>500</v>
          </cell>
          <cell r="N504">
            <v>250</v>
          </cell>
          <cell r="O504">
            <v>0</v>
          </cell>
          <cell r="P504">
            <v>0</v>
          </cell>
          <cell r="Q504">
            <v>3250</v>
          </cell>
        </row>
        <row r="505">
          <cell r="A505">
            <v>70116</v>
          </cell>
          <cell r="B505" t="str">
            <v>Pension and Profit Sharing</v>
          </cell>
          <cell r="E505">
            <v>991.8</v>
          </cell>
          <cell r="F505">
            <v>1061.8</v>
          </cell>
          <cell r="G505">
            <v>1561.6</v>
          </cell>
          <cell r="H505">
            <v>1001.55</v>
          </cell>
          <cell r="I505">
            <v>1064.48</v>
          </cell>
          <cell r="J505">
            <v>880.04</v>
          </cell>
          <cell r="K505">
            <v>837.46</v>
          </cell>
          <cell r="L505">
            <v>818.44</v>
          </cell>
          <cell r="M505">
            <v>814.08</v>
          </cell>
          <cell r="N505">
            <v>1291.5999999999999</v>
          </cell>
          <cell r="O505">
            <v>832.75</v>
          </cell>
          <cell r="P505">
            <v>978.78</v>
          </cell>
          <cell r="Q505">
            <v>12134.380000000001</v>
          </cell>
        </row>
        <row r="506">
          <cell r="A506">
            <v>70117</v>
          </cell>
          <cell r="B506" t="str">
            <v>Union Pension</v>
          </cell>
          <cell r="E506">
            <v>0</v>
          </cell>
          <cell r="F506">
            <v>0</v>
          </cell>
          <cell r="G506">
            <v>0</v>
          </cell>
          <cell r="H506">
            <v>0</v>
          </cell>
          <cell r="I506">
            <v>0</v>
          </cell>
          <cell r="J506">
            <v>0</v>
          </cell>
          <cell r="K506">
            <v>0</v>
          </cell>
          <cell r="L506">
            <v>0</v>
          </cell>
          <cell r="M506">
            <v>0</v>
          </cell>
          <cell r="N506">
            <v>0</v>
          </cell>
          <cell r="O506">
            <v>0</v>
          </cell>
          <cell r="P506">
            <v>0</v>
          </cell>
          <cell r="Q506">
            <v>0</v>
          </cell>
        </row>
        <row r="507">
          <cell r="A507">
            <v>70142</v>
          </cell>
          <cell r="B507" t="str">
            <v>Fuel Expense</v>
          </cell>
          <cell r="E507">
            <v>0</v>
          </cell>
          <cell r="F507">
            <v>0</v>
          </cell>
          <cell r="G507">
            <v>0</v>
          </cell>
          <cell r="H507">
            <v>0</v>
          </cell>
          <cell r="I507">
            <v>0</v>
          </cell>
          <cell r="J507">
            <v>0</v>
          </cell>
          <cell r="K507">
            <v>0</v>
          </cell>
          <cell r="L507">
            <v>0</v>
          </cell>
          <cell r="M507">
            <v>0</v>
          </cell>
          <cell r="N507">
            <v>0</v>
          </cell>
          <cell r="O507">
            <v>0</v>
          </cell>
          <cell r="P507">
            <v>0</v>
          </cell>
          <cell r="Q507">
            <v>0</v>
          </cell>
        </row>
        <row r="508">
          <cell r="A508">
            <v>70145</v>
          </cell>
          <cell r="B508" t="str">
            <v>Outside Repairs</v>
          </cell>
          <cell r="E508">
            <v>0</v>
          </cell>
          <cell r="F508">
            <v>0</v>
          </cell>
          <cell r="G508">
            <v>0</v>
          </cell>
          <cell r="H508">
            <v>0</v>
          </cell>
          <cell r="I508">
            <v>0</v>
          </cell>
          <cell r="J508">
            <v>0</v>
          </cell>
          <cell r="K508">
            <v>0</v>
          </cell>
          <cell r="L508">
            <v>0</v>
          </cell>
          <cell r="M508">
            <v>0</v>
          </cell>
          <cell r="N508">
            <v>0</v>
          </cell>
          <cell r="O508">
            <v>0</v>
          </cell>
          <cell r="P508">
            <v>0</v>
          </cell>
          <cell r="Q508">
            <v>0</v>
          </cell>
        </row>
        <row r="509">
          <cell r="A509">
            <v>70147</v>
          </cell>
          <cell r="B509" t="str">
            <v>Bldg &amp; Property Maint</v>
          </cell>
          <cell r="E509">
            <v>0</v>
          </cell>
          <cell r="F509">
            <v>0</v>
          </cell>
          <cell r="G509">
            <v>0</v>
          </cell>
          <cell r="H509">
            <v>0</v>
          </cell>
          <cell r="I509">
            <v>0</v>
          </cell>
          <cell r="J509">
            <v>0</v>
          </cell>
          <cell r="K509">
            <v>0</v>
          </cell>
          <cell r="L509">
            <v>0</v>
          </cell>
          <cell r="M509">
            <v>0</v>
          </cell>
          <cell r="N509">
            <v>0</v>
          </cell>
          <cell r="O509">
            <v>0</v>
          </cell>
          <cell r="P509">
            <v>0</v>
          </cell>
          <cell r="Q509">
            <v>0</v>
          </cell>
        </row>
        <row r="510">
          <cell r="A510">
            <v>70148</v>
          </cell>
          <cell r="B510" t="str">
            <v>Allocated Exp In - District</v>
          </cell>
          <cell r="E510">
            <v>9455.33</v>
          </cell>
          <cell r="F510">
            <v>10366.76</v>
          </cell>
          <cell r="G510">
            <v>12777.28</v>
          </cell>
          <cell r="H510">
            <v>9429.9599999999991</v>
          </cell>
          <cell r="I510">
            <v>4111.67</v>
          </cell>
          <cell r="J510">
            <v>13752.97</v>
          </cell>
          <cell r="K510">
            <v>28825.42</v>
          </cell>
          <cell r="L510">
            <v>23366.78</v>
          </cell>
          <cell r="M510">
            <v>-1234.82</v>
          </cell>
          <cell r="N510">
            <v>8735.3799999999992</v>
          </cell>
          <cell r="O510">
            <v>11153.09</v>
          </cell>
          <cell r="P510">
            <v>9005.61</v>
          </cell>
          <cell r="Q510">
            <v>139745.43</v>
          </cell>
        </row>
        <row r="511">
          <cell r="A511">
            <v>70150</v>
          </cell>
          <cell r="B511" t="str">
            <v>Utilities</v>
          </cell>
          <cell r="E511">
            <v>1142.2</v>
          </cell>
          <cell r="F511">
            <v>1092.4000000000001</v>
          </cell>
          <cell r="G511">
            <v>1092.57</v>
          </cell>
          <cell r="H511">
            <v>1056.2</v>
          </cell>
          <cell r="I511">
            <v>971.23</v>
          </cell>
          <cell r="J511">
            <v>927.16</v>
          </cell>
          <cell r="K511">
            <v>0</v>
          </cell>
          <cell r="L511">
            <v>869.77</v>
          </cell>
          <cell r="M511">
            <v>868.91</v>
          </cell>
          <cell r="N511">
            <v>878.75</v>
          </cell>
          <cell r="O511">
            <v>973.97</v>
          </cell>
          <cell r="P511">
            <v>1678.97</v>
          </cell>
          <cell r="Q511">
            <v>11552.13</v>
          </cell>
        </row>
        <row r="512">
          <cell r="A512">
            <v>70165</v>
          </cell>
          <cell r="B512" t="str">
            <v>Communications</v>
          </cell>
          <cell r="E512">
            <v>1837.34</v>
          </cell>
          <cell r="F512">
            <v>1811.33</v>
          </cell>
          <cell r="G512">
            <v>2247.1</v>
          </cell>
          <cell r="H512">
            <v>1908.93</v>
          </cell>
          <cell r="I512">
            <v>2066.65</v>
          </cell>
          <cell r="J512">
            <v>2198.11</v>
          </cell>
          <cell r="K512">
            <v>2042.44</v>
          </cell>
          <cell r="L512">
            <v>2129.4</v>
          </cell>
          <cell r="M512">
            <v>2270.06</v>
          </cell>
          <cell r="N512">
            <v>2682.39</v>
          </cell>
          <cell r="O512">
            <v>1762.11</v>
          </cell>
          <cell r="P512">
            <v>2834.19</v>
          </cell>
          <cell r="Q512">
            <v>25790.05</v>
          </cell>
        </row>
        <row r="513">
          <cell r="A513">
            <v>70166</v>
          </cell>
          <cell r="B513" t="str">
            <v>Office Telephone</v>
          </cell>
          <cell r="E513">
            <v>0</v>
          </cell>
          <cell r="F513">
            <v>0</v>
          </cell>
          <cell r="G513">
            <v>0</v>
          </cell>
          <cell r="H513">
            <v>0</v>
          </cell>
          <cell r="I513">
            <v>0</v>
          </cell>
          <cell r="J513">
            <v>0</v>
          </cell>
          <cell r="K513">
            <v>0</v>
          </cell>
          <cell r="L513">
            <v>0</v>
          </cell>
          <cell r="M513">
            <v>0</v>
          </cell>
          <cell r="N513">
            <v>0</v>
          </cell>
          <cell r="O513">
            <v>0</v>
          </cell>
          <cell r="P513">
            <v>0</v>
          </cell>
          <cell r="Q513">
            <v>0</v>
          </cell>
        </row>
        <row r="514">
          <cell r="A514">
            <v>70167</v>
          </cell>
          <cell r="B514" t="str">
            <v>Cellular Telephone</v>
          </cell>
          <cell r="E514">
            <v>156.94999999999999</v>
          </cell>
          <cell r="F514">
            <v>186.7</v>
          </cell>
          <cell r="G514">
            <v>355.41</v>
          </cell>
          <cell r="H514">
            <v>205.54</v>
          </cell>
          <cell r="I514">
            <v>168.04</v>
          </cell>
          <cell r="J514">
            <v>205.54</v>
          </cell>
          <cell r="K514">
            <v>356.92</v>
          </cell>
          <cell r="L514">
            <v>187.5</v>
          </cell>
          <cell r="M514">
            <v>75</v>
          </cell>
          <cell r="N514">
            <v>223.5</v>
          </cell>
          <cell r="O514">
            <v>226.5</v>
          </cell>
          <cell r="P514">
            <v>150</v>
          </cell>
          <cell r="Q514">
            <v>2497.6</v>
          </cell>
        </row>
        <row r="515">
          <cell r="A515">
            <v>70170</v>
          </cell>
          <cell r="B515" t="str">
            <v>Real Estate Rentals</v>
          </cell>
          <cell r="E515">
            <v>0</v>
          </cell>
          <cell r="F515">
            <v>0</v>
          </cell>
          <cell r="G515">
            <v>0</v>
          </cell>
          <cell r="H515">
            <v>0</v>
          </cell>
          <cell r="I515">
            <v>0</v>
          </cell>
          <cell r="J515">
            <v>0</v>
          </cell>
          <cell r="K515">
            <v>0</v>
          </cell>
          <cell r="L515">
            <v>0</v>
          </cell>
          <cell r="M515">
            <v>0</v>
          </cell>
          <cell r="N515">
            <v>0</v>
          </cell>
          <cell r="O515">
            <v>0</v>
          </cell>
          <cell r="P515">
            <v>0</v>
          </cell>
          <cell r="Q515">
            <v>0</v>
          </cell>
        </row>
        <row r="516">
          <cell r="A516">
            <v>70175</v>
          </cell>
          <cell r="B516" t="str">
            <v>Equip/Vehicle Rental</v>
          </cell>
          <cell r="E516">
            <v>0</v>
          </cell>
          <cell r="F516">
            <v>0</v>
          </cell>
          <cell r="G516">
            <v>0</v>
          </cell>
          <cell r="H516">
            <v>0</v>
          </cell>
          <cell r="I516">
            <v>0</v>
          </cell>
          <cell r="J516">
            <v>0</v>
          </cell>
          <cell r="K516">
            <v>0</v>
          </cell>
          <cell r="L516">
            <v>0</v>
          </cell>
          <cell r="M516">
            <v>0</v>
          </cell>
          <cell r="N516">
            <v>0</v>
          </cell>
          <cell r="O516">
            <v>0</v>
          </cell>
          <cell r="P516">
            <v>0</v>
          </cell>
          <cell r="Q516">
            <v>0</v>
          </cell>
        </row>
        <row r="517">
          <cell r="A517">
            <v>70185</v>
          </cell>
          <cell r="B517" t="str">
            <v>Postage</v>
          </cell>
          <cell r="E517">
            <v>1663.37</v>
          </cell>
          <cell r="F517">
            <v>1464.26</v>
          </cell>
          <cell r="G517">
            <v>492.87</v>
          </cell>
          <cell r="H517">
            <v>1792.31</v>
          </cell>
          <cell r="I517">
            <v>1736.3</v>
          </cell>
          <cell r="J517">
            <v>1600.37</v>
          </cell>
          <cell r="K517">
            <v>417.65</v>
          </cell>
          <cell r="L517">
            <v>1589.73</v>
          </cell>
          <cell r="M517">
            <v>1686.05</v>
          </cell>
          <cell r="N517">
            <v>1653.87</v>
          </cell>
          <cell r="O517">
            <v>1642.82</v>
          </cell>
          <cell r="P517">
            <v>1641.55</v>
          </cell>
          <cell r="Q517">
            <v>17381.149999999998</v>
          </cell>
        </row>
        <row r="518">
          <cell r="A518">
            <v>70190</v>
          </cell>
          <cell r="B518" t="str">
            <v>Registration Fees</v>
          </cell>
          <cell r="E518">
            <v>0</v>
          </cell>
          <cell r="F518">
            <v>0</v>
          </cell>
          <cell r="G518">
            <v>0</v>
          </cell>
          <cell r="H518">
            <v>0</v>
          </cell>
          <cell r="I518">
            <v>0</v>
          </cell>
          <cell r="J518">
            <v>244</v>
          </cell>
          <cell r="K518">
            <v>-244</v>
          </cell>
          <cell r="L518">
            <v>0</v>
          </cell>
          <cell r="M518">
            <v>0</v>
          </cell>
          <cell r="N518">
            <v>450</v>
          </cell>
          <cell r="O518">
            <v>80</v>
          </cell>
          <cell r="P518">
            <v>5</v>
          </cell>
          <cell r="Q518">
            <v>535</v>
          </cell>
        </row>
        <row r="519">
          <cell r="A519">
            <v>70195</v>
          </cell>
          <cell r="B519" t="str">
            <v>Dues and Subscriptions</v>
          </cell>
          <cell r="E519">
            <v>734.67</v>
          </cell>
          <cell r="F519">
            <v>3500</v>
          </cell>
          <cell r="G519">
            <v>654.66999999999996</v>
          </cell>
          <cell r="H519">
            <v>3788.33</v>
          </cell>
          <cell r="I519">
            <v>831.17</v>
          </cell>
          <cell r="J519">
            <v>2522.33</v>
          </cell>
          <cell r="K519">
            <v>3255.67</v>
          </cell>
          <cell r="L519">
            <v>3419.03</v>
          </cell>
          <cell r="M519">
            <v>1208.23</v>
          </cell>
          <cell r="N519">
            <v>2099.1799999999998</v>
          </cell>
          <cell r="O519">
            <v>3420.89</v>
          </cell>
          <cell r="P519">
            <v>1716.89</v>
          </cell>
          <cell r="Q519">
            <v>27151.059999999998</v>
          </cell>
        </row>
        <row r="520">
          <cell r="A520">
            <v>70196</v>
          </cell>
          <cell r="B520" t="str">
            <v>Club Dues</v>
          </cell>
          <cell r="E520">
            <v>0</v>
          </cell>
          <cell r="F520">
            <v>0</v>
          </cell>
          <cell r="G520">
            <v>0</v>
          </cell>
          <cell r="H520">
            <v>0</v>
          </cell>
          <cell r="I520">
            <v>0</v>
          </cell>
          <cell r="J520">
            <v>0</v>
          </cell>
          <cell r="K520">
            <v>0</v>
          </cell>
          <cell r="L520">
            <v>0</v>
          </cell>
          <cell r="M520">
            <v>0</v>
          </cell>
          <cell r="N520">
            <v>0</v>
          </cell>
          <cell r="O520">
            <v>0</v>
          </cell>
          <cell r="P520">
            <v>0</v>
          </cell>
          <cell r="Q520">
            <v>0</v>
          </cell>
        </row>
        <row r="521">
          <cell r="A521">
            <v>70200</v>
          </cell>
          <cell r="B521" t="str">
            <v>Travel</v>
          </cell>
          <cell r="E521">
            <v>225.54</v>
          </cell>
          <cell r="F521">
            <v>769.5</v>
          </cell>
          <cell r="G521">
            <v>907.05</v>
          </cell>
          <cell r="H521">
            <v>0</v>
          </cell>
          <cell r="I521">
            <v>627.9</v>
          </cell>
          <cell r="J521">
            <v>18.75</v>
          </cell>
          <cell r="K521">
            <v>51</v>
          </cell>
          <cell r="L521">
            <v>-46.5</v>
          </cell>
          <cell r="M521">
            <v>1021.88</v>
          </cell>
          <cell r="N521">
            <v>876</v>
          </cell>
          <cell r="O521">
            <v>92.25</v>
          </cell>
          <cell r="P521">
            <v>339.6</v>
          </cell>
          <cell r="Q521">
            <v>4882.97</v>
          </cell>
        </row>
        <row r="522">
          <cell r="A522">
            <v>70201</v>
          </cell>
          <cell r="B522" t="str">
            <v>Entertainment</v>
          </cell>
          <cell r="E522">
            <v>0</v>
          </cell>
          <cell r="F522">
            <v>23.53</v>
          </cell>
          <cell r="G522">
            <v>0</v>
          </cell>
          <cell r="H522">
            <v>321.41000000000003</v>
          </cell>
          <cell r="I522">
            <v>0</v>
          </cell>
          <cell r="J522">
            <v>341.1</v>
          </cell>
          <cell r="K522">
            <v>728.42</v>
          </cell>
          <cell r="L522">
            <v>-72.099999999999994</v>
          </cell>
          <cell r="M522">
            <v>0</v>
          </cell>
          <cell r="N522">
            <v>41.89</v>
          </cell>
          <cell r="O522">
            <v>0</v>
          </cell>
          <cell r="P522">
            <v>0</v>
          </cell>
          <cell r="Q522">
            <v>1384.2500000000002</v>
          </cell>
        </row>
        <row r="523">
          <cell r="A523">
            <v>70202</v>
          </cell>
          <cell r="B523" t="str">
            <v>Excursions Meetings</v>
          </cell>
          <cell r="E523">
            <v>300</v>
          </cell>
          <cell r="F523">
            <v>345.51</v>
          </cell>
          <cell r="G523">
            <v>0</v>
          </cell>
          <cell r="H523">
            <v>0</v>
          </cell>
          <cell r="I523">
            <v>485</v>
          </cell>
          <cell r="J523">
            <v>1248.75</v>
          </cell>
          <cell r="K523">
            <v>0</v>
          </cell>
          <cell r="L523">
            <v>288.39999999999998</v>
          </cell>
          <cell r="M523">
            <v>0</v>
          </cell>
          <cell r="N523">
            <v>0</v>
          </cell>
          <cell r="O523">
            <v>279</v>
          </cell>
          <cell r="P523">
            <v>0</v>
          </cell>
          <cell r="Q523">
            <v>2946.6600000000003</v>
          </cell>
        </row>
        <row r="524">
          <cell r="A524">
            <v>70203</v>
          </cell>
          <cell r="B524" t="str">
            <v>Lodging</v>
          </cell>
          <cell r="E524">
            <v>462.54</v>
          </cell>
          <cell r="F524">
            <v>0</v>
          </cell>
          <cell r="G524">
            <v>0</v>
          </cell>
          <cell r="H524">
            <v>653.4</v>
          </cell>
          <cell r="I524">
            <v>579</v>
          </cell>
          <cell r="J524">
            <v>0</v>
          </cell>
          <cell r="K524">
            <v>797.67</v>
          </cell>
          <cell r="L524">
            <v>618.57000000000005</v>
          </cell>
          <cell r="M524">
            <v>382.5</v>
          </cell>
          <cell r="N524">
            <v>140.19999999999999</v>
          </cell>
          <cell r="O524">
            <v>457.4</v>
          </cell>
          <cell r="P524">
            <v>1133.44</v>
          </cell>
          <cell r="Q524">
            <v>5224.72</v>
          </cell>
        </row>
        <row r="525">
          <cell r="A525">
            <v>70204</v>
          </cell>
          <cell r="B525" t="str">
            <v>Gifts to Customers</v>
          </cell>
          <cell r="E525">
            <v>0</v>
          </cell>
          <cell r="F525">
            <v>0</v>
          </cell>
          <cell r="G525">
            <v>0</v>
          </cell>
          <cell r="H525">
            <v>0</v>
          </cell>
          <cell r="I525">
            <v>0</v>
          </cell>
          <cell r="J525">
            <v>0</v>
          </cell>
          <cell r="K525">
            <v>0</v>
          </cell>
          <cell r="L525">
            <v>0</v>
          </cell>
          <cell r="M525">
            <v>0</v>
          </cell>
          <cell r="N525">
            <v>0</v>
          </cell>
          <cell r="O525">
            <v>0</v>
          </cell>
          <cell r="P525">
            <v>0</v>
          </cell>
          <cell r="Q525">
            <v>0</v>
          </cell>
        </row>
        <row r="526">
          <cell r="A526">
            <v>70205</v>
          </cell>
          <cell r="B526" t="str">
            <v>Travel - Auto</v>
          </cell>
          <cell r="E526">
            <v>592.16</v>
          </cell>
          <cell r="F526">
            <v>812.81</v>
          </cell>
          <cell r="G526">
            <v>372.79</v>
          </cell>
          <cell r="H526">
            <v>924.67</v>
          </cell>
          <cell r="I526">
            <v>591.26</v>
          </cell>
          <cell r="J526">
            <v>614.52</v>
          </cell>
          <cell r="K526">
            <v>370.59</v>
          </cell>
          <cell r="L526">
            <v>811.62</v>
          </cell>
          <cell r="M526">
            <v>291.60000000000002</v>
          </cell>
          <cell r="N526">
            <v>789.52</v>
          </cell>
          <cell r="O526">
            <v>730.2</v>
          </cell>
          <cell r="P526">
            <v>523.23</v>
          </cell>
          <cell r="Q526">
            <v>7424.9699999999993</v>
          </cell>
        </row>
        <row r="527">
          <cell r="A527">
            <v>70206</v>
          </cell>
          <cell r="B527" t="str">
            <v>Meals</v>
          </cell>
          <cell r="E527">
            <v>155.22</v>
          </cell>
          <cell r="F527">
            <v>199.8</v>
          </cell>
          <cell r="G527">
            <v>112.98</v>
          </cell>
          <cell r="H527">
            <v>115.92</v>
          </cell>
          <cell r="I527">
            <v>277.83</v>
          </cell>
          <cell r="J527">
            <v>270.38</v>
          </cell>
          <cell r="K527">
            <v>579.17999999999995</v>
          </cell>
          <cell r="L527">
            <v>-136.55000000000001</v>
          </cell>
          <cell r="M527">
            <v>50</v>
          </cell>
          <cell r="N527">
            <v>287</v>
          </cell>
          <cell r="O527">
            <v>150.02000000000001</v>
          </cell>
          <cell r="P527">
            <v>59.7</v>
          </cell>
          <cell r="Q527">
            <v>2121.48</v>
          </cell>
        </row>
        <row r="528">
          <cell r="A528">
            <v>70207</v>
          </cell>
          <cell r="B528" t="str">
            <v>Meals with Customers</v>
          </cell>
          <cell r="E528">
            <v>0</v>
          </cell>
          <cell r="F528">
            <v>0</v>
          </cell>
          <cell r="G528">
            <v>0</v>
          </cell>
          <cell r="H528">
            <v>0</v>
          </cell>
          <cell r="I528">
            <v>0</v>
          </cell>
          <cell r="J528">
            <v>0</v>
          </cell>
          <cell r="K528">
            <v>0</v>
          </cell>
          <cell r="L528">
            <v>0</v>
          </cell>
          <cell r="M528">
            <v>0</v>
          </cell>
          <cell r="N528">
            <v>3.75</v>
          </cell>
          <cell r="O528">
            <v>0</v>
          </cell>
          <cell r="P528">
            <v>0</v>
          </cell>
          <cell r="Q528">
            <v>3.75</v>
          </cell>
        </row>
        <row r="529">
          <cell r="A529">
            <v>70209</v>
          </cell>
          <cell r="B529" t="str">
            <v>Photo Supplies</v>
          </cell>
          <cell r="E529">
            <v>0</v>
          </cell>
          <cell r="F529">
            <v>0</v>
          </cell>
          <cell r="G529">
            <v>0</v>
          </cell>
          <cell r="H529">
            <v>0</v>
          </cell>
          <cell r="I529">
            <v>0</v>
          </cell>
          <cell r="J529">
            <v>0</v>
          </cell>
          <cell r="K529">
            <v>0</v>
          </cell>
          <cell r="L529">
            <v>0</v>
          </cell>
          <cell r="M529">
            <v>0</v>
          </cell>
          <cell r="N529">
            <v>0</v>
          </cell>
          <cell r="O529">
            <v>0</v>
          </cell>
          <cell r="P529">
            <v>0</v>
          </cell>
          <cell r="Q529">
            <v>0</v>
          </cell>
        </row>
        <row r="530">
          <cell r="A530">
            <v>70210</v>
          </cell>
          <cell r="B530" t="str">
            <v>Office Supplies and Equip</v>
          </cell>
          <cell r="E530">
            <v>7068.1</v>
          </cell>
          <cell r="F530">
            <v>6155.01</v>
          </cell>
          <cell r="G530">
            <v>3868.92</v>
          </cell>
          <cell r="H530">
            <v>3782.02</v>
          </cell>
          <cell r="I530">
            <v>2862.22</v>
          </cell>
          <cell r="J530">
            <v>4721.92</v>
          </cell>
          <cell r="K530">
            <v>5210.1099999999997</v>
          </cell>
          <cell r="L530">
            <v>4854.1400000000003</v>
          </cell>
          <cell r="M530">
            <v>4059.64</v>
          </cell>
          <cell r="N530">
            <v>7017.47</v>
          </cell>
          <cell r="O530">
            <v>1056.94</v>
          </cell>
          <cell r="P530">
            <v>7841.63</v>
          </cell>
          <cell r="Q530">
            <v>58498.12</v>
          </cell>
        </row>
        <row r="531">
          <cell r="A531">
            <v>70213</v>
          </cell>
          <cell r="B531" t="str">
            <v>P-Card Rebate</v>
          </cell>
          <cell r="E531">
            <v>0</v>
          </cell>
          <cell r="F531">
            <v>0</v>
          </cell>
          <cell r="G531">
            <v>0</v>
          </cell>
          <cell r="H531">
            <v>0</v>
          </cell>
          <cell r="I531">
            <v>0</v>
          </cell>
          <cell r="J531">
            <v>0</v>
          </cell>
          <cell r="K531">
            <v>0</v>
          </cell>
          <cell r="L531">
            <v>0</v>
          </cell>
          <cell r="M531">
            <v>0</v>
          </cell>
          <cell r="N531">
            <v>0</v>
          </cell>
          <cell r="O531">
            <v>0</v>
          </cell>
          <cell r="P531">
            <v>0</v>
          </cell>
          <cell r="Q531">
            <v>0</v>
          </cell>
        </row>
        <row r="532">
          <cell r="A532">
            <v>70214</v>
          </cell>
          <cell r="B532" t="str">
            <v>Credit Card Fees</v>
          </cell>
          <cell r="E532">
            <v>7453.96</v>
          </cell>
          <cell r="F532">
            <v>8072.47</v>
          </cell>
          <cell r="G532">
            <v>8471.26</v>
          </cell>
          <cell r="H532">
            <v>7487.53</v>
          </cell>
          <cell r="I532">
            <v>7402.35</v>
          </cell>
          <cell r="J532">
            <v>8604.07</v>
          </cell>
          <cell r="K532">
            <v>8742.07</v>
          </cell>
          <cell r="L532">
            <v>9298.84</v>
          </cell>
          <cell r="M532">
            <v>9731.43</v>
          </cell>
          <cell r="N532">
            <v>9257.65</v>
          </cell>
          <cell r="O532">
            <v>10120.43</v>
          </cell>
          <cell r="P532">
            <v>9008.27</v>
          </cell>
          <cell r="Q532">
            <v>103650.33</v>
          </cell>
        </row>
        <row r="533">
          <cell r="A533">
            <v>70215</v>
          </cell>
          <cell r="B533" t="str">
            <v>Bank Charges</v>
          </cell>
          <cell r="E533">
            <v>520.58000000000004</v>
          </cell>
          <cell r="F533">
            <v>527.17999999999995</v>
          </cell>
          <cell r="G533">
            <v>539.19000000000005</v>
          </cell>
          <cell r="H533">
            <v>530.33000000000004</v>
          </cell>
          <cell r="I533">
            <v>471.57</v>
          </cell>
          <cell r="J533">
            <v>491.42</v>
          </cell>
          <cell r="K533">
            <v>465.31</v>
          </cell>
          <cell r="L533">
            <v>559.30999999999995</v>
          </cell>
          <cell r="M533">
            <v>476.99</v>
          </cell>
          <cell r="N533">
            <v>385.37</v>
          </cell>
          <cell r="O533">
            <v>367.56</v>
          </cell>
          <cell r="P533">
            <v>638.20000000000005</v>
          </cell>
          <cell r="Q533">
            <v>5973.01</v>
          </cell>
        </row>
        <row r="534">
          <cell r="A534">
            <v>70216</v>
          </cell>
          <cell r="B534" t="str">
            <v>Outside Storages</v>
          </cell>
          <cell r="E534">
            <v>0</v>
          </cell>
          <cell r="F534">
            <v>0</v>
          </cell>
          <cell r="G534">
            <v>0</v>
          </cell>
          <cell r="H534">
            <v>0</v>
          </cell>
          <cell r="I534">
            <v>0</v>
          </cell>
          <cell r="J534">
            <v>0</v>
          </cell>
          <cell r="K534">
            <v>0</v>
          </cell>
          <cell r="L534">
            <v>0</v>
          </cell>
          <cell r="M534">
            <v>0</v>
          </cell>
          <cell r="N534">
            <v>0</v>
          </cell>
          <cell r="O534">
            <v>0</v>
          </cell>
          <cell r="P534">
            <v>0</v>
          </cell>
          <cell r="Q534">
            <v>0</v>
          </cell>
        </row>
        <row r="535">
          <cell r="A535">
            <v>70217</v>
          </cell>
          <cell r="B535" t="str">
            <v>Invoice Printing Costs</v>
          </cell>
          <cell r="E535">
            <v>0</v>
          </cell>
          <cell r="F535">
            <v>0</v>
          </cell>
          <cell r="G535">
            <v>0</v>
          </cell>
          <cell r="H535">
            <v>0</v>
          </cell>
          <cell r="I535">
            <v>0</v>
          </cell>
          <cell r="J535">
            <v>0</v>
          </cell>
          <cell r="K535">
            <v>0</v>
          </cell>
          <cell r="L535">
            <v>0</v>
          </cell>
          <cell r="M535">
            <v>0</v>
          </cell>
          <cell r="N535">
            <v>0</v>
          </cell>
          <cell r="O535">
            <v>0</v>
          </cell>
          <cell r="P535">
            <v>0</v>
          </cell>
          <cell r="Q535">
            <v>0</v>
          </cell>
        </row>
        <row r="536">
          <cell r="A536">
            <v>70225</v>
          </cell>
          <cell r="B536" t="str">
            <v>Advertising and Promotions</v>
          </cell>
          <cell r="E536">
            <v>2100</v>
          </cell>
          <cell r="F536">
            <v>-679.79</v>
          </cell>
          <cell r="G536">
            <v>0</v>
          </cell>
          <cell r="H536">
            <v>31.64</v>
          </cell>
          <cell r="I536">
            <v>0</v>
          </cell>
          <cell r="J536">
            <v>0</v>
          </cell>
          <cell r="K536">
            <v>500</v>
          </cell>
          <cell r="L536">
            <v>710.94</v>
          </cell>
          <cell r="M536">
            <v>0</v>
          </cell>
          <cell r="N536">
            <v>3049.29</v>
          </cell>
          <cell r="O536">
            <v>5336.83</v>
          </cell>
          <cell r="P536">
            <v>0</v>
          </cell>
          <cell r="Q536">
            <v>11048.91</v>
          </cell>
        </row>
        <row r="537">
          <cell r="A537">
            <v>70230</v>
          </cell>
          <cell r="B537" t="str">
            <v>External Recruiter Fees</v>
          </cell>
          <cell r="E537">
            <v>0</v>
          </cell>
          <cell r="F537">
            <v>0</v>
          </cell>
          <cell r="G537">
            <v>0</v>
          </cell>
          <cell r="H537">
            <v>0</v>
          </cell>
          <cell r="I537">
            <v>0</v>
          </cell>
          <cell r="J537">
            <v>0</v>
          </cell>
          <cell r="K537">
            <v>0</v>
          </cell>
          <cell r="L537">
            <v>0</v>
          </cell>
          <cell r="M537">
            <v>0</v>
          </cell>
          <cell r="N537">
            <v>0</v>
          </cell>
          <cell r="O537">
            <v>0</v>
          </cell>
          <cell r="P537">
            <v>0</v>
          </cell>
          <cell r="Q537">
            <v>0</v>
          </cell>
        </row>
        <row r="538">
          <cell r="A538">
            <v>70231</v>
          </cell>
          <cell r="B538" t="str">
            <v>Recruitment Advertising &amp; Expenses</v>
          </cell>
          <cell r="E538">
            <v>0</v>
          </cell>
          <cell r="F538">
            <v>0</v>
          </cell>
          <cell r="G538">
            <v>0</v>
          </cell>
          <cell r="H538">
            <v>0</v>
          </cell>
          <cell r="I538">
            <v>0</v>
          </cell>
          <cell r="J538">
            <v>0</v>
          </cell>
          <cell r="K538">
            <v>0</v>
          </cell>
          <cell r="L538">
            <v>25</v>
          </cell>
          <cell r="M538">
            <v>0</v>
          </cell>
          <cell r="N538">
            <v>0</v>
          </cell>
          <cell r="O538">
            <v>0</v>
          </cell>
          <cell r="P538">
            <v>0</v>
          </cell>
          <cell r="Q538">
            <v>25</v>
          </cell>
        </row>
        <row r="539">
          <cell r="A539">
            <v>70232</v>
          </cell>
          <cell r="B539" t="str">
            <v>Recruitment Travel Expenses</v>
          </cell>
          <cell r="E539">
            <v>0</v>
          </cell>
          <cell r="F539">
            <v>0</v>
          </cell>
          <cell r="G539">
            <v>0</v>
          </cell>
          <cell r="H539">
            <v>0</v>
          </cell>
          <cell r="I539">
            <v>0</v>
          </cell>
          <cell r="J539">
            <v>0</v>
          </cell>
          <cell r="K539">
            <v>0</v>
          </cell>
          <cell r="L539">
            <v>0</v>
          </cell>
          <cell r="M539">
            <v>0</v>
          </cell>
          <cell r="N539">
            <v>0</v>
          </cell>
          <cell r="O539">
            <v>0</v>
          </cell>
          <cell r="P539">
            <v>0</v>
          </cell>
          <cell r="Q539">
            <v>0</v>
          </cell>
        </row>
        <row r="540">
          <cell r="A540">
            <v>70235</v>
          </cell>
          <cell r="B540" t="str">
            <v>Legal</v>
          </cell>
          <cell r="E540">
            <v>134.16</v>
          </cell>
          <cell r="F540">
            <v>0</v>
          </cell>
          <cell r="G540">
            <v>198.36</v>
          </cell>
          <cell r="H540">
            <v>3699.71</v>
          </cell>
          <cell r="I540">
            <v>1056.02</v>
          </cell>
          <cell r="J540">
            <v>682.19</v>
          </cell>
          <cell r="K540">
            <v>3008.78</v>
          </cell>
          <cell r="L540">
            <v>-2300.2800000000002</v>
          </cell>
          <cell r="M540">
            <v>3301.28</v>
          </cell>
          <cell r="N540">
            <v>0.2</v>
          </cell>
          <cell r="O540">
            <v>-0.2</v>
          </cell>
          <cell r="P540">
            <v>1207.32</v>
          </cell>
          <cell r="Q540">
            <v>10987.54</v>
          </cell>
        </row>
        <row r="541">
          <cell r="A541">
            <v>70240</v>
          </cell>
          <cell r="B541" t="str">
            <v>Accounting Professional Fees</v>
          </cell>
          <cell r="E541">
            <v>0</v>
          </cell>
          <cell r="F541">
            <v>0</v>
          </cell>
          <cell r="G541">
            <v>0</v>
          </cell>
          <cell r="H541">
            <v>0</v>
          </cell>
          <cell r="I541">
            <v>0</v>
          </cell>
          <cell r="J541">
            <v>0</v>
          </cell>
          <cell r="K541">
            <v>0</v>
          </cell>
          <cell r="L541">
            <v>0</v>
          </cell>
          <cell r="M541">
            <v>0</v>
          </cell>
          <cell r="N541">
            <v>0</v>
          </cell>
          <cell r="O541">
            <v>0</v>
          </cell>
          <cell r="P541">
            <v>0</v>
          </cell>
          <cell r="Q541">
            <v>0</v>
          </cell>
        </row>
        <row r="542">
          <cell r="A542">
            <v>70245</v>
          </cell>
          <cell r="B542" t="str">
            <v>Payroll Processing Fees</v>
          </cell>
          <cell r="E542">
            <v>324.20999999999998</v>
          </cell>
          <cell r="F542">
            <v>333.23</v>
          </cell>
          <cell r="G542">
            <v>333.23</v>
          </cell>
          <cell r="H542">
            <v>333.23</v>
          </cell>
          <cell r="I542">
            <v>333.23</v>
          </cell>
          <cell r="J542">
            <v>333.23</v>
          </cell>
          <cell r="K542">
            <v>333.23</v>
          </cell>
          <cell r="L542">
            <v>300.73</v>
          </cell>
          <cell r="M542">
            <v>300.73</v>
          </cell>
          <cell r="N542">
            <v>300.73</v>
          </cell>
          <cell r="O542">
            <v>300.86</v>
          </cell>
          <cell r="P542">
            <v>300.86</v>
          </cell>
          <cell r="Q542">
            <v>3827.5000000000005</v>
          </cell>
        </row>
        <row r="543">
          <cell r="A543">
            <v>70250</v>
          </cell>
          <cell r="B543" t="str">
            <v>Acquisition Cost Write Off</v>
          </cell>
          <cell r="E543">
            <v>0</v>
          </cell>
          <cell r="F543">
            <v>0</v>
          </cell>
          <cell r="G543">
            <v>0</v>
          </cell>
          <cell r="H543">
            <v>0</v>
          </cell>
          <cell r="I543">
            <v>0</v>
          </cell>
          <cell r="J543">
            <v>0</v>
          </cell>
          <cell r="K543">
            <v>0</v>
          </cell>
          <cell r="L543">
            <v>0</v>
          </cell>
          <cell r="M543">
            <v>0</v>
          </cell>
          <cell r="N543">
            <v>0</v>
          </cell>
          <cell r="O543">
            <v>0</v>
          </cell>
          <cell r="P543">
            <v>0</v>
          </cell>
          <cell r="Q543">
            <v>0</v>
          </cell>
        </row>
        <row r="544">
          <cell r="A544">
            <v>70254</v>
          </cell>
          <cell r="B544" t="str">
            <v>Corporate Capitalized Expenses</v>
          </cell>
          <cell r="E544">
            <v>0</v>
          </cell>
          <cell r="F544">
            <v>0</v>
          </cell>
          <cell r="G544">
            <v>0</v>
          </cell>
          <cell r="H544">
            <v>0</v>
          </cell>
          <cell r="I544">
            <v>0</v>
          </cell>
          <cell r="J544">
            <v>0</v>
          </cell>
          <cell r="K544">
            <v>0</v>
          </cell>
          <cell r="L544">
            <v>0</v>
          </cell>
          <cell r="M544">
            <v>0</v>
          </cell>
          <cell r="N544">
            <v>0</v>
          </cell>
          <cell r="O544">
            <v>0</v>
          </cell>
          <cell r="P544">
            <v>0</v>
          </cell>
          <cell r="Q544">
            <v>0</v>
          </cell>
        </row>
        <row r="545">
          <cell r="A545">
            <v>70255</v>
          </cell>
          <cell r="B545" t="str">
            <v>Other Prof Fees</v>
          </cell>
          <cell r="E545">
            <v>0</v>
          </cell>
          <cell r="F545">
            <v>659.25</v>
          </cell>
          <cell r="G545">
            <v>168.64</v>
          </cell>
          <cell r="H545">
            <v>0</v>
          </cell>
          <cell r="I545">
            <v>900</v>
          </cell>
          <cell r="J545">
            <v>168.64</v>
          </cell>
          <cell r="K545">
            <v>-900</v>
          </cell>
          <cell r="L545">
            <v>0</v>
          </cell>
          <cell r="M545">
            <v>168.64</v>
          </cell>
          <cell r="N545">
            <v>0</v>
          </cell>
          <cell r="O545">
            <v>548.44000000000005</v>
          </cell>
          <cell r="P545">
            <v>243.29</v>
          </cell>
          <cell r="Q545">
            <v>1956.8999999999996</v>
          </cell>
        </row>
        <row r="546">
          <cell r="A546">
            <v>70271</v>
          </cell>
          <cell r="B546" t="str">
            <v>Property and Liability Insurance</v>
          </cell>
          <cell r="E546">
            <v>0</v>
          </cell>
          <cell r="F546">
            <v>0</v>
          </cell>
          <cell r="G546">
            <v>0</v>
          </cell>
          <cell r="H546">
            <v>0</v>
          </cell>
          <cell r="I546">
            <v>0</v>
          </cell>
          <cell r="J546">
            <v>0</v>
          </cell>
          <cell r="K546">
            <v>0</v>
          </cell>
          <cell r="L546">
            <v>0</v>
          </cell>
          <cell r="M546">
            <v>0</v>
          </cell>
          <cell r="N546">
            <v>0</v>
          </cell>
          <cell r="O546">
            <v>0</v>
          </cell>
          <cell r="P546">
            <v>0</v>
          </cell>
          <cell r="Q546">
            <v>0</v>
          </cell>
        </row>
        <row r="547">
          <cell r="A547">
            <v>70272</v>
          </cell>
          <cell r="B547" t="str">
            <v>Keyman Life Insurance</v>
          </cell>
          <cell r="E547">
            <v>0</v>
          </cell>
          <cell r="F547">
            <v>0</v>
          </cell>
          <cell r="G547">
            <v>0</v>
          </cell>
          <cell r="H547">
            <v>0</v>
          </cell>
          <cell r="I547">
            <v>0</v>
          </cell>
          <cell r="J547">
            <v>0</v>
          </cell>
          <cell r="K547">
            <v>0</v>
          </cell>
          <cell r="L547">
            <v>0</v>
          </cell>
          <cell r="M547">
            <v>0</v>
          </cell>
          <cell r="N547">
            <v>0</v>
          </cell>
          <cell r="O547">
            <v>0</v>
          </cell>
          <cell r="P547">
            <v>0</v>
          </cell>
          <cell r="Q547">
            <v>0</v>
          </cell>
        </row>
        <row r="548">
          <cell r="A548">
            <v>70273</v>
          </cell>
          <cell r="B548" t="str">
            <v>Directors and Officers Insurance</v>
          </cell>
          <cell r="E548">
            <v>0</v>
          </cell>
          <cell r="F548">
            <v>0</v>
          </cell>
          <cell r="G548">
            <v>0</v>
          </cell>
          <cell r="H548">
            <v>0</v>
          </cell>
          <cell r="I548">
            <v>0</v>
          </cell>
          <cell r="J548">
            <v>0</v>
          </cell>
          <cell r="K548">
            <v>0</v>
          </cell>
          <cell r="L548">
            <v>0</v>
          </cell>
          <cell r="M548">
            <v>0</v>
          </cell>
          <cell r="N548">
            <v>0</v>
          </cell>
          <cell r="O548">
            <v>0</v>
          </cell>
          <cell r="P548">
            <v>0</v>
          </cell>
          <cell r="Q548">
            <v>0</v>
          </cell>
        </row>
        <row r="549">
          <cell r="A549">
            <v>70275</v>
          </cell>
          <cell r="B549" t="str">
            <v>Property Taxes</v>
          </cell>
          <cell r="E549">
            <v>3633</v>
          </cell>
          <cell r="F549">
            <v>3633</v>
          </cell>
          <cell r="G549">
            <v>4280.66</v>
          </cell>
          <cell r="H549">
            <v>5100.2</v>
          </cell>
          <cell r="I549">
            <v>5100.2</v>
          </cell>
          <cell r="J549">
            <v>5100.2</v>
          </cell>
          <cell r="K549">
            <v>6353.54</v>
          </cell>
          <cell r="L549">
            <v>4787.74</v>
          </cell>
          <cell r="M549">
            <v>4507.07</v>
          </cell>
          <cell r="N549">
            <v>4985.55</v>
          </cell>
          <cell r="O549">
            <v>5021.75</v>
          </cell>
          <cell r="P549">
            <v>4949.34</v>
          </cell>
          <cell r="Q549">
            <v>57452.25</v>
          </cell>
        </row>
        <row r="550">
          <cell r="A550">
            <v>70280</v>
          </cell>
          <cell r="B550" t="str">
            <v>Other Taxes</v>
          </cell>
          <cell r="E550">
            <v>0</v>
          </cell>
          <cell r="F550">
            <v>0</v>
          </cell>
          <cell r="G550">
            <v>0</v>
          </cell>
          <cell r="H550">
            <v>0</v>
          </cell>
          <cell r="I550">
            <v>0</v>
          </cell>
          <cell r="J550">
            <v>0</v>
          </cell>
          <cell r="K550">
            <v>0</v>
          </cell>
          <cell r="L550">
            <v>0</v>
          </cell>
          <cell r="M550">
            <v>0</v>
          </cell>
          <cell r="N550">
            <v>0</v>
          </cell>
          <cell r="O550">
            <v>0</v>
          </cell>
          <cell r="P550">
            <v>0</v>
          </cell>
          <cell r="Q550">
            <v>0</v>
          </cell>
        </row>
        <row r="551">
          <cell r="A551">
            <v>70300</v>
          </cell>
          <cell r="B551" t="str">
            <v>Data Processing</v>
          </cell>
          <cell r="E551">
            <v>3053.24</v>
          </cell>
          <cell r="F551">
            <v>27123.4</v>
          </cell>
          <cell r="G551">
            <v>1994.05</v>
          </cell>
          <cell r="H551">
            <v>25497.25</v>
          </cell>
          <cell r="I551">
            <v>4148.7299999999996</v>
          </cell>
          <cell r="J551">
            <v>12634.95</v>
          </cell>
          <cell r="K551">
            <v>2733.27</v>
          </cell>
          <cell r="L551">
            <v>28900.27</v>
          </cell>
          <cell r="M551">
            <v>2744.08</v>
          </cell>
          <cell r="N551">
            <v>23341.62</v>
          </cell>
          <cell r="O551">
            <v>2653.19</v>
          </cell>
          <cell r="P551">
            <v>25630.6</v>
          </cell>
          <cell r="Q551">
            <v>160454.65000000002</v>
          </cell>
        </row>
        <row r="552">
          <cell r="A552">
            <v>70301</v>
          </cell>
          <cell r="B552" t="str">
            <v>Computer Software</v>
          </cell>
          <cell r="E552">
            <v>0</v>
          </cell>
          <cell r="F552">
            <v>0</v>
          </cell>
          <cell r="G552">
            <v>0</v>
          </cell>
          <cell r="H552">
            <v>0</v>
          </cell>
          <cell r="I552">
            <v>0</v>
          </cell>
          <cell r="J552">
            <v>0</v>
          </cell>
          <cell r="K552">
            <v>0</v>
          </cell>
          <cell r="L552">
            <v>0</v>
          </cell>
          <cell r="M552">
            <v>0</v>
          </cell>
          <cell r="N552">
            <v>0</v>
          </cell>
          <cell r="O552">
            <v>0</v>
          </cell>
          <cell r="P552">
            <v>0</v>
          </cell>
          <cell r="Q552">
            <v>0</v>
          </cell>
        </row>
        <row r="553">
          <cell r="A553">
            <v>70302</v>
          </cell>
          <cell r="B553" t="str">
            <v>Computer Supplies</v>
          </cell>
          <cell r="E553">
            <v>0</v>
          </cell>
          <cell r="F553">
            <v>435.77</v>
          </cell>
          <cell r="G553">
            <v>693.82</v>
          </cell>
          <cell r="H553">
            <v>0</v>
          </cell>
          <cell r="I553">
            <v>0</v>
          </cell>
          <cell r="J553">
            <v>0</v>
          </cell>
          <cell r="K553">
            <v>71.819999999999993</v>
          </cell>
          <cell r="L553">
            <v>73.77</v>
          </cell>
          <cell r="M553">
            <v>0</v>
          </cell>
          <cell r="N553">
            <v>0</v>
          </cell>
          <cell r="O553">
            <v>0</v>
          </cell>
          <cell r="P553">
            <v>561.86</v>
          </cell>
          <cell r="Q553">
            <v>1837.04</v>
          </cell>
        </row>
        <row r="554">
          <cell r="A554">
            <v>70310</v>
          </cell>
          <cell r="B554" t="str">
            <v>Bad Debt Provision</v>
          </cell>
          <cell r="E554">
            <v>-38144.620000000003</v>
          </cell>
          <cell r="F554">
            <v>34133.97</v>
          </cell>
          <cell r="G554">
            <v>-43595.040000000001</v>
          </cell>
          <cell r="H554">
            <v>39178.03</v>
          </cell>
          <cell r="I554">
            <v>-23435.439999999999</v>
          </cell>
          <cell r="J554">
            <v>54303.69</v>
          </cell>
          <cell r="K554">
            <v>-33171.480000000003</v>
          </cell>
          <cell r="L554">
            <v>54213.2</v>
          </cell>
          <cell r="M554">
            <v>-34096.239999999998</v>
          </cell>
          <cell r="N554">
            <v>57772.45</v>
          </cell>
          <cell r="O554">
            <v>-39518.949999999997</v>
          </cell>
          <cell r="P554">
            <v>53267.67</v>
          </cell>
          <cell r="Q554">
            <v>80907.239999999991</v>
          </cell>
        </row>
        <row r="555">
          <cell r="A555">
            <v>70315</v>
          </cell>
          <cell r="B555" t="str">
            <v>Bad Debt Recoveries</v>
          </cell>
          <cell r="E555">
            <v>0</v>
          </cell>
          <cell r="F555">
            <v>0</v>
          </cell>
          <cell r="G555">
            <v>0</v>
          </cell>
          <cell r="H555">
            <v>0</v>
          </cell>
          <cell r="I555">
            <v>0</v>
          </cell>
          <cell r="J555">
            <v>0</v>
          </cell>
          <cell r="K555">
            <v>0</v>
          </cell>
          <cell r="L555">
            <v>0</v>
          </cell>
          <cell r="M555">
            <v>0</v>
          </cell>
          <cell r="N555">
            <v>0</v>
          </cell>
          <cell r="O555">
            <v>0</v>
          </cell>
          <cell r="P555">
            <v>0</v>
          </cell>
          <cell r="Q555">
            <v>0</v>
          </cell>
        </row>
        <row r="556">
          <cell r="A556">
            <v>70320</v>
          </cell>
          <cell r="B556" t="str">
            <v>Credit and Collection</v>
          </cell>
          <cell r="E556">
            <v>6198.28</v>
          </cell>
          <cell r="F556">
            <v>9319.4599999999991</v>
          </cell>
          <cell r="G556">
            <v>5273.3</v>
          </cell>
          <cell r="H556">
            <v>8215.32</v>
          </cell>
          <cell r="I556">
            <v>5615.84</v>
          </cell>
          <cell r="J556">
            <v>3201.73</v>
          </cell>
          <cell r="K556">
            <v>4767.67</v>
          </cell>
          <cell r="L556">
            <v>2810.14</v>
          </cell>
          <cell r="M556">
            <v>5490.95</v>
          </cell>
          <cell r="N556">
            <v>4968.87</v>
          </cell>
          <cell r="O556">
            <v>5918.1</v>
          </cell>
          <cell r="P556">
            <v>0</v>
          </cell>
          <cell r="Q556">
            <v>61779.659999999996</v>
          </cell>
        </row>
        <row r="557">
          <cell r="A557">
            <v>70324</v>
          </cell>
          <cell r="B557" t="str">
            <v>Penalties and Violations</v>
          </cell>
          <cell r="E557">
            <v>0</v>
          </cell>
          <cell r="F557">
            <v>0</v>
          </cell>
          <cell r="G557">
            <v>0</v>
          </cell>
          <cell r="H557">
            <v>0</v>
          </cell>
          <cell r="I557">
            <v>0</v>
          </cell>
          <cell r="J557">
            <v>0</v>
          </cell>
          <cell r="K557">
            <v>0</v>
          </cell>
          <cell r="L557">
            <v>0</v>
          </cell>
          <cell r="M557">
            <v>0</v>
          </cell>
          <cell r="N557">
            <v>0</v>
          </cell>
          <cell r="O557">
            <v>0</v>
          </cell>
          <cell r="P557">
            <v>0</v>
          </cell>
          <cell r="Q557">
            <v>0</v>
          </cell>
        </row>
        <row r="558">
          <cell r="A558">
            <v>70325</v>
          </cell>
          <cell r="B558" t="str">
            <v>Legal Settlement Payments</v>
          </cell>
          <cell r="E558">
            <v>0</v>
          </cell>
          <cell r="F558">
            <v>0</v>
          </cell>
          <cell r="G558">
            <v>0</v>
          </cell>
          <cell r="H558">
            <v>0</v>
          </cell>
          <cell r="I558">
            <v>0</v>
          </cell>
          <cell r="J558">
            <v>0</v>
          </cell>
          <cell r="K558">
            <v>0</v>
          </cell>
          <cell r="L558">
            <v>0</v>
          </cell>
          <cell r="M558">
            <v>0</v>
          </cell>
          <cell r="N558">
            <v>0</v>
          </cell>
          <cell r="O558">
            <v>0</v>
          </cell>
          <cell r="P558">
            <v>0</v>
          </cell>
          <cell r="Q558">
            <v>0</v>
          </cell>
        </row>
        <row r="559">
          <cell r="A559">
            <v>70326</v>
          </cell>
          <cell r="B559" t="str">
            <v>Deductible Current Year</v>
          </cell>
          <cell r="E559">
            <v>0</v>
          </cell>
          <cell r="F559">
            <v>0</v>
          </cell>
          <cell r="G559">
            <v>0</v>
          </cell>
          <cell r="H559">
            <v>0</v>
          </cell>
          <cell r="I559">
            <v>0</v>
          </cell>
          <cell r="J559">
            <v>0</v>
          </cell>
          <cell r="K559">
            <v>0</v>
          </cell>
          <cell r="L559">
            <v>0</v>
          </cell>
          <cell r="M559">
            <v>0</v>
          </cell>
          <cell r="N559">
            <v>0</v>
          </cell>
          <cell r="O559">
            <v>0</v>
          </cell>
          <cell r="P559">
            <v>0</v>
          </cell>
          <cell r="Q559">
            <v>0</v>
          </cell>
        </row>
        <row r="560">
          <cell r="A560">
            <v>70327</v>
          </cell>
          <cell r="B560" t="str">
            <v>Deductible Dammage</v>
          </cell>
          <cell r="E560">
            <v>0</v>
          </cell>
          <cell r="F560">
            <v>0</v>
          </cell>
          <cell r="G560">
            <v>0</v>
          </cell>
          <cell r="H560">
            <v>0</v>
          </cell>
          <cell r="I560">
            <v>0</v>
          </cell>
          <cell r="J560">
            <v>0</v>
          </cell>
          <cell r="K560">
            <v>0</v>
          </cell>
          <cell r="L560">
            <v>0</v>
          </cell>
          <cell r="M560">
            <v>0</v>
          </cell>
          <cell r="N560">
            <v>0</v>
          </cell>
          <cell r="O560">
            <v>0</v>
          </cell>
          <cell r="P560">
            <v>0</v>
          </cell>
          <cell r="Q560">
            <v>0</v>
          </cell>
        </row>
        <row r="561">
          <cell r="A561">
            <v>70328</v>
          </cell>
          <cell r="B561" t="str">
            <v>Claim Recoveries</v>
          </cell>
          <cell r="E561">
            <v>0</v>
          </cell>
          <cell r="F561">
            <v>0</v>
          </cell>
          <cell r="G561">
            <v>0</v>
          </cell>
          <cell r="H561">
            <v>0</v>
          </cell>
          <cell r="I561">
            <v>0</v>
          </cell>
          <cell r="J561">
            <v>0</v>
          </cell>
          <cell r="K561">
            <v>0</v>
          </cell>
          <cell r="L561">
            <v>0</v>
          </cell>
          <cell r="M561">
            <v>0</v>
          </cell>
          <cell r="N561">
            <v>0</v>
          </cell>
          <cell r="O561">
            <v>0</v>
          </cell>
          <cell r="P561">
            <v>0</v>
          </cell>
          <cell r="Q561">
            <v>0</v>
          </cell>
        </row>
        <row r="562">
          <cell r="A562">
            <v>70330</v>
          </cell>
          <cell r="B562" t="str">
            <v>Deductible Prior Year</v>
          </cell>
          <cell r="E562">
            <v>0</v>
          </cell>
          <cell r="F562">
            <v>0</v>
          </cell>
          <cell r="G562">
            <v>0</v>
          </cell>
          <cell r="H562">
            <v>0</v>
          </cell>
          <cell r="I562">
            <v>0</v>
          </cell>
          <cell r="J562">
            <v>0</v>
          </cell>
          <cell r="K562">
            <v>0</v>
          </cell>
          <cell r="L562">
            <v>0</v>
          </cell>
          <cell r="M562">
            <v>0</v>
          </cell>
          <cell r="N562">
            <v>0</v>
          </cell>
          <cell r="O562">
            <v>0</v>
          </cell>
          <cell r="P562">
            <v>0</v>
          </cell>
          <cell r="Q562">
            <v>0</v>
          </cell>
        </row>
        <row r="563">
          <cell r="A563">
            <v>70335</v>
          </cell>
          <cell r="B563" t="str">
            <v>Miscellaneous</v>
          </cell>
          <cell r="E563">
            <v>0</v>
          </cell>
          <cell r="F563">
            <v>-78.28</v>
          </cell>
          <cell r="G563">
            <v>0</v>
          </cell>
          <cell r="H563">
            <v>-123.75</v>
          </cell>
          <cell r="I563">
            <v>0</v>
          </cell>
          <cell r="J563">
            <v>0</v>
          </cell>
          <cell r="K563">
            <v>0</v>
          </cell>
          <cell r="L563">
            <v>0</v>
          </cell>
          <cell r="M563">
            <v>0</v>
          </cell>
          <cell r="N563">
            <v>0</v>
          </cell>
          <cell r="O563">
            <v>0</v>
          </cell>
          <cell r="P563">
            <v>0</v>
          </cell>
          <cell r="Q563">
            <v>-202.03</v>
          </cell>
        </row>
        <row r="564">
          <cell r="A564">
            <v>70336</v>
          </cell>
          <cell r="B564" t="str">
            <v>Coffe Bar</v>
          </cell>
          <cell r="E564">
            <v>0</v>
          </cell>
          <cell r="F564">
            <v>0</v>
          </cell>
          <cell r="G564">
            <v>0</v>
          </cell>
          <cell r="H564">
            <v>0</v>
          </cell>
          <cell r="I564">
            <v>0</v>
          </cell>
          <cell r="J564">
            <v>0</v>
          </cell>
          <cell r="K564">
            <v>0</v>
          </cell>
          <cell r="L564">
            <v>38.020000000000003</v>
          </cell>
          <cell r="M564">
            <v>0</v>
          </cell>
          <cell r="N564">
            <v>-38.020000000000003</v>
          </cell>
          <cell r="O564">
            <v>0</v>
          </cell>
          <cell r="P564">
            <v>0</v>
          </cell>
          <cell r="Q564">
            <v>0</v>
          </cell>
        </row>
        <row r="565">
          <cell r="A565">
            <v>70345</v>
          </cell>
          <cell r="B565" t="str">
            <v>Security Services</v>
          </cell>
          <cell r="E565">
            <v>0</v>
          </cell>
          <cell r="F565">
            <v>0</v>
          </cell>
          <cell r="G565">
            <v>0</v>
          </cell>
          <cell r="H565">
            <v>0</v>
          </cell>
          <cell r="I565">
            <v>0</v>
          </cell>
          <cell r="J565">
            <v>0</v>
          </cell>
          <cell r="K565">
            <v>0</v>
          </cell>
          <cell r="L565">
            <v>0</v>
          </cell>
          <cell r="M565">
            <v>0</v>
          </cell>
          <cell r="N565">
            <v>0</v>
          </cell>
          <cell r="O565">
            <v>0</v>
          </cell>
          <cell r="P565">
            <v>0</v>
          </cell>
          <cell r="Q565">
            <v>0</v>
          </cell>
        </row>
        <row r="566">
          <cell r="A566">
            <v>70357</v>
          </cell>
          <cell r="B566" t="str">
            <v>Permits</v>
          </cell>
          <cell r="E566">
            <v>0</v>
          </cell>
          <cell r="F566">
            <v>0</v>
          </cell>
          <cell r="G566">
            <v>0</v>
          </cell>
          <cell r="H566">
            <v>0</v>
          </cell>
          <cell r="I566">
            <v>0</v>
          </cell>
          <cell r="J566">
            <v>0</v>
          </cell>
          <cell r="K566">
            <v>0</v>
          </cell>
          <cell r="L566">
            <v>0</v>
          </cell>
          <cell r="M566">
            <v>0</v>
          </cell>
          <cell r="N566">
            <v>0</v>
          </cell>
          <cell r="O566">
            <v>0</v>
          </cell>
          <cell r="P566">
            <v>0</v>
          </cell>
          <cell r="Q566">
            <v>0</v>
          </cell>
        </row>
        <row r="567">
          <cell r="A567">
            <v>70370</v>
          </cell>
          <cell r="B567" t="str">
            <v>Bonds Expense</v>
          </cell>
          <cell r="E567">
            <v>0</v>
          </cell>
          <cell r="F567">
            <v>0</v>
          </cell>
          <cell r="G567">
            <v>0</v>
          </cell>
          <cell r="H567">
            <v>0</v>
          </cell>
          <cell r="I567">
            <v>0</v>
          </cell>
          <cell r="J567">
            <v>0</v>
          </cell>
          <cell r="K567">
            <v>0</v>
          </cell>
          <cell r="L567">
            <v>0</v>
          </cell>
          <cell r="M567">
            <v>0</v>
          </cell>
          <cell r="N567">
            <v>0</v>
          </cell>
          <cell r="O567">
            <v>0</v>
          </cell>
          <cell r="P567">
            <v>0</v>
          </cell>
          <cell r="Q567">
            <v>0</v>
          </cell>
        </row>
        <row r="568">
          <cell r="A568">
            <v>70371</v>
          </cell>
          <cell r="B568" t="str">
            <v>Board of Directors Fees</v>
          </cell>
          <cell r="E568">
            <v>0</v>
          </cell>
          <cell r="F568">
            <v>0</v>
          </cell>
          <cell r="G568">
            <v>0</v>
          </cell>
          <cell r="H568">
            <v>0</v>
          </cell>
          <cell r="I568">
            <v>0</v>
          </cell>
          <cell r="J568">
            <v>0</v>
          </cell>
          <cell r="K568">
            <v>0</v>
          </cell>
          <cell r="L568">
            <v>0</v>
          </cell>
          <cell r="M568">
            <v>0</v>
          </cell>
          <cell r="N568">
            <v>0</v>
          </cell>
          <cell r="O568">
            <v>0</v>
          </cell>
          <cell r="P568">
            <v>0</v>
          </cell>
          <cell r="Q568">
            <v>0</v>
          </cell>
        </row>
        <row r="569">
          <cell r="A569">
            <v>70372</v>
          </cell>
          <cell r="B569" t="str">
            <v>Board of Directors Expense Report</v>
          </cell>
          <cell r="E569">
            <v>0</v>
          </cell>
          <cell r="F569">
            <v>0</v>
          </cell>
          <cell r="G569">
            <v>0</v>
          </cell>
          <cell r="H569">
            <v>0</v>
          </cell>
          <cell r="I569">
            <v>0</v>
          </cell>
          <cell r="J569">
            <v>0</v>
          </cell>
          <cell r="K569">
            <v>0</v>
          </cell>
          <cell r="L569">
            <v>0</v>
          </cell>
          <cell r="M569">
            <v>0</v>
          </cell>
          <cell r="N569">
            <v>0</v>
          </cell>
          <cell r="O569">
            <v>0</v>
          </cell>
          <cell r="P569">
            <v>0</v>
          </cell>
          <cell r="Q569">
            <v>0</v>
          </cell>
        </row>
        <row r="570">
          <cell r="A570">
            <v>70475</v>
          </cell>
          <cell r="B570" t="str">
            <v>Trade Shows</v>
          </cell>
          <cell r="E570">
            <v>0</v>
          </cell>
          <cell r="F570">
            <v>0</v>
          </cell>
          <cell r="G570">
            <v>0</v>
          </cell>
          <cell r="H570">
            <v>0</v>
          </cell>
          <cell r="I570">
            <v>0</v>
          </cell>
          <cell r="J570">
            <v>0</v>
          </cell>
          <cell r="K570">
            <v>0</v>
          </cell>
          <cell r="L570">
            <v>0</v>
          </cell>
          <cell r="M570">
            <v>0</v>
          </cell>
          <cell r="N570">
            <v>0</v>
          </cell>
          <cell r="O570">
            <v>0</v>
          </cell>
          <cell r="P570">
            <v>0</v>
          </cell>
          <cell r="Q570">
            <v>0</v>
          </cell>
        </row>
        <row r="571">
          <cell r="A571">
            <v>70900</v>
          </cell>
          <cell r="B571" t="str">
            <v>Entitiy Formation Costs</v>
          </cell>
          <cell r="E571">
            <v>0</v>
          </cell>
          <cell r="F571">
            <v>0</v>
          </cell>
          <cell r="G571">
            <v>0</v>
          </cell>
          <cell r="H571">
            <v>0</v>
          </cell>
          <cell r="I571">
            <v>0</v>
          </cell>
          <cell r="J571">
            <v>0</v>
          </cell>
          <cell r="K571">
            <v>0</v>
          </cell>
          <cell r="L571">
            <v>0</v>
          </cell>
          <cell r="M571">
            <v>0</v>
          </cell>
          <cell r="N571">
            <v>0</v>
          </cell>
          <cell r="O571">
            <v>0</v>
          </cell>
          <cell r="P571">
            <v>0</v>
          </cell>
          <cell r="Q571">
            <v>0</v>
          </cell>
        </row>
        <row r="572">
          <cell r="A572">
            <v>70998</v>
          </cell>
          <cell r="B572" t="str">
            <v>Allocation Out - District</v>
          </cell>
          <cell r="E572">
            <v>0</v>
          </cell>
          <cell r="F572">
            <v>0</v>
          </cell>
          <cell r="G572">
            <v>0</v>
          </cell>
          <cell r="H572">
            <v>0</v>
          </cell>
          <cell r="I572">
            <v>0</v>
          </cell>
          <cell r="J572">
            <v>0</v>
          </cell>
          <cell r="K572">
            <v>0</v>
          </cell>
          <cell r="L572">
            <v>0</v>
          </cell>
          <cell r="M572">
            <v>0</v>
          </cell>
          <cell r="N572">
            <v>0</v>
          </cell>
          <cell r="O572">
            <v>0</v>
          </cell>
          <cell r="P572">
            <v>0</v>
          </cell>
          <cell r="Q572">
            <v>0</v>
          </cell>
        </row>
        <row r="573">
          <cell r="A573">
            <v>70999</v>
          </cell>
          <cell r="B573" t="str">
            <v>Allocation Out - Out District</v>
          </cell>
          <cell r="E573">
            <v>0</v>
          </cell>
          <cell r="F573">
            <v>0</v>
          </cell>
          <cell r="G573">
            <v>0</v>
          </cell>
          <cell r="H573">
            <v>0</v>
          </cell>
          <cell r="I573">
            <v>0</v>
          </cell>
          <cell r="J573">
            <v>0</v>
          </cell>
          <cell r="K573">
            <v>0</v>
          </cell>
          <cell r="L573">
            <v>0</v>
          </cell>
          <cell r="M573">
            <v>0</v>
          </cell>
          <cell r="N573">
            <v>0</v>
          </cell>
          <cell r="O573">
            <v>0</v>
          </cell>
          <cell r="P573">
            <v>0</v>
          </cell>
          <cell r="Q573">
            <v>0</v>
          </cell>
        </row>
        <row r="574">
          <cell r="A574">
            <v>71000</v>
          </cell>
          <cell r="B574" t="str">
            <v>Stock Comp Expense</v>
          </cell>
          <cell r="E574">
            <v>0</v>
          </cell>
          <cell r="F574">
            <v>0</v>
          </cell>
          <cell r="G574">
            <v>0</v>
          </cell>
          <cell r="H574">
            <v>0</v>
          </cell>
          <cell r="I574">
            <v>0</v>
          </cell>
          <cell r="J574">
            <v>0</v>
          </cell>
          <cell r="K574">
            <v>0</v>
          </cell>
          <cell r="L574">
            <v>0</v>
          </cell>
          <cell r="M574">
            <v>0</v>
          </cell>
          <cell r="N574">
            <v>0</v>
          </cell>
          <cell r="O574">
            <v>0</v>
          </cell>
          <cell r="P574">
            <v>0</v>
          </cell>
          <cell r="Q574">
            <v>0</v>
          </cell>
        </row>
        <row r="575">
          <cell r="A575" t="str">
            <v>Total G&amp;A</v>
          </cell>
          <cell r="E575">
            <v>135458.46000000002</v>
          </cell>
          <cell r="F575">
            <v>208641.47999999992</v>
          </cell>
          <cell r="G575">
            <v>98781.099999999962</v>
          </cell>
          <cell r="H575">
            <v>225439.98</v>
          </cell>
          <cell r="I575">
            <v>124024.28</v>
          </cell>
          <cell r="J575">
            <v>224140.84000000008</v>
          </cell>
          <cell r="K575">
            <v>154049.73000000004</v>
          </cell>
          <cell r="L575">
            <v>264592.3</v>
          </cell>
          <cell r="M575">
            <v>109926.17</v>
          </cell>
          <cell r="N575">
            <v>249406.65000000005</v>
          </cell>
          <cell r="O575">
            <v>123801.06999999996</v>
          </cell>
          <cell r="P575">
            <v>250967.55000000005</v>
          </cell>
          <cell r="Q575">
            <v>2169229.61</v>
          </cell>
        </row>
        <row r="577">
          <cell r="A577" t="str">
            <v>Overhead</v>
          </cell>
        </row>
        <row r="578">
          <cell r="A578">
            <v>70149</v>
          </cell>
          <cell r="B578" t="str">
            <v>Corporate Overhead Allocation In</v>
          </cell>
          <cell r="E578">
            <v>95576.95</v>
          </cell>
          <cell r="F578">
            <v>93754.57</v>
          </cell>
          <cell r="G578">
            <v>96892.32</v>
          </cell>
          <cell r="H578">
            <v>96287.7</v>
          </cell>
          <cell r="I578">
            <v>98950.95</v>
          </cell>
          <cell r="J578">
            <v>99254.64</v>
          </cell>
          <cell r="K578">
            <v>97352.26</v>
          </cell>
          <cell r="L578">
            <v>97777.96</v>
          </cell>
          <cell r="M578">
            <v>98592.93</v>
          </cell>
          <cell r="N578">
            <v>101400.48</v>
          </cell>
          <cell r="O578">
            <v>100544.01</v>
          </cell>
          <cell r="P578">
            <v>100617.72</v>
          </cell>
          <cell r="Q578">
            <v>1177002.49</v>
          </cell>
        </row>
        <row r="579">
          <cell r="A579">
            <v>70159</v>
          </cell>
          <cell r="B579" t="str">
            <v>Region Overhead Allocation In</v>
          </cell>
          <cell r="E579">
            <v>0</v>
          </cell>
          <cell r="F579">
            <v>0</v>
          </cell>
          <cell r="G579">
            <v>0</v>
          </cell>
          <cell r="H579">
            <v>0</v>
          </cell>
          <cell r="I579">
            <v>0</v>
          </cell>
          <cell r="J579">
            <v>0</v>
          </cell>
          <cell r="K579">
            <v>0</v>
          </cell>
          <cell r="L579">
            <v>0</v>
          </cell>
          <cell r="M579">
            <v>0</v>
          </cell>
          <cell r="N579">
            <v>0</v>
          </cell>
          <cell r="O579">
            <v>0</v>
          </cell>
          <cell r="P579">
            <v>0</v>
          </cell>
          <cell r="Q579">
            <v>0</v>
          </cell>
        </row>
        <row r="580">
          <cell r="A580" t="str">
            <v>Total Overhead</v>
          </cell>
          <cell r="E580">
            <v>95576.95</v>
          </cell>
          <cell r="F580">
            <v>93754.57</v>
          </cell>
          <cell r="G580">
            <v>96892.32</v>
          </cell>
          <cell r="H580">
            <v>96287.7</v>
          </cell>
          <cell r="I580">
            <v>98950.95</v>
          </cell>
          <cell r="J580">
            <v>99254.64</v>
          </cell>
          <cell r="K580">
            <v>97352.26</v>
          </cell>
          <cell r="L580">
            <v>97777.96</v>
          </cell>
          <cell r="M580">
            <v>98592.93</v>
          </cell>
          <cell r="N580">
            <v>101400.48</v>
          </cell>
          <cell r="O580">
            <v>100544.01</v>
          </cell>
          <cell r="P580">
            <v>100617.72</v>
          </cell>
          <cell r="Q580">
            <v>1177002.49</v>
          </cell>
        </row>
        <row r="582">
          <cell r="A582" t="str">
            <v>Total SG&amp;A</v>
          </cell>
          <cell r="E582">
            <v>246511.28000000003</v>
          </cell>
          <cell r="F582">
            <v>305793.68999999994</v>
          </cell>
          <cell r="G582">
            <v>203965.25999999998</v>
          </cell>
          <cell r="H582">
            <v>328473.28999999998</v>
          </cell>
          <cell r="I582">
            <v>228706.00999999998</v>
          </cell>
          <cell r="J582">
            <v>331450.5400000001</v>
          </cell>
          <cell r="K582">
            <v>256165.84000000005</v>
          </cell>
          <cell r="L582">
            <v>365954.82</v>
          </cell>
          <cell r="M582">
            <v>239060.30999999997</v>
          </cell>
          <cell r="N582">
            <v>379132.25000000006</v>
          </cell>
          <cell r="O582">
            <v>228004.79999999996</v>
          </cell>
          <cell r="P582">
            <v>390132.22000000003</v>
          </cell>
          <cell r="Q582">
            <v>3503350.3099999996</v>
          </cell>
        </row>
        <row r="584">
          <cell r="A584" t="str">
            <v>EBITDA</v>
          </cell>
          <cell r="E584">
            <v>712085.01999999979</v>
          </cell>
          <cell r="F584">
            <v>772605.35999999987</v>
          </cell>
          <cell r="G584">
            <v>776716.52999999991</v>
          </cell>
          <cell r="H584">
            <v>731539.77</v>
          </cell>
          <cell r="I584">
            <v>769618.66999999934</v>
          </cell>
          <cell r="J584">
            <v>552555.60000000033</v>
          </cell>
          <cell r="K584">
            <v>743010.76999999932</v>
          </cell>
          <cell r="L584">
            <v>663397.72999999952</v>
          </cell>
          <cell r="M584">
            <v>766161.14</v>
          </cell>
          <cell r="N584">
            <v>683037.77000000048</v>
          </cell>
          <cell r="O584">
            <v>782671.56999999972</v>
          </cell>
          <cell r="P584">
            <v>621819.83000000031</v>
          </cell>
          <cell r="Q584">
            <v>8575219.7600000016</v>
          </cell>
        </row>
        <row r="586">
          <cell r="A586" t="str">
            <v>DD&amp;A</v>
          </cell>
        </row>
        <row r="587">
          <cell r="A587" t="str">
            <v>Depreciation</v>
          </cell>
        </row>
        <row r="588">
          <cell r="A588">
            <v>51260</v>
          </cell>
          <cell r="B588" t="str">
            <v>Depreciation</v>
          </cell>
          <cell r="E588">
            <v>128653.02</v>
          </cell>
          <cell r="F588">
            <v>131370.81</v>
          </cell>
          <cell r="G588">
            <v>131344.75</v>
          </cell>
          <cell r="H588">
            <v>130833.62</v>
          </cell>
          <cell r="I588">
            <v>128898.54</v>
          </cell>
          <cell r="J588">
            <v>124756.98</v>
          </cell>
          <cell r="K588">
            <v>129780.01</v>
          </cell>
          <cell r="L588">
            <v>124499.33</v>
          </cell>
          <cell r="M588">
            <v>116250.86</v>
          </cell>
          <cell r="N588">
            <v>116469.34</v>
          </cell>
          <cell r="O588">
            <v>115552.67</v>
          </cell>
          <cell r="P588">
            <v>115400.84</v>
          </cell>
          <cell r="Q588">
            <v>1493810.77</v>
          </cell>
        </row>
        <row r="589">
          <cell r="A589">
            <v>54260</v>
          </cell>
          <cell r="B589" t="str">
            <v>Depreciation</v>
          </cell>
          <cell r="E589">
            <v>44644.21</v>
          </cell>
          <cell r="F589">
            <v>45130.14</v>
          </cell>
          <cell r="G589">
            <v>45176.2</v>
          </cell>
          <cell r="H589">
            <v>45736.24</v>
          </cell>
          <cell r="I589">
            <v>45872.49</v>
          </cell>
          <cell r="J589">
            <v>46097.22</v>
          </cell>
          <cell r="K589">
            <v>46974.19</v>
          </cell>
          <cell r="L589">
            <v>47668</v>
          </cell>
          <cell r="M589">
            <v>47777.17</v>
          </cell>
          <cell r="N589">
            <v>47529.919999999998</v>
          </cell>
          <cell r="O589">
            <v>47583.6</v>
          </cell>
          <cell r="P589">
            <v>47682.03</v>
          </cell>
          <cell r="Q589">
            <v>557871.40999999992</v>
          </cell>
        </row>
        <row r="590">
          <cell r="A590">
            <v>56260</v>
          </cell>
          <cell r="B590" t="str">
            <v>Depreciation</v>
          </cell>
          <cell r="E590">
            <v>0</v>
          </cell>
          <cell r="F590">
            <v>0</v>
          </cell>
          <cell r="G590">
            <v>0</v>
          </cell>
          <cell r="H590">
            <v>0</v>
          </cell>
          <cell r="I590">
            <v>0</v>
          </cell>
          <cell r="J590">
            <v>0</v>
          </cell>
          <cell r="K590">
            <v>0</v>
          </cell>
          <cell r="L590">
            <v>0</v>
          </cell>
          <cell r="M590">
            <v>0</v>
          </cell>
          <cell r="N590">
            <v>0</v>
          </cell>
          <cell r="O590">
            <v>0</v>
          </cell>
          <cell r="P590">
            <v>0</v>
          </cell>
          <cell r="Q590">
            <v>0</v>
          </cell>
        </row>
        <row r="591">
          <cell r="A591">
            <v>57260</v>
          </cell>
          <cell r="B591" t="str">
            <v>Depreciation</v>
          </cell>
          <cell r="E591">
            <v>5579.13</v>
          </cell>
          <cell r="F591">
            <v>5579.15</v>
          </cell>
          <cell r="G591">
            <v>5579.14</v>
          </cell>
          <cell r="H591">
            <v>5579.12</v>
          </cell>
          <cell r="I591">
            <v>5579.14</v>
          </cell>
          <cell r="J591">
            <v>5579.19</v>
          </cell>
          <cell r="K591">
            <v>5579.09</v>
          </cell>
          <cell r="L591">
            <v>5579.1</v>
          </cell>
          <cell r="M591">
            <v>5521.44</v>
          </cell>
          <cell r="N591">
            <v>5521.33</v>
          </cell>
          <cell r="O591">
            <v>5521.37</v>
          </cell>
          <cell r="P591">
            <v>5521.3</v>
          </cell>
          <cell r="Q591">
            <v>66718.5</v>
          </cell>
        </row>
        <row r="592">
          <cell r="A592">
            <v>60260</v>
          </cell>
          <cell r="B592" t="str">
            <v>Depreciation</v>
          </cell>
          <cell r="E592">
            <v>0</v>
          </cell>
          <cell r="F592">
            <v>0</v>
          </cell>
          <cell r="G592">
            <v>0</v>
          </cell>
          <cell r="H592">
            <v>0</v>
          </cell>
          <cell r="I592">
            <v>0</v>
          </cell>
          <cell r="J592">
            <v>0</v>
          </cell>
          <cell r="K592">
            <v>0</v>
          </cell>
          <cell r="L592">
            <v>0</v>
          </cell>
          <cell r="M592">
            <v>0</v>
          </cell>
          <cell r="N592">
            <v>0</v>
          </cell>
          <cell r="O592">
            <v>0</v>
          </cell>
          <cell r="P592">
            <v>0</v>
          </cell>
          <cell r="Q592">
            <v>0</v>
          </cell>
        </row>
        <row r="593">
          <cell r="A593">
            <v>70257</v>
          </cell>
          <cell r="B593" t="str">
            <v>Depreciation</v>
          </cell>
          <cell r="E593">
            <v>0</v>
          </cell>
          <cell r="F593">
            <v>0</v>
          </cell>
          <cell r="G593">
            <v>0</v>
          </cell>
          <cell r="H593">
            <v>0</v>
          </cell>
          <cell r="I593">
            <v>0</v>
          </cell>
          <cell r="J593">
            <v>0</v>
          </cell>
          <cell r="K593">
            <v>0</v>
          </cell>
          <cell r="L593">
            <v>0</v>
          </cell>
          <cell r="M593">
            <v>0</v>
          </cell>
          <cell r="N593">
            <v>0</v>
          </cell>
          <cell r="O593">
            <v>0</v>
          </cell>
          <cell r="P593">
            <v>0</v>
          </cell>
          <cell r="Q593">
            <v>0</v>
          </cell>
        </row>
        <row r="594">
          <cell r="A594">
            <v>70260</v>
          </cell>
          <cell r="B594" t="str">
            <v>Depreciation</v>
          </cell>
          <cell r="E594">
            <v>819.53</v>
          </cell>
          <cell r="F594">
            <v>819.52</v>
          </cell>
          <cell r="G594">
            <v>819.52</v>
          </cell>
          <cell r="H594">
            <v>819.45</v>
          </cell>
          <cell r="I594">
            <v>622.97</v>
          </cell>
          <cell r="J594">
            <v>622.99</v>
          </cell>
          <cell r="K594">
            <v>622.98</v>
          </cell>
          <cell r="L594">
            <v>622.91</v>
          </cell>
          <cell r="M594">
            <v>451.09</v>
          </cell>
          <cell r="N594">
            <v>451.1</v>
          </cell>
          <cell r="O594">
            <v>430.18</v>
          </cell>
          <cell r="P594">
            <v>386.57</v>
          </cell>
          <cell r="Q594">
            <v>7488.8099999999995</v>
          </cell>
        </row>
        <row r="595">
          <cell r="A595" t="str">
            <v>Total Depreciation</v>
          </cell>
          <cell r="E595">
            <v>179695.89</v>
          </cell>
          <cell r="F595">
            <v>182899.62</v>
          </cell>
          <cell r="G595">
            <v>182919.61000000002</v>
          </cell>
          <cell r="H595">
            <v>182968.43</v>
          </cell>
          <cell r="I595">
            <v>180973.14</v>
          </cell>
          <cell r="J595">
            <v>177056.38</v>
          </cell>
          <cell r="K595">
            <v>182956.27000000002</v>
          </cell>
          <cell r="L595">
            <v>178369.34000000003</v>
          </cell>
          <cell r="M595">
            <v>170000.56</v>
          </cell>
          <cell r="N595">
            <v>169971.69</v>
          </cell>
          <cell r="O595">
            <v>169087.81999999998</v>
          </cell>
          <cell r="P595">
            <v>168990.74</v>
          </cell>
          <cell r="Q595">
            <v>2125889.4899999998</v>
          </cell>
        </row>
        <row r="597">
          <cell r="A597" t="str">
            <v>Depletion</v>
          </cell>
        </row>
        <row r="598">
          <cell r="A598">
            <v>46000</v>
          </cell>
          <cell r="B598" t="str">
            <v>Depletion</v>
          </cell>
          <cell r="E598">
            <v>0</v>
          </cell>
          <cell r="F598">
            <v>0</v>
          </cell>
          <cell r="G598">
            <v>0</v>
          </cell>
          <cell r="H598">
            <v>0</v>
          </cell>
          <cell r="I598">
            <v>0</v>
          </cell>
          <cell r="J598">
            <v>0</v>
          </cell>
          <cell r="K598">
            <v>0</v>
          </cell>
          <cell r="L598">
            <v>0</v>
          </cell>
          <cell r="M598">
            <v>0</v>
          </cell>
          <cell r="N598">
            <v>0</v>
          </cell>
          <cell r="O598">
            <v>0</v>
          </cell>
          <cell r="P598">
            <v>0</v>
          </cell>
          <cell r="Q598">
            <v>0</v>
          </cell>
        </row>
        <row r="599">
          <cell r="A599">
            <v>46010</v>
          </cell>
          <cell r="B599" t="str">
            <v>Closure Amortization</v>
          </cell>
          <cell r="E599">
            <v>0</v>
          </cell>
          <cell r="F599">
            <v>0</v>
          </cell>
          <cell r="G599">
            <v>0</v>
          </cell>
          <cell r="H599">
            <v>0</v>
          </cell>
          <cell r="I599">
            <v>0</v>
          </cell>
          <cell r="J599">
            <v>0</v>
          </cell>
          <cell r="K599">
            <v>0</v>
          </cell>
          <cell r="L599">
            <v>0</v>
          </cell>
          <cell r="M599">
            <v>0</v>
          </cell>
          <cell r="N599">
            <v>0</v>
          </cell>
          <cell r="O599">
            <v>0</v>
          </cell>
          <cell r="P599">
            <v>0</v>
          </cell>
          <cell r="Q599">
            <v>0</v>
          </cell>
        </row>
        <row r="600">
          <cell r="A600">
            <v>57261</v>
          </cell>
          <cell r="B600" t="str">
            <v>Airspace Amortization</v>
          </cell>
          <cell r="E600">
            <v>0</v>
          </cell>
          <cell r="F600">
            <v>0</v>
          </cell>
          <cell r="G600">
            <v>0</v>
          </cell>
          <cell r="H600">
            <v>0</v>
          </cell>
          <cell r="I600">
            <v>0</v>
          </cell>
          <cell r="J600">
            <v>0</v>
          </cell>
          <cell r="K600">
            <v>0</v>
          </cell>
          <cell r="L600">
            <v>0</v>
          </cell>
          <cell r="M600">
            <v>0</v>
          </cell>
          <cell r="N600">
            <v>0</v>
          </cell>
          <cell r="O600">
            <v>0</v>
          </cell>
          <cell r="P600">
            <v>0</v>
          </cell>
          <cell r="Q600">
            <v>0</v>
          </cell>
        </row>
        <row r="601">
          <cell r="A601" t="str">
            <v>Total Depletion</v>
          </cell>
          <cell r="E601">
            <v>0</v>
          </cell>
          <cell r="F601">
            <v>0</v>
          </cell>
          <cell r="G601">
            <v>0</v>
          </cell>
          <cell r="H601">
            <v>0</v>
          </cell>
          <cell r="I601">
            <v>0</v>
          </cell>
          <cell r="J601">
            <v>0</v>
          </cell>
          <cell r="K601">
            <v>0</v>
          </cell>
          <cell r="L601">
            <v>0</v>
          </cell>
          <cell r="M601">
            <v>0</v>
          </cell>
          <cell r="N601">
            <v>0</v>
          </cell>
          <cell r="O601">
            <v>0</v>
          </cell>
          <cell r="P601">
            <v>0</v>
          </cell>
          <cell r="Q601">
            <v>0</v>
          </cell>
        </row>
        <row r="603">
          <cell r="A603" t="str">
            <v>Amortization</v>
          </cell>
        </row>
        <row r="604">
          <cell r="A604">
            <v>70264</v>
          </cell>
          <cell r="B604" t="str">
            <v>Amortization</v>
          </cell>
          <cell r="E604">
            <v>0</v>
          </cell>
          <cell r="F604">
            <v>0</v>
          </cell>
          <cell r="G604">
            <v>0</v>
          </cell>
          <cell r="H604">
            <v>0</v>
          </cell>
          <cell r="I604">
            <v>0</v>
          </cell>
          <cell r="J604">
            <v>0</v>
          </cell>
          <cell r="K604">
            <v>0</v>
          </cell>
          <cell r="L604">
            <v>0</v>
          </cell>
          <cell r="M604">
            <v>0</v>
          </cell>
          <cell r="N604">
            <v>0</v>
          </cell>
          <cell r="O604">
            <v>0</v>
          </cell>
          <cell r="P604">
            <v>0</v>
          </cell>
          <cell r="Q604">
            <v>0</v>
          </cell>
        </row>
        <row r="605">
          <cell r="A605">
            <v>70266</v>
          </cell>
          <cell r="B605" t="str">
            <v>Cov. Not to Compete</v>
          </cell>
          <cell r="E605">
            <v>1987.84</v>
          </cell>
          <cell r="F605">
            <v>1987.84</v>
          </cell>
          <cell r="G605">
            <v>1987.83</v>
          </cell>
          <cell r="H605">
            <v>1987.84</v>
          </cell>
          <cell r="I605">
            <v>1987.83</v>
          </cell>
          <cell r="J605">
            <v>1987.83</v>
          </cell>
          <cell r="K605">
            <v>1987.84</v>
          </cell>
          <cell r="L605">
            <v>1987.8</v>
          </cell>
          <cell r="M605">
            <v>0</v>
          </cell>
          <cell r="N605">
            <v>0</v>
          </cell>
          <cell r="O605">
            <v>0</v>
          </cell>
          <cell r="P605">
            <v>0</v>
          </cell>
          <cell r="Q605">
            <v>15902.65</v>
          </cell>
        </row>
        <row r="606">
          <cell r="A606">
            <v>70267</v>
          </cell>
          <cell r="B606" t="str">
            <v>Amortization of Goodwill - Taxable</v>
          </cell>
          <cell r="E606">
            <v>0</v>
          </cell>
          <cell r="F606">
            <v>0</v>
          </cell>
          <cell r="G606">
            <v>0</v>
          </cell>
          <cell r="H606">
            <v>0</v>
          </cell>
          <cell r="I606">
            <v>0</v>
          </cell>
          <cell r="J606">
            <v>0</v>
          </cell>
          <cell r="K606">
            <v>0</v>
          </cell>
          <cell r="L606">
            <v>0</v>
          </cell>
          <cell r="M606">
            <v>0</v>
          </cell>
          <cell r="N606">
            <v>0</v>
          </cell>
          <cell r="O606">
            <v>0</v>
          </cell>
          <cell r="P606">
            <v>0</v>
          </cell>
          <cell r="Q606">
            <v>0</v>
          </cell>
        </row>
        <row r="607">
          <cell r="A607">
            <v>70268</v>
          </cell>
          <cell r="B607" t="str">
            <v>Amortization of Goodwill - Non-Taxable</v>
          </cell>
          <cell r="E607">
            <v>0</v>
          </cell>
          <cell r="F607">
            <v>0</v>
          </cell>
          <cell r="G607">
            <v>0</v>
          </cell>
          <cell r="H607">
            <v>0</v>
          </cell>
          <cell r="I607">
            <v>0</v>
          </cell>
          <cell r="J607">
            <v>0</v>
          </cell>
          <cell r="K607">
            <v>0</v>
          </cell>
          <cell r="L607">
            <v>0</v>
          </cell>
          <cell r="M607">
            <v>0</v>
          </cell>
          <cell r="N607">
            <v>0</v>
          </cell>
          <cell r="O607">
            <v>0</v>
          </cell>
          <cell r="P607">
            <v>0</v>
          </cell>
          <cell r="Q607">
            <v>0</v>
          </cell>
        </row>
        <row r="608">
          <cell r="A608">
            <v>70269</v>
          </cell>
          <cell r="B608" t="str">
            <v>Long Term Contract Amort</v>
          </cell>
          <cell r="E608">
            <v>0</v>
          </cell>
          <cell r="F608">
            <v>0</v>
          </cell>
          <cell r="G608">
            <v>0</v>
          </cell>
          <cell r="H608">
            <v>0</v>
          </cell>
          <cell r="I608">
            <v>0</v>
          </cell>
          <cell r="J608">
            <v>0</v>
          </cell>
          <cell r="K608">
            <v>0</v>
          </cell>
          <cell r="L608">
            <v>0</v>
          </cell>
          <cell r="M608">
            <v>0</v>
          </cell>
          <cell r="N608">
            <v>0</v>
          </cell>
          <cell r="O608">
            <v>0</v>
          </cell>
          <cell r="P608">
            <v>0</v>
          </cell>
          <cell r="Q608">
            <v>0</v>
          </cell>
        </row>
        <row r="609">
          <cell r="A609" t="str">
            <v>Total Amortization</v>
          </cell>
          <cell r="E609">
            <v>1987.84</v>
          </cell>
          <cell r="F609">
            <v>1987.84</v>
          </cell>
          <cell r="G609">
            <v>1987.83</v>
          </cell>
          <cell r="H609">
            <v>1987.84</v>
          </cell>
          <cell r="I609">
            <v>1987.83</v>
          </cell>
          <cell r="J609">
            <v>1987.83</v>
          </cell>
          <cell r="K609">
            <v>1987.84</v>
          </cell>
          <cell r="L609">
            <v>1987.8</v>
          </cell>
          <cell r="M609">
            <v>0</v>
          </cell>
          <cell r="N609">
            <v>0</v>
          </cell>
          <cell r="O609">
            <v>0</v>
          </cell>
          <cell r="P609">
            <v>0</v>
          </cell>
          <cell r="Q609">
            <v>15902.65</v>
          </cell>
        </row>
        <row r="611">
          <cell r="A611" t="str">
            <v>Total DDA</v>
          </cell>
          <cell r="E611">
            <v>181683.73</v>
          </cell>
          <cell r="F611">
            <v>184887.46</v>
          </cell>
          <cell r="G611">
            <v>184907.44</v>
          </cell>
          <cell r="H611">
            <v>184956.27</v>
          </cell>
          <cell r="I611">
            <v>182960.97</v>
          </cell>
          <cell r="J611">
            <v>179044.21</v>
          </cell>
          <cell r="K611">
            <v>184944.11000000002</v>
          </cell>
          <cell r="L611">
            <v>180357.14</v>
          </cell>
          <cell r="M611">
            <v>170000.56</v>
          </cell>
          <cell r="N611">
            <v>169971.69</v>
          </cell>
          <cell r="O611">
            <v>169087.81999999998</v>
          </cell>
          <cell r="P611">
            <v>168990.74</v>
          </cell>
          <cell r="Q611">
            <v>2141792.1399999997</v>
          </cell>
        </row>
        <row r="613">
          <cell r="A613" t="str">
            <v>EBIT</v>
          </cell>
          <cell r="E613">
            <v>530401.2899999998</v>
          </cell>
          <cell r="F613">
            <v>587717.89999999991</v>
          </cell>
          <cell r="G613">
            <v>591809.08999999985</v>
          </cell>
          <cell r="H613">
            <v>546583.5</v>
          </cell>
          <cell r="I613">
            <v>586657.69999999937</v>
          </cell>
          <cell r="J613">
            <v>373511.39000000036</v>
          </cell>
          <cell r="K613">
            <v>558066.65999999933</v>
          </cell>
          <cell r="L613">
            <v>483040.5899999995</v>
          </cell>
          <cell r="M613">
            <v>596160.58000000007</v>
          </cell>
          <cell r="N613">
            <v>513066.08000000048</v>
          </cell>
          <cell r="O613">
            <v>613583.74999999977</v>
          </cell>
          <cell r="P613">
            <v>452829.09000000032</v>
          </cell>
          <cell r="Q613">
            <v>6433427.620000002</v>
          </cell>
        </row>
        <row r="615">
          <cell r="A615" t="str">
            <v>Interest Expense</v>
          </cell>
        </row>
        <row r="616">
          <cell r="A616">
            <v>80000</v>
          </cell>
          <cell r="B616" t="str">
            <v>Interest Expense</v>
          </cell>
          <cell r="E616">
            <v>0</v>
          </cell>
          <cell r="F616">
            <v>0</v>
          </cell>
          <cell r="G616">
            <v>0</v>
          </cell>
          <cell r="H616">
            <v>0</v>
          </cell>
          <cell r="I616">
            <v>0</v>
          </cell>
          <cell r="J616">
            <v>0</v>
          </cell>
          <cell r="K616">
            <v>0</v>
          </cell>
          <cell r="L616">
            <v>0</v>
          </cell>
          <cell r="M616">
            <v>0</v>
          </cell>
          <cell r="N616">
            <v>0</v>
          </cell>
          <cell r="O616">
            <v>0</v>
          </cell>
          <cell r="P616">
            <v>0</v>
          </cell>
          <cell r="Q616">
            <v>0</v>
          </cell>
        </row>
        <row r="617">
          <cell r="A617">
            <v>80001</v>
          </cell>
          <cell r="B617" t="str">
            <v>Debt Accretion</v>
          </cell>
          <cell r="E617">
            <v>0</v>
          </cell>
          <cell r="F617">
            <v>0</v>
          </cell>
          <cell r="G617">
            <v>0</v>
          </cell>
          <cell r="H617">
            <v>0</v>
          </cell>
          <cell r="I617">
            <v>0</v>
          </cell>
          <cell r="J617">
            <v>0</v>
          </cell>
          <cell r="K617">
            <v>0</v>
          </cell>
          <cell r="L617">
            <v>0</v>
          </cell>
          <cell r="M617">
            <v>0</v>
          </cell>
          <cell r="N617">
            <v>0</v>
          </cell>
          <cell r="O617">
            <v>0</v>
          </cell>
          <cell r="P617">
            <v>0</v>
          </cell>
          <cell r="Q617">
            <v>0</v>
          </cell>
        </row>
        <row r="618">
          <cell r="A618">
            <v>80009</v>
          </cell>
          <cell r="B618" t="str">
            <v>Capitalized Interest</v>
          </cell>
          <cell r="E618">
            <v>0</v>
          </cell>
          <cell r="F618">
            <v>0</v>
          </cell>
          <cell r="G618">
            <v>0</v>
          </cell>
          <cell r="H618">
            <v>0</v>
          </cell>
          <cell r="I618">
            <v>0</v>
          </cell>
          <cell r="J618">
            <v>0</v>
          </cell>
          <cell r="K618">
            <v>0</v>
          </cell>
          <cell r="L618">
            <v>0</v>
          </cell>
          <cell r="M618">
            <v>0</v>
          </cell>
          <cell r="N618">
            <v>0</v>
          </cell>
          <cell r="O618">
            <v>0</v>
          </cell>
          <cell r="P618">
            <v>0</v>
          </cell>
          <cell r="Q618">
            <v>0</v>
          </cell>
        </row>
        <row r="619">
          <cell r="A619">
            <v>80099</v>
          </cell>
          <cell r="B619" t="str">
            <v>Interest Allocation</v>
          </cell>
          <cell r="E619">
            <v>0</v>
          </cell>
          <cell r="F619">
            <v>0</v>
          </cell>
          <cell r="G619">
            <v>0</v>
          </cell>
          <cell r="H619">
            <v>0</v>
          </cell>
          <cell r="I619">
            <v>0</v>
          </cell>
          <cell r="J619">
            <v>0</v>
          </cell>
          <cell r="K619">
            <v>0</v>
          </cell>
          <cell r="L619">
            <v>0</v>
          </cell>
          <cell r="M619">
            <v>0</v>
          </cell>
          <cell r="N619">
            <v>0</v>
          </cell>
          <cell r="O619">
            <v>0</v>
          </cell>
          <cell r="P619">
            <v>0</v>
          </cell>
          <cell r="Q619">
            <v>0</v>
          </cell>
        </row>
        <row r="620">
          <cell r="A620" t="str">
            <v>Total Interest Expense</v>
          </cell>
          <cell r="E620">
            <v>0</v>
          </cell>
          <cell r="F620">
            <v>0</v>
          </cell>
          <cell r="G620">
            <v>0</v>
          </cell>
          <cell r="H620">
            <v>0</v>
          </cell>
          <cell r="I620">
            <v>0</v>
          </cell>
          <cell r="J620">
            <v>0</v>
          </cell>
          <cell r="K620">
            <v>0</v>
          </cell>
          <cell r="L620">
            <v>0</v>
          </cell>
          <cell r="M620">
            <v>0</v>
          </cell>
          <cell r="N620">
            <v>0</v>
          </cell>
          <cell r="O620">
            <v>0</v>
          </cell>
          <cell r="P620">
            <v>0</v>
          </cell>
          <cell r="Q620">
            <v>0</v>
          </cell>
        </row>
        <row r="622">
          <cell r="A622" t="str">
            <v>Interest Income</v>
          </cell>
        </row>
        <row r="623">
          <cell r="A623">
            <v>80010</v>
          </cell>
          <cell r="B623" t="str">
            <v>Interest Income</v>
          </cell>
          <cell r="E623">
            <v>0</v>
          </cell>
          <cell r="F623">
            <v>0</v>
          </cell>
          <cell r="G623">
            <v>0</v>
          </cell>
          <cell r="H623">
            <v>0</v>
          </cell>
          <cell r="I623">
            <v>0</v>
          </cell>
          <cell r="J623">
            <v>0</v>
          </cell>
          <cell r="K623">
            <v>0</v>
          </cell>
          <cell r="L623">
            <v>0</v>
          </cell>
          <cell r="M623">
            <v>0</v>
          </cell>
          <cell r="N623">
            <v>0</v>
          </cell>
          <cell r="O623">
            <v>0</v>
          </cell>
          <cell r="P623">
            <v>0</v>
          </cell>
          <cell r="Q623">
            <v>0</v>
          </cell>
        </row>
        <row r="624">
          <cell r="A624" t="str">
            <v>Total Interest Income</v>
          </cell>
          <cell r="E624">
            <v>0</v>
          </cell>
          <cell r="F624">
            <v>0</v>
          </cell>
          <cell r="G624">
            <v>0</v>
          </cell>
          <cell r="H624">
            <v>0</v>
          </cell>
          <cell r="I624">
            <v>0</v>
          </cell>
          <cell r="J624">
            <v>0</v>
          </cell>
          <cell r="K624">
            <v>0</v>
          </cell>
          <cell r="L624">
            <v>0</v>
          </cell>
          <cell r="M624">
            <v>0</v>
          </cell>
          <cell r="N624">
            <v>0</v>
          </cell>
          <cell r="O624">
            <v>0</v>
          </cell>
          <cell r="P624">
            <v>0</v>
          </cell>
          <cell r="Q624">
            <v>0</v>
          </cell>
        </row>
        <row r="626">
          <cell r="A626" t="str">
            <v>Other (Income) and Expense</v>
          </cell>
        </row>
        <row r="627">
          <cell r="A627">
            <v>70901</v>
          </cell>
          <cell r="B627" t="str">
            <v>Pooling Costs</v>
          </cell>
          <cell r="E627">
            <v>0</v>
          </cell>
          <cell r="F627">
            <v>0</v>
          </cell>
          <cell r="G627">
            <v>0</v>
          </cell>
          <cell r="H627">
            <v>0</v>
          </cell>
          <cell r="I627">
            <v>0</v>
          </cell>
          <cell r="J627">
            <v>0</v>
          </cell>
          <cell r="K627">
            <v>0</v>
          </cell>
          <cell r="L627">
            <v>0</v>
          </cell>
          <cell r="M627">
            <v>0</v>
          </cell>
          <cell r="N627">
            <v>0</v>
          </cell>
          <cell r="O627">
            <v>0</v>
          </cell>
          <cell r="P627">
            <v>0</v>
          </cell>
          <cell r="Q627">
            <v>0</v>
          </cell>
        </row>
        <row r="628">
          <cell r="A628">
            <v>91000</v>
          </cell>
          <cell r="B628" t="str">
            <v>Unusual Gain/Loss</v>
          </cell>
          <cell r="E628">
            <v>0</v>
          </cell>
          <cell r="F628">
            <v>0</v>
          </cell>
          <cell r="G628">
            <v>0</v>
          </cell>
          <cell r="H628">
            <v>0</v>
          </cell>
          <cell r="I628">
            <v>0</v>
          </cell>
          <cell r="J628">
            <v>0</v>
          </cell>
          <cell r="K628">
            <v>0</v>
          </cell>
          <cell r="L628">
            <v>0</v>
          </cell>
          <cell r="M628">
            <v>0</v>
          </cell>
          <cell r="N628">
            <v>0</v>
          </cell>
          <cell r="O628">
            <v>0</v>
          </cell>
          <cell r="P628">
            <v>0</v>
          </cell>
          <cell r="Q628">
            <v>0</v>
          </cell>
        </row>
        <row r="629">
          <cell r="A629">
            <v>91001</v>
          </cell>
          <cell r="B629" t="str">
            <v>Investment Distribution Income</v>
          </cell>
          <cell r="E629">
            <v>0</v>
          </cell>
          <cell r="F629">
            <v>0</v>
          </cell>
          <cell r="G629">
            <v>0</v>
          </cell>
          <cell r="H629">
            <v>0</v>
          </cell>
          <cell r="I629">
            <v>0</v>
          </cell>
          <cell r="J629">
            <v>0</v>
          </cell>
          <cell r="K629">
            <v>0</v>
          </cell>
          <cell r="L629">
            <v>0</v>
          </cell>
          <cell r="M629">
            <v>0</v>
          </cell>
          <cell r="N629">
            <v>0</v>
          </cell>
          <cell r="O629">
            <v>0</v>
          </cell>
          <cell r="P629">
            <v>0</v>
          </cell>
          <cell r="Q629">
            <v>0</v>
          </cell>
        </row>
        <row r="630">
          <cell r="A630">
            <v>91002</v>
          </cell>
          <cell r="B630" t="str">
            <v>NSF Fees</v>
          </cell>
          <cell r="E630">
            <v>0</v>
          </cell>
          <cell r="F630">
            <v>0</v>
          </cell>
          <cell r="G630">
            <v>0</v>
          </cell>
          <cell r="H630">
            <v>0</v>
          </cell>
          <cell r="I630">
            <v>0</v>
          </cell>
          <cell r="J630">
            <v>0</v>
          </cell>
          <cell r="K630">
            <v>0</v>
          </cell>
          <cell r="L630">
            <v>0</v>
          </cell>
          <cell r="M630">
            <v>0</v>
          </cell>
          <cell r="N630">
            <v>0</v>
          </cell>
          <cell r="O630">
            <v>0</v>
          </cell>
          <cell r="P630">
            <v>0</v>
          </cell>
          <cell r="Q630">
            <v>0</v>
          </cell>
        </row>
        <row r="631">
          <cell r="A631" t="str">
            <v>Total Other (Income) and Expense</v>
          </cell>
          <cell r="E631">
            <v>0</v>
          </cell>
          <cell r="F631">
            <v>0</v>
          </cell>
          <cell r="G631">
            <v>0</v>
          </cell>
          <cell r="H631">
            <v>0</v>
          </cell>
          <cell r="I631">
            <v>0</v>
          </cell>
          <cell r="J631">
            <v>0</v>
          </cell>
          <cell r="K631">
            <v>0</v>
          </cell>
          <cell r="L631">
            <v>0</v>
          </cell>
          <cell r="M631">
            <v>0</v>
          </cell>
          <cell r="N631">
            <v>0</v>
          </cell>
          <cell r="O631">
            <v>0</v>
          </cell>
          <cell r="P631">
            <v>0</v>
          </cell>
          <cell r="Q631">
            <v>0</v>
          </cell>
        </row>
        <row r="633">
          <cell r="A633" t="str">
            <v>Income Before Taxes and Extraordinary Items</v>
          </cell>
          <cell r="E633">
            <v>530401.2899999998</v>
          </cell>
          <cell r="F633">
            <v>587717.89999999991</v>
          </cell>
          <cell r="G633">
            <v>591809.08999999985</v>
          </cell>
          <cell r="H633">
            <v>546583.5</v>
          </cell>
          <cell r="I633">
            <v>586657.69999999937</v>
          </cell>
          <cell r="J633">
            <v>373511.39000000036</v>
          </cell>
          <cell r="K633">
            <v>558066.65999999933</v>
          </cell>
          <cell r="L633">
            <v>483040.5899999995</v>
          </cell>
          <cell r="M633">
            <v>596160.58000000007</v>
          </cell>
          <cell r="N633">
            <v>513066.08000000048</v>
          </cell>
          <cell r="O633">
            <v>613583.74999999977</v>
          </cell>
          <cell r="P633">
            <v>452829.09000000032</v>
          </cell>
          <cell r="Q633">
            <v>6433427.620000002</v>
          </cell>
        </row>
        <row r="635">
          <cell r="A635" t="str">
            <v>Extraordinary Income and Expense</v>
          </cell>
        </row>
        <row r="636">
          <cell r="A636">
            <v>92999</v>
          </cell>
          <cell r="B636" t="str">
            <v>Extraordinary Gain/Loss</v>
          </cell>
          <cell r="E636">
            <v>0</v>
          </cell>
          <cell r="F636">
            <v>0</v>
          </cell>
          <cell r="G636">
            <v>0</v>
          </cell>
          <cell r="H636">
            <v>0</v>
          </cell>
          <cell r="I636">
            <v>0</v>
          </cell>
          <cell r="J636">
            <v>0</v>
          </cell>
          <cell r="K636">
            <v>0</v>
          </cell>
          <cell r="L636">
            <v>0</v>
          </cell>
          <cell r="M636">
            <v>0</v>
          </cell>
          <cell r="N636">
            <v>0</v>
          </cell>
          <cell r="O636">
            <v>0</v>
          </cell>
          <cell r="P636">
            <v>0</v>
          </cell>
          <cell r="Q636">
            <v>0</v>
          </cell>
        </row>
        <row r="637">
          <cell r="A637" t="str">
            <v>Total Extraordinary Income and Expense</v>
          </cell>
          <cell r="E637">
            <v>0</v>
          </cell>
          <cell r="F637">
            <v>0</v>
          </cell>
          <cell r="G637">
            <v>0</v>
          </cell>
          <cell r="H637">
            <v>0</v>
          </cell>
          <cell r="I637">
            <v>0</v>
          </cell>
          <cell r="J637">
            <v>0</v>
          </cell>
          <cell r="K637">
            <v>0</v>
          </cell>
          <cell r="L637">
            <v>0</v>
          </cell>
          <cell r="M637">
            <v>0</v>
          </cell>
          <cell r="N637">
            <v>0</v>
          </cell>
          <cell r="O637">
            <v>0</v>
          </cell>
          <cell r="P637">
            <v>0</v>
          </cell>
          <cell r="Q637">
            <v>0</v>
          </cell>
        </row>
        <row r="639">
          <cell r="A639" t="str">
            <v>Net Income Before Taxes</v>
          </cell>
          <cell r="E639">
            <v>530401.2899999998</v>
          </cell>
          <cell r="F639">
            <v>587717.89999999991</v>
          </cell>
          <cell r="G639">
            <v>591809.08999999985</v>
          </cell>
          <cell r="H639">
            <v>546583.5</v>
          </cell>
          <cell r="I639">
            <v>586657.69999999937</v>
          </cell>
          <cell r="J639">
            <v>373511.39000000036</v>
          </cell>
          <cell r="K639">
            <v>558066.65999999933</v>
          </cell>
          <cell r="L639">
            <v>483040.5899999995</v>
          </cell>
          <cell r="M639">
            <v>596160.58000000007</v>
          </cell>
          <cell r="N639">
            <v>513066.08000000048</v>
          </cell>
          <cell r="O639">
            <v>613583.74999999977</v>
          </cell>
          <cell r="P639">
            <v>452829.09000000032</v>
          </cell>
          <cell r="Q639">
            <v>6433427.620000002</v>
          </cell>
        </row>
        <row r="641">
          <cell r="A641" t="str">
            <v>Income Taxes</v>
          </cell>
        </row>
        <row r="642">
          <cell r="A642">
            <v>90000</v>
          </cell>
          <cell r="B642" t="str">
            <v>Taxes -Federal</v>
          </cell>
          <cell r="E642">
            <v>0</v>
          </cell>
          <cell r="F642">
            <v>0</v>
          </cell>
          <cell r="G642">
            <v>0</v>
          </cell>
          <cell r="H642">
            <v>0</v>
          </cell>
          <cell r="I642">
            <v>0</v>
          </cell>
          <cell r="J642">
            <v>0</v>
          </cell>
          <cell r="K642">
            <v>0</v>
          </cell>
          <cell r="L642">
            <v>0</v>
          </cell>
          <cell r="M642">
            <v>0</v>
          </cell>
          <cell r="N642">
            <v>0</v>
          </cell>
          <cell r="O642">
            <v>0</v>
          </cell>
          <cell r="P642">
            <v>0</v>
          </cell>
          <cell r="Q642">
            <v>0</v>
          </cell>
        </row>
        <row r="643">
          <cell r="A643">
            <v>90010</v>
          </cell>
          <cell r="B643" t="str">
            <v>Taxes - State</v>
          </cell>
          <cell r="E643">
            <v>0</v>
          </cell>
          <cell r="F643">
            <v>0</v>
          </cell>
          <cell r="G643">
            <v>0</v>
          </cell>
          <cell r="H643">
            <v>0</v>
          </cell>
          <cell r="I643">
            <v>0</v>
          </cell>
          <cell r="J643">
            <v>0</v>
          </cell>
          <cell r="K643">
            <v>0</v>
          </cell>
          <cell r="L643">
            <v>0</v>
          </cell>
          <cell r="M643">
            <v>0</v>
          </cell>
          <cell r="N643">
            <v>0</v>
          </cell>
          <cell r="O643">
            <v>0</v>
          </cell>
          <cell r="P643">
            <v>0</v>
          </cell>
          <cell r="Q643">
            <v>0</v>
          </cell>
        </row>
        <row r="644">
          <cell r="A644" t="str">
            <v>Total Income Taxes</v>
          </cell>
          <cell r="E644">
            <v>0</v>
          </cell>
          <cell r="F644">
            <v>0</v>
          </cell>
          <cell r="G644">
            <v>0</v>
          </cell>
          <cell r="H644">
            <v>0</v>
          </cell>
          <cell r="I644">
            <v>0</v>
          </cell>
          <cell r="J644">
            <v>0</v>
          </cell>
          <cell r="K644">
            <v>0</v>
          </cell>
          <cell r="L644">
            <v>0</v>
          </cell>
          <cell r="M644">
            <v>0</v>
          </cell>
          <cell r="N644">
            <v>0</v>
          </cell>
          <cell r="O644">
            <v>0</v>
          </cell>
          <cell r="P644">
            <v>0</v>
          </cell>
          <cell r="Q644">
            <v>0</v>
          </cell>
        </row>
        <row r="646">
          <cell r="A646" t="str">
            <v>Net Income</v>
          </cell>
          <cell r="E646">
            <v>530401.2899999998</v>
          </cell>
          <cell r="F646">
            <v>587717.89999999991</v>
          </cell>
          <cell r="G646">
            <v>591809.08999999985</v>
          </cell>
          <cell r="H646">
            <v>546583.5</v>
          </cell>
          <cell r="I646">
            <v>586657.69999999937</v>
          </cell>
          <cell r="J646">
            <v>373511.39000000036</v>
          </cell>
          <cell r="K646">
            <v>558066.65999999933</v>
          </cell>
          <cell r="L646">
            <v>483040.5899999995</v>
          </cell>
          <cell r="M646">
            <v>596160.58000000007</v>
          </cell>
          <cell r="N646">
            <v>513066.08000000048</v>
          </cell>
          <cell r="O646">
            <v>613583.74999999977</v>
          </cell>
          <cell r="P646">
            <v>452829.09000000032</v>
          </cell>
          <cell r="Q646">
            <v>6433427.620000002</v>
          </cell>
        </row>
        <row r="648">
          <cell r="A648" t="str">
            <v>Noncontrolling Interests Expense</v>
          </cell>
        </row>
        <row r="649">
          <cell r="A649">
            <v>92000</v>
          </cell>
          <cell r="B649" t="str">
            <v>Noncontrolling interests</v>
          </cell>
          <cell r="E649">
            <v>0</v>
          </cell>
          <cell r="F649">
            <v>0</v>
          </cell>
          <cell r="G649">
            <v>0</v>
          </cell>
          <cell r="H649">
            <v>0</v>
          </cell>
          <cell r="I649">
            <v>0</v>
          </cell>
          <cell r="J649">
            <v>0</v>
          </cell>
          <cell r="K649">
            <v>0</v>
          </cell>
          <cell r="L649">
            <v>0</v>
          </cell>
          <cell r="M649">
            <v>0</v>
          </cell>
          <cell r="N649">
            <v>0</v>
          </cell>
          <cell r="O649">
            <v>0</v>
          </cell>
          <cell r="P649">
            <v>0</v>
          </cell>
          <cell r="Q649">
            <v>0</v>
          </cell>
        </row>
        <row r="650">
          <cell r="A650" t="str">
            <v>Total Noncontrolling Interests</v>
          </cell>
          <cell r="E650">
            <v>0</v>
          </cell>
          <cell r="F650">
            <v>0</v>
          </cell>
          <cell r="G650">
            <v>0</v>
          </cell>
          <cell r="H650">
            <v>0</v>
          </cell>
          <cell r="I650">
            <v>0</v>
          </cell>
          <cell r="J650">
            <v>0</v>
          </cell>
          <cell r="K650">
            <v>0</v>
          </cell>
          <cell r="L650">
            <v>0</v>
          </cell>
          <cell r="M650">
            <v>0</v>
          </cell>
          <cell r="N650">
            <v>0</v>
          </cell>
          <cell r="O650">
            <v>0</v>
          </cell>
          <cell r="P650">
            <v>0</v>
          </cell>
          <cell r="Q650">
            <v>0</v>
          </cell>
        </row>
        <row r="652">
          <cell r="A652" t="str">
            <v>Net Income Attributable to Waste Connections</v>
          </cell>
          <cell r="E652">
            <v>530401.2899999998</v>
          </cell>
          <cell r="F652">
            <v>587717.89999999991</v>
          </cell>
          <cell r="G652">
            <v>591809.08999999985</v>
          </cell>
          <cell r="H652">
            <v>546583.5</v>
          </cell>
          <cell r="I652">
            <v>586657.69999999937</v>
          </cell>
          <cell r="J652">
            <v>373511.39000000036</v>
          </cell>
          <cell r="K652">
            <v>558066.65999999933</v>
          </cell>
          <cell r="L652">
            <v>483040.5899999995</v>
          </cell>
          <cell r="M652">
            <v>596160.58000000007</v>
          </cell>
          <cell r="N652">
            <v>513066.08000000048</v>
          </cell>
          <cell r="O652">
            <v>613583.74999999977</v>
          </cell>
          <cell r="P652">
            <v>452829.09000000032</v>
          </cell>
          <cell r="Q652">
            <v>6433427.620000002</v>
          </cell>
        </row>
        <row r="654">
          <cell r="A654" t="str">
            <v>Net Income Attributable to Waste Connections per categories</v>
          </cell>
          <cell r="E654">
            <v>530401.29</v>
          </cell>
          <cell r="F654">
            <v>587717.9</v>
          </cell>
          <cell r="G654">
            <v>591809.09</v>
          </cell>
          <cell r="H654">
            <v>546583.5</v>
          </cell>
          <cell r="I654">
            <v>586657.69999999995</v>
          </cell>
          <cell r="J654">
            <v>373511.39</v>
          </cell>
          <cell r="K654">
            <v>558066.66</v>
          </cell>
          <cell r="L654">
            <v>483040.59</v>
          </cell>
          <cell r="M654">
            <v>596160.57999999996</v>
          </cell>
          <cell r="N654">
            <v>513066.08</v>
          </cell>
          <cell r="O654">
            <v>613583.75</v>
          </cell>
          <cell r="P654">
            <v>452829.09</v>
          </cell>
        </row>
      </sheetData>
      <sheetData sheetId="6" refreshError="1"/>
      <sheetData sheetId="7" refreshError="1">
        <row r="18">
          <cell r="Z18">
            <v>0.33073677436726834</v>
          </cell>
        </row>
        <row r="20">
          <cell r="AC20">
            <v>0.2095860832011289</v>
          </cell>
          <cell r="AK20">
            <v>0.43549015768657823</v>
          </cell>
        </row>
        <row r="39">
          <cell r="AC39">
            <v>0.37964780853584096</v>
          </cell>
        </row>
        <row r="40">
          <cell r="AC40">
            <v>0.36547527560558957</v>
          </cell>
        </row>
        <row r="120">
          <cell r="AE120">
            <v>0.43886061148837213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PL_ActReview"/>
      <sheetName val="PL_ActReview2"/>
      <sheetName val="BS_Close"/>
      <sheetName val="PL_ActTranx"/>
      <sheetName val="IS200PL"/>
      <sheetName val="IS210PL"/>
      <sheetName val="ProjRevCheck"/>
      <sheetName val="BDebtCheck"/>
      <sheetName val="52901Check"/>
      <sheetName val="ICCheck"/>
      <sheetName val="BSCheck"/>
      <sheetName val="BadJECheck"/>
      <sheetName val="JE_Review"/>
      <sheetName val="Proj1"/>
      <sheetName val="Proj2"/>
    </sheetNames>
    <sheetDataSet>
      <sheetData sheetId="0"/>
      <sheetData sheetId="1" refreshError="1">
        <row r="2">
          <cell r="S2" t="str">
            <v>P&amp;L Close Report</v>
          </cell>
        </row>
        <row r="3">
          <cell r="S3" t="str">
            <v>P&amp;L Close Report 2</v>
          </cell>
        </row>
        <row r="4">
          <cell r="S4" t="str">
            <v>BS Close Report</v>
          </cell>
        </row>
        <row r="5">
          <cell r="S5" t="str">
            <v>IS 200 - PL Review</v>
          </cell>
        </row>
        <row r="6">
          <cell r="S6" t="str">
            <v>IS 210 - PL Review</v>
          </cell>
        </row>
        <row r="7">
          <cell r="S7" t="str">
            <v>P&amp;L Tranx Report</v>
          </cell>
        </row>
        <row r="8">
          <cell r="S8" t="str">
            <v>JE Review Report</v>
          </cell>
        </row>
        <row r="9">
          <cell r="S9" t="str">
            <v>Corp: Rev/Proj Check</v>
          </cell>
        </row>
        <row r="10">
          <cell r="S10" t="str">
            <v>Corp: 52901 Check</v>
          </cell>
        </row>
        <row r="11">
          <cell r="S11" t="str">
            <v>Corp: BS Check</v>
          </cell>
        </row>
        <row r="12">
          <cell r="S12" t="str">
            <v>Corp: Bad Debt Check</v>
          </cell>
        </row>
        <row r="13">
          <cell r="S13" t="str">
            <v>Corp: IC Check</v>
          </cell>
        </row>
        <row r="14">
          <cell r="S14" t="str">
            <v>Corp: JE Neg Check</v>
          </cell>
        </row>
        <row r="15">
          <cell r="S15" t="str">
            <v>Proj Review Report</v>
          </cell>
        </row>
        <row r="16">
          <cell r="S16" t="str">
            <v>Proj Review Report 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A, Certification"/>
      <sheetName val="OrgControl"/>
      <sheetName val="InsuranceAccident"/>
      <sheetName val="bsasset"/>
      <sheetName val="bsliab"/>
      <sheetName val="FixedAssets"/>
      <sheetName val="RetainedEarnings"/>
      <sheetName val="Income Statement"/>
      <sheetName val="RevenuesCust"/>
      <sheetName val="Recycle"/>
      <sheetName val="contracts"/>
      <sheetName val="GarbageDisp"/>
      <sheetName val="RecycleProcessing"/>
      <sheetName val="Payroll"/>
      <sheetName val="Fee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A, Certification"/>
      <sheetName val="OrgControl"/>
      <sheetName val="InsuranceAccident"/>
      <sheetName val="bsasset"/>
      <sheetName val="bsliab"/>
      <sheetName val="FixedAssets"/>
      <sheetName val="RetainedEarnings"/>
      <sheetName val="Income Statement"/>
      <sheetName val="RevenuesCust"/>
      <sheetName val="Recycle"/>
      <sheetName val="contracts"/>
      <sheetName val="GarbageDisp"/>
      <sheetName val="RecycleProcessing"/>
      <sheetName val="Payroll"/>
      <sheetName val="Fee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Truck Schedule"/>
      <sheetName val="Jun 2011 FAR"/>
      <sheetName val="Scrap List"/>
      <sheetName val="Sheet1"/>
      <sheetName val="Sheet2"/>
      <sheetName val="Sheet3"/>
      <sheetName val="Sheet4"/>
      <sheetName val="Feb'12 FAR Data"/>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Truck Schedule"/>
      <sheetName val="Jun 2011 FAR"/>
      <sheetName val="Scrap List"/>
      <sheetName val="Sheet1"/>
      <sheetName val="Sheet2"/>
      <sheetName val="Sheet3"/>
      <sheetName val="Sheet4"/>
      <sheetName val="Feb'12 FAR Data"/>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320"/>
      <sheetName val="#REF"/>
    </sheetNames>
    <sheetDataSet>
      <sheetData sheetId="0" refreshError="1"/>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4MthProj1"/>
      <sheetName val="4MthProj2"/>
      <sheetName val="PL_ActReview"/>
      <sheetName val="PL_ActReview2"/>
      <sheetName val="BS_Close"/>
      <sheetName val="IS200PL"/>
      <sheetName val="PL_ActTranx"/>
      <sheetName val="IS210PL"/>
      <sheetName val="ProjRevCheck"/>
      <sheetName val="BDebtCheck"/>
      <sheetName val="52901Check"/>
      <sheetName val="ICCheck"/>
      <sheetName val="BSCheck"/>
      <sheetName val="BadJECheck"/>
      <sheetName val="JE_Review"/>
      <sheetName val="Proj1"/>
      <sheetName val="Proj2"/>
    </sheetNames>
    <sheetDataSet>
      <sheetData sheetId="0"/>
      <sheetData sheetId="1">
        <row r="2">
          <cell r="S2" t="str">
            <v>P&amp;L Close Report</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ttyCash-10110"/>
      <sheetName val="10200"/>
      <sheetName val="10210"/>
      <sheetName val="10250_RECON"/>
      <sheetName val="10250_MVPSS"/>
      <sheetName val="10250_Recy Chkg"/>
      <sheetName val="10250_Reimb Accts"/>
      <sheetName val="10250_Rollfwd"/>
      <sheetName val="10410_Rollfwd"/>
      <sheetName val="10410_Recon"/>
      <sheetName val="10410_Trade"/>
      <sheetName val="10410_Lodi"/>
      <sheetName val="10410_Sac Co"/>
      <sheetName val="10410_Brokered"/>
      <sheetName val="10420_Rollfwd"/>
      <sheetName val="10420 RECON"/>
      <sheetName val="Rollfwd_10550"/>
      <sheetName val="Recon_10550"/>
      <sheetName val="Recon_10555"/>
      <sheetName val="Recon_10610"/>
      <sheetName val="A170XX-October"/>
      <sheetName val="Recon_10760"/>
      <sheetName val="Rollfwd_10820"/>
      <sheetName val="PPXXC_10830"/>
      <sheetName val="Schedule_10830"/>
      <sheetName val="Recon_10830"/>
      <sheetName val="Rollfwd_10850"/>
      <sheetName val="Recon_10850"/>
      <sheetName val="ReconSumm_10890"/>
      <sheetName val="ASSETS 11XXX"/>
      <sheetName val="ACC DEP 12XXX"/>
      <sheetName val="GOODWILL_15120"/>
      <sheetName val="Rollfwd_15450"/>
      <sheetName val="15450_92 bond"/>
      <sheetName val="15450_94 Bond "/>
      <sheetName val="Recon_15450"/>
      <sheetName val="Rollfwd_15320_15500"/>
      <sheetName val="16100_Rollfwd"/>
      <sheetName val="A180543"/>
      <sheetName val="A20110"/>
      <sheetName val="Rollfwd_20120"/>
      <sheetName val="Recon_20120"/>
      <sheetName val="Recon_20130"/>
      <sheetName val="Recon_20133"/>
      <sheetName val="Recon_20135"/>
      <sheetName val="Recon_20137"/>
      <sheetName val="A20140"/>
      <sheetName val="SALES TAX RETURN_20140"/>
      <sheetName val="Rollfwd_20170"/>
      <sheetName val="Recon_20170"/>
      <sheetName val="Recon_20175"/>
      <sheetName val="Recon_20177"/>
      <sheetName val="Detail_20320"/>
      <sheetName val="Rollfwd_20325"/>
      <sheetName val="Recon_20325"/>
      <sheetName val="A20330"/>
      <sheetName val="RECON 20335"/>
      <sheetName val="RECON_20340"/>
      <sheetName val="DETAILED 20360"/>
      <sheetName val="recon 20365"/>
      <sheetName val="recon 20375"/>
      <sheetName val="A21100 &amp; A21250"/>
      <sheetName val="21250_92 Bond"/>
      <sheetName val="21250_94 Bond"/>
      <sheetName val="21250_R. Vaccarezza"/>
      <sheetName val="21250_BOND DIS AMORT"/>
      <sheetName val="A21390"/>
      <sheetName val="Recon 22104"/>
      <sheetName val="Recon 22105"/>
      <sheetName val="Recon 22109"/>
      <sheetName val="Recon 22205 "/>
      <sheetName val="Recon 22206"/>
      <sheetName val="Recon_30XXXX"/>
      <sheetName val="Recon 150543 Revised"/>
      <sheetName val="170001 DL 121999"/>
      <sheetName val="Rollfwd_170001"/>
      <sheetName val="A170001"/>
      <sheetName val="Rollfwd_170050"/>
      <sheetName val="A170050"/>
      <sheetName val="Rollfwd_171170"/>
      <sheetName val="A171170"/>
      <sheetName val="Rollfwd_171500"/>
      <sheetName val="A171500"/>
      <sheetName val="A171504"/>
      <sheetName val="A171531"/>
      <sheetName val="A172216"/>
      <sheetName val="A172220"/>
      <sheetName val="A172355"/>
      <sheetName val="Dec_99 DL_RAW"/>
      <sheetName val="Dec_99 DL_"/>
      <sheetName val="DEC_98 DL RAW"/>
      <sheetName val="DEC_98 DL "/>
      <sheetName val="Sheet4"/>
      <sheetName val="Sheet4 (2)"/>
      <sheetName val="XXXXXX"/>
      <sheetName val="BU NAMES"/>
      <sheetName val="PS BS ACCOU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sheetData sheetId="1"/>
      <sheetData sheetId="2" refreshError="1"/>
      <sheetData sheetId="3"/>
      <sheetData sheetId="4"/>
      <sheetData sheetId="5"/>
      <sheetData sheetId="6" refreshError="1"/>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IS"/>
      <sheetName val="2183 IS"/>
      <sheetName val="2184 IS"/>
      <sheetName val="2185 IS"/>
      <sheetName val="Consolidated IS"/>
      <sheetName val="Ratios Thurston"/>
      <sheetName val="2183 Pro forma"/>
      <sheetName val="2183 Ratios"/>
      <sheetName val="Restating Expl"/>
      <sheetName val="Pro forma Expl"/>
      <sheetName val="Pacific Regulated - Price Out"/>
      <sheetName val="Total Matrix"/>
      <sheetName val="Packer_RO Matrix"/>
      <sheetName val="COS Packer_RO"/>
      <sheetName val="Res YW Matix"/>
      <sheetName val="Res Recy Matrix"/>
      <sheetName val="MF Recy Matrix"/>
      <sheetName val="COS RR YW MFR"/>
      <sheetName val="Total Pac,Rural"/>
      <sheetName val="Rural"/>
      <sheetName val="LG-Pacific Pckr Rts"/>
      <sheetName val="LG-RO"/>
      <sheetName val="Res Recycl"/>
      <sheetName val="MF Recycl"/>
      <sheetName val="YW"/>
      <sheetName val="Depr Summary 2183"/>
      <sheetName val="Trucks 2183"/>
      <sheetName val="Containers 2183"/>
      <sheetName val="OTHER EQUIP 2183"/>
      <sheetName val="LeMay Global"/>
      <sheetName val="Fuel"/>
      <sheetName val="DF Schedule"/>
      <sheetName val="2183 Payroll"/>
      <sheetName val="2184 Payroll"/>
      <sheetName val="2185 Payroll"/>
      <sheetName val="Cust Cnt"/>
      <sheetName val="Unit Cnt"/>
      <sheetName val="70148 Summary"/>
      <sheetName val="Time Study"/>
      <sheetName val="Corp O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49">
          <cell r="M49">
            <v>8000432.4617248299</v>
          </cell>
        </row>
        <row r="50">
          <cell r="F50">
            <v>8158680.0299999993</v>
          </cell>
        </row>
        <row r="58">
          <cell r="M58">
            <v>2625393.5068796892</v>
          </cell>
        </row>
        <row r="59">
          <cell r="F59">
            <v>2119461.4499999997</v>
          </cell>
        </row>
        <row r="69">
          <cell r="M69">
            <v>1361744.4391882615</v>
          </cell>
        </row>
        <row r="70">
          <cell r="F70">
            <v>1347163.92</v>
          </cell>
        </row>
        <row r="213">
          <cell r="M213">
            <v>4757117.5866496488</v>
          </cell>
        </row>
        <row r="214">
          <cell r="F214">
            <v>4859462.2200000007</v>
          </cell>
        </row>
        <row r="221">
          <cell r="M221">
            <v>395543.82663328515</v>
          </cell>
        </row>
        <row r="222">
          <cell r="F222">
            <v>332798.89999999997</v>
          </cell>
        </row>
        <row r="281">
          <cell r="M281">
            <v>1187221.5155152699</v>
          </cell>
        </row>
        <row r="282">
          <cell r="F282">
            <v>744277.47999999975</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f Rate Sheet"/>
      <sheetName val="Class A IS"/>
      <sheetName val="2149 BS"/>
      <sheetName val="9-30-11 BS"/>
      <sheetName val="2149 IS"/>
      <sheetName val="Consolidated IS"/>
      <sheetName val="Ratios"/>
      <sheetName val="Restating Adj"/>
      <sheetName val="Restating Expl"/>
      <sheetName val="Pro forma Adj"/>
      <sheetName val="Pro-forma"/>
      <sheetName val="LG-Combined"/>
      <sheetName val="LG-Pckr,RO"/>
      <sheetName val="LG-Recycl"/>
      <sheetName val="Price Out"/>
      <sheetName val="Rate Sheet"/>
      <sheetName val="Pckr, RO, Matrix"/>
      <sheetName val="COS Packer,RO "/>
      <sheetName val="Recycl Matrix"/>
      <sheetName val="COS Recycle"/>
      <sheetName val="Disposal Calc"/>
      <sheetName val="Disposal Schedule"/>
      <sheetName val="Fuel"/>
      <sheetName val="PR Summary"/>
      <sheetName val="Depr Summary"/>
      <sheetName val="Depreciation"/>
      <sheetName val="Cust Count"/>
      <sheetName val="Rt Study Summary"/>
      <sheetName val="Recycl Tons, Commodity Value"/>
      <sheetName val="Tribal Cnts"/>
      <sheetName val="Corp OH"/>
      <sheetName val="Corp Debt Equity"/>
      <sheetName val="Balance Sheet"/>
      <sheetName val="P&amp;L"/>
      <sheetName val="70195 JE-WRRA Dues"/>
      <sheetName val="56095 JE"/>
      <sheetName val="Non-Reg Price Out"/>
      <sheetName val="30% Commodity Justification"/>
      <sheetName val="TRC Processing Justfication"/>
      <sheetName val="Orig Price Out"/>
      <sheetName val="Rate Sheet Dec 2012"/>
      <sheetName val="Orig COS Packer,RO "/>
      <sheetName val="LG-Pckr w DF"/>
      <sheetName val="LG-Pckr w-out DF"/>
      <sheetName val="LG-RO"/>
    </sheetNames>
    <sheetDataSet>
      <sheetData sheetId="0" refreshError="1">
        <row r="107">
          <cell r="L107">
            <v>1755086.2007667283</v>
          </cell>
        </row>
        <row r="214">
          <cell r="L214">
            <v>861493.18580596044</v>
          </cell>
        </row>
        <row r="278">
          <cell r="L278">
            <v>840474.49671344017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23">
          <cell r="L23">
            <v>2329.3388396454475</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G Garbage"/>
      <sheetName val=" LG recycle"/>
      <sheetName val="LG Yardwaste"/>
      <sheetName val="LG MF Recycle"/>
      <sheetName val="Proforma"/>
      <sheetName val="matrix"/>
      <sheetName val="COS"/>
      <sheetName val="Price Out-Reg EASTSIDE-Resi"/>
      <sheetName val="Price Out-Comm MSW"/>
      <sheetName val="Price Out-Drop Box"/>
      <sheetName val="Price Out-MF Recycle 200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PL_ActReview"/>
      <sheetName val="BS_Close"/>
      <sheetName val="PL_ActTranx"/>
      <sheetName val="JE_Review"/>
      <sheetName val="PL_CloseByDay"/>
      <sheetName val="PL_IS200"/>
      <sheetName val="PL_IS210"/>
      <sheetName val="PL_ActByDistrict"/>
      <sheetName val="PL_ProjReview"/>
    </sheetNames>
    <sheetDataSet>
      <sheetData sheetId="0"/>
      <sheetData sheetId="1">
        <row r="2">
          <cell r="X2" t="str">
            <v>P&amp;L Close Report</v>
          </cell>
          <cell r="Z2" t="str">
            <v>Consolidated</v>
          </cell>
        </row>
        <row r="3">
          <cell r="X3" t="str">
            <v>BS Close Report</v>
          </cell>
          <cell r="Z3" t="str">
            <v>Region</v>
          </cell>
        </row>
        <row r="4">
          <cell r="X4" t="str">
            <v>P&amp;L Tranx Report</v>
          </cell>
          <cell r="Z4" t="str">
            <v>District</v>
          </cell>
        </row>
        <row r="5">
          <cell r="X5" t="str">
            <v>P&amp;L Close by Day</v>
          </cell>
          <cell r="Z5" t="str">
            <v>Multiple Districts</v>
          </cell>
        </row>
        <row r="6">
          <cell r="X6" t="str">
            <v>JE Review Report</v>
          </cell>
        </row>
        <row r="7">
          <cell r="X7" t="str">
            <v>IS200 Report</v>
          </cell>
        </row>
        <row r="8">
          <cell r="X8" t="str">
            <v>IS210 Report</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N27"/>
  <sheetViews>
    <sheetView showGridLines="0" tabSelected="1" view="pageBreakPreview" zoomScaleNormal="100" zoomScaleSheetLayoutView="100" workbookViewId="0">
      <selection activeCell="P22" sqref="P22"/>
    </sheetView>
  </sheetViews>
  <sheetFormatPr defaultRowHeight="15"/>
  <cols>
    <col min="1" max="1" width="22.140625" customWidth="1"/>
    <col min="2" max="2" width="11.5703125" bestFit="1" customWidth="1"/>
    <col min="3" max="3" width="12.140625" bestFit="1" customWidth="1"/>
    <col min="4" max="5" width="10.5703125" bestFit="1" customWidth="1"/>
    <col min="6" max="6" width="11.5703125" bestFit="1" customWidth="1"/>
    <col min="7" max="7" width="10.5703125" customWidth="1"/>
    <col min="8" max="8" width="10.42578125" bestFit="1" customWidth="1"/>
    <col min="9" max="9" width="10" bestFit="1" customWidth="1"/>
    <col min="10" max="10" width="12.28515625" bestFit="1" customWidth="1"/>
    <col min="11" max="11" width="15.28515625" bestFit="1" customWidth="1"/>
    <col min="12" max="12" width="2.42578125" customWidth="1"/>
    <col min="13" max="13" width="11.5703125" bestFit="1" customWidth="1"/>
    <col min="14" max="14" width="10.42578125" bestFit="1" customWidth="1"/>
  </cols>
  <sheetData>
    <row r="1" spans="1:14">
      <c r="A1" s="1" t="s">
        <v>0</v>
      </c>
    </row>
    <row r="2" spans="1:14" ht="19.5" customHeight="1">
      <c r="A2" s="1" t="s">
        <v>1</v>
      </c>
      <c r="C2" s="2"/>
    </row>
    <row r="4" spans="1:14" ht="30">
      <c r="A4" s="3"/>
      <c r="B4" s="4" t="s">
        <v>2</v>
      </c>
      <c r="C4" s="4" t="s">
        <v>3</v>
      </c>
      <c r="D4" s="4" t="s">
        <v>4</v>
      </c>
      <c r="E4" s="4" t="s">
        <v>5</v>
      </c>
      <c r="F4" s="4" t="s">
        <v>6</v>
      </c>
      <c r="G4" s="4" t="s">
        <v>7</v>
      </c>
      <c r="H4" s="4" t="s">
        <v>8</v>
      </c>
      <c r="I4" s="4" t="s">
        <v>9</v>
      </c>
      <c r="J4" s="4" t="s">
        <v>10</v>
      </c>
      <c r="K4" s="4" t="s">
        <v>11</v>
      </c>
      <c r="L4" s="5"/>
      <c r="M4" s="4" t="s">
        <v>12</v>
      </c>
      <c r="N4" s="4" t="s">
        <v>13</v>
      </c>
    </row>
    <row r="5" spans="1:14">
      <c r="A5" s="6" t="s">
        <v>14</v>
      </c>
      <c r="B5" s="7">
        <f>+'Clark Co'!E46</f>
        <v>11076353.310000001</v>
      </c>
      <c r="C5" s="7">
        <v>0</v>
      </c>
      <c r="D5" s="7">
        <f>+'Camas Non-Reg'!E14</f>
        <v>0</v>
      </c>
      <c r="E5" s="8">
        <f>+'Ridgefield Non-Reg'!F45</f>
        <v>446748.31000000017</v>
      </c>
      <c r="F5" s="7">
        <f>+'Vancouver Non-Reg'!F51</f>
        <v>10130973.944999995</v>
      </c>
      <c r="G5" s="7">
        <f>+'Washougal Non-Reg'!F40</f>
        <v>1091275.0699999996</v>
      </c>
      <c r="H5" s="7">
        <v>0</v>
      </c>
      <c r="I5" s="7"/>
      <c r="J5" s="7"/>
      <c r="K5" s="7">
        <f>SUM(B5:J5)</f>
        <v>22745350.634999998</v>
      </c>
      <c r="L5" s="7"/>
      <c r="M5" s="7">
        <f>'2010_IS210'!AH21+'2010_IS210'!AH22</f>
        <v>22758283.780000001</v>
      </c>
      <c r="N5" s="9">
        <f>K5-M5</f>
        <v>-12933.145000003278</v>
      </c>
    </row>
    <row r="6" spans="1:14">
      <c r="A6" s="6" t="s">
        <v>15</v>
      </c>
      <c r="B6" s="7">
        <v>0</v>
      </c>
      <c r="C6" s="7">
        <f>+'UTC Non-REg'!D27</f>
        <v>3808169.6900000004</v>
      </c>
      <c r="D6" s="7">
        <f>+'Camas Non-Reg'!E19</f>
        <v>396808.27999999997</v>
      </c>
      <c r="E6" s="10">
        <f>+'Ridgefield Non-Reg'!F51</f>
        <v>94341.65</v>
      </c>
      <c r="F6" s="7">
        <f>+'Vancouver Non-Reg'!F67</f>
        <v>1457624.4450000001</v>
      </c>
      <c r="G6" s="7">
        <f>+'Washougal Non-Reg'!F48</f>
        <v>240790.96000000002</v>
      </c>
      <c r="H6" s="7">
        <v>0</v>
      </c>
      <c r="I6" s="7"/>
      <c r="J6" s="7">
        <v>500568.08999999997</v>
      </c>
      <c r="K6" s="7">
        <f t="shared" ref="K6:K15" si="0">SUM(B6:J6)</f>
        <v>6498303.1150000012</v>
      </c>
      <c r="L6" s="7"/>
      <c r="M6" s="7">
        <f>'2010_IS210'!AH23</f>
        <v>7336272.4500000002</v>
      </c>
      <c r="N6" s="9">
        <f t="shared" ref="N6:N15" si="1">K6-M6</f>
        <v>-837969.33499999903</v>
      </c>
    </row>
    <row r="7" spans="1:14">
      <c r="A7" s="6" t="s">
        <v>16</v>
      </c>
      <c r="B7" s="7">
        <v>0</v>
      </c>
      <c r="C7" s="7">
        <f>+'UTC Non-REg'!D48</f>
        <v>2041596.4500000002</v>
      </c>
      <c r="D7" s="7">
        <f>+'Camas Non-Reg'!E34</f>
        <v>257187.34</v>
      </c>
      <c r="E7" s="10">
        <f>+'Ridgefield Non-Reg'!F58</f>
        <v>107023.34</v>
      </c>
      <c r="F7" s="7">
        <f>+'Vancouver Non-Reg'!F88</f>
        <v>1955824.4449999998</v>
      </c>
      <c r="G7" s="7">
        <f>+'Washougal Non-Reg'!F64</f>
        <v>173418.46999999997</v>
      </c>
      <c r="H7" s="7">
        <v>0</v>
      </c>
      <c r="I7" s="7"/>
      <c r="J7" s="7"/>
      <c r="K7" s="7">
        <f t="shared" si="0"/>
        <v>4535050.044999999</v>
      </c>
      <c r="L7" s="7"/>
      <c r="M7" s="7">
        <f>'2010_IS210'!AH24+'2010_IS210'!AH25</f>
        <v>4513573.6700000009</v>
      </c>
      <c r="N7" s="9">
        <f t="shared" si="1"/>
        <v>21476.374999998137</v>
      </c>
    </row>
    <row r="8" spans="1:14">
      <c r="A8" s="6" t="s">
        <v>17</v>
      </c>
      <c r="B8" s="7">
        <f>+'Clark Co'!E153</f>
        <v>5770348.6800000016</v>
      </c>
      <c r="C8" s="7">
        <v>0</v>
      </c>
      <c r="D8" s="7">
        <f>+'Camas Non-Reg'!E43</f>
        <v>5774.53</v>
      </c>
      <c r="E8" s="10">
        <f>+'Ridgefield Non-Reg'!F116</f>
        <v>186077.96000000002</v>
      </c>
      <c r="F8" s="7">
        <f>+'Vancouver Non-Reg'!F211</f>
        <v>10413344.829999993</v>
      </c>
      <c r="G8" s="7">
        <f>+'Washougal Non-Reg'!F135</f>
        <v>511816.07</v>
      </c>
      <c r="H8" s="7">
        <v>0</v>
      </c>
      <c r="I8" s="7"/>
      <c r="J8" s="7">
        <v>100086.86000000002</v>
      </c>
      <c r="K8" s="7">
        <f t="shared" si="0"/>
        <v>16987448.929999992</v>
      </c>
      <c r="L8" s="7"/>
      <c r="M8" s="7">
        <f>SUM('2010_IS210'!AH26:AH27)</f>
        <v>16982268.48</v>
      </c>
      <c r="N8" s="9">
        <f t="shared" si="1"/>
        <v>5180.4499999918044</v>
      </c>
    </row>
    <row r="9" spans="1:14">
      <c r="A9" s="6" t="s">
        <v>18</v>
      </c>
      <c r="B9" s="7">
        <v>0</v>
      </c>
      <c r="C9" s="7">
        <v>0</v>
      </c>
      <c r="D9" s="7">
        <v>0</v>
      </c>
      <c r="E9" s="10">
        <v>0</v>
      </c>
      <c r="F9" s="7">
        <v>0</v>
      </c>
      <c r="G9" s="7">
        <v>0</v>
      </c>
      <c r="H9" s="7">
        <v>0</v>
      </c>
      <c r="I9" s="7"/>
      <c r="J9" s="7"/>
      <c r="K9" s="7">
        <f t="shared" si="0"/>
        <v>0</v>
      </c>
      <c r="L9" s="7"/>
      <c r="M9" s="7"/>
      <c r="N9" s="9">
        <f t="shared" si="1"/>
        <v>0</v>
      </c>
    </row>
    <row r="10" spans="1:14">
      <c r="A10" s="6" t="s">
        <v>19</v>
      </c>
      <c r="B10" s="7">
        <v>0</v>
      </c>
      <c r="C10" s="7">
        <f>+'UTC Non-REg'!D32</f>
        <v>364662.94</v>
      </c>
      <c r="D10" s="7">
        <v>0</v>
      </c>
      <c r="E10" s="10">
        <v>0</v>
      </c>
      <c r="F10" s="7">
        <f>+'Vancouver Non-Reg'!F73</f>
        <v>458574.02</v>
      </c>
      <c r="G10" s="7">
        <f>+'Washougal Non-Reg'!F70</f>
        <v>17429.579999999998</v>
      </c>
      <c r="H10" s="7">
        <v>0</v>
      </c>
      <c r="I10" s="7"/>
      <c r="J10" s="7"/>
      <c r="K10" s="7">
        <f t="shared" si="0"/>
        <v>840666.53999999992</v>
      </c>
      <c r="L10" s="7"/>
      <c r="M10" s="7">
        <v>0</v>
      </c>
      <c r="N10" s="9">
        <f t="shared" si="1"/>
        <v>840666.53999999992</v>
      </c>
    </row>
    <row r="11" spans="1:14">
      <c r="A11" s="6" t="s">
        <v>20</v>
      </c>
      <c r="B11" s="7">
        <v>0</v>
      </c>
      <c r="C11" s="7">
        <f>+'UTC Non-REg'!D152</f>
        <v>975961.87999999989</v>
      </c>
      <c r="D11" s="7">
        <f>+'Camas Non-Reg'!E114</f>
        <v>112887.71999999997</v>
      </c>
      <c r="E11" s="10">
        <f>+'Ridgefield Non-Reg'!F161</f>
        <v>32252.609999999997</v>
      </c>
      <c r="F11" s="7">
        <f>+'Vancouver Non-Reg'!F327</f>
        <v>2080678.8900000001</v>
      </c>
      <c r="G11" s="7">
        <f>+'Washougal Non-Reg'!F198</f>
        <v>92639.46</v>
      </c>
      <c r="H11" s="7">
        <f>+'West Van Non-Reg'!F54+'West Van Non-Reg'!F15</f>
        <v>26617.010000000002</v>
      </c>
      <c r="I11" s="7">
        <f>+'Shred Non-Reg'!E27</f>
        <v>360713.00000000012</v>
      </c>
      <c r="J11" s="7"/>
      <c r="K11" s="7">
        <f t="shared" si="0"/>
        <v>3681750.57</v>
      </c>
      <c r="L11" s="7"/>
      <c r="M11" s="7">
        <f>'2010_IS210'!AH28+'2010_IS210'!AH29</f>
        <v>3745137.65</v>
      </c>
      <c r="N11" s="9">
        <f t="shared" si="1"/>
        <v>-63387.080000000075</v>
      </c>
    </row>
    <row r="12" spans="1:14">
      <c r="A12" s="6" t="s">
        <v>21</v>
      </c>
      <c r="B12" s="7">
        <f>+'Clark Co'!E204</f>
        <v>1252644.1199999999</v>
      </c>
      <c r="C12" s="7">
        <v>0</v>
      </c>
      <c r="D12" s="7">
        <f>+'Camas Non-Reg'!E146</f>
        <v>128580.78000000001</v>
      </c>
      <c r="E12" s="10">
        <f>+'Ridgefield Non-Reg'!F200</f>
        <v>101909.10999999999</v>
      </c>
      <c r="F12" s="7">
        <f>+'Vancouver Non-Reg'!F386</f>
        <v>1905983.8199999996</v>
      </c>
      <c r="G12" s="7">
        <f>+'Washougal Non-Reg'!F218</f>
        <v>209833.65999999992</v>
      </c>
      <c r="H12" s="7">
        <v>0</v>
      </c>
      <c r="I12" s="7"/>
      <c r="J12" s="7"/>
      <c r="K12" s="7">
        <f t="shared" si="0"/>
        <v>3598951.4899999993</v>
      </c>
      <c r="L12" s="7"/>
      <c r="M12" s="7">
        <f>'2010_IS210'!AH16+'2010_IS210'!AH20</f>
        <v>3615023.24</v>
      </c>
      <c r="N12" s="9">
        <f t="shared" si="1"/>
        <v>-16071.750000000931</v>
      </c>
    </row>
    <row r="13" spans="1:14">
      <c r="A13" s="6" t="s">
        <v>22</v>
      </c>
      <c r="B13" s="7">
        <v>0</v>
      </c>
      <c r="C13" s="7">
        <f>+'UTC Non-REg'!D174</f>
        <v>235983.24999999997</v>
      </c>
      <c r="D13" s="7">
        <f>+'Camas Non-Reg'!E164</f>
        <v>57530.159999999996</v>
      </c>
      <c r="E13" s="10">
        <f>+'Ridgefield Non-Reg'!F214</f>
        <v>12113.949999999999</v>
      </c>
      <c r="F13" s="7">
        <f>+'Vancouver Non-Reg'!F401</f>
        <v>283581.8</v>
      </c>
      <c r="G13" s="7">
        <f>+'Washougal Non-Reg'!F233</f>
        <v>29895.040000000001</v>
      </c>
      <c r="H13" s="7">
        <v>0</v>
      </c>
      <c r="I13" s="7"/>
      <c r="J13" s="7"/>
      <c r="K13" s="7">
        <f t="shared" si="0"/>
        <v>619104.19999999995</v>
      </c>
      <c r="L13" s="7"/>
      <c r="M13" s="7">
        <f>'2010_IS210'!AH17</f>
        <v>593501.53999999992</v>
      </c>
      <c r="N13" s="9">
        <f t="shared" si="1"/>
        <v>25602.660000000033</v>
      </c>
    </row>
    <row r="14" spans="1:14">
      <c r="A14" s="6" t="s">
        <v>23</v>
      </c>
      <c r="B14" s="7">
        <f>+'Clark Co'!E218</f>
        <v>2315814.08</v>
      </c>
      <c r="C14" s="7">
        <f>+'UTC Non-REg'!D181</f>
        <v>173912.65000000002</v>
      </c>
      <c r="D14" s="7">
        <f>+'Camas Non-Reg'!E176</f>
        <v>322776.69</v>
      </c>
      <c r="E14" s="10">
        <f>+'Ridgefield Non-Reg'!F226</f>
        <v>166716.09</v>
      </c>
      <c r="F14" s="10">
        <f>+'Vancouver Non-Reg'!F418</f>
        <v>3456242.3200000003</v>
      </c>
      <c r="G14" s="10">
        <f>+'Washougal Non-Reg'!F248</f>
        <v>190063.23</v>
      </c>
      <c r="H14" s="10">
        <v>0</v>
      </c>
      <c r="I14" s="10"/>
      <c r="J14" s="10"/>
      <c r="K14" s="7">
        <f t="shared" si="0"/>
        <v>6625525.0600000005</v>
      </c>
      <c r="L14" s="10"/>
      <c r="M14" s="7">
        <f>'2010_IS210'!AH18</f>
        <v>6597157.7199999997</v>
      </c>
      <c r="N14" s="9">
        <f t="shared" si="1"/>
        <v>28367.340000000782</v>
      </c>
    </row>
    <row r="15" spans="1:14">
      <c r="A15" s="6" t="s">
        <v>24</v>
      </c>
      <c r="B15" s="11">
        <f>+'Clark Co'!E225</f>
        <v>57234.11</v>
      </c>
      <c r="C15" s="11"/>
      <c r="D15" s="11">
        <f>+'Camas Non-Reg'!E186</f>
        <v>905.93000000000006</v>
      </c>
      <c r="E15" s="11">
        <f>+'Ridgefield Non-Reg'!F236</f>
        <v>-923.31000000000006</v>
      </c>
      <c r="F15" s="11">
        <f>+'Vancouver Non-Reg'!F430</f>
        <v>25227.469999999994</v>
      </c>
      <c r="G15" s="11">
        <f>+'Washougal Non-Reg'!F258</f>
        <v>-748.06999999999994</v>
      </c>
      <c r="H15" s="11">
        <f>+'West Van Non-Reg'!F90</f>
        <v>795.35</v>
      </c>
      <c r="I15" s="11">
        <f>+'Shred Non-Reg'!E35</f>
        <v>958.08999999999992</v>
      </c>
      <c r="J15" s="11"/>
      <c r="K15" s="7">
        <f t="shared" si="0"/>
        <v>83449.569999999992</v>
      </c>
      <c r="L15" s="11"/>
      <c r="M15" s="11">
        <f>'2010_IS210'!AH55</f>
        <v>81551.63</v>
      </c>
      <c r="N15" s="12">
        <f t="shared" si="1"/>
        <v>1897.9399999999878</v>
      </c>
    </row>
    <row r="16" spans="1:14">
      <c r="A16" s="13"/>
      <c r="B16" s="14">
        <f t="shared" ref="B16:M16" si="2">SUM(B5:B15)</f>
        <v>20472394.300000004</v>
      </c>
      <c r="C16" s="14">
        <f t="shared" si="2"/>
        <v>7600286.8600000013</v>
      </c>
      <c r="D16" s="14">
        <f t="shared" si="2"/>
        <v>1282451.43</v>
      </c>
      <c r="E16" s="14">
        <f t="shared" si="2"/>
        <v>1146259.7100000002</v>
      </c>
      <c r="F16" s="7">
        <f t="shared" si="2"/>
        <v>32168055.984999988</v>
      </c>
      <c r="G16" s="7">
        <f t="shared" si="2"/>
        <v>2556413.4699999997</v>
      </c>
      <c r="H16" s="7">
        <f t="shared" si="2"/>
        <v>27412.36</v>
      </c>
      <c r="I16" s="7">
        <f t="shared" si="2"/>
        <v>361671.09000000014</v>
      </c>
      <c r="J16" s="7"/>
      <c r="K16" s="8">
        <f t="shared" si="2"/>
        <v>66215600.155000001</v>
      </c>
      <c r="L16" s="7"/>
      <c r="M16" s="7">
        <f t="shared" si="2"/>
        <v>66222770.159999996</v>
      </c>
      <c r="N16" s="7">
        <f>SUM(N5:N15)</f>
        <v>-7170.0050000126503</v>
      </c>
    </row>
    <row r="17" spans="1:14">
      <c r="A17" s="3"/>
      <c r="B17" s="15">
        <f>+B16-'Clark Co'!E227</f>
        <v>0</v>
      </c>
      <c r="C17" s="15">
        <f>+C16-'UTC Non-REg'!D185</f>
        <v>0</v>
      </c>
      <c r="D17" s="15">
        <f>+D16-'Camas Non-Reg'!E188</f>
        <v>0</v>
      </c>
      <c r="E17" s="15">
        <f>+E16-'Ridgefield Non-Reg'!F238</f>
        <v>0</v>
      </c>
      <c r="F17" s="16">
        <f>+F16-'Vancouver Non-Reg'!F432</f>
        <v>0</v>
      </c>
      <c r="G17" s="16">
        <f>+G16-'Washougal Non-Reg'!F260</f>
        <v>0</v>
      </c>
      <c r="H17" s="16">
        <f>+H16-'West Van Non-Reg'!F93</f>
        <v>0</v>
      </c>
      <c r="I17" s="16">
        <f>+I16-'Shred Non-Reg'!E37</f>
        <v>0</v>
      </c>
      <c r="J17" s="16"/>
      <c r="K17" s="3"/>
      <c r="L17" s="3"/>
      <c r="N17" s="208" t="s">
        <v>1442</v>
      </c>
    </row>
    <row r="18" spans="1:14">
      <c r="A18" s="6"/>
      <c r="B18" s="17"/>
      <c r="C18" s="3"/>
      <c r="D18" s="18"/>
      <c r="E18" s="18"/>
      <c r="F18" s="18"/>
      <c r="G18" s="18"/>
      <c r="H18" s="18"/>
      <c r="I18" s="18"/>
      <c r="J18" s="18"/>
      <c r="K18" s="3"/>
      <c r="L18" s="3"/>
    </row>
    <row r="19" spans="1:14">
      <c r="B19" s="19"/>
      <c r="H19" s="20"/>
      <c r="I19" s="20"/>
      <c r="J19" s="20"/>
      <c r="K19" s="20"/>
      <c r="L19" s="20"/>
      <c r="M19" s="20"/>
    </row>
    <row r="20" spans="1:14" ht="32.25" customHeight="1">
      <c r="A20" s="21"/>
      <c r="B20" s="21"/>
      <c r="H20" s="20"/>
      <c r="I20" s="22"/>
      <c r="J20" s="22"/>
      <c r="K20" s="23"/>
      <c r="L20" s="20"/>
      <c r="M20" s="20"/>
    </row>
    <row r="21" spans="1:14" ht="27.75" customHeight="1">
      <c r="A21" s="21"/>
      <c r="B21" s="21"/>
      <c r="H21" s="20"/>
      <c r="I21" s="22"/>
      <c r="J21" s="22"/>
      <c r="K21" s="23"/>
      <c r="L21" s="20"/>
      <c r="M21" s="20"/>
    </row>
    <row r="22" spans="1:14" ht="32.25" customHeight="1">
      <c r="A22" s="21"/>
      <c r="B22" s="21"/>
      <c r="H22" s="20"/>
      <c r="I22" s="22"/>
      <c r="J22" s="22"/>
      <c r="K22" s="23"/>
      <c r="L22" s="20"/>
      <c r="M22" s="20"/>
    </row>
    <row r="23" spans="1:14">
      <c r="B23" s="19"/>
      <c r="H23" s="20"/>
      <c r="I23" s="24"/>
      <c r="J23" s="24"/>
      <c r="K23" s="23"/>
      <c r="L23" s="20"/>
      <c r="M23" s="20"/>
      <c r="N23" s="25"/>
    </row>
    <row r="24" spans="1:14">
      <c r="B24" s="9"/>
      <c r="H24" s="20"/>
      <c r="I24" s="20"/>
      <c r="J24" s="20"/>
      <c r="K24" s="26"/>
      <c r="L24" s="20"/>
      <c r="M24" s="20"/>
      <c r="N24" s="25"/>
    </row>
    <row r="25" spans="1:14">
      <c r="H25" s="20"/>
      <c r="I25" s="20"/>
      <c r="J25" s="20"/>
      <c r="K25" s="20"/>
      <c r="L25" s="20"/>
      <c r="M25" s="20"/>
      <c r="N25" s="25"/>
    </row>
    <row r="26" spans="1:14">
      <c r="H26" s="20"/>
      <c r="I26" s="20"/>
      <c r="J26" s="20"/>
      <c r="K26" s="20"/>
      <c r="L26" s="20"/>
      <c r="M26" s="20"/>
      <c r="N26" s="25"/>
    </row>
    <row r="27" spans="1:14">
      <c r="H27" s="20"/>
      <c r="I27" s="20"/>
      <c r="J27" s="20"/>
      <c r="K27" s="20"/>
      <c r="L27" s="20"/>
      <c r="M27" s="20"/>
      <c r="N27" s="25"/>
    </row>
  </sheetData>
  <pageMargins left="0.7" right="0.7" top="0.75" bottom="0.75" header="0.3" footer="0.3"/>
  <pageSetup scale="69" orientation="landscape" r:id="rId1"/>
  <headerFooter>
    <oddFooter xml:space="preserve">&amp;L&amp;F - &amp;A
&amp;RPage &amp;P of &amp;N
</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H94"/>
  <sheetViews>
    <sheetView view="pageBreakPreview" topLeftCell="B14" zoomScale="85" zoomScaleNormal="100" zoomScaleSheetLayoutView="85" workbookViewId="0">
      <selection activeCell="P22" sqref="P22"/>
    </sheetView>
  </sheetViews>
  <sheetFormatPr defaultRowHeight="12.75" outlineLevelCol="1"/>
  <cols>
    <col min="1" max="1" width="24.85546875" style="104" hidden="1" customWidth="1" outlineLevel="1"/>
    <col min="2" max="2" width="22.7109375" style="104" customWidth="1" collapsed="1"/>
    <col min="3" max="3" width="27.5703125" style="104" bestFit="1" customWidth="1"/>
    <col min="4" max="4" width="9" style="104" bestFit="1" customWidth="1"/>
    <col min="5" max="5" width="9.140625" style="104"/>
    <col min="6" max="6" width="10" style="104" bestFit="1" customWidth="1"/>
    <col min="7" max="7" width="2.85546875" style="104" customWidth="1"/>
    <col min="8" max="8" width="14.42578125" style="124" bestFit="1" customWidth="1"/>
    <col min="9" max="16384" width="9.140625" style="104"/>
  </cols>
  <sheetData>
    <row r="1" spans="1:8">
      <c r="B1" s="101" t="s">
        <v>251</v>
      </c>
      <c r="C1" s="102"/>
      <c r="D1" s="140"/>
    </row>
    <row r="2" spans="1:8">
      <c r="B2" s="101" t="s">
        <v>1412</v>
      </c>
      <c r="C2" s="102"/>
      <c r="D2" s="140"/>
    </row>
    <row r="3" spans="1:8">
      <c r="B3" s="135" t="str">
        <f>+'Clark Co'!A3</f>
        <v>October 1, 2016 - September 30, 2017</v>
      </c>
      <c r="C3" s="102"/>
      <c r="D3" s="140"/>
    </row>
    <row r="4" spans="1:8">
      <c r="B4" s="135"/>
      <c r="C4" s="102"/>
      <c r="D4" s="140"/>
    </row>
    <row r="5" spans="1:8">
      <c r="B5" s="204" t="s">
        <v>254</v>
      </c>
      <c r="C5" s="204"/>
      <c r="D5" s="204"/>
      <c r="E5" s="204"/>
      <c r="F5" s="204"/>
      <c r="G5" s="204"/>
      <c r="H5" s="204"/>
    </row>
    <row r="6" spans="1:8">
      <c r="B6" s="204"/>
      <c r="C6" s="204"/>
      <c r="D6" s="204"/>
      <c r="E6" s="204"/>
      <c r="F6" s="204"/>
      <c r="G6" s="204"/>
      <c r="H6" s="204"/>
    </row>
    <row r="7" spans="1:8">
      <c r="F7" s="206" t="s">
        <v>1413</v>
      </c>
      <c r="G7" s="206"/>
      <c r="H7" s="206"/>
    </row>
    <row r="8" spans="1:8">
      <c r="A8" s="102"/>
      <c r="B8" s="106" t="s">
        <v>256</v>
      </c>
      <c r="C8" s="107" t="s">
        <v>257</v>
      </c>
      <c r="D8" s="108" t="s">
        <v>258</v>
      </c>
      <c r="F8" s="143" t="s">
        <v>51</v>
      </c>
      <c r="G8" s="101"/>
      <c r="H8" s="166" t="s">
        <v>259</v>
      </c>
    </row>
    <row r="9" spans="1:8">
      <c r="A9" s="111"/>
      <c r="B9" s="111" t="s">
        <v>1145</v>
      </c>
      <c r="C9" s="113"/>
      <c r="D9" s="114"/>
      <c r="E9" s="114"/>
      <c r="F9" s="114"/>
      <c r="G9" s="114"/>
      <c r="H9" s="114"/>
    </row>
    <row r="10" spans="1:8">
      <c r="A10" s="102"/>
      <c r="B10" s="102"/>
      <c r="C10" s="102"/>
      <c r="D10" s="140"/>
    </row>
    <row r="11" spans="1:8">
      <c r="A11" s="102" t="str">
        <f>"wvanc"&amp;"commercial"&amp;B11</f>
        <v>wvanccommercialCCTRIP</v>
      </c>
      <c r="B11" s="122" t="s">
        <v>502</v>
      </c>
      <c r="C11" s="122" t="s">
        <v>503</v>
      </c>
      <c r="D11" s="142">
        <v>14.68</v>
      </c>
      <c r="F11" s="123">
        <v>0</v>
      </c>
    </row>
    <row r="12" spans="1:8">
      <c r="A12" s="102" t="str">
        <f>"wvanc"&amp;"commercial"&amp;B12</f>
        <v>wvanccommercialCCTP2Y</v>
      </c>
      <c r="B12" s="122" t="s">
        <v>436</v>
      </c>
      <c r="C12" s="122" t="s">
        <v>437</v>
      </c>
      <c r="D12" s="142">
        <v>44.7</v>
      </c>
      <c r="F12" s="123">
        <v>0</v>
      </c>
    </row>
    <row r="13" spans="1:8">
      <c r="A13" s="102" t="str">
        <f>"wvanc"&amp;"commercial"&amp;B13</f>
        <v>wvanccommercialCCTP3Y</v>
      </c>
      <c r="B13" s="122" t="s">
        <v>438</v>
      </c>
      <c r="C13" s="122" t="s">
        <v>439</v>
      </c>
      <c r="D13" s="142">
        <v>59.71</v>
      </c>
      <c r="F13" s="123">
        <v>114.24</v>
      </c>
    </row>
    <row r="14" spans="1:8">
      <c r="B14" s="115"/>
      <c r="C14" s="115"/>
      <c r="D14" s="142"/>
    </row>
    <row r="15" spans="1:8">
      <c r="B15" s="115"/>
      <c r="C15" s="127" t="s">
        <v>895</v>
      </c>
      <c r="D15" s="142"/>
      <c r="F15" s="133">
        <f>+SUM(F11:F14)</f>
        <v>114.24</v>
      </c>
      <c r="G15" s="129"/>
      <c r="H15" s="158">
        <f>+SUM(H11:H14)</f>
        <v>0</v>
      </c>
    </row>
    <row r="16" spans="1:8">
      <c r="B16" s="115"/>
      <c r="C16" s="115"/>
      <c r="D16" s="142"/>
    </row>
    <row r="17" spans="1:8">
      <c r="A17" s="154"/>
      <c r="B17" s="119" t="s">
        <v>700</v>
      </c>
      <c r="C17" s="119"/>
      <c r="D17" s="120"/>
      <c r="E17" s="121"/>
      <c r="F17" s="171"/>
      <c r="G17" s="121"/>
      <c r="H17" s="121"/>
    </row>
    <row r="18" spans="1:8">
      <c r="A18" s="102" t="str">
        <f>"wvanc"&amp;"recycling"&amp;B18</f>
        <v>wvancrecyclingCRY1YEOW</v>
      </c>
      <c r="B18" s="122" t="s">
        <v>717</v>
      </c>
      <c r="C18" s="122" t="s">
        <v>718</v>
      </c>
      <c r="D18" s="142">
        <v>64.180000000000007</v>
      </c>
      <c r="F18" s="123">
        <v>0</v>
      </c>
      <c r="H18" s="124">
        <f t="shared" ref="H18:H34" si="0">+(F18/D18)/12</f>
        <v>0</v>
      </c>
    </row>
    <row r="19" spans="1:8">
      <c r="A19" s="102" t="str">
        <f>"wvanc"&amp;"recycling"&amp;B19</f>
        <v>wvancrecyclingCRY1Y1X</v>
      </c>
      <c r="B19" s="122" t="s">
        <v>711</v>
      </c>
      <c r="C19" s="122" t="s">
        <v>712</v>
      </c>
      <c r="D19" s="142">
        <v>88.26</v>
      </c>
      <c r="F19" s="123">
        <v>1010.08</v>
      </c>
      <c r="H19" s="124">
        <f t="shared" si="0"/>
        <v>0.95369740916987678</v>
      </c>
    </row>
    <row r="20" spans="1:8">
      <c r="A20" s="102" t="str">
        <f t="shared" ref="A20:A52" si="1">"wvanc"&amp;"recycling"&amp;B20</f>
        <v>wvancrecyclingCRY2Y1X</v>
      </c>
      <c r="B20" s="122" t="s">
        <v>723</v>
      </c>
      <c r="C20" s="122" t="s">
        <v>724</v>
      </c>
      <c r="D20" s="142">
        <v>114.09</v>
      </c>
      <c r="F20" s="123">
        <v>2268.7000000000003</v>
      </c>
      <c r="H20" s="124">
        <f t="shared" si="0"/>
        <v>1.6570981973295937</v>
      </c>
    </row>
    <row r="21" spans="1:8">
      <c r="A21" s="102" t="str">
        <f t="shared" si="1"/>
        <v>wvancrecyclingCRY2YEOW</v>
      </c>
      <c r="B21" s="122" t="s">
        <v>727</v>
      </c>
      <c r="C21" s="122" t="s">
        <v>728</v>
      </c>
      <c r="D21" s="142">
        <v>70.36</v>
      </c>
      <c r="F21" s="123">
        <v>0</v>
      </c>
      <c r="H21" s="124">
        <f t="shared" si="0"/>
        <v>0</v>
      </c>
    </row>
    <row r="22" spans="1:8">
      <c r="A22" s="102" t="str">
        <f t="shared" si="1"/>
        <v>wvancrecyclingCRY3Y1X</v>
      </c>
      <c r="B22" s="122" t="s">
        <v>731</v>
      </c>
      <c r="C22" s="122" t="s">
        <v>732</v>
      </c>
      <c r="D22" s="142">
        <v>124.14</v>
      </c>
      <c r="F22" s="123">
        <v>1233.9599999999998</v>
      </c>
      <c r="H22" s="124">
        <f t="shared" si="0"/>
        <v>0.82833897212824226</v>
      </c>
    </row>
    <row r="23" spans="1:8">
      <c r="A23" s="102" t="str">
        <f t="shared" si="1"/>
        <v>wvancrecyclingCRY3Y2X</v>
      </c>
      <c r="B23" s="122" t="s">
        <v>733</v>
      </c>
      <c r="C23" s="122" t="s">
        <v>734</v>
      </c>
      <c r="D23" s="142">
        <v>224.23</v>
      </c>
      <c r="F23" s="123">
        <v>2985.9399999999996</v>
      </c>
      <c r="H23" s="124">
        <f t="shared" si="0"/>
        <v>1.1097013483179472</v>
      </c>
    </row>
    <row r="24" spans="1:8">
      <c r="A24" s="102" t="str">
        <f t="shared" si="1"/>
        <v>wvancrecyclingCRY4Y2X</v>
      </c>
      <c r="B24" s="122" t="s">
        <v>745</v>
      </c>
      <c r="C24" s="122" t="s">
        <v>746</v>
      </c>
      <c r="D24" s="142">
        <v>244.26</v>
      </c>
      <c r="F24" s="123">
        <v>3488.12</v>
      </c>
      <c r="H24" s="124">
        <f t="shared" si="0"/>
        <v>1.1900297497202434</v>
      </c>
    </row>
    <row r="25" spans="1:8">
      <c r="A25" s="102" t="str">
        <f>"wvanc"&amp;"recycling"&amp;B25</f>
        <v>wvancrecyclingCRY4Y3X</v>
      </c>
      <c r="B25" s="122" t="s">
        <v>747</v>
      </c>
      <c r="C25" s="122" t="s">
        <v>748</v>
      </c>
      <c r="D25" s="142">
        <v>352.37</v>
      </c>
      <c r="F25" s="123">
        <v>2282.0099999999998</v>
      </c>
      <c r="H25" s="124">
        <f t="shared" si="0"/>
        <v>0.53968130090529831</v>
      </c>
    </row>
    <row r="26" spans="1:8">
      <c r="A26" s="102" t="str">
        <f t="shared" si="1"/>
        <v>wvancrecyclingCRY6Y1X</v>
      </c>
      <c r="B26" s="122" t="s">
        <v>765</v>
      </c>
      <c r="C26" s="122" t="s">
        <v>766</v>
      </c>
      <c r="D26" s="142">
        <v>156.16</v>
      </c>
      <c r="F26" s="123">
        <v>0</v>
      </c>
      <c r="H26" s="124">
        <f t="shared" si="0"/>
        <v>0</v>
      </c>
    </row>
    <row r="27" spans="1:8">
      <c r="A27" s="102" t="str">
        <f t="shared" si="1"/>
        <v>wvancrecyclingCRY6Y2X</v>
      </c>
      <c r="B27" s="122" t="s">
        <v>767</v>
      </c>
      <c r="C27" s="122" t="s">
        <v>768</v>
      </c>
      <c r="D27" s="142">
        <v>282.29000000000002</v>
      </c>
      <c r="F27" s="123">
        <v>5589.11</v>
      </c>
      <c r="H27" s="124">
        <f t="shared" si="0"/>
        <v>1.6499315125107747</v>
      </c>
    </row>
    <row r="28" spans="1:8">
      <c r="A28" s="102" t="str">
        <f t="shared" si="1"/>
        <v>wvancrecyclingCRY8Y1X</v>
      </c>
      <c r="B28" s="122" t="s">
        <v>773</v>
      </c>
      <c r="C28" s="122" t="s">
        <v>774</v>
      </c>
      <c r="D28" s="142">
        <v>166.16</v>
      </c>
      <c r="F28" s="123">
        <v>0</v>
      </c>
      <c r="H28" s="124">
        <f t="shared" si="0"/>
        <v>0</v>
      </c>
    </row>
    <row r="29" spans="1:8">
      <c r="A29" s="102" t="str">
        <f t="shared" si="1"/>
        <v>wvancrecyclingCRY8Y2X</v>
      </c>
      <c r="B29" s="122" t="s">
        <v>775</v>
      </c>
      <c r="C29" s="122" t="s">
        <v>776</v>
      </c>
      <c r="D29" s="142">
        <v>296.27999999999997</v>
      </c>
      <c r="F29" s="123">
        <v>0</v>
      </c>
      <c r="H29" s="124">
        <f t="shared" si="0"/>
        <v>0</v>
      </c>
    </row>
    <row r="30" spans="1:8">
      <c r="A30" s="102" t="str">
        <f t="shared" si="1"/>
        <v>wvancrecyclingCRY901X</v>
      </c>
      <c r="B30" s="122" t="s">
        <v>787</v>
      </c>
      <c r="C30" s="122" t="s">
        <v>788</v>
      </c>
      <c r="D30" s="142">
        <v>67.349999999999994</v>
      </c>
      <c r="F30" s="123">
        <v>1795.83</v>
      </c>
      <c r="H30" s="124">
        <f t="shared" si="0"/>
        <v>2.2220118782479585</v>
      </c>
    </row>
    <row r="31" spans="1:8">
      <c r="A31" s="102" t="str">
        <f t="shared" si="1"/>
        <v>wvancrecyclingCRY90EOW</v>
      </c>
      <c r="B31" s="122" t="s">
        <v>791</v>
      </c>
      <c r="C31" s="122" t="s">
        <v>792</v>
      </c>
      <c r="D31" s="142">
        <v>34.479999999999997</v>
      </c>
      <c r="F31" s="123">
        <v>394.61000000000007</v>
      </c>
      <c r="H31" s="124">
        <f t="shared" si="0"/>
        <v>0.95371713070378983</v>
      </c>
    </row>
    <row r="32" spans="1:8">
      <c r="A32" s="102" t="str">
        <f t="shared" si="1"/>
        <v>wvancrecyclingCRY90EOW2</v>
      </c>
      <c r="B32" s="122" t="s">
        <v>799</v>
      </c>
      <c r="C32" s="122" t="s">
        <v>800</v>
      </c>
      <c r="D32" s="142">
        <v>42.71</v>
      </c>
      <c r="F32" s="123">
        <v>0</v>
      </c>
      <c r="H32" s="124">
        <f t="shared" si="0"/>
        <v>0</v>
      </c>
    </row>
    <row r="33" spans="1:8">
      <c r="A33" s="102" t="str">
        <f t="shared" si="1"/>
        <v>wvancrecyclingCFR32G1X</v>
      </c>
      <c r="B33" s="122" t="s">
        <v>781</v>
      </c>
      <c r="C33" s="122" t="s">
        <v>782</v>
      </c>
      <c r="D33" s="142">
        <v>14.43</v>
      </c>
      <c r="F33" s="123">
        <v>0</v>
      </c>
      <c r="H33" s="124">
        <f t="shared" si="0"/>
        <v>0</v>
      </c>
    </row>
    <row r="34" spans="1:8">
      <c r="A34" s="102" t="str">
        <f t="shared" si="1"/>
        <v>wvancrecyclingCFR65G1X</v>
      </c>
      <c r="B34" s="122" t="s">
        <v>783</v>
      </c>
      <c r="C34" s="122" t="s">
        <v>784</v>
      </c>
      <c r="D34" s="142">
        <v>29.15</v>
      </c>
      <c r="F34" s="123">
        <v>2222.2399999999998</v>
      </c>
      <c r="H34" s="124">
        <f t="shared" si="0"/>
        <v>6.3528873642081187</v>
      </c>
    </row>
    <row r="35" spans="1:8">
      <c r="A35" s="102" t="str">
        <f t="shared" si="1"/>
        <v>wvancrecyclingCRY90OC</v>
      </c>
      <c r="B35" s="122" t="s">
        <v>858</v>
      </c>
      <c r="C35" s="122" t="s">
        <v>857</v>
      </c>
      <c r="D35" s="142">
        <v>8.39</v>
      </c>
      <c r="F35" s="123">
        <v>71.890000000000015</v>
      </c>
    </row>
    <row r="36" spans="1:8">
      <c r="A36" s="102" t="str">
        <f t="shared" si="1"/>
        <v>wvancrecyclingCRY3YRENT</v>
      </c>
      <c r="B36" s="122" t="s">
        <v>850</v>
      </c>
      <c r="C36" s="122" t="s">
        <v>851</v>
      </c>
      <c r="D36" s="142">
        <v>0</v>
      </c>
      <c r="F36" s="123">
        <v>0</v>
      </c>
    </row>
    <row r="37" spans="1:8">
      <c r="A37" s="102" t="str">
        <f t="shared" si="1"/>
        <v>wvancrecyclingCRY1.5OC</v>
      </c>
      <c r="B37" s="122" t="s">
        <v>836</v>
      </c>
      <c r="C37" s="122" t="s">
        <v>837</v>
      </c>
      <c r="D37" s="142">
        <v>28.98</v>
      </c>
      <c r="F37" s="123">
        <v>0</v>
      </c>
    </row>
    <row r="38" spans="1:8">
      <c r="A38" s="102" t="str">
        <f t="shared" si="1"/>
        <v>wvancrecyclingCRY2YOC</v>
      </c>
      <c r="B38" s="122" t="s">
        <v>838</v>
      </c>
      <c r="C38" s="122" t="s">
        <v>839</v>
      </c>
      <c r="D38" s="142">
        <v>31.06</v>
      </c>
      <c r="F38" s="123">
        <v>0</v>
      </c>
    </row>
    <row r="39" spans="1:8">
      <c r="A39" s="102" t="str">
        <f>"wvanc"&amp;"recycling"&amp;B39</f>
        <v>wvancrecyclingCRY3YOC</v>
      </c>
      <c r="B39" s="122" t="s">
        <v>840</v>
      </c>
      <c r="C39" s="122" t="s">
        <v>841</v>
      </c>
      <c r="D39" s="142">
        <v>33.119999999999997</v>
      </c>
      <c r="F39" s="123">
        <v>378.98999999999995</v>
      </c>
    </row>
    <row r="40" spans="1:8">
      <c r="A40" s="102" t="str">
        <f t="shared" si="1"/>
        <v>wvancrecyclingMFPAIL</v>
      </c>
      <c r="B40" s="122" t="s">
        <v>813</v>
      </c>
      <c r="C40" s="122" t="s">
        <v>814</v>
      </c>
      <c r="D40" s="142">
        <v>4.18</v>
      </c>
      <c r="F40" s="123">
        <v>0</v>
      </c>
    </row>
    <row r="41" spans="1:8">
      <c r="A41" s="102" t="str">
        <f t="shared" si="1"/>
        <v>wvancrecycling0CRYEX90</v>
      </c>
      <c r="B41" s="122" t="s">
        <v>820</v>
      </c>
      <c r="C41" s="122" t="s">
        <v>821</v>
      </c>
      <c r="D41" s="142">
        <v>17.989999999999998</v>
      </c>
      <c r="F41" s="123">
        <v>154.44999999999999</v>
      </c>
    </row>
    <row r="42" spans="1:8">
      <c r="A42" s="102" t="str">
        <f t="shared" si="1"/>
        <v>wvancrecycling0CRYEX2YD</v>
      </c>
      <c r="B42" s="122" t="s">
        <v>824</v>
      </c>
      <c r="C42" s="122" t="s">
        <v>825</v>
      </c>
      <c r="D42" s="142">
        <v>26.38</v>
      </c>
      <c r="F42" s="123">
        <v>0</v>
      </c>
    </row>
    <row r="43" spans="1:8">
      <c r="A43" s="102" t="str">
        <f>"wvanc"&amp;"recycling"&amp;B43</f>
        <v>wvancrecycling0CRYEX3YD</v>
      </c>
      <c r="B43" s="122" t="s">
        <v>826</v>
      </c>
      <c r="C43" s="122" t="s">
        <v>827</v>
      </c>
      <c r="D43" s="142">
        <v>29.38</v>
      </c>
      <c r="F43" s="123">
        <v>536.27</v>
      </c>
    </row>
    <row r="44" spans="1:8">
      <c r="A44" s="102" t="str">
        <f>"wvanc"&amp;"recycling"&amp;B44</f>
        <v>wvancrecyclingCRYEX90</v>
      </c>
      <c r="B44" s="122" t="s">
        <v>871</v>
      </c>
      <c r="C44" s="122" t="s">
        <v>872</v>
      </c>
      <c r="D44" s="142">
        <v>17.989999999999998</v>
      </c>
      <c r="F44" s="123">
        <v>0</v>
      </c>
    </row>
    <row r="45" spans="1:8">
      <c r="A45" s="102" t="str">
        <f t="shared" si="1"/>
        <v>wvancrecyclingCRYEX2YD</v>
      </c>
      <c r="B45" s="122" t="s">
        <v>877</v>
      </c>
      <c r="C45" s="122" t="s">
        <v>878</v>
      </c>
      <c r="D45" s="142">
        <v>26.38</v>
      </c>
      <c r="F45" s="123">
        <v>0</v>
      </c>
    </row>
    <row r="46" spans="1:8">
      <c r="A46" s="102" t="str">
        <f>"wvanc"&amp;"recycling"&amp;B46</f>
        <v>wvancrecyclingCRYEX8YD</v>
      </c>
      <c r="B46" s="122" t="s">
        <v>887</v>
      </c>
      <c r="C46" s="122" t="s">
        <v>888</v>
      </c>
      <c r="D46" s="142">
        <v>33.619999999999997</v>
      </c>
      <c r="F46" s="123">
        <v>0</v>
      </c>
    </row>
    <row r="47" spans="1:8">
      <c r="A47" s="102" t="str">
        <f t="shared" si="1"/>
        <v>wvancrecycling0CRYEXC</v>
      </c>
      <c r="B47" s="122" t="s">
        <v>817</v>
      </c>
      <c r="C47" s="122" t="s">
        <v>816</v>
      </c>
      <c r="D47" s="142">
        <v>21.5</v>
      </c>
      <c r="F47" s="123">
        <v>0</v>
      </c>
    </row>
    <row r="48" spans="1:8">
      <c r="A48" s="102" t="str">
        <f t="shared" si="1"/>
        <v>wvancrecyclingCRYACC</v>
      </c>
      <c r="B48" s="122" t="s">
        <v>861</v>
      </c>
      <c r="C48" s="122" t="s">
        <v>862</v>
      </c>
      <c r="D48" s="142">
        <v>8.2200000000000006</v>
      </c>
      <c r="F48" s="123">
        <v>805.96000000000015</v>
      </c>
    </row>
    <row r="49" spans="1:8">
      <c r="A49" s="102" t="str">
        <f t="shared" si="1"/>
        <v>wvancrecyclingCRYRO</v>
      </c>
      <c r="B49" s="122" t="s">
        <v>865</v>
      </c>
      <c r="C49" s="122" t="s">
        <v>866</v>
      </c>
      <c r="D49" s="142">
        <v>8.2200000000000006</v>
      </c>
      <c r="F49" s="123">
        <v>713.93</v>
      </c>
    </row>
    <row r="50" spans="1:8">
      <c r="A50" s="102" t="str">
        <f t="shared" si="1"/>
        <v>wvancrecyclingCRYTRIP</v>
      </c>
      <c r="B50" s="122" t="s">
        <v>889</v>
      </c>
      <c r="C50" s="122" t="s">
        <v>890</v>
      </c>
      <c r="D50" s="142">
        <v>14.97</v>
      </c>
      <c r="F50" s="123">
        <v>0</v>
      </c>
    </row>
    <row r="51" spans="1:8">
      <c r="A51" s="102" t="str">
        <f t="shared" si="1"/>
        <v>wvancrecyclingCRYEXC</v>
      </c>
      <c r="B51" s="122" t="s">
        <v>815</v>
      </c>
      <c r="C51" s="122" t="s">
        <v>816</v>
      </c>
      <c r="D51" s="142">
        <v>21.5</v>
      </c>
      <c r="F51" s="123">
        <v>570.68000000000006</v>
      </c>
    </row>
    <row r="52" spans="1:8">
      <c r="A52" s="102" t="str">
        <f t="shared" si="1"/>
        <v>wvancrecyclingCRYPLACE</v>
      </c>
      <c r="B52" s="122" t="s">
        <v>863</v>
      </c>
      <c r="C52" s="122" t="s">
        <v>864</v>
      </c>
      <c r="D52" s="142">
        <v>31.05</v>
      </c>
      <c r="F52" s="123">
        <v>0</v>
      </c>
    </row>
    <row r="53" spans="1:8">
      <c r="B53" s="122"/>
      <c r="C53" s="122"/>
      <c r="D53" s="142"/>
    </row>
    <row r="54" spans="1:8">
      <c r="B54" s="126"/>
      <c r="C54" s="127" t="s">
        <v>895</v>
      </c>
      <c r="D54" s="142"/>
      <c r="F54" s="128">
        <f>+SUM(F18:F53)</f>
        <v>26502.77</v>
      </c>
      <c r="G54" s="129"/>
      <c r="H54" s="158">
        <f>+SUM(H18:H53)</f>
        <v>17.457094863241842</v>
      </c>
    </row>
    <row r="55" spans="1:8">
      <c r="B55" s="102"/>
      <c r="C55" s="102"/>
      <c r="D55" s="142"/>
    </row>
    <row r="56" spans="1:8">
      <c r="A56" s="111"/>
      <c r="B56" s="111" t="s">
        <v>526</v>
      </c>
      <c r="C56" s="113"/>
      <c r="D56" s="114"/>
      <c r="E56" s="114"/>
      <c r="F56" s="114"/>
      <c r="G56" s="114"/>
      <c r="H56" s="114"/>
    </row>
    <row r="57" spans="1:8">
      <c r="B57" s="116"/>
      <c r="C57" s="116"/>
      <c r="D57" s="142"/>
    </row>
    <row r="58" spans="1:8">
      <c r="A58" s="154"/>
      <c r="B58" s="119" t="s">
        <v>1299</v>
      </c>
      <c r="C58" s="119"/>
      <c r="D58" s="120"/>
      <c r="E58" s="121"/>
      <c r="F58" s="171"/>
      <c r="G58" s="121"/>
      <c r="H58" s="121"/>
    </row>
    <row r="59" spans="1:8">
      <c r="A59" s="102" t="str">
        <f>"Wvanc"&amp;"roll off"&amp;B59</f>
        <v>Wvancroll offVHAUL20</v>
      </c>
      <c r="B59" s="122" t="s">
        <v>535</v>
      </c>
      <c r="C59" s="122" t="s">
        <v>536</v>
      </c>
      <c r="D59" s="142">
        <v>130.94</v>
      </c>
      <c r="F59" s="123">
        <v>0</v>
      </c>
      <c r="H59" s="124">
        <f>+(F59/D59)/12</f>
        <v>0</v>
      </c>
    </row>
    <row r="60" spans="1:8">
      <c r="A60" s="102" t="str">
        <f t="shared" ref="A60:A64" si="2">"Wvanc"&amp;"roll off"&amp;B60</f>
        <v>Wvancroll offCER40YD</v>
      </c>
      <c r="B60" s="122" t="s">
        <v>533</v>
      </c>
      <c r="C60" s="122" t="s">
        <v>534</v>
      </c>
      <c r="D60" s="142">
        <v>130.94</v>
      </c>
      <c r="F60" s="123">
        <v>0</v>
      </c>
      <c r="H60" s="124">
        <f>+(F60/D60)/12</f>
        <v>0</v>
      </c>
    </row>
    <row r="61" spans="1:8">
      <c r="A61" s="102" t="str">
        <f t="shared" si="2"/>
        <v>Wvancroll offVDEM20</v>
      </c>
      <c r="B61" s="122" t="s">
        <v>585</v>
      </c>
      <c r="C61" s="122" t="s">
        <v>576</v>
      </c>
      <c r="D61" s="142">
        <v>94.01</v>
      </c>
      <c r="F61" s="123">
        <v>0</v>
      </c>
      <c r="H61" s="124">
        <f>+(F61/D61)/12</f>
        <v>0</v>
      </c>
    </row>
    <row r="62" spans="1:8">
      <c r="A62" s="102" t="str">
        <f t="shared" si="2"/>
        <v>Wvancroll offVDEM40</v>
      </c>
      <c r="B62" s="122" t="s">
        <v>591</v>
      </c>
      <c r="C62" s="122" t="s">
        <v>580</v>
      </c>
      <c r="D62" s="142">
        <v>94.01</v>
      </c>
      <c r="F62" s="123">
        <v>0</v>
      </c>
      <c r="H62" s="124">
        <f>+(F62/D62)/12</f>
        <v>0</v>
      </c>
    </row>
    <row r="63" spans="1:8">
      <c r="A63" s="102" t="str">
        <f t="shared" si="2"/>
        <v>Wvancroll offVHAUL40</v>
      </c>
      <c r="B63" s="122" t="s">
        <v>539</v>
      </c>
      <c r="C63" s="122" t="s">
        <v>540</v>
      </c>
      <c r="D63" s="142">
        <v>130.94</v>
      </c>
      <c r="F63" s="123">
        <v>0</v>
      </c>
    </row>
    <row r="64" spans="1:8">
      <c r="A64" s="102" t="str">
        <f t="shared" si="2"/>
        <v>Wvancroll offVPLACE</v>
      </c>
      <c r="B64" s="122" t="s">
        <v>607</v>
      </c>
      <c r="C64" s="122" t="s">
        <v>595</v>
      </c>
      <c r="D64" s="142">
        <v>33.380000000000003</v>
      </c>
      <c r="F64" s="123">
        <v>0</v>
      </c>
    </row>
    <row r="65" spans="1:8">
      <c r="B65" s="126"/>
      <c r="C65" s="126"/>
      <c r="D65" s="142"/>
    </row>
    <row r="66" spans="1:8">
      <c r="B66" s="126"/>
      <c r="C66" s="127" t="s">
        <v>978</v>
      </c>
      <c r="D66" s="142"/>
      <c r="F66" s="133">
        <f>+SUM(F59:F65)</f>
        <v>0</v>
      </c>
      <c r="G66" s="129"/>
      <c r="H66" s="158">
        <f>+SUM(H59:H65)</f>
        <v>0</v>
      </c>
    </row>
    <row r="67" spans="1:8">
      <c r="B67" s="126"/>
      <c r="C67" s="127"/>
      <c r="D67" s="142"/>
    </row>
    <row r="68" spans="1:8">
      <c r="A68" s="154"/>
      <c r="B68" s="119" t="s">
        <v>979</v>
      </c>
      <c r="C68" s="119"/>
      <c r="D68" s="120"/>
      <c r="E68" s="121"/>
      <c r="F68" s="171"/>
      <c r="G68" s="121"/>
      <c r="H68" s="121"/>
    </row>
    <row r="69" spans="1:8">
      <c r="A69" s="102" t="str">
        <f t="shared" ref="A69:A71" si="3">"Wvanc"&amp;"roll off"&amp;B69</f>
        <v>Wvancroll offDRHAUL40</v>
      </c>
      <c r="B69" s="122" t="s">
        <v>904</v>
      </c>
      <c r="C69" s="122" t="s">
        <v>905</v>
      </c>
      <c r="D69" s="142">
        <v>173.74</v>
      </c>
      <c r="F69" s="123">
        <v>0</v>
      </c>
      <c r="H69" s="124">
        <f>+(F69/D69)/12</f>
        <v>0</v>
      </c>
    </row>
    <row r="70" spans="1:8">
      <c r="A70" s="102" t="str">
        <f t="shared" si="3"/>
        <v>Wvancroll offDRDEM40</v>
      </c>
      <c r="B70" s="122" t="s">
        <v>918</v>
      </c>
      <c r="C70" s="122" t="s">
        <v>919</v>
      </c>
      <c r="D70" s="142">
        <v>0</v>
      </c>
      <c r="F70" s="123">
        <v>0</v>
      </c>
    </row>
    <row r="71" spans="1:8">
      <c r="A71" s="102" t="str">
        <f t="shared" si="3"/>
        <v>Wvancroll offDRTARP</v>
      </c>
      <c r="B71" s="122" t="s">
        <v>924</v>
      </c>
      <c r="C71" s="122" t="s">
        <v>925</v>
      </c>
      <c r="D71" s="142">
        <v>0</v>
      </c>
      <c r="F71" s="123">
        <v>0</v>
      </c>
    </row>
    <row r="72" spans="1:8">
      <c r="A72" s="102"/>
      <c r="D72" s="142"/>
    </row>
    <row r="73" spans="1:8">
      <c r="A73" s="102"/>
      <c r="C73" s="127" t="s">
        <v>984</v>
      </c>
      <c r="D73" s="142"/>
      <c r="F73" s="133">
        <f>+SUM(F69:F72)</f>
        <v>0</v>
      </c>
      <c r="G73" s="129"/>
      <c r="H73" s="158">
        <f>+SUM(H69:H72)</f>
        <v>0</v>
      </c>
    </row>
    <row r="74" spans="1:8">
      <c r="B74" s="126"/>
      <c r="C74" s="126"/>
      <c r="D74" s="142"/>
    </row>
    <row r="75" spans="1:8">
      <c r="A75" s="111"/>
      <c r="B75" s="111" t="s">
        <v>612</v>
      </c>
      <c r="C75" s="113"/>
      <c r="D75" s="114"/>
      <c r="E75" s="114"/>
      <c r="F75" s="114"/>
      <c r="G75" s="114"/>
      <c r="H75" s="114"/>
    </row>
    <row r="76" spans="1:8">
      <c r="A76" s="102" t="str">
        <f t="shared" ref="A76:A79" si="4">"Wvanc"&amp;"roll off"&amp;B76</f>
        <v>Wvancroll offFOOD</v>
      </c>
      <c r="B76" s="122" t="s">
        <v>933</v>
      </c>
      <c r="C76" s="122" t="s">
        <v>934</v>
      </c>
      <c r="D76" s="142">
        <v>62.32</v>
      </c>
      <c r="F76" s="123">
        <v>0</v>
      </c>
    </row>
    <row r="77" spans="1:8">
      <c r="A77" s="102" t="str">
        <f t="shared" si="4"/>
        <v>Wvancroll offDISP</v>
      </c>
      <c r="B77" s="122" t="s">
        <v>613</v>
      </c>
      <c r="C77" s="122" t="s">
        <v>614</v>
      </c>
      <c r="D77" s="142">
        <v>78.760000000000005</v>
      </c>
      <c r="F77" s="123">
        <v>0</v>
      </c>
    </row>
    <row r="78" spans="1:8">
      <c r="A78" s="102" t="str">
        <f t="shared" si="4"/>
        <v>Wvancroll offFEE</v>
      </c>
      <c r="B78" s="122" t="s">
        <v>615</v>
      </c>
      <c r="C78" s="122" t="s">
        <v>616</v>
      </c>
      <c r="D78" s="142">
        <v>10</v>
      </c>
      <c r="F78" s="123">
        <v>0</v>
      </c>
    </row>
    <row r="79" spans="1:8">
      <c r="A79" s="102" t="str">
        <f t="shared" si="4"/>
        <v>Wvancroll offPTON</v>
      </c>
      <c r="B79" s="122" t="s">
        <v>931</v>
      </c>
      <c r="C79" s="122" t="s">
        <v>932</v>
      </c>
      <c r="D79" s="142">
        <v>0</v>
      </c>
      <c r="F79" s="123">
        <v>0</v>
      </c>
    </row>
    <row r="80" spans="1:8">
      <c r="B80" s="122"/>
      <c r="C80" s="122"/>
      <c r="D80" s="142"/>
    </row>
    <row r="81" spans="1:8">
      <c r="B81" s="126"/>
      <c r="C81" s="127" t="s">
        <v>631</v>
      </c>
      <c r="D81" s="142"/>
      <c r="F81" s="133">
        <f>+SUM(F76:F80)</f>
        <v>0</v>
      </c>
      <c r="G81" s="133"/>
      <c r="H81" s="158">
        <f>+SUM(H76:H80)</f>
        <v>0</v>
      </c>
    </row>
    <row r="82" spans="1:8">
      <c r="B82" s="126"/>
      <c r="C82" s="127"/>
      <c r="D82" s="142"/>
    </row>
    <row r="83" spans="1:8">
      <c r="A83" s="111"/>
      <c r="B83" s="111" t="s">
        <v>24</v>
      </c>
      <c r="C83" s="113"/>
      <c r="D83" s="114"/>
      <c r="E83" s="114"/>
      <c r="F83" s="114"/>
      <c r="G83" s="114"/>
      <c r="H83" s="114"/>
    </row>
    <row r="84" spans="1:8">
      <c r="A84" s="102" t="str">
        <f>"WVANC"&amp;"Accounting"&amp;B84</f>
        <v>WVANCAccountingFINCHG</v>
      </c>
      <c r="B84" s="122" t="s">
        <v>632</v>
      </c>
      <c r="C84" s="122" t="s">
        <v>633</v>
      </c>
      <c r="D84" s="142">
        <v>0</v>
      </c>
      <c r="F84" s="123">
        <v>0</v>
      </c>
    </row>
    <row r="85" spans="1:8">
      <c r="A85" s="102" t="str">
        <f t="shared" ref="A85:A88" si="5">"Wvanc"&amp;"Account Adjustments"&amp;B85</f>
        <v>WvancAccount AdjustmentsADJ</v>
      </c>
      <c r="B85" s="122" t="s">
        <v>521</v>
      </c>
      <c r="C85" s="122" t="s">
        <v>522</v>
      </c>
      <c r="D85" s="142">
        <v>0</v>
      </c>
      <c r="F85" s="123">
        <v>0</v>
      </c>
    </row>
    <row r="86" spans="1:8">
      <c r="A86" s="102" t="str">
        <f t="shared" si="5"/>
        <v>WvancAccount AdjustmentsGWC</v>
      </c>
      <c r="B86" s="122" t="s">
        <v>523</v>
      </c>
      <c r="C86" s="122" t="s">
        <v>524</v>
      </c>
      <c r="D86" s="142">
        <v>0</v>
      </c>
      <c r="F86" s="123">
        <v>0</v>
      </c>
    </row>
    <row r="87" spans="1:8">
      <c r="A87" s="102" t="str">
        <f t="shared" si="5"/>
        <v>WvancAccount AdjustmentsMM</v>
      </c>
      <c r="B87" s="122" t="s">
        <v>993</v>
      </c>
      <c r="C87" s="122" t="s">
        <v>994</v>
      </c>
      <c r="D87" s="142">
        <v>0</v>
      </c>
      <c r="F87" s="123">
        <v>795.35</v>
      </c>
    </row>
    <row r="88" spans="1:8">
      <c r="A88" s="102" t="str">
        <f t="shared" si="5"/>
        <v>WvancAccount AdjustmentsNSF FEES</v>
      </c>
      <c r="B88" s="122" t="s">
        <v>991</v>
      </c>
      <c r="C88" s="122" t="s">
        <v>992</v>
      </c>
      <c r="D88" s="142">
        <v>0</v>
      </c>
      <c r="F88" s="123">
        <v>0</v>
      </c>
    </row>
    <row r="89" spans="1:8">
      <c r="A89" s="102"/>
      <c r="B89" s="122"/>
      <c r="C89" s="122"/>
      <c r="D89" s="142"/>
      <c r="F89" s="123"/>
    </row>
    <row r="90" spans="1:8">
      <c r="B90" s="126"/>
      <c r="C90" s="127" t="s">
        <v>636</v>
      </c>
      <c r="F90" s="128">
        <f>+SUM(F84:F89)</f>
        <v>795.35</v>
      </c>
      <c r="G90" s="176"/>
      <c r="H90" s="158">
        <f>+SUM(H84:H89)</f>
        <v>0</v>
      </c>
    </row>
    <row r="91" spans="1:8">
      <c r="A91" s="102"/>
      <c r="B91" s="122"/>
      <c r="C91" s="122"/>
      <c r="D91" s="142"/>
    </row>
    <row r="92" spans="1:8">
      <c r="B92" s="126"/>
      <c r="C92" s="127"/>
    </row>
    <row r="93" spans="1:8" ht="13.5" thickBot="1">
      <c r="B93" s="135"/>
      <c r="C93" s="134" t="s">
        <v>637</v>
      </c>
      <c r="F93" s="137">
        <f>+F90+F73+F54+F66+F15</f>
        <v>27412.36</v>
      </c>
      <c r="G93" s="164"/>
      <c r="H93" s="165">
        <f>+H90+H73+H54+H66+H15</f>
        <v>17.457094863241842</v>
      </c>
    </row>
    <row r="94" spans="1:8" ht="13.5" thickTop="1">
      <c r="B94" s="135"/>
      <c r="C94" s="135"/>
    </row>
  </sheetData>
  <mergeCells count="2">
    <mergeCell ref="F7:H7"/>
    <mergeCell ref="B5:H6"/>
  </mergeCells>
  <pageMargins left="0.7" right="0.7" top="0.75" bottom="0.75" header="0.3" footer="0.3"/>
  <pageSetup scale="94" pageOrder="overThenDown" orientation="portrait" r:id="rId1"/>
  <headerFooter>
    <oddFooter xml:space="preserve">&amp;L&amp;F - &amp;A
&amp;RPage &amp;P of &amp;N
</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T44"/>
  <sheetViews>
    <sheetView view="pageBreakPreview" zoomScale="85" zoomScaleNormal="100" zoomScaleSheetLayoutView="85" workbookViewId="0">
      <selection activeCell="P22" sqref="P22"/>
    </sheetView>
  </sheetViews>
  <sheetFormatPr defaultRowHeight="15"/>
  <cols>
    <col min="1" max="1" width="22.7109375" style="3" customWidth="1"/>
    <col min="2" max="2" width="29.140625" style="3" bestFit="1" customWidth="1"/>
    <col min="3" max="3" width="10.7109375" style="3" bestFit="1" customWidth="1"/>
    <col min="4" max="4" width="9.140625" style="3"/>
    <col min="5" max="5" width="13" style="3" customWidth="1"/>
    <col min="6" max="6" width="3" style="3" customWidth="1"/>
    <col min="7" max="7" width="18.5703125" style="3" customWidth="1"/>
    <col min="8" max="16384" width="9.140625" style="3"/>
  </cols>
  <sheetData>
    <row r="1" spans="1:20">
      <c r="A1" s="101" t="s">
        <v>251</v>
      </c>
      <c r="B1" s="177"/>
      <c r="C1" s="178"/>
    </row>
    <row r="2" spans="1:20">
      <c r="A2" s="101" t="s">
        <v>1414</v>
      </c>
      <c r="B2" s="177"/>
      <c r="C2" s="178"/>
    </row>
    <row r="3" spans="1:20">
      <c r="A3" s="179" t="str">
        <f>+'Clark Co'!A3</f>
        <v>October 1, 2016 - September 30, 2017</v>
      </c>
      <c r="B3" s="177"/>
      <c r="C3" s="178"/>
    </row>
    <row r="4" spans="1:20">
      <c r="A4" s="179"/>
      <c r="B4" s="177"/>
      <c r="C4" s="178"/>
    </row>
    <row r="5" spans="1:20">
      <c r="A5" s="204" t="s">
        <v>254</v>
      </c>
      <c r="B5" s="204"/>
      <c r="C5" s="204"/>
      <c r="D5" s="204"/>
      <c r="E5" s="204"/>
      <c r="F5" s="204"/>
      <c r="G5" s="204"/>
    </row>
    <row r="6" spans="1:20">
      <c r="A6" s="204"/>
      <c r="B6" s="204"/>
      <c r="C6" s="204"/>
      <c r="D6" s="204"/>
      <c r="E6" s="204"/>
      <c r="F6" s="204"/>
      <c r="G6" s="204"/>
    </row>
    <row r="7" spans="1:20">
      <c r="A7" s="177"/>
      <c r="B7" s="180"/>
      <c r="C7" s="178"/>
    </row>
    <row r="8" spans="1:20" ht="15" customHeight="1">
      <c r="A8" s="181" t="s">
        <v>256</v>
      </c>
      <c r="B8" s="182" t="s">
        <v>257</v>
      </c>
      <c r="C8" s="183" t="s">
        <v>1415</v>
      </c>
      <c r="D8"/>
      <c r="E8" s="207" t="s">
        <v>1416</v>
      </c>
      <c r="F8" s="207"/>
      <c r="G8" s="207"/>
    </row>
    <row r="9" spans="1:20">
      <c r="E9" s="184" t="s">
        <v>51</v>
      </c>
      <c r="G9" s="185" t="s">
        <v>259</v>
      </c>
    </row>
    <row r="10" spans="1:20">
      <c r="A10" s="102"/>
      <c r="B10" s="102"/>
      <c r="C10" s="140"/>
    </row>
    <row r="11" spans="1:20" s="189" customFormat="1" ht="12.75">
      <c r="A11" s="186" t="s">
        <v>1145</v>
      </c>
      <c r="B11" s="186"/>
      <c r="C11" s="187"/>
      <c r="D11" s="188"/>
      <c r="E11" s="188"/>
      <c r="F11" s="188"/>
      <c r="G11" s="188"/>
      <c r="H11" s="188"/>
    </row>
    <row r="12" spans="1:20">
      <c r="A12" s="190"/>
      <c r="B12" s="190"/>
      <c r="C12" s="150"/>
      <c r="D12"/>
      <c r="E12"/>
      <c r="F12"/>
      <c r="G12"/>
      <c r="H12"/>
      <c r="N12" s="209"/>
      <c r="O12" s="209"/>
      <c r="P12" s="209"/>
      <c r="Q12" s="209"/>
      <c r="R12" s="209"/>
      <c r="S12" s="209"/>
      <c r="T12" s="209"/>
    </row>
    <row r="13" spans="1:20">
      <c r="A13" s="191" t="s">
        <v>700</v>
      </c>
      <c r="B13" s="119"/>
      <c r="C13" s="119"/>
      <c r="D13" s="120"/>
      <c r="E13" s="192"/>
      <c r="F13" s="193"/>
      <c r="G13" s="192"/>
      <c r="H13" s="192"/>
      <c r="N13" s="209"/>
      <c r="O13" s="209"/>
      <c r="P13" s="209"/>
      <c r="Q13" s="209"/>
      <c r="R13" s="209"/>
      <c r="S13" s="209"/>
      <c r="T13" s="209"/>
    </row>
    <row r="14" spans="1:20">
      <c r="A14" s="122" t="s">
        <v>1417</v>
      </c>
      <c r="B14" s="194" t="s">
        <v>1418</v>
      </c>
      <c r="C14" s="195"/>
      <c r="E14" s="15">
        <v>89819.14</v>
      </c>
    </row>
    <row r="15" spans="1:20">
      <c r="A15" s="122" t="s">
        <v>1419</v>
      </c>
      <c r="B15" s="194" t="s">
        <v>1420</v>
      </c>
      <c r="C15" s="195"/>
      <c r="E15" s="15">
        <v>36746.080000000002</v>
      </c>
    </row>
    <row r="16" spans="1:20">
      <c r="A16" s="122" t="s">
        <v>1421</v>
      </c>
      <c r="B16" s="194" t="s">
        <v>1422</v>
      </c>
      <c r="C16" s="195"/>
      <c r="E16" s="15">
        <v>94173.12000000001</v>
      </c>
    </row>
    <row r="17" spans="1:8">
      <c r="A17" s="122" t="s">
        <v>1423</v>
      </c>
      <c r="B17" s="194" t="s">
        <v>1424</v>
      </c>
      <c r="C17" s="195"/>
      <c r="E17" s="15">
        <v>51341.02</v>
      </c>
    </row>
    <row r="18" spans="1:8">
      <c r="A18" s="122" t="s">
        <v>1425</v>
      </c>
      <c r="B18" s="194" t="s">
        <v>1426</v>
      </c>
      <c r="C18" s="195"/>
      <c r="E18" s="15">
        <v>0</v>
      </c>
    </row>
    <row r="19" spans="1:8">
      <c r="A19" s="122" t="s">
        <v>1427</v>
      </c>
      <c r="B19" s="194" t="s">
        <v>1428</v>
      </c>
      <c r="C19" s="195"/>
      <c r="E19" s="15">
        <v>5981.21</v>
      </c>
    </row>
    <row r="20" spans="1:8">
      <c r="A20" s="122" t="s">
        <v>1429</v>
      </c>
      <c r="B20" s="194" t="s">
        <v>1430</v>
      </c>
      <c r="C20" s="195"/>
      <c r="E20" s="15">
        <v>0</v>
      </c>
    </row>
    <row r="21" spans="1:8">
      <c r="A21" s="122" t="s">
        <v>1431</v>
      </c>
      <c r="B21" s="194" t="s">
        <v>1432</v>
      </c>
      <c r="C21" s="195"/>
      <c r="E21" s="15">
        <v>0</v>
      </c>
    </row>
    <row r="22" spans="1:8">
      <c r="A22" s="122" t="s">
        <v>1433</v>
      </c>
      <c r="B22" s="194" t="s">
        <v>1434</v>
      </c>
      <c r="C22" s="195"/>
      <c r="E22" s="15">
        <v>1337.27</v>
      </c>
    </row>
    <row r="23" spans="1:8">
      <c r="A23" s="122" t="s">
        <v>1435</v>
      </c>
      <c r="B23" s="194" t="s">
        <v>1436</v>
      </c>
      <c r="C23" s="195"/>
      <c r="E23" s="15">
        <v>72077.930000000008</v>
      </c>
    </row>
    <row r="24" spans="1:8">
      <c r="A24" s="102" t="s">
        <v>1437</v>
      </c>
      <c r="B24" s="194" t="s">
        <v>1438</v>
      </c>
      <c r="C24" s="195"/>
      <c r="E24" s="15">
        <v>2112.0299999999997</v>
      </c>
    </row>
    <row r="25" spans="1:8">
      <c r="A25" s="102" t="s">
        <v>1439</v>
      </c>
      <c r="B25" s="194" t="s">
        <v>1440</v>
      </c>
      <c r="C25" s="195"/>
      <c r="E25" s="15">
        <v>7125.2</v>
      </c>
    </row>
    <row r="26" spans="1:8">
      <c r="A26" s="122"/>
      <c r="B26" s="122"/>
      <c r="C26" s="123"/>
    </row>
    <row r="27" spans="1:8">
      <c r="A27" s="126"/>
      <c r="B27" s="127" t="s">
        <v>1441</v>
      </c>
      <c r="C27" s="123"/>
      <c r="E27" s="196">
        <f>+SUM(E14:E26)</f>
        <v>360713.00000000012</v>
      </c>
      <c r="F27" s="196"/>
      <c r="G27" s="197">
        <v>937</v>
      </c>
    </row>
    <row r="28" spans="1:8">
      <c r="A28" s="126"/>
      <c r="B28" s="127"/>
      <c r="C28" s="123"/>
      <c r="E28" s="198"/>
      <c r="F28" s="198"/>
      <c r="G28" s="199"/>
    </row>
    <row r="29" spans="1:8" s="189" customFormat="1" ht="12.75">
      <c r="A29" s="186" t="s">
        <v>1074</v>
      </c>
      <c r="B29" s="186"/>
      <c r="C29" s="187"/>
      <c r="D29" s="188"/>
      <c r="E29" s="188"/>
      <c r="F29" s="188"/>
      <c r="G29" s="188"/>
      <c r="H29" s="188"/>
    </row>
    <row r="30" spans="1:8" s="189" customFormat="1" ht="12.75">
      <c r="A30" s="186"/>
      <c r="B30" s="186"/>
      <c r="C30" s="187"/>
      <c r="D30" s="188"/>
      <c r="E30" s="188"/>
      <c r="F30" s="188"/>
      <c r="G30" s="188"/>
      <c r="H30" s="188"/>
    </row>
    <row r="31" spans="1:8">
      <c r="A31" s="102" t="s">
        <v>993</v>
      </c>
      <c r="B31" s="194" t="s">
        <v>994</v>
      </c>
      <c r="C31" s="123"/>
      <c r="E31" s="15">
        <v>958.08999999999992</v>
      </c>
    </row>
    <row r="32" spans="1:8">
      <c r="A32" s="102" t="s">
        <v>521</v>
      </c>
      <c r="B32" s="194" t="s">
        <v>522</v>
      </c>
      <c r="C32" s="142"/>
      <c r="E32" s="15">
        <v>0</v>
      </c>
    </row>
    <row r="33" spans="1:7">
      <c r="A33" s="102" t="s">
        <v>519</v>
      </c>
      <c r="B33" s="194" t="s">
        <v>520</v>
      </c>
      <c r="C33" s="123"/>
      <c r="E33" s="15">
        <v>0</v>
      </c>
    </row>
    <row r="34" spans="1:7">
      <c r="A34" s="122"/>
      <c r="B34" s="122"/>
      <c r="C34" s="123"/>
    </row>
    <row r="35" spans="1:7">
      <c r="A35" s="126"/>
      <c r="B35" s="127" t="s">
        <v>636</v>
      </c>
      <c r="C35" s="104"/>
      <c r="E35" s="196">
        <f>+SUM(E31:E34)</f>
        <v>958.08999999999992</v>
      </c>
      <c r="F35" s="200"/>
      <c r="G35" s="196">
        <f>+SUM(G31:G34)</f>
        <v>0</v>
      </c>
    </row>
    <row r="36" spans="1:7">
      <c r="A36" s="122"/>
      <c r="B36" s="122"/>
      <c r="C36" s="142"/>
    </row>
    <row r="37" spans="1:7" ht="15.75" thickBot="1">
      <c r="A37" s="135"/>
      <c r="B37" s="134" t="s">
        <v>637</v>
      </c>
      <c r="C37" s="104"/>
      <c r="E37" s="201">
        <f>+E35+E27</f>
        <v>361671.09000000014</v>
      </c>
      <c r="F37" s="202"/>
      <c r="G37" s="203">
        <f>+G35+G27</f>
        <v>937</v>
      </c>
    </row>
    <row r="38" spans="1:7" ht="15.75" thickTop="1">
      <c r="A38" s="135"/>
      <c r="B38" s="135"/>
      <c r="C38" s="104"/>
    </row>
    <row r="39" spans="1:7">
      <c r="A39" s="104"/>
      <c r="B39" s="104"/>
      <c r="C39" s="104"/>
    </row>
    <row r="40" spans="1:7">
      <c r="A40" s="104"/>
      <c r="B40" s="104"/>
      <c r="C40" s="104"/>
    </row>
    <row r="41" spans="1:7">
      <c r="A41" s="104"/>
      <c r="B41" s="104"/>
      <c r="C41" s="104"/>
    </row>
    <row r="42" spans="1:7">
      <c r="A42" s="104"/>
      <c r="B42" s="104"/>
      <c r="C42" s="104"/>
    </row>
    <row r="43" spans="1:7">
      <c r="A43" s="104"/>
      <c r="B43" s="104"/>
      <c r="C43" s="104"/>
    </row>
    <row r="44" spans="1:7">
      <c r="A44" s="104"/>
      <c r="B44" s="104"/>
      <c r="C44" s="104"/>
    </row>
  </sheetData>
  <mergeCells count="2">
    <mergeCell ref="E8:G8"/>
    <mergeCell ref="A5:G6"/>
  </mergeCells>
  <pageMargins left="0.7" right="0.7" top="0.75" bottom="0.75" header="0.3" footer="0.3"/>
  <pageSetup scale="85" orientation="portrait" r:id="rId1"/>
  <headerFooter>
    <oddFooter xml:space="preserve">&amp;L&amp;F - &amp;A
&amp;RPage &amp;P of &amp;N
</oddFooter>
  </headerFooter>
  <colBreaks count="1" manualBreakCount="1">
    <brk id="7"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N20"/>
  <sheetViews>
    <sheetView showGridLines="0" view="pageBreakPreview" zoomScaleNormal="100" zoomScaleSheetLayoutView="100" workbookViewId="0">
      <selection activeCell="P22" sqref="P22"/>
    </sheetView>
  </sheetViews>
  <sheetFormatPr defaultRowHeight="15"/>
  <cols>
    <col min="1" max="1" width="22.140625" customWidth="1"/>
    <col min="2" max="2" width="10" bestFit="1" customWidth="1"/>
    <col min="3" max="3" width="12.140625" bestFit="1" customWidth="1"/>
    <col min="4" max="4" width="8" bestFit="1" customWidth="1"/>
    <col min="5" max="5" width="10.140625" bestFit="1" customWidth="1"/>
    <col min="6" max="6" width="10.42578125" bestFit="1" customWidth="1"/>
    <col min="7" max="7" width="11.140625" customWidth="1"/>
    <col min="8" max="8" width="10.42578125" bestFit="1" customWidth="1"/>
    <col min="9" max="9" width="10" bestFit="1" customWidth="1"/>
    <col min="10" max="11" width="13.7109375" bestFit="1" customWidth="1"/>
    <col min="12" max="12" width="10.5703125" bestFit="1" customWidth="1"/>
    <col min="14" max="14" width="13.28515625" bestFit="1" customWidth="1"/>
  </cols>
  <sheetData>
    <row r="1" spans="1:12">
      <c r="A1" s="1" t="s">
        <v>0</v>
      </c>
    </row>
    <row r="2" spans="1:12" ht="16.5" customHeight="1">
      <c r="A2" s="1" t="s">
        <v>25</v>
      </c>
      <c r="C2" s="2"/>
    </row>
    <row r="4" spans="1:12" ht="30">
      <c r="A4" s="3"/>
      <c r="B4" s="4" t="s">
        <v>2</v>
      </c>
      <c r="C4" s="4" t="s">
        <v>3</v>
      </c>
      <c r="D4" s="4" t="s">
        <v>4</v>
      </c>
      <c r="E4" s="4" t="s">
        <v>5</v>
      </c>
      <c r="F4" s="4" t="s">
        <v>6</v>
      </c>
      <c r="G4" s="4" t="s">
        <v>7</v>
      </c>
      <c r="H4" s="4" t="s">
        <v>8</v>
      </c>
      <c r="I4" s="4" t="s">
        <v>9</v>
      </c>
      <c r="J4" s="4" t="s">
        <v>26</v>
      </c>
      <c r="K4" s="4" t="s">
        <v>27</v>
      </c>
      <c r="L4" s="3"/>
    </row>
    <row r="5" spans="1:12">
      <c r="A5" s="6" t="s">
        <v>14</v>
      </c>
      <c r="B5" s="7">
        <f>+'Clark Co'!G46</f>
        <v>64740.327497774051</v>
      </c>
      <c r="C5" s="7">
        <v>0</v>
      </c>
      <c r="D5" s="7">
        <f>+'Camas Non-Reg'!G14</f>
        <v>0</v>
      </c>
      <c r="E5" s="8">
        <f>+'Ridgefield Non-Reg'!H45</f>
        <v>2332.9594216824144</v>
      </c>
      <c r="F5" s="7">
        <f>+'Vancouver Non-Reg'!H51</f>
        <v>42548.352001028419</v>
      </c>
      <c r="G5" s="7">
        <f>+'Washougal Non-Reg'!H40</f>
        <v>5135.8516696243769</v>
      </c>
      <c r="H5" s="7">
        <v>0</v>
      </c>
      <c r="I5" s="7"/>
      <c r="J5" s="7">
        <f>SUM(C5:I5)</f>
        <v>50017.163092335206</v>
      </c>
      <c r="K5" s="7">
        <f>+J5+B5</f>
        <v>114757.49059010926</v>
      </c>
      <c r="L5" s="18"/>
    </row>
    <row r="6" spans="1:12">
      <c r="A6" s="6" t="s">
        <v>15</v>
      </c>
      <c r="B6" s="7">
        <v>0</v>
      </c>
      <c r="C6" s="7">
        <f>+'UTC Non-REg'!F27</f>
        <v>62317.753267659777</v>
      </c>
      <c r="D6" s="7">
        <f>+'Camas Non-Reg'!G19</f>
        <v>7744.1116315378613</v>
      </c>
      <c r="E6" s="10">
        <f>+'Ridgefield Non-Reg'!H51</f>
        <v>2160.6522435897436</v>
      </c>
      <c r="F6" s="7">
        <f>+'Vancouver Non-Reg'!H67</f>
        <v>43381.560863095234</v>
      </c>
      <c r="G6" s="7">
        <f>+'Washougal Non-Reg'!H48</f>
        <v>5016.4783333333335</v>
      </c>
      <c r="H6" s="7">
        <v>0</v>
      </c>
      <c r="I6" s="7"/>
      <c r="J6" s="7">
        <f t="shared" ref="J6:J15" si="0">SUM(C6:I6)</f>
        <v>120620.55633921595</v>
      </c>
      <c r="K6" s="7">
        <f t="shared" ref="K6:K15" si="1">+J6+B6</f>
        <v>120620.55633921595</v>
      </c>
      <c r="L6" s="18"/>
    </row>
    <row r="7" spans="1:12">
      <c r="A7" s="6" t="s">
        <v>16</v>
      </c>
      <c r="B7" s="7">
        <v>0</v>
      </c>
      <c r="C7" s="7">
        <f>+'UTC Non-REg'!F48</f>
        <v>23763.43022930649</v>
      </c>
      <c r="D7" s="7">
        <f>+'Camas Non-Reg'!G34</f>
        <v>2693.020337085306</v>
      </c>
      <c r="E7" s="10">
        <f>+'Ridgefield Non-Reg'!H58</f>
        <v>1096.3477188655982</v>
      </c>
      <c r="F7" s="7">
        <f>+'Vancouver Non-Reg'!H88</f>
        <v>19597.697161835753</v>
      </c>
      <c r="G7" s="7">
        <f>+'Washougal Non-Reg'!H64</f>
        <v>2063.0233153272015</v>
      </c>
      <c r="H7" s="7">
        <v>0</v>
      </c>
      <c r="I7" s="7"/>
      <c r="J7" s="7">
        <f t="shared" si="0"/>
        <v>49213.518762420346</v>
      </c>
      <c r="K7" s="7">
        <f t="shared" si="1"/>
        <v>49213.518762420346</v>
      </c>
      <c r="L7" s="18"/>
    </row>
    <row r="8" spans="1:12">
      <c r="A8" s="6" t="s">
        <v>17</v>
      </c>
      <c r="B8" s="7">
        <f>+'Clark Co'!G153</f>
        <v>4063.1633009423308</v>
      </c>
      <c r="C8" s="7">
        <v>0</v>
      </c>
      <c r="D8" s="7">
        <f>+'Camas Non-Reg'!G43</f>
        <v>1.0833333333333335</v>
      </c>
      <c r="E8" s="10">
        <f>+'Ridgefield Non-Reg'!H116</f>
        <v>80.880177863042007</v>
      </c>
      <c r="F8" s="7">
        <f>+'Vancouver Non-Reg'!H211</f>
        <v>3998.5884752059201</v>
      </c>
      <c r="G8" s="7">
        <f>+'Washougal Non-Reg'!H135</f>
        <v>213.45204149561451</v>
      </c>
      <c r="H8" s="7">
        <v>0</v>
      </c>
      <c r="I8" s="7"/>
      <c r="J8" s="7">
        <f t="shared" si="0"/>
        <v>4294.0040278979095</v>
      </c>
      <c r="K8" s="7">
        <f t="shared" si="1"/>
        <v>8357.1673288402399</v>
      </c>
      <c r="L8" s="18"/>
    </row>
    <row r="9" spans="1:12">
      <c r="A9" s="6" t="s">
        <v>18</v>
      </c>
      <c r="B9" s="7">
        <v>0</v>
      </c>
      <c r="C9" s="7">
        <v>0</v>
      </c>
      <c r="D9" s="7">
        <v>0</v>
      </c>
      <c r="E9" s="10">
        <v>0</v>
      </c>
      <c r="F9" s="7">
        <v>0</v>
      </c>
      <c r="G9" s="7">
        <v>0</v>
      </c>
      <c r="H9" s="7">
        <v>0</v>
      </c>
      <c r="I9" s="7"/>
      <c r="J9" s="7">
        <f t="shared" si="0"/>
        <v>0</v>
      </c>
      <c r="K9" s="7">
        <f t="shared" si="1"/>
        <v>0</v>
      </c>
      <c r="L9" s="18"/>
    </row>
    <row r="10" spans="1:12">
      <c r="A10" s="6" t="s">
        <v>19</v>
      </c>
      <c r="B10" s="7">
        <v>0</v>
      </c>
      <c r="C10" s="7">
        <f>+'UTC Non-REg'!F32</f>
        <v>9526.2001044932076</v>
      </c>
      <c r="D10" s="7">
        <v>0</v>
      </c>
      <c r="E10" s="10">
        <v>0</v>
      </c>
      <c r="F10" s="7">
        <f>+'Vancouver Non-Reg'!H73</f>
        <v>25997.192552742614</v>
      </c>
      <c r="G10" s="7">
        <f>+'Washougal Non-Reg'!H70</f>
        <v>504.328125</v>
      </c>
      <c r="H10" s="7">
        <v>0</v>
      </c>
      <c r="I10" s="7"/>
      <c r="J10" s="7">
        <f t="shared" si="0"/>
        <v>36027.720782235818</v>
      </c>
      <c r="K10" s="7">
        <f t="shared" si="1"/>
        <v>36027.720782235818</v>
      </c>
      <c r="L10" s="18"/>
    </row>
    <row r="11" spans="1:12">
      <c r="A11" s="6" t="s">
        <v>20</v>
      </c>
      <c r="B11" s="7">
        <v>0</v>
      </c>
      <c r="C11" s="7">
        <f>+'UTC Non-REg'!F152</f>
        <v>642.79019817112794</v>
      </c>
      <c r="D11" s="7">
        <f>+'Camas Non-Reg'!G114</f>
        <v>97.943696162555753</v>
      </c>
      <c r="E11" s="10">
        <f>+'Ridgefield Non-Reg'!H161</f>
        <v>41.559464850356207</v>
      </c>
      <c r="F11" s="7">
        <f>+'Vancouver Non-Reg'!H327</f>
        <v>2290.2440822185545</v>
      </c>
      <c r="G11" s="7">
        <f>+'Washougal Non-Reg'!H198</f>
        <v>73.561418055279162</v>
      </c>
      <c r="H11" s="7">
        <f>+'West Van Non-Reg'!H54+'West Van Non-Reg'!H15</f>
        <v>17.457094863241842</v>
      </c>
      <c r="I11" s="7">
        <f>+'Shred Non-Reg'!G27</f>
        <v>937</v>
      </c>
      <c r="J11" s="7">
        <f t="shared" si="0"/>
        <v>4100.5559543211157</v>
      </c>
      <c r="K11" s="7">
        <f t="shared" si="1"/>
        <v>4100.5559543211157</v>
      </c>
      <c r="L11" s="18"/>
    </row>
    <row r="12" spans="1:12">
      <c r="A12" s="6" t="s">
        <v>21</v>
      </c>
      <c r="B12" s="7">
        <f>+'Clark Co'!G204</f>
        <v>287.31623825317854</v>
      </c>
      <c r="C12" s="7">
        <v>0</v>
      </c>
      <c r="D12" s="7">
        <f>+'Camas Non-Reg'!G146</f>
        <v>98.118113678950664</v>
      </c>
      <c r="E12" s="10">
        <f>+'Ridgefield Non-Reg'!H200</f>
        <v>44.458941464858718</v>
      </c>
      <c r="F12" s="7">
        <f>+'Vancouver Non-Reg'!H386</f>
        <v>889.67170025927453</v>
      </c>
      <c r="G12" s="7">
        <f>+'Washougal Non-Reg'!H218</f>
        <v>54.18421858828885</v>
      </c>
      <c r="H12" s="7">
        <v>0</v>
      </c>
      <c r="I12" s="7"/>
      <c r="J12" s="7">
        <f t="shared" si="0"/>
        <v>1086.4329739913728</v>
      </c>
      <c r="K12" s="7">
        <f t="shared" si="1"/>
        <v>1373.7492122445515</v>
      </c>
      <c r="L12" s="18"/>
    </row>
    <row r="13" spans="1:12">
      <c r="A13" s="6" t="s">
        <v>22</v>
      </c>
      <c r="B13" s="7">
        <v>0</v>
      </c>
      <c r="C13" s="7">
        <f>'UTC Non-REg'!F174</f>
        <v>117.64736622063427</v>
      </c>
      <c r="D13" s="7">
        <f>'Camas Non-Reg'!G164</f>
        <v>27.295009784735811</v>
      </c>
      <c r="E13" s="10">
        <f>'Ridgefield Non-Reg'!H214</f>
        <v>5.8103823721269325</v>
      </c>
      <c r="F13" s="7">
        <f>'Vancouver Non-Reg'!H401</f>
        <v>131.78044779555657</v>
      </c>
      <c r="G13" s="7">
        <f>'Washougal Non-Reg'!H233</f>
        <v>14.33897394574268</v>
      </c>
      <c r="H13" s="7">
        <v>0</v>
      </c>
      <c r="I13" s="7"/>
      <c r="J13" s="7">
        <f t="shared" si="0"/>
        <v>296.87218011879628</v>
      </c>
      <c r="K13" s="7">
        <f t="shared" si="1"/>
        <v>296.87218011879628</v>
      </c>
      <c r="L13" s="18"/>
    </row>
    <row r="14" spans="1:12">
      <c r="A14" s="6" t="s">
        <v>23</v>
      </c>
      <c r="B14" s="7">
        <f>+'Clark Co'!G218</f>
        <v>0</v>
      </c>
      <c r="C14" s="7">
        <f>+'UTC Non-REg'!F181</f>
        <v>0</v>
      </c>
      <c r="D14" s="7">
        <f>+'Camas Non-Reg'!G176</f>
        <v>0</v>
      </c>
      <c r="E14" s="10">
        <f>+'Ridgefield Non-Reg'!H226</f>
        <v>0</v>
      </c>
      <c r="F14" s="10">
        <f>+'Vancouver Non-Reg'!H418</f>
        <v>0</v>
      </c>
      <c r="G14" s="10">
        <f>+'Washougal Non-Reg'!H248</f>
        <v>0</v>
      </c>
      <c r="H14" s="10">
        <v>0</v>
      </c>
      <c r="I14" s="10"/>
      <c r="J14" s="7">
        <f t="shared" si="0"/>
        <v>0</v>
      </c>
      <c r="K14" s="7">
        <f t="shared" si="1"/>
        <v>0</v>
      </c>
      <c r="L14" s="18"/>
    </row>
    <row r="15" spans="1:12">
      <c r="A15" s="6" t="s">
        <v>24</v>
      </c>
      <c r="B15" s="11">
        <f>+'Clark Co'!G225</f>
        <v>0</v>
      </c>
      <c r="C15" s="11"/>
      <c r="D15" s="11">
        <f>+'Camas Non-Reg'!G186</f>
        <v>0</v>
      </c>
      <c r="E15" s="11">
        <f>+'Ridgefield Non-Reg'!H236</f>
        <v>0</v>
      </c>
      <c r="F15" s="11">
        <f>+'Vancouver Non-Reg'!H430</f>
        <v>0</v>
      </c>
      <c r="G15" s="11">
        <f>+'Washougal Non-Reg'!H258</f>
        <v>0</v>
      </c>
      <c r="H15" s="11">
        <f>+'West Van Non-Reg'!H90</f>
        <v>0</v>
      </c>
      <c r="I15" s="11">
        <f>+'Shred Non-Reg'!G35</f>
        <v>0</v>
      </c>
      <c r="J15" s="11">
        <f t="shared" si="0"/>
        <v>0</v>
      </c>
      <c r="K15" s="11">
        <f t="shared" si="1"/>
        <v>0</v>
      </c>
      <c r="L15" s="18"/>
    </row>
    <row r="16" spans="1:12">
      <c r="A16" s="13"/>
      <c r="B16" s="14">
        <f t="shared" ref="B16:K16" si="2">SUM(B5:B15)</f>
        <v>69090.807036969549</v>
      </c>
      <c r="C16" s="14">
        <f t="shared" si="2"/>
        <v>96367.821165851245</v>
      </c>
      <c r="D16" s="14">
        <f t="shared" si="2"/>
        <v>10661.572121582743</v>
      </c>
      <c r="E16" s="14">
        <f t="shared" si="2"/>
        <v>5762.66835068814</v>
      </c>
      <c r="F16" s="7">
        <f t="shared" si="2"/>
        <v>138835.0872841813</v>
      </c>
      <c r="G16" s="7">
        <f t="shared" si="2"/>
        <v>13075.218095369839</v>
      </c>
      <c r="H16" s="7">
        <f t="shared" si="2"/>
        <v>17.457094863241842</v>
      </c>
      <c r="I16" s="7">
        <f t="shared" si="2"/>
        <v>937</v>
      </c>
      <c r="J16" s="7">
        <f t="shared" si="2"/>
        <v>265656.82411253656</v>
      </c>
      <c r="K16" s="7">
        <f t="shared" si="2"/>
        <v>334747.63114950602</v>
      </c>
      <c r="L16" s="3"/>
    </row>
    <row r="17" spans="1:14">
      <c r="A17" s="3"/>
      <c r="B17" s="15">
        <f>+B16-'Clark Co'!G227</f>
        <v>0</v>
      </c>
      <c r="C17" s="15">
        <f>+C16-'UTC Non-REg'!F185</f>
        <v>0</v>
      </c>
      <c r="D17" s="15">
        <f>+D16-'Camas Non-Reg'!G188</f>
        <v>0</v>
      </c>
      <c r="E17" s="15">
        <f>+E16-'Ridgefield Non-Reg'!H238</f>
        <v>0</v>
      </c>
      <c r="F17" s="16">
        <f>+F16-'Vancouver Non-Reg'!H432</f>
        <v>0</v>
      </c>
      <c r="G17" s="16">
        <f>+G16-'Washougal Non-Reg'!H260</f>
        <v>0</v>
      </c>
      <c r="H17" s="16">
        <f>+H16-'West Van Non-Reg'!H54</f>
        <v>0</v>
      </c>
      <c r="I17" s="16">
        <f>+I16-'Shred Non-Reg'!G37</f>
        <v>0</v>
      </c>
      <c r="J17" s="3"/>
      <c r="K17" s="3"/>
      <c r="L17" s="3"/>
    </row>
    <row r="18" spans="1:14">
      <c r="N18" s="25"/>
    </row>
    <row r="19" spans="1:14">
      <c r="N19" s="25"/>
    </row>
    <row r="20" spans="1:14">
      <c r="N20" s="25"/>
    </row>
  </sheetData>
  <pageMargins left="0.7" right="0.7" top="0.75" bottom="0.75" header="0.3" footer="0.3"/>
  <pageSetup scale="63" orientation="portrait" r:id="rId1"/>
  <headerFooter>
    <oddFooter xml:space="preserve">&amp;L&amp;F - &amp;A
&amp;RPage &amp;P of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J596"/>
  <sheetViews>
    <sheetView showGridLines="0" view="pageBreakPreview" topLeftCell="A49" zoomScale="60" zoomScaleNormal="85" workbookViewId="0">
      <selection activeCell="P22" sqref="P22"/>
    </sheetView>
  </sheetViews>
  <sheetFormatPr defaultColWidth="13.85546875" defaultRowHeight="12.75" outlineLevelRow="1" outlineLevelCol="1"/>
  <cols>
    <col min="1" max="3" width="13.85546875" style="27"/>
    <col min="4" max="4" width="8" style="27" customWidth="1"/>
    <col min="5" max="5" width="8.7109375" style="27" customWidth="1"/>
    <col min="6" max="6" width="22.7109375" style="27" customWidth="1"/>
    <col min="7" max="7" width="2.85546875" style="27" bestFit="1" customWidth="1"/>
    <col min="8" max="8" width="2.28515625" style="27" customWidth="1"/>
    <col min="9" max="9" width="2.140625" style="27" customWidth="1"/>
    <col min="10" max="10" width="12.28515625" style="92" customWidth="1" outlineLevel="1"/>
    <col min="11" max="11" width="1.5703125" style="27" customWidth="1" outlineLevel="1"/>
    <col min="12" max="12" width="12.28515625" style="92" customWidth="1" outlineLevel="1"/>
    <col min="13" max="13" width="1.5703125" style="27" customWidth="1" outlineLevel="1"/>
    <col min="14" max="14" width="12.28515625" style="92" customWidth="1" outlineLevel="1"/>
    <col min="15" max="15" width="1.5703125" style="27" customWidth="1" outlineLevel="1"/>
    <col min="16" max="16" width="13.5703125" style="92" customWidth="1" outlineLevel="1"/>
    <col min="17" max="17" width="0.85546875" style="27" customWidth="1" outlineLevel="1"/>
    <col min="18" max="18" width="12.28515625" style="92" customWidth="1" outlineLevel="1"/>
    <col min="19" max="19" width="1.5703125" style="27" customWidth="1" outlineLevel="1"/>
    <col min="20" max="20" width="12.28515625" style="92" customWidth="1" outlineLevel="1"/>
    <col min="21" max="21" width="1.5703125" style="27" customWidth="1" outlineLevel="1"/>
    <col min="22" max="22" width="12.28515625" style="92" customWidth="1" outlineLevel="1"/>
    <col min="23" max="23" width="0.85546875" style="27" customWidth="1" outlineLevel="1"/>
    <col min="24" max="24" width="12.28515625" style="92" customWidth="1" outlineLevel="1"/>
    <col min="25" max="25" width="1.5703125" style="27" customWidth="1" outlineLevel="1"/>
    <col min="26" max="26" width="12.28515625" style="92" customWidth="1" outlineLevel="1"/>
    <col min="27" max="27" width="1.5703125" style="27" customWidth="1" outlineLevel="1"/>
    <col min="28" max="28" width="12.28515625" style="92" customWidth="1" outlineLevel="1"/>
    <col min="29" max="29" width="0.85546875" style="27" customWidth="1" outlineLevel="1"/>
    <col min="30" max="30" width="12.28515625" style="92" customWidth="1" outlineLevel="1"/>
    <col min="31" max="31" width="1.5703125" style="27" customWidth="1" outlineLevel="1"/>
    <col min="32" max="32" width="12.28515625" style="92" customWidth="1" outlineLevel="1"/>
    <col min="33" max="33" width="1.5703125" style="27" customWidth="1"/>
    <col min="34" max="34" width="12.28515625" style="92" customWidth="1"/>
    <col min="35" max="35" width="4.5703125" style="27" customWidth="1"/>
    <col min="36" max="36" width="1.42578125" style="27" customWidth="1"/>
    <col min="37" max="259" width="13.85546875" style="27"/>
    <col min="260" max="260" width="7.85546875" style="27" customWidth="1"/>
    <col min="261" max="262" width="2.28515625" style="27" customWidth="1"/>
    <col min="263" max="263" width="31.42578125" style="27" customWidth="1"/>
    <col min="264" max="264" width="2.28515625" style="27" customWidth="1"/>
    <col min="265" max="265" width="2.140625" style="27" customWidth="1"/>
    <col min="266" max="266" width="12.28515625" style="27" customWidth="1"/>
    <col min="267" max="267" width="1.5703125" style="27" customWidth="1"/>
    <col min="268" max="268" width="12.28515625" style="27" customWidth="1"/>
    <col min="269" max="269" width="1.5703125" style="27" customWidth="1"/>
    <col min="270" max="270" width="12.28515625" style="27" customWidth="1"/>
    <col min="271" max="271" width="1.5703125" style="27" customWidth="1"/>
    <col min="272" max="272" width="13.5703125" style="27" customWidth="1"/>
    <col min="273" max="273" width="0.85546875" style="27" customWidth="1"/>
    <col min="274" max="274" width="12.28515625" style="27" customWidth="1"/>
    <col min="275" max="275" width="1.5703125" style="27" customWidth="1"/>
    <col min="276" max="276" width="12.28515625" style="27" customWidth="1"/>
    <col min="277" max="277" width="1.5703125" style="27" customWidth="1"/>
    <col min="278" max="278" width="12.28515625" style="27" customWidth="1"/>
    <col min="279" max="279" width="0.85546875" style="27" customWidth="1"/>
    <col min="280" max="280" width="12.28515625" style="27" customWidth="1"/>
    <col min="281" max="281" width="1.5703125" style="27" customWidth="1"/>
    <col min="282" max="282" width="12.28515625" style="27" customWidth="1"/>
    <col min="283" max="283" width="1.5703125" style="27" customWidth="1"/>
    <col min="284" max="284" width="12.28515625" style="27" customWidth="1"/>
    <col min="285" max="285" width="0.85546875" style="27" customWidth="1"/>
    <col min="286" max="286" width="12.28515625" style="27" customWidth="1"/>
    <col min="287" max="287" width="1.5703125" style="27" customWidth="1"/>
    <col min="288" max="288" width="12.28515625" style="27" customWidth="1"/>
    <col min="289" max="289" width="1.5703125" style="27" customWidth="1"/>
    <col min="290" max="290" width="12.28515625" style="27" customWidth="1"/>
    <col min="291" max="291" width="4.5703125" style="27" customWidth="1"/>
    <col min="292" max="292" width="1.42578125" style="27" customWidth="1"/>
    <col min="293" max="515" width="13.85546875" style="27"/>
    <col min="516" max="516" width="7.85546875" style="27" customWidth="1"/>
    <col min="517" max="518" width="2.28515625" style="27" customWidth="1"/>
    <col min="519" max="519" width="31.42578125" style="27" customWidth="1"/>
    <col min="520" max="520" width="2.28515625" style="27" customWidth="1"/>
    <col min="521" max="521" width="2.140625" style="27" customWidth="1"/>
    <col min="522" max="522" width="12.28515625" style="27" customWidth="1"/>
    <col min="523" max="523" width="1.5703125" style="27" customWidth="1"/>
    <col min="524" max="524" width="12.28515625" style="27" customWidth="1"/>
    <col min="525" max="525" width="1.5703125" style="27" customWidth="1"/>
    <col min="526" max="526" width="12.28515625" style="27" customWidth="1"/>
    <col min="527" max="527" width="1.5703125" style="27" customWidth="1"/>
    <col min="528" max="528" width="13.5703125" style="27" customWidth="1"/>
    <col min="529" max="529" width="0.85546875" style="27" customWidth="1"/>
    <col min="530" max="530" width="12.28515625" style="27" customWidth="1"/>
    <col min="531" max="531" width="1.5703125" style="27" customWidth="1"/>
    <col min="532" max="532" width="12.28515625" style="27" customWidth="1"/>
    <col min="533" max="533" width="1.5703125" style="27" customWidth="1"/>
    <col min="534" max="534" width="12.28515625" style="27" customWidth="1"/>
    <col min="535" max="535" width="0.85546875" style="27" customWidth="1"/>
    <col min="536" max="536" width="12.28515625" style="27" customWidth="1"/>
    <col min="537" max="537" width="1.5703125" style="27" customWidth="1"/>
    <col min="538" max="538" width="12.28515625" style="27" customWidth="1"/>
    <col min="539" max="539" width="1.5703125" style="27" customWidth="1"/>
    <col min="540" max="540" width="12.28515625" style="27" customWidth="1"/>
    <col min="541" max="541" width="0.85546875" style="27" customWidth="1"/>
    <col min="542" max="542" width="12.28515625" style="27" customWidth="1"/>
    <col min="543" max="543" width="1.5703125" style="27" customWidth="1"/>
    <col min="544" max="544" width="12.28515625" style="27" customWidth="1"/>
    <col min="545" max="545" width="1.5703125" style="27" customWidth="1"/>
    <col min="546" max="546" width="12.28515625" style="27" customWidth="1"/>
    <col min="547" max="547" width="4.5703125" style="27" customWidth="1"/>
    <col min="548" max="548" width="1.42578125" style="27" customWidth="1"/>
    <col min="549" max="771" width="13.85546875" style="27"/>
    <col min="772" max="772" width="7.85546875" style="27" customWidth="1"/>
    <col min="773" max="774" width="2.28515625" style="27" customWidth="1"/>
    <col min="775" max="775" width="31.42578125" style="27" customWidth="1"/>
    <col min="776" max="776" width="2.28515625" style="27" customWidth="1"/>
    <col min="777" max="777" width="2.140625" style="27" customWidth="1"/>
    <col min="778" max="778" width="12.28515625" style="27" customWidth="1"/>
    <col min="779" max="779" width="1.5703125" style="27" customWidth="1"/>
    <col min="780" max="780" width="12.28515625" style="27" customWidth="1"/>
    <col min="781" max="781" width="1.5703125" style="27" customWidth="1"/>
    <col min="782" max="782" width="12.28515625" style="27" customWidth="1"/>
    <col min="783" max="783" width="1.5703125" style="27" customWidth="1"/>
    <col min="784" max="784" width="13.5703125" style="27" customWidth="1"/>
    <col min="785" max="785" width="0.85546875" style="27" customWidth="1"/>
    <col min="786" max="786" width="12.28515625" style="27" customWidth="1"/>
    <col min="787" max="787" width="1.5703125" style="27" customWidth="1"/>
    <col min="788" max="788" width="12.28515625" style="27" customWidth="1"/>
    <col min="789" max="789" width="1.5703125" style="27" customWidth="1"/>
    <col min="790" max="790" width="12.28515625" style="27" customWidth="1"/>
    <col min="791" max="791" width="0.85546875" style="27" customWidth="1"/>
    <col min="792" max="792" width="12.28515625" style="27" customWidth="1"/>
    <col min="793" max="793" width="1.5703125" style="27" customWidth="1"/>
    <col min="794" max="794" width="12.28515625" style="27" customWidth="1"/>
    <col min="795" max="795" width="1.5703125" style="27" customWidth="1"/>
    <col min="796" max="796" width="12.28515625" style="27" customWidth="1"/>
    <col min="797" max="797" width="0.85546875" style="27" customWidth="1"/>
    <col min="798" max="798" width="12.28515625" style="27" customWidth="1"/>
    <col min="799" max="799" width="1.5703125" style="27" customWidth="1"/>
    <col min="800" max="800" width="12.28515625" style="27" customWidth="1"/>
    <col min="801" max="801" width="1.5703125" style="27" customWidth="1"/>
    <col min="802" max="802" width="12.28515625" style="27" customWidth="1"/>
    <col min="803" max="803" width="4.5703125" style="27" customWidth="1"/>
    <col min="804" max="804" width="1.42578125" style="27" customWidth="1"/>
    <col min="805" max="1027" width="13.85546875" style="27"/>
    <col min="1028" max="1028" width="7.85546875" style="27" customWidth="1"/>
    <col min="1029" max="1030" width="2.28515625" style="27" customWidth="1"/>
    <col min="1031" max="1031" width="31.42578125" style="27" customWidth="1"/>
    <col min="1032" max="1032" width="2.28515625" style="27" customWidth="1"/>
    <col min="1033" max="1033" width="2.140625" style="27" customWidth="1"/>
    <col min="1034" max="1034" width="12.28515625" style="27" customWidth="1"/>
    <col min="1035" max="1035" width="1.5703125" style="27" customWidth="1"/>
    <col min="1036" max="1036" width="12.28515625" style="27" customWidth="1"/>
    <col min="1037" max="1037" width="1.5703125" style="27" customWidth="1"/>
    <col min="1038" max="1038" width="12.28515625" style="27" customWidth="1"/>
    <col min="1039" max="1039" width="1.5703125" style="27" customWidth="1"/>
    <col min="1040" max="1040" width="13.5703125" style="27" customWidth="1"/>
    <col min="1041" max="1041" width="0.85546875" style="27" customWidth="1"/>
    <col min="1042" max="1042" width="12.28515625" style="27" customWidth="1"/>
    <col min="1043" max="1043" width="1.5703125" style="27" customWidth="1"/>
    <col min="1044" max="1044" width="12.28515625" style="27" customWidth="1"/>
    <col min="1045" max="1045" width="1.5703125" style="27" customWidth="1"/>
    <col min="1046" max="1046" width="12.28515625" style="27" customWidth="1"/>
    <col min="1047" max="1047" width="0.85546875" style="27" customWidth="1"/>
    <col min="1048" max="1048" width="12.28515625" style="27" customWidth="1"/>
    <col min="1049" max="1049" width="1.5703125" style="27" customWidth="1"/>
    <col min="1050" max="1050" width="12.28515625" style="27" customWidth="1"/>
    <col min="1051" max="1051" width="1.5703125" style="27" customWidth="1"/>
    <col min="1052" max="1052" width="12.28515625" style="27" customWidth="1"/>
    <col min="1053" max="1053" width="0.85546875" style="27" customWidth="1"/>
    <col min="1054" max="1054" width="12.28515625" style="27" customWidth="1"/>
    <col min="1055" max="1055" width="1.5703125" style="27" customWidth="1"/>
    <col min="1056" max="1056" width="12.28515625" style="27" customWidth="1"/>
    <col min="1057" max="1057" width="1.5703125" style="27" customWidth="1"/>
    <col min="1058" max="1058" width="12.28515625" style="27" customWidth="1"/>
    <col min="1059" max="1059" width="4.5703125" style="27" customWidth="1"/>
    <col min="1060" max="1060" width="1.42578125" style="27" customWidth="1"/>
    <col min="1061" max="1283" width="13.85546875" style="27"/>
    <col min="1284" max="1284" width="7.85546875" style="27" customWidth="1"/>
    <col min="1285" max="1286" width="2.28515625" style="27" customWidth="1"/>
    <col min="1287" max="1287" width="31.42578125" style="27" customWidth="1"/>
    <col min="1288" max="1288" width="2.28515625" style="27" customWidth="1"/>
    <col min="1289" max="1289" width="2.140625" style="27" customWidth="1"/>
    <col min="1290" max="1290" width="12.28515625" style="27" customWidth="1"/>
    <col min="1291" max="1291" width="1.5703125" style="27" customWidth="1"/>
    <col min="1292" max="1292" width="12.28515625" style="27" customWidth="1"/>
    <col min="1293" max="1293" width="1.5703125" style="27" customWidth="1"/>
    <col min="1294" max="1294" width="12.28515625" style="27" customWidth="1"/>
    <col min="1295" max="1295" width="1.5703125" style="27" customWidth="1"/>
    <col min="1296" max="1296" width="13.5703125" style="27" customWidth="1"/>
    <col min="1297" max="1297" width="0.85546875" style="27" customWidth="1"/>
    <col min="1298" max="1298" width="12.28515625" style="27" customWidth="1"/>
    <col min="1299" max="1299" width="1.5703125" style="27" customWidth="1"/>
    <col min="1300" max="1300" width="12.28515625" style="27" customWidth="1"/>
    <col min="1301" max="1301" width="1.5703125" style="27" customWidth="1"/>
    <col min="1302" max="1302" width="12.28515625" style="27" customWidth="1"/>
    <col min="1303" max="1303" width="0.85546875" style="27" customWidth="1"/>
    <col min="1304" max="1304" width="12.28515625" style="27" customWidth="1"/>
    <col min="1305" max="1305" width="1.5703125" style="27" customWidth="1"/>
    <col min="1306" max="1306" width="12.28515625" style="27" customWidth="1"/>
    <col min="1307" max="1307" width="1.5703125" style="27" customWidth="1"/>
    <col min="1308" max="1308" width="12.28515625" style="27" customWidth="1"/>
    <col min="1309" max="1309" width="0.85546875" style="27" customWidth="1"/>
    <col min="1310" max="1310" width="12.28515625" style="27" customWidth="1"/>
    <col min="1311" max="1311" width="1.5703125" style="27" customWidth="1"/>
    <col min="1312" max="1312" width="12.28515625" style="27" customWidth="1"/>
    <col min="1313" max="1313" width="1.5703125" style="27" customWidth="1"/>
    <col min="1314" max="1314" width="12.28515625" style="27" customWidth="1"/>
    <col min="1315" max="1315" width="4.5703125" style="27" customWidth="1"/>
    <col min="1316" max="1316" width="1.42578125" style="27" customWidth="1"/>
    <col min="1317" max="1539" width="13.85546875" style="27"/>
    <col min="1540" max="1540" width="7.85546875" style="27" customWidth="1"/>
    <col min="1541" max="1542" width="2.28515625" style="27" customWidth="1"/>
    <col min="1543" max="1543" width="31.42578125" style="27" customWidth="1"/>
    <col min="1544" max="1544" width="2.28515625" style="27" customWidth="1"/>
    <col min="1545" max="1545" width="2.140625" style="27" customWidth="1"/>
    <col min="1546" max="1546" width="12.28515625" style="27" customWidth="1"/>
    <col min="1547" max="1547" width="1.5703125" style="27" customWidth="1"/>
    <col min="1548" max="1548" width="12.28515625" style="27" customWidth="1"/>
    <col min="1549" max="1549" width="1.5703125" style="27" customWidth="1"/>
    <col min="1550" max="1550" width="12.28515625" style="27" customWidth="1"/>
    <col min="1551" max="1551" width="1.5703125" style="27" customWidth="1"/>
    <col min="1552" max="1552" width="13.5703125" style="27" customWidth="1"/>
    <col min="1553" max="1553" width="0.85546875" style="27" customWidth="1"/>
    <col min="1554" max="1554" width="12.28515625" style="27" customWidth="1"/>
    <col min="1555" max="1555" width="1.5703125" style="27" customWidth="1"/>
    <col min="1556" max="1556" width="12.28515625" style="27" customWidth="1"/>
    <col min="1557" max="1557" width="1.5703125" style="27" customWidth="1"/>
    <col min="1558" max="1558" width="12.28515625" style="27" customWidth="1"/>
    <col min="1559" max="1559" width="0.85546875" style="27" customWidth="1"/>
    <col min="1560" max="1560" width="12.28515625" style="27" customWidth="1"/>
    <col min="1561" max="1561" width="1.5703125" style="27" customWidth="1"/>
    <col min="1562" max="1562" width="12.28515625" style="27" customWidth="1"/>
    <col min="1563" max="1563" width="1.5703125" style="27" customWidth="1"/>
    <col min="1564" max="1564" width="12.28515625" style="27" customWidth="1"/>
    <col min="1565" max="1565" width="0.85546875" style="27" customWidth="1"/>
    <col min="1566" max="1566" width="12.28515625" style="27" customWidth="1"/>
    <col min="1567" max="1567" width="1.5703125" style="27" customWidth="1"/>
    <col min="1568" max="1568" width="12.28515625" style="27" customWidth="1"/>
    <col min="1569" max="1569" width="1.5703125" style="27" customWidth="1"/>
    <col min="1570" max="1570" width="12.28515625" style="27" customWidth="1"/>
    <col min="1571" max="1571" width="4.5703125" style="27" customWidth="1"/>
    <col min="1572" max="1572" width="1.42578125" style="27" customWidth="1"/>
    <col min="1573" max="1795" width="13.85546875" style="27"/>
    <col min="1796" max="1796" width="7.85546875" style="27" customWidth="1"/>
    <col min="1797" max="1798" width="2.28515625" style="27" customWidth="1"/>
    <col min="1799" max="1799" width="31.42578125" style="27" customWidth="1"/>
    <col min="1800" max="1800" width="2.28515625" style="27" customWidth="1"/>
    <col min="1801" max="1801" width="2.140625" style="27" customWidth="1"/>
    <col min="1802" max="1802" width="12.28515625" style="27" customWidth="1"/>
    <col min="1803" max="1803" width="1.5703125" style="27" customWidth="1"/>
    <col min="1804" max="1804" width="12.28515625" style="27" customWidth="1"/>
    <col min="1805" max="1805" width="1.5703125" style="27" customWidth="1"/>
    <col min="1806" max="1806" width="12.28515625" style="27" customWidth="1"/>
    <col min="1807" max="1807" width="1.5703125" style="27" customWidth="1"/>
    <col min="1808" max="1808" width="13.5703125" style="27" customWidth="1"/>
    <col min="1809" max="1809" width="0.85546875" style="27" customWidth="1"/>
    <col min="1810" max="1810" width="12.28515625" style="27" customWidth="1"/>
    <col min="1811" max="1811" width="1.5703125" style="27" customWidth="1"/>
    <col min="1812" max="1812" width="12.28515625" style="27" customWidth="1"/>
    <col min="1813" max="1813" width="1.5703125" style="27" customWidth="1"/>
    <col min="1814" max="1814" width="12.28515625" style="27" customWidth="1"/>
    <col min="1815" max="1815" width="0.85546875" style="27" customWidth="1"/>
    <col min="1816" max="1816" width="12.28515625" style="27" customWidth="1"/>
    <col min="1817" max="1817" width="1.5703125" style="27" customWidth="1"/>
    <col min="1818" max="1818" width="12.28515625" style="27" customWidth="1"/>
    <col min="1819" max="1819" width="1.5703125" style="27" customWidth="1"/>
    <col min="1820" max="1820" width="12.28515625" style="27" customWidth="1"/>
    <col min="1821" max="1821" width="0.85546875" style="27" customWidth="1"/>
    <col min="1822" max="1822" width="12.28515625" style="27" customWidth="1"/>
    <col min="1823" max="1823" width="1.5703125" style="27" customWidth="1"/>
    <col min="1824" max="1824" width="12.28515625" style="27" customWidth="1"/>
    <col min="1825" max="1825" width="1.5703125" style="27" customWidth="1"/>
    <col min="1826" max="1826" width="12.28515625" style="27" customWidth="1"/>
    <col min="1827" max="1827" width="4.5703125" style="27" customWidth="1"/>
    <col min="1828" max="1828" width="1.42578125" style="27" customWidth="1"/>
    <col min="1829" max="2051" width="13.85546875" style="27"/>
    <col min="2052" max="2052" width="7.85546875" style="27" customWidth="1"/>
    <col min="2053" max="2054" width="2.28515625" style="27" customWidth="1"/>
    <col min="2055" max="2055" width="31.42578125" style="27" customWidth="1"/>
    <col min="2056" max="2056" width="2.28515625" style="27" customWidth="1"/>
    <col min="2057" max="2057" width="2.140625" style="27" customWidth="1"/>
    <col min="2058" max="2058" width="12.28515625" style="27" customWidth="1"/>
    <col min="2059" max="2059" width="1.5703125" style="27" customWidth="1"/>
    <col min="2060" max="2060" width="12.28515625" style="27" customWidth="1"/>
    <col min="2061" max="2061" width="1.5703125" style="27" customWidth="1"/>
    <col min="2062" max="2062" width="12.28515625" style="27" customWidth="1"/>
    <col min="2063" max="2063" width="1.5703125" style="27" customWidth="1"/>
    <col min="2064" max="2064" width="13.5703125" style="27" customWidth="1"/>
    <col min="2065" max="2065" width="0.85546875" style="27" customWidth="1"/>
    <col min="2066" max="2066" width="12.28515625" style="27" customWidth="1"/>
    <col min="2067" max="2067" width="1.5703125" style="27" customWidth="1"/>
    <col min="2068" max="2068" width="12.28515625" style="27" customWidth="1"/>
    <col min="2069" max="2069" width="1.5703125" style="27" customWidth="1"/>
    <col min="2070" max="2070" width="12.28515625" style="27" customWidth="1"/>
    <col min="2071" max="2071" width="0.85546875" style="27" customWidth="1"/>
    <col min="2072" max="2072" width="12.28515625" style="27" customWidth="1"/>
    <col min="2073" max="2073" width="1.5703125" style="27" customWidth="1"/>
    <col min="2074" max="2074" width="12.28515625" style="27" customWidth="1"/>
    <col min="2075" max="2075" width="1.5703125" style="27" customWidth="1"/>
    <col min="2076" max="2076" width="12.28515625" style="27" customWidth="1"/>
    <col min="2077" max="2077" width="0.85546875" style="27" customWidth="1"/>
    <col min="2078" max="2078" width="12.28515625" style="27" customWidth="1"/>
    <col min="2079" max="2079" width="1.5703125" style="27" customWidth="1"/>
    <col min="2080" max="2080" width="12.28515625" style="27" customWidth="1"/>
    <col min="2081" max="2081" width="1.5703125" style="27" customWidth="1"/>
    <col min="2082" max="2082" width="12.28515625" style="27" customWidth="1"/>
    <col min="2083" max="2083" width="4.5703125" style="27" customWidth="1"/>
    <col min="2084" max="2084" width="1.42578125" style="27" customWidth="1"/>
    <col min="2085" max="2307" width="13.85546875" style="27"/>
    <col min="2308" max="2308" width="7.85546875" style="27" customWidth="1"/>
    <col min="2309" max="2310" width="2.28515625" style="27" customWidth="1"/>
    <col min="2311" max="2311" width="31.42578125" style="27" customWidth="1"/>
    <col min="2312" max="2312" width="2.28515625" style="27" customWidth="1"/>
    <col min="2313" max="2313" width="2.140625" style="27" customWidth="1"/>
    <col min="2314" max="2314" width="12.28515625" style="27" customWidth="1"/>
    <col min="2315" max="2315" width="1.5703125" style="27" customWidth="1"/>
    <col min="2316" max="2316" width="12.28515625" style="27" customWidth="1"/>
    <col min="2317" max="2317" width="1.5703125" style="27" customWidth="1"/>
    <col min="2318" max="2318" width="12.28515625" style="27" customWidth="1"/>
    <col min="2319" max="2319" width="1.5703125" style="27" customWidth="1"/>
    <col min="2320" max="2320" width="13.5703125" style="27" customWidth="1"/>
    <col min="2321" max="2321" width="0.85546875" style="27" customWidth="1"/>
    <col min="2322" max="2322" width="12.28515625" style="27" customWidth="1"/>
    <col min="2323" max="2323" width="1.5703125" style="27" customWidth="1"/>
    <col min="2324" max="2324" width="12.28515625" style="27" customWidth="1"/>
    <col min="2325" max="2325" width="1.5703125" style="27" customWidth="1"/>
    <col min="2326" max="2326" width="12.28515625" style="27" customWidth="1"/>
    <col min="2327" max="2327" width="0.85546875" style="27" customWidth="1"/>
    <col min="2328" max="2328" width="12.28515625" style="27" customWidth="1"/>
    <col min="2329" max="2329" width="1.5703125" style="27" customWidth="1"/>
    <col min="2330" max="2330" width="12.28515625" style="27" customWidth="1"/>
    <col min="2331" max="2331" width="1.5703125" style="27" customWidth="1"/>
    <col min="2332" max="2332" width="12.28515625" style="27" customWidth="1"/>
    <col min="2333" max="2333" width="0.85546875" style="27" customWidth="1"/>
    <col min="2334" max="2334" width="12.28515625" style="27" customWidth="1"/>
    <col min="2335" max="2335" width="1.5703125" style="27" customWidth="1"/>
    <col min="2336" max="2336" width="12.28515625" style="27" customWidth="1"/>
    <col min="2337" max="2337" width="1.5703125" style="27" customWidth="1"/>
    <col min="2338" max="2338" width="12.28515625" style="27" customWidth="1"/>
    <col min="2339" max="2339" width="4.5703125" style="27" customWidth="1"/>
    <col min="2340" max="2340" width="1.42578125" style="27" customWidth="1"/>
    <col min="2341" max="2563" width="13.85546875" style="27"/>
    <col min="2564" max="2564" width="7.85546875" style="27" customWidth="1"/>
    <col min="2565" max="2566" width="2.28515625" style="27" customWidth="1"/>
    <col min="2567" max="2567" width="31.42578125" style="27" customWidth="1"/>
    <col min="2568" max="2568" width="2.28515625" style="27" customWidth="1"/>
    <col min="2569" max="2569" width="2.140625" style="27" customWidth="1"/>
    <col min="2570" max="2570" width="12.28515625" style="27" customWidth="1"/>
    <col min="2571" max="2571" width="1.5703125" style="27" customWidth="1"/>
    <col min="2572" max="2572" width="12.28515625" style="27" customWidth="1"/>
    <col min="2573" max="2573" width="1.5703125" style="27" customWidth="1"/>
    <col min="2574" max="2574" width="12.28515625" style="27" customWidth="1"/>
    <col min="2575" max="2575" width="1.5703125" style="27" customWidth="1"/>
    <col min="2576" max="2576" width="13.5703125" style="27" customWidth="1"/>
    <col min="2577" max="2577" width="0.85546875" style="27" customWidth="1"/>
    <col min="2578" max="2578" width="12.28515625" style="27" customWidth="1"/>
    <col min="2579" max="2579" width="1.5703125" style="27" customWidth="1"/>
    <col min="2580" max="2580" width="12.28515625" style="27" customWidth="1"/>
    <col min="2581" max="2581" width="1.5703125" style="27" customWidth="1"/>
    <col min="2582" max="2582" width="12.28515625" style="27" customWidth="1"/>
    <col min="2583" max="2583" width="0.85546875" style="27" customWidth="1"/>
    <col min="2584" max="2584" width="12.28515625" style="27" customWidth="1"/>
    <col min="2585" max="2585" width="1.5703125" style="27" customWidth="1"/>
    <col min="2586" max="2586" width="12.28515625" style="27" customWidth="1"/>
    <col min="2587" max="2587" width="1.5703125" style="27" customWidth="1"/>
    <col min="2588" max="2588" width="12.28515625" style="27" customWidth="1"/>
    <col min="2589" max="2589" width="0.85546875" style="27" customWidth="1"/>
    <col min="2590" max="2590" width="12.28515625" style="27" customWidth="1"/>
    <col min="2591" max="2591" width="1.5703125" style="27" customWidth="1"/>
    <col min="2592" max="2592" width="12.28515625" style="27" customWidth="1"/>
    <col min="2593" max="2593" width="1.5703125" style="27" customWidth="1"/>
    <col min="2594" max="2594" width="12.28515625" style="27" customWidth="1"/>
    <col min="2595" max="2595" width="4.5703125" style="27" customWidth="1"/>
    <col min="2596" max="2596" width="1.42578125" style="27" customWidth="1"/>
    <col min="2597" max="2819" width="13.85546875" style="27"/>
    <col min="2820" max="2820" width="7.85546875" style="27" customWidth="1"/>
    <col min="2821" max="2822" width="2.28515625" style="27" customWidth="1"/>
    <col min="2823" max="2823" width="31.42578125" style="27" customWidth="1"/>
    <col min="2824" max="2824" width="2.28515625" style="27" customWidth="1"/>
    <col min="2825" max="2825" width="2.140625" style="27" customWidth="1"/>
    <col min="2826" max="2826" width="12.28515625" style="27" customWidth="1"/>
    <col min="2827" max="2827" width="1.5703125" style="27" customWidth="1"/>
    <col min="2828" max="2828" width="12.28515625" style="27" customWidth="1"/>
    <col min="2829" max="2829" width="1.5703125" style="27" customWidth="1"/>
    <col min="2830" max="2830" width="12.28515625" style="27" customWidth="1"/>
    <col min="2831" max="2831" width="1.5703125" style="27" customWidth="1"/>
    <col min="2832" max="2832" width="13.5703125" style="27" customWidth="1"/>
    <col min="2833" max="2833" width="0.85546875" style="27" customWidth="1"/>
    <col min="2834" max="2834" width="12.28515625" style="27" customWidth="1"/>
    <col min="2835" max="2835" width="1.5703125" style="27" customWidth="1"/>
    <col min="2836" max="2836" width="12.28515625" style="27" customWidth="1"/>
    <col min="2837" max="2837" width="1.5703125" style="27" customWidth="1"/>
    <col min="2838" max="2838" width="12.28515625" style="27" customWidth="1"/>
    <col min="2839" max="2839" width="0.85546875" style="27" customWidth="1"/>
    <col min="2840" max="2840" width="12.28515625" style="27" customWidth="1"/>
    <col min="2841" max="2841" width="1.5703125" style="27" customWidth="1"/>
    <col min="2842" max="2842" width="12.28515625" style="27" customWidth="1"/>
    <col min="2843" max="2843" width="1.5703125" style="27" customWidth="1"/>
    <col min="2844" max="2844" width="12.28515625" style="27" customWidth="1"/>
    <col min="2845" max="2845" width="0.85546875" style="27" customWidth="1"/>
    <col min="2846" max="2846" width="12.28515625" style="27" customWidth="1"/>
    <col min="2847" max="2847" width="1.5703125" style="27" customWidth="1"/>
    <col min="2848" max="2848" width="12.28515625" style="27" customWidth="1"/>
    <col min="2849" max="2849" width="1.5703125" style="27" customWidth="1"/>
    <col min="2850" max="2850" width="12.28515625" style="27" customWidth="1"/>
    <col min="2851" max="2851" width="4.5703125" style="27" customWidth="1"/>
    <col min="2852" max="2852" width="1.42578125" style="27" customWidth="1"/>
    <col min="2853" max="3075" width="13.85546875" style="27"/>
    <col min="3076" max="3076" width="7.85546875" style="27" customWidth="1"/>
    <col min="3077" max="3078" width="2.28515625" style="27" customWidth="1"/>
    <col min="3079" max="3079" width="31.42578125" style="27" customWidth="1"/>
    <col min="3080" max="3080" width="2.28515625" style="27" customWidth="1"/>
    <col min="3081" max="3081" width="2.140625" style="27" customWidth="1"/>
    <col min="3082" max="3082" width="12.28515625" style="27" customWidth="1"/>
    <col min="3083" max="3083" width="1.5703125" style="27" customWidth="1"/>
    <col min="3084" max="3084" width="12.28515625" style="27" customWidth="1"/>
    <col min="3085" max="3085" width="1.5703125" style="27" customWidth="1"/>
    <col min="3086" max="3086" width="12.28515625" style="27" customWidth="1"/>
    <col min="3087" max="3087" width="1.5703125" style="27" customWidth="1"/>
    <col min="3088" max="3088" width="13.5703125" style="27" customWidth="1"/>
    <col min="3089" max="3089" width="0.85546875" style="27" customWidth="1"/>
    <col min="3090" max="3090" width="12.28515625" style="27" customWidth="1"/>
    <col min="3091" max="3091" width="1.5703125" style="27" customWidth="1"/>
    <col min="3092" max="3092" width="12.28515625" style="27" customWidth="1"/>
    <col min="3093" max="3093" width="1.5703125" style="27" customWidth="1"/>
    <col min="3094" max="3094" width="12.28515625" style="27" customWidth="1"/>
    <col min="3095" max="3095" width="0.85546875" style="27" customWidth="1"/>
    <col min="3096" max="3096" width="12.28515625" style="27" customWidth="1"/>
    <col min="3097" max="3097" width="1.5703125" style="27" customWidth="1"/>
    <col min="3098" max="3098" width="12.28515625" style="27" customWidth="1"/>
    <col min="3099" max="3099" width="1.5703125" style="27" customWidth="1"/>
    <col min="3100" max="3100" width="12.28515625" style="27" customWidth="1"/>
    <col min="3101" max="3101" width="0.85546875" style="27" customWidth="1"/>
    <col min="3102" max="3102" width="12.28515625" style="27" customWidth="1"/>
    <col min="3103" max="3103" width="1.5703125" style="27" customWidth="1"/>
    <col min="3104" max="3104" width="12.28515625" style="27" customWidth="1"/>
    <col min="3105" max="3105" width="1.5703125" style="27" customWidth="1"/>
    <col min="3106" max="3106" width="12.28515625" style="27" customWidth="1"/>
    <col min="3107" max="3107" width="4.5703125" style="27" customWidth="1"/>
    <col min="3108" max="3108" width="1.42578125" style="27" customWidth="1"/>
    <col min="3109" max="3331" width="13.85546875" style="27"/>
    <col min="3332" max="3332" width="7.85546875" style="27" customWidth="1"/>
    <col min="3333" max="3334" width="2.28515625" style="27" customWidth="1"/>
    <col min="3335" max="3335" width="31.42578125" style="27" customWidth="1"/>
    <col min="3336" max="3336" width="2.28515625" style="27" customWidth="1"/>
    <col min="3337" max="3337" width="2.140625" style="27" customWidth="1"/>
    <col min="3338" max="3338" width="12.28515625" style="27" customWidth="1"/>
    <col min="3339" max="3339" width="1.5703125" style="27" customWidth="1"/>
    <col min="3340" max="3340" width="12.28515625" style="27" customWidth="1"/>
    <col min="3341" max="3341" width="1.5703125" style="27" customWidth="1"/>
    <col min="3342" max="3342" width="12.28515625" style="27" customWidth="1"/>
    <col min="3343" max="3343" width="1.5703125" style="27" customWidth="1"/>
    <col min="3344" max="3344" width="13.5703125" style="27" customWidth="1"/>
    <col min="3345" max="3345" width="0.85546875" style="27" customWidth="1"/>
    <col min="3346" max="3346" width="12.28515625" style="27" customWidth="1"/>
    <col min="3347" max="3347" width="1.5703125" style="27" customWidth="1"/>
    <col min="3348" max="3348" width="12.28515625" style="27" customWidth="1"/>
    <col min="3349" max="3349" width="1.5703125" style="27" customWidth="1"/>
    <col min="3350" max="3350" width="12.28515625" style="27" customWidth="1"/>
    <col min="3351" max="3351" width="0.85546875" style="27" customWidth="1"/>
    <col min="3352" max="3352" width="12.28515625" style="27" customWidth="1"/>
    <col min="3353" max="3353" width="1.5703125" style="27" customWidth="1"/>
    <col min="3354" max="3354" width="12.28515625" style="27" customWidth="1"/>
    <col min="3355" max="3355" width="1.5703125" style="27" customWidth="1"/>
    <col min="3356" max="3356" width="12.28515625" style="27" customWidth="1"/>
    <col min="3357" max="3357" width="0.85546875" style="27" customWidth="1"/>
    <col min="3358" max="3358" width="12.28515625" style="27" customWidth="1"/>
    <col min="3359" max="3359" width="1.5703125" style="27" customWidth="1"/>
    <col min="3360" max="3360" width="12.28515625" style="27" customWidth="1"/>
    <col min="3361" max="3361" width="1.5703125" style="27" customWidth="1"/>
    <col min="3362" max="3362" width="12.28515625" style="27" customWidth="1"/>
    <col min="3363" max="3363" width="4.5703125" style="27" customWidth="1"/>
    <col min="3364" max="3364" width="1.42578125" style="27" customWidth="1"/>
    <col min="3365" max="3587" width="13.85546875" style="27"/>
    <col min="3588" max="3588" width="7.85546875" style="27" customWidth="1"/>
    <col min="3589" max="3590" width="2.28515625" style="27" customWidth="1"/>
    <col min="3591" max="3591" width="31.42578125" style="27" customWidth="1"/>
    <col min="3592" max="3592" width="2.28515625" style="27" customWidth="1"/>
    <col min="3593" max="3593" width="2.140625" style="27" customWidth="1"/>
    <col min="3594" max="3594" width="12.28515625" style="27" customWidth="1"/>
    <col min="3595" max="3595" width="1.5703125" style="27" customWidth="1"/>
    <col min="3596" max="3596" width="12.28515625" style="27" customWidth="1"/>
    <col min="3597" max="3597" width="1.5703125" style="27" customWidth="1"/>
    <col min="3598" max="3598" width="12.28515625" style="27" customWidth="1"/>
    <col min="3599" max="3599" width="1.5703125" style="27" customWidth="1"/>
    <col min="3600" max="3600" width="13.5703125" style="27" customWidth="1"/>
    <col min="3601" max="3601" width="0.85546875" style="27" customWidth="1"/>
    <col min="3602" max="3602" width="12.28515625" style="27" customWidth="1"/>
    <col min="3603" max="3603" width="1.5703125" style="27" customWidth="1"/>
    <col min="3604" max="3604" width="12.28515625" style="27" customWidth="1"/>
    <col min="3605" max="3605" width="1.5703125" style="27" customWidth="1"/>
    <col min="3606" max="3606" width="12.28515625" style="27" customWidth="1"/>
    <col min="3607" max="3607" width="0.85546875" style="27" customWidth="1"/>
    <col min="3608" max="3608" width="12.28515625" style="27" customWidth="1"/>
    <col min="3609" max="3609" width="1.5703125" style="27" customWidth="1"/>
    <col min="3610" max="3610" width="12.28515625" style="27" customWidth="1"/>
    <col min="3611" max="3611" width="1.5703125" style="27" customWidth="1"/>
    <col min="3612" max="3612" width="12.28515625" style="27" customWidth="1"/>
    <col min="3613" max="3613" width="0.85546875" style="27" customWidth="1"/>
    <col min="3614" max="3614" width="12.28515625" style="27" customWidth="1"/>
    <col min="3615" max="3615" width="1.5703125" style="27" customWidth="1"/>
    <col min="3616" max="3616" width="12.28515625" style="27" customWidth="1"/>
    <col min="3617" max="3617" width="1.5703125" style="27" customWidth="1"/>
    <col min="3618" max="3618" width="12.28515625" style="27" customWidth="1"/>
    <col min="3619" max="3619" width="4.5703125" style="27" customWidth="1"/>
    <col min="3620" max="3620" width="1.42578125" style="27" customWidth="1"/>
    <col min="3621" max="3843" width="13.85546875" style="27"/>
    <col min="3844" max="3844" width="7.85546875" style="27" customWidth="1"/>
    <col min="3845" max="3846" width="2.28515625" style="27" customWidth="1"/>
    <col min="3847" max="3847" width="31.42578125" style="27" customWidth="1"/>
    <col min="3848" max="3848" width="2.28515625" style="27" customWidth="1"/>
    <col min="3849" max="3849" width="2.140625" style="27" customWidth="1"/>
    <col min="3850" max="3850" width="12.28515625" style="27" customWidth="1"/>
    <col min="3851" max="3851" width="1.5703125" style="27" customWidth="1"/>
    <col min="3852" max="3852" width="12.28515625" style="27" customWidth="1"/>
    <col min="3853" max="3853" width="1.5703125" style="27" customWidth="1"/>
    <col min="3854" max="3854" width="12.28515625" style="27" customWidth="1"/>
    <col min="3855" max="3855" width="1.5703125" style="27" customWidth="1"/>
    <col min="3856" max="3856" width="13.5703125" style="27" customWidth="1"/>
    <col min="3857" max="3857" width="0.85546875" style="27" customWidth="1"/>
    <col min="3858" max="3858" width="12.28515625" style="27" customWidth="1"/>
    <col min="3859" max="3859" width="1.5703125" style="27" customWidth="1"/>
    <col min="3860" max="3860" width="12.28515625" style="27" customWidth="1"/>
    <col min="3861" max="3861" width="1.5703125" style="27" customWidth="1"/>
    <col min="3862" max="3862" width="12.28515625" style="27" customWidth="1"/>
    <col min="3863" max="3863" width="0.85546875" style="27" customWidth="1"/>
    <col min="3864" max="3864" width="12.28515625" style="27" customWidth="1"/>
    <col min="3865" max="3865" width="1.5703125" style="27" customWidth="1"/>
    <col min="3866" max="3866" width="12.28515625" style="27" customWidth="1"/>
    <col min="3867" max="3867" width="1.5703125" style="27" customWidth="1"/>
    <col min="3868" max="3868" width="12.28515625" style="27" customWidth="1"/>
    <col min="3869" max="3869" width="0.85546875" style="27" customWidth="1"/>
    <col min="3870" max="3870" width="12.28515625" style="27" customWidth="1"/>
    <col min="3871" max="3871" width="1.5703125" style="27" customWidth="1"/>
    <col min="3872" max="3872" width="12.28515625" style="27" customWidth="1"/>
    <col min="3873" max="3873" width="1.5703125" style="27" customWidth="1"/>
    <col min="3874" max="3874" width="12.28515625" style="27" customWidth="1"/>
    <col min="3875" max="3875" width="4.5703125" style="27" customWidth="1"/>
    <col min="3876" max="3876" width="1.42578125" style="27" customWidth="1"/>
    <col min="3877" max="4099" width="13.85546875" style="27"/>
    <col min="4100" max="4100" width="7.85546875" style="27" customWidth="1"/>
    <col min="4101" max="4102" width="2.28515625" style="27" customWidth="1"/>
    <col min="4103" max="4103" width="31.42578125" style="27" customWidth="1"/>
    <col min="4104" max="4104" width="2.28515625" style="27" customWidth="1"/>
    <col min="4105" max="4105" width="2.140625" style="27" customWidth="1"/>
    <col min="4106" max="4106" width="12.28515625" style="27" customWidth="1"/>
    <col min="4107" max="4107" width="1.5703125" style="27" customWidth="1"/>
    <col min="4108" max="4108" width="12.28515625" style="27" customWidth="1"/>
    <col min="4109" max="4109" width="1.5703125" style="27" customWidth="1"/>
    <col min="4110" max="4110" width="12.28515625" style="27" customWidth="1"/>
    <col min="4111" max="4111" width="1.5703125" style="27" customWidth="1"/>
    <col min="4112" max="4112" width="13.5703125" style="27" customWidth="1"/>
    <col min="4113" max="4113" width="0.85546875" style="27" customWidth="1"/>
    <col min="4114" max="4114" width="12.28515625" style="27" customWidth="1"/>
    <col min="4115" max="4115" width="1.5703125" style="27" customWidth="1"/>
    <col min="4116" max="4116" width="12.28515625" style="27" customWidth="1"/>
    <col min="4117" max="4117" width="1.5703125" style="27" customWidth="1"/>
    <col min="4118" max="4118" width="12.28515625" style="27" customWidth="1"/>
    <col min="4119" max="4119" width="0.85546875" style="27" customWidth="1"/>
    <col min="4120" max="4120" width="12.28515625" style="27" customWidth="1"/>
    <col min="4121" max="4121" width="1.5703125" style="27" customWidth="1"/>
    <col min="4122" max="4122" width="12.28515625" style="27" customWidth="1"/>
    <col min="4123" max="4123" width="1.5703125" style="27" customWidth="1"/>
    <col min="4124" max="4124" width="12.28515625" style="27" customWidth="1"/>
    <col min="4125" max="4125" width="0.85546875" style="27" customWidth="1"/>
    <col min="4126" max="4126" width="12.28515625" style="27" customWidth="1"/>
    <col min="4127" max="4127" width="1.5703125" style="27" customWidth="1"/>
    <col min="4128" max="4128" width="12.28515625" style="27" customWidth="1"/>
    <col min="4129" max="4129" width="1.5703125" style="27" customWidth="1"/>
    <col min="4130" max="4130" width="12.28515625" style="27" customWidth="1"/>
    <col min="4131" max="4131" width="4.5703125" style="27" customWidth="1"/>
    <col min="4132" max="4132" width="1.42578125" style="27" customWidth="1"/>
    <col min="4133" max="4355" width="13.85546875" style="27"/>
    <col min="4356" max="4356" width="7.85546875" style="27" customWidth="1"/>
    <col min="4357" max="4358" width="2.28515625" style="27" customWidth="1"/>
    <col min="4359" max="4359" width="31.42578125" style="27" customWidth="1"/>
    <col min="4360" max="4360" width="2.28515625" style="27" customWidth="1"/>
    <col min="4361" max="4361" width="2.140625" style="27" customWidth="1"/>
    <col min="4362" max="4362" width="12.28515625" style="27" customWidth="1"/>
    <col min="4363" max="4363" width="1.5703125" style="27" customWidth="1"/>
    <col min="4364" max="4364" width="12.28515625" style="27" customWidth="1"/>
    <col min="4365" max="4365" width="1.5703125" style="27" customWidth="1"/>
    <col min="4366" max="4366" width="12.28515625" style="27" customWidth="1"/>
    <col min="4367" max="4367" width="1.5703125" style="27" customWidth="1"/>
    <col min="4368" max="4368" width="13.5703125" style="27" customWidth="1"/>
    <col min="4369" max="4369" width="0.85546875" style="27" customWidth="1"/>
    <col min="4370" max="4370" width="12.28515625" style="27" customWidth="1"/>
    <col min="4371" max="4371" width="1.5703125" style="27" customWidth="1"/>
    <col min="4372" max="4372" width="12.28515625" style="27" customWidth="1"/>
    <col min="4373" max="4373" width="1.5703125" style="27" customWidth="1"/>
    <col min="4374" max="4374" width="12.28515625" style="27" customWidth="1"/>
    <col min="4375" max="4375" width="0.85546875" style="27" customWidth="1"/>
    <col min="4376" max="4376" width="12.28515625" style="27" customWidth="1"/>
    <col min="4377" max="4377" width="1.5703125" style="27" customWidth="1"/>
    <col min="4378" max="4378" width="12.28515625" style="27" customWidth="1"/>
    <col min="4379" max="4379" width="1.5703125" style="27" customWidth="1"/>
    <col min="4380" max="4380" width="12.28515625" style="27" customWidth="1"/>
    <col min="4381" max="4381" width="0.85546875" style="27" customWidth="1"/>
    <col min="4382" max="4382" width="12.28515625" style="27" customWidth="1"/>
    <col min="4383" max="4383" width="1.5703125" style="27" customWidth="1"/>
    <col min="4384" max="4384" width="12.28515625" style="27" customWidth="1"/>
    <col min="4385" max="4385" width="1.5703125" style="27" customWidth="1"/>
    <col min="4386" max="4386" width="12.28515625" style="27" customWidth="1"/>
    <col min="4387" max="4387" width="4.5703125" style="27" customWidth="1"/>
    <col min="4388" max="4388" width="1.42578125" style="27" customWidth="1"/>
    <col min="4389" max="4611" width="13.85546875" style="27"/>
    <col min="4612" max="4612" width="7.85546875" style="27" customWidth="1"/>
    <col min="4613" max="4614" width="2.28515625" style="27" customWidth="1"/>
    <col min="4615" max="4615" width="31.42578125" style="27" customWidth="1"/>
    <col min="4616" max="4616" width="2.28515625" style="27" customWidth="1"/>
    <col min="4617" max="4617" width="2.140625" style="27" customWidth="1"/>
    <col min="4618" max="4618" width="12.28515625" style="27" customWidth="1"/>
    <col min="4619" max="4619" width="1.5703125" style="27" customWidth="1"/>
    <col min="4620" max="4620" width="12.28515625" style="27" customWidth="1"/>
    <col min="4621" max="4621" width="1.5703125" style="27" customWidth="1"/>
    <col min="4622" max="4622" width="12.28515625" style="27" customWidth="1"/>
    <col min="4623" max="4623" width="1.5703125" style="27" customWidth="1"/>
    <col min="4624" max="4624" width="13.5703125" style="27" customWidth="1"/>
    <col min="4625" max="4625" width="0.85546875" style="27" customWidth="1"/>
    <col min="4626" max="4626" width="12.28515625" style="27" customWidth="1"/>
    <col min="4627" max="4627" width="1.5703125" style="27" customWidth="1"/>
    <col min="4628" max="4628" width="12.28515625" style="27" customWidth="1"/>
    <col min="4629" max="4629" width="1.5703125" style="27" customWidth="1"/>
    <col min="4630" max="4630" width="12.28515625" style="27" customWidth="1"/>
    <col min="4631" max="4631" width="0.85546875" style="27" customWidth="1"/>
    <col min="4632" max="4632" width="12.28515625" style="27" customWidth="1"/>
    <col min="4633" max="4633" width="1.5703125" style="27" customWidth="1"/>
    <col min="4634" max="4634" width="12.28515625" style="27" customWidth="1"/>
    <col min="4635" max="4635" width="1.5703125" style="27" customWidth="1"/>
    <col min="4636" max="4636" width="12.28515625" style="27" customWidth="1"/>
    <col min="4637" max="4637" width="0.85546875" style="27" customWidth="1"/>
    <col min="4638" max="4638" width="12.28515625" style="27" customWidth="1"/>
    <col min="4639" max="4639" width="1.5703125" style="27" customWidth="1"/>
    <col min="4640" max="4640" width="12.28515625" style="27" customWidth="1"/>
    <col min="4641" max="4641" width="1.5703125" style="27" customWidth="1"/>
    <col min="4642" max="4642" width="12.28515625" style="27" customWidth="1"/>
    <col min="4643" max="4643" width="4.5703125" style="27" customWidth="1"/>
    <col min="4644" max="4644" width="1.42578125" style="27" customWidth="1"/>
    <col min="4645" max="4867" width="13.85546875" style="27"/>
    <col min="4868" max="4868" width="7.85546875" style="27" customWidth="1"/>
    <col min="4869" max="4870" width="2.28515625" style="27" customWidth="1"/>
    <col min="4871" max="4871" width="31.42578125" style="27" customWidth="1"/>
    <col min="4872" max="4872" width="2.28515625" style="27" customWidth="1"/>
    <col min="4873" max="4873" width="2.140625" style="27" customWidth="1"/>
    <col min="4874" max="4874" width="12.28515625" style="27" customWidth="1"/>
    <col min="4875" max="4875" width="1.5703125" style="27" customWidth="1"/>
    <col min="4876" max="4876" width="12.28515625" style="27" customWidth="1"/>
    <col min="4877" max="4877" width="1.5703125" style="27" customWidth="1"/>
    <col min="4878" max="4878" width="12.28515625" style="27" customWidth="1"/>
    <col min="4879" max="4879" width="1.5703125" style="27" customWidth="1"/>
    <col min="4880" max="4880" width="13.5703125" style="27" customWidth="1"/>
    <col min="4881" max="4881" width="0.85546875" style="27" customWidth="1"/>
    <col min="4882" max="4882" width="12.28515625" style="27" customWidth="1"/>
    <col min="4883" max="4883" width="1.5703125" style="27" customWidth="1"/>
    <col min="4884" max="4884" width="12.28515625" style="27" customWidth="1"/>
    <col min="4885" max="4885" width="1.5703125" style="27" customWidth="1"/>
    <col min="4886" max="4886" width="12.28515625" style="27" customWidth="1"/>
    <col min="4887" max="4887" width="0.85546875" style="27" customWidth="1"/>
    <col min="4888" max="4888" width="12.28515625" style="27" customWidth="1"/>
    <col min="4889" max="4889" width="1.5703125" style="27" customWidth="1"/>
    <col min="4890" max="4890" width="12.28515625" style="27" customWidth="1"/>
    <col min="4891" max="4891" width="1.5703125" style="27" customWidth="1"/>
    <col min="4892" max="4892" width="12.28515625" style="27" customWidth="1"/>
    <col min="4893" max="4893" width="0.85546875" style="27" customWidth="1"/>
    <col min="4894" max="4894" width="12.28515625" style="27" customWidth="1"/>
    <col min="4895" max="4895" width="1.5703125" style="27" customWidth="1"/>
    <col min="4896" max="4896" width="12.28515625" style="27" customWidth="1"/>
    <col min="4897" max="4897" width="1.5703125" style="27" customWidth="1"/>
    <col min="4898" max="4898" width="12.28515625" style="27" customWidth="1"/>
    <col min="4899" max="4899" width="4.5703125" style="27" customWidth="1"/>
    <col min="4900" max="4900" width="1.42578125" style="27" customWidth="1"/>
    <col min="4901" max="5123" width="13.85546875" style="27"/>
    <col min="5124" max="5124" width="7.85546875" style="27" customWidth="1"/>
    <col min="5125" max="5126" width="2.28515625" style="27" customWidth="1"/>
    <col min="5127" max="5127" width="31.42578125" style="27" customWidth="1"/>
    <col min="5128" max="5128" width="2.28515625" style="27" customWidth="1"/>
    <col min="5129" max="5129" width="2.140625" style="27" customWidth="1"/>
    <col min="5130" max="5130" width="12.28515625" style="27" customWidth="1"/>
    <col min="5131" max="5131" width="1.5703125" style="27" customWidth="1"/>
    <col min="5132" max="5132" width="12.28515625" style="27" customWidth="1"/>
    <col min="5133" max="5133" width="1.5703125" style="27" customWidth="1"/>
    <col min="5134" max="5134" width="12.28515625" style="27" customWidth="1"/>
    <col min="5135" max="5135" width="1.5703125" style="27" customWidth="1"/>
    <col min="5136" max="5136" width="13.5703125" style="27" customWidth="1"/>
    <col min="5137" max="5137" width="0.85546875" style="27" customWidth="1"/>
    <col min="5138" max="5138" width="12.28515625" style="27" customWidth="1"/>
    <col min="5139" max="5139" width="1.5703125" style="27" customWidth="1"/>
    <col min="5140" max="5140" width="12.28515625" style="27" customWidth="1"/>
    <col min="5141" max="5141" width="1.5703125" style="27" customWidth="1"/>
    <col min="5142" max="5142" width="12.28515625" style="27" customWidth="1"/>
    <col min="5143" max="5143" width="0.85546875" style="27" customWidth="1"/>
    <col min="5144" max="5144" width="12.28515625" style="27" customWidth="1"/>
    <col min="5145" max="5145" width="1.5703125" style="27" customWidth="1"/>
    <col min="5146" max="5146" width="12.28515625" style="27" customWidth="1"/>
    <col min="5147" max="5147" width="1.5703125" style="27" customWidth="1"/>
    <col min="5148" max="5148" width="12.28515625" style="27" customWidth="1"/>
    <col min="5149" max="5149" width="0.85546875" style="27" customWidth="1"/>
    <col min="5150" max="5150" width="12.28515625" style="27" customWidth="1"/>
    <col min="5151" max="5151" width="1.5703125" style="27" customWidth="1"/>
    <col min="5152" max="5152" width="12.28515625" style="27" customWidth="1"/>
    <col min="5153" max="5153" width="1.5703125" style="27" customWidth="1"/>
    <col min="5154" max="5154" width="12.28515625" style="27" customWidth="1"/>
    <col min="5155" max="5155" width="4.5703125" style="27" customWidth="1"/>
    <col min="5156" max="5156" width="1.42578125" style="27" customWidth="1"/>
    <col min="5157" max="5379" width="13.85546875" style="27"/>
    <col min="5380" max="5380" width="7.85546875" style="27" customWidth="1"/>
    <col min="5381" max="5382" width="2.28515625" style="27" customWidth="1"/>
    <col min="5383" max="5383" width="31.42578125" style="27" customWidth="1"/>
    <col min="5384" max="5384" width="2.28515625" style="27" customWidth="1"/>
    <col min="5385" max="5385" width="2.140625" style="27" customWidth="1"/>
    <col min="5386" max="5386" width="12.28515625" style="27" customWidth="1"/>
    <col min="5387" max="5387" width="1.5703125" style="27" customWidth="1"/>
    <col min="5388" max="5388" width="12.28515625" style="27" customWidth="1"/>
    <col min="5389" max="5389" width="1.5703125" style="27" customWidth="1"/>
    <col min="5390" max="5390" width="12.28515625" style="27" customWidth="1"/>
    <col min="5391" max="5391" width="1.5703125" style="27" customWidth="1"/>
    <col min="5392" max="5392" width="13.5703125" style="27" customWidth="1"/>
    <col min="5393" max="5393" width="0.85546875" style="27" customWidth="1"/>
    <col min="5394" max="5394" width="12.28515625" style="27" customWidth="1"/>
    <col min="5395" max="5395" width="1.5703125" style="27" customWidth="1"/>
    <col min="5396" max="5396" width="12.28515625" style="27" customWidth="1"/>
    <col min="5397" max="5397" width="1.5703125" style="27" customWidth="1"/>
    <col min="5398" max="5398" width="12.28515625" style="27" customWidth="1"/>
    <col min="5399" max="5399" width="0.85546875" style="27" customWidth="1"/>
    <col min="5400" max="5400" width="12.28515625" style="27" customWidth="1"/>
    <col min="5401" max="5401" width="1.5703125" style="27" customWidth="1"/>
    <col min="5402" max="5402" width="12.28515625" style="27" customWidth="1"/>
    <col min="5403" max="5403" width="1.5703125" style="27" customWidth="1"/>
    <col min="5404" max="5404" width="12.28515625" style="27" customWidth="1"/>
    <col min="5405" max="5405" width="0.85546875" style="27" customWidth="1"/>
    <col min="5406" max="5406" width="12.28515625" style="27" customWidth="1"/>
    <col min="5407" max="5407" width="1.5703125" style="27" customWidth="1"/>
    <col min="5408" max="5408" width="12.28515625" style="27" customWidth="1"/>
    <col min="5409" max="5409" width="1.5703125" style="27" customWidth="1"/>
    <col min="5410" max="5410" width="12.28515625" style="27" customWidth="1"/>
    <col min="5411" max="5411" width="4.5703125" style="27" customWidth="1"/>
    <col min="5412" max="5412" width="1.42578125" style="27" customWidth="1"/>
    <col min="5413" max="5635" width="13.85546875" style="27"/>
    <col min="5636" max="5636" width="7.85546875" style="27" customWidth="1"/>
    <col min="5637" max="5638" width="2.28515625" style="27" customWidth="1"/>
    <col min="5639" max="5639" width="31.42578125" style="27" customWidth="1"/>
    <col min="5640" max="5640" width="2.28515625" style="27" customWidth="1"/>
    <col min="5641" max="5641" width="2.140625" style="27" customWidth="1"/>
    <col min="5642" max="5642" width="12.28515625" style="27" customWidth="1"/>
    <col min="5643" max="5643" width="1.5703125" style="27" customWidth="1"/>
    <col min="5644" max="5644" width="12.28515625" style="27" customWidth="1"/>
    <col min="5645" max="5645" width="1.5703125" style="27" customWidth="1"/>
    <col min="5646" max="5646" width="12.28515625" style="27" customWidth="1"/>
    <col min="5647" max="5647" width="1.5703125" style="27" customWidth="1"/>
    <col min="5648" max="5648" width="13.5703125" style="27" customWidth="1"/>
    <col min="5649" max="5649" width="0.85546875" style="27" customWidth="1"/>
    <col min="5650" max="5650" width="12.28515625" style="27" customWidth="1"/>
    <col min="5651" max="5651" width="1.5703125" style="27" customWidth="1"/>
    <col min="5652" max="5652" width="12.28515625" style="27" customWidth="1"/>
    <col min="5653" max="5653" width="1.5703125" style="27" customWidth="1"/>
    <col min="5654" max="5654" width="12.28515625" style="27" customWidth="1"/>
    <col min="5655" max="5655" width="0.85546875" style="27" customWidth="1"/>
    <col min="5656" max="5656" width="12.28515625" style="27" customWidth="1"/>
    <col min="5657" max="5657" width="1.5703125" style="27" customWidth="1"/>
    <col min="5658" max="5658" width="12.28515625" style="27" customWidth="1"/>
    <col min="5659" max="5659" width="1.5703125" style="27" customWidth="1"/>
    <col min="5660" max="5660" width="12.28515625" style="27" customWidth="1"/>
    <col min="5661" max="5661" width="0.85546875" style="27" customWidth="1"/>
    <col min="5662" max="5662" width="12.28515625" style="27" customWidth="1"/>
    <col min="5663" max="5663" width="1.5703125" style="27" customWidth="1"/>
    <col min="5664" max="5664" width="12.28515625" style="27" customWidth="1"/>
    <col min="5665" max="5665" width="1.5703125" style="27" customWidth="1"/>
    <col min="5666" max="5666" width="12.28515625" style="27" customWidth="1"/>
    <col min="5667" max="5667" width="4.5703125" style="27" customWidth="1"/>
    <col min="5668" max="5668" width="1.42578125" style="27" customWidth="1"/>
    <col min="5669" max="5891" width="13.85546875" style="27"/>
    <col min="5892" max="5892" width="7.85546875" style="27" customWidth="1"/>
    <col min="5893" max="5894" width="2.28515625" style="27" customWidth="1"/>
    <col min="5895" max="5895" width="31.42578125" style="27" customWidth="1"/>
    <col min="5896" max="5896" width="2.28515625" style="27" customWidth="1"/>
    <col min="5897" max="5897" width="2.140625" style="27" customWidth="1"/>
    <col min="5898" max="5898" width="12.28515625" style="27" customWidth="1"/>
    <col min="5899" max="5899" width="1.5703125" style="27" customWidth="1"/>
    <col min="5900" max="5900" width="12.28515625" style="27" customWidth="1"/>
    <col min="5901" max="5901" width="1.5703125" style="27" customWidth="1"/>
    <col min="5902" max="5902" width="12.28515625" style="27" customWidth="1"/>
    <col min="5903" max="5903" width="1.5703125" style="27" customWidth="1"/>
    <col min="5904" max="5904" width="13.5703125" style="27" customWidth="1"/>
    <col min="5905" max="5905" width="0.85546875" style="27" customWidth="1"/>
    <col min="5906" max="5906" width="12.28515625" style="27" customWidth="1"/>
    <col min="5907" max="5907" width="1.5703125" style="27" customWidth="1"/>
    <col min="5908" max="5908" width="12.28515625" style="27" customWidth="1"/>
    <col min="5909" max="5909" width="1.5703125" style="27" customWidth="1"/>
    <col min="5910" max="5910" width="12.28515625" style="27" customWidth="1"/>
    <col min="5911" max="5911" width="0.85546875" style="27" customWidth="1"/>
    <col min="5912" max="5912" width="12.28515625" style="27" customWidth="1"/>
    <col min="5913" max="5913" width="1.5703125" style="27" customWidth="1"/>
    <col min="5914" max="5914" width="12.28515625" style="27" customWidth="1"/>
    <col min="5915" max="5915" width="1.5703125" style="27" customWidth="1"/>
    <col min="5916" max="5916" width="12.28515625" style="27" customWidth="1"/>
    <col min="5917" max="5917" width="0.85546875" style="27" customWidth="1"/>
    <col min="5918" max="5918" width="12.28515625" style="27" customWidth="1"/>
    <col min="5919" max="5919" width="1.5703125" style="27" customWidth="1"/>
    <col min="5920" max="5920" width="12.28515625" style="27" customWidth="1"/>
    <col min="5921" max="5921" width="1.5703125" style="27" customWidth="1"/>
    <col min="5922" max="5922" width="12.28515625" style="27" customWidth="1"/>
    <col min="5923" max="5923" width="4.5703125" style="27" customWidth="1"/>
    <col min="5924" max="5924" width="1.42578125" style="27" customWidth="1"/>
    <col min="5925" max="6147" width="13.85546875" style="27"/>
    <col min="6148" max="6148" width="7.85546875" style="27" customWidth="1"/>
    <col min="6149" max="6150" width="2.28515625" style="27" customWidth="1"/>
    <col min="6151" max="6151" width="31.42578125" style="27" customWidth="1"/>
    <col min="6152" max="6152" width="2.28515625" style="27" customWidth="1"/>
    <col min="6153" max="6153" width="2.140625" style="27" customWidth="1"/>
    <col min="6154" max="6154" width="12.28515625" style="27" customWidth="1"/>
    <col min="6155" max="6155" width="1.5703125" style="27" customWidth="1"/>
    <col min="6156" max="6156" width="12.28515625" style="27" customWidth="1"/>
    <col min="6157" max="6157" width="1.5703125" style="27" customWidth="1"/>
    <col min="6158" max="6158" width="12.28515625" style="27" customWidth="1"/>
    <col min="6159" max="6159" width="1.5703125" style="27" customWidth="1"/>
    <col min="6160" max="6160" width="13.5703125" style="27" customWidth="1"/>
    <col min="6161" max="6161" width="0.85546875" style="27" customWidth="1"/>
    <col min="6162" max="6162" width="12.28515625" style="27" customWidth="1"/>
    <col min="6163" max="6163" width="1.5703125" style="27" customWidth="1"/>
    <col min="6164" max="6164" width="12.28515625" style="27" customWidth="1"/>
    <col min="6165" max="6165" width="1.5703125" style="27" customWidth="1"/>
    <col min="6166" max="6166" width="12.28515625" style="27" customWidth="1"/>
    <col min="6167" max="6167" width="0.85546875" style="27" customWidth="1"/>
    <col min="6168" max="6168" width="12.28515625" style="27" customWidth="1"/>
    <col min="6169" max="6169" width="1.5703125" style="27" customWidth="1"/>
    <col min="6170" max="6170" width="12.28515625" style="27" customWidth="1"/>
    <col min="6171" max="6171" width="1.5703125" style="27" customWidth="1"/>
    <col min="6172" max="6172" width="12.28515625" style="27" customWidth="1"/>
    <col min="6173" max="6173" width="0.85546875" style="27" customWidth="1"/>
    <col min="6174" max="6174" width="12.28515625" style="27" customWidth="1"/>
    <col min="6175" max="6175" width="1.5703125" style="27" customWidth="1"/>
    <col min="6176" max="6176" width="12.28515625" style="27" customWidth="1"/>
    <col min="6177" max="6177" width="1.5703125" style="27" customWidth="1"/>
    <col min="6178" max="6178" width="12.28515625" style="27" customWidth="1"/>
    <col min="6179" max="6179" width="4.5703125" style="27" customWidth="1"/>
    <col min="6180" max="6180" width="1.42578125" style="27" customWidth="1"/>
    <col min="6181" max="6403" width="13.85546875" style="27"/>
    <col min="6404" max="6404" width="7.85546875" style="27" customWidth="1"/>
    <col min="6405" max="6406" width="2.28515625" style="27" customWidth="1"/>
    <col min="6407" max="6407" width="31.42578125" style="27" customWidth="1"/>
    <col min="6408" max="6408" width="2.28515625" style="27" customWidth="1"/>
    <col min="6409" max="6409" width="2.140625" style="27" customWidth="1"/>
    <col min="6410" max="6410" width="12.28515625" style="27" customWidth="1"/>
    <col min="6411" max="6411" width="1.5703125" style="27" customWidth="1"/>
    <col min="6412" max="6412" width="12.28515625" style="27" customWidth="1"/>
    <col min="6413" max="6413" width="1.5703125" style="27" customWidth="1"/>
    <col min="6414" max="6414" width="12.28515625" style="27" customWidth="1"/>
    <col min="6415" max="6415" width="1.5703125" style="27" customWidth="1"/>
    <col min="6416" max="6416" width="13.5703125" style="27" customWidth="1"/>
    <col min="6417" max="6417" width="0.85546875" style="27" customWidth="1"/>
    <col min="6418" max="6418" width="12.28515625" style="27" customWidth="1"/>
    <col min="6419" max="6419" width="1.5703125" style="27" customWidth="1"/>
    <col min="6420" max="6420" width="12.28515625" style="27" customWidth="1"/>
    <col min="6421" max="6421" width="1.5703125" style="27" customWidth="1"/>
    <col min="6422" max="6422" width="12.28515625" style="27" customWidth="1"/>
    <col min="6423" max="6423" width="0.85546875" style="27" customWidth="1"/>
    <col min="6424" max="6424" width="12.28515625" style="27" customWidth="1"/>
    <col min="6425" max="6425" width="1.5703125" style="27" customWidth="1"/>
    <col min="6426" max="6426" width="12.28515625" style="27" customWidth="1"/>
    <col min="6427" max="6427" width="1.5703125" style="27" customWidth="1"/>
    <col min="6428" max="6428" width="12.28515625" style="27" customWidth="1"/>
    <col min="6429" max="6429" width="0.85546875" style="27" customWidth="1"/>
    <col min="6430" max="6430" width="12.28515625" style="27" customWidth="1"/>
    <col min="6431" max="6431" width="1.5703125" style="27" customWidth="1"/>
    <col min="6432" max="6432" width="12.28515625" style="27" customWidth="1"/>
    <col min="6433" max="6433" width="1.5703125" style="27" customWidth="1"/>
    <col min="6434" max="6434" width="12.28515625" style="27" customWidth="1"/>
    <col min="6435" max="6435" width="4.5703125" style="27" customWidth="1"/>
    <col min="6436" max="6436" width="1.42578125" style="27" customWidth="1"/>
    <col min="6437" max="6659" width="13.85546875" style="27"/>
    <col min="6660" max="6660" width="7.85546875" style="27" customWidth="1"/>
    <col min="6661" max="6662" width="2.28515625" style="27" customWidth="1"/>
    <col min="6663" max="6663" width="31.42578125" style="27" customWidth="1"/>
    <col min="6664" max="6664" width="2.28515625" style="27" customWidth="1"/>
    <col min="6665" max="6665" width="2.140625" style="27" customWidth="1"/>
    <col min="6666" max="6666" width="12.28515625" style="27" customWidth="1"/>
    <col min="6667" max="6667" width="1.5703125" style="27" customWidth="1"/>
    <col min="6668" max="6668" width="12.28515625" style="27" customWidth="1"/>
    <col min="6669" max="6669" width="1.5703125" style="27" customWidth="1"/>
    <col min="6670" max="6670" width="12.28515625" style="27" customWidth="1"/>
    <col min="6671" max="6671" width="1.5703125" style="27" customWidth="1"/>
    <col min="6672" max="6672" width="13.5703125" style="27" customWidth="1"/>
    <col min="6673" max="6673" width="0.85546875" style="27" customWidth="1"/>
    <col min="6674" max="6674" width="12.28515625" style="27" customWidth="1"/>
    <col min="6675" max="6675" width="1.5703125" style="27" customWidth="1"/>
    <col min="6676" max="6676" width="12.28515625" style="27" customWidth="1"/>
    <col min="6677" max="6677" width="1.5703125" style="27" customWidth="1"/>
    <col min="6678" max="6678" width="12.28515625" style="27" customWidth="1"/>
    <col min="6679" max="6679" width="0.85546875" style="27" customWidth="1"/>
    <col min="6680" max="6680" width="12.28515625" style="27" customWidth="1"/>
    <col min="6681" max="6681" width="1.5703125" style="27" customWidth="1"/>
    <col min="6682" max="6682" width="12.28515625" style="27" customWidth="1"/>
    <col min="6683" max="6683" width="1.5703125" style="27" customWidth="1"/>
    <col min="6684" max="6684" width="12.28515625" style="27" customWidth="1"/>
    <col min="6685" max="6685" width="0.85546875" style="27" customWidth="1"/>
    <col min="6686" max="6686" width="12.28515625" style="27" customWidth="1"/>
    <col min="6687" max="6687" width="1.5703125" style="27" customWidth="1"/>
    <col min="6688" max="6688" width="12.28515625" style="27" customWidth="1"/>
    <col min="6689" max="6689" width="1.5703125" style="27" customWidth="1"/>
    <col min="6690" max="6690" width="12.28515625" style="27" customWidth="1"/>
    <col min="6691" max="6691" width="4.5703125" style="27" customWidth="1"/>
    <col min="6692" max="6692" width="1.42578125" style="27" customWidth="1"/>
    <col min="6693" max="6915" width="13.85546875" style="27"/>
    <col min="6916" max="6916" width="7.85546875" style="27" customWidth="1"/>
    <col min="6917" max="6918" width="2.28515625" style="27" customWidth="1"/>
    <col min="6919" max="6919" width="31.42578125" style="27" customWidth="1"/>
    <col min="6920" max="6920" width="2.28515625" style="27" customWidth="1"/>
    <col min="6921" max="6921" width="2.140625" style="27" customWidth="1"/>
    <col min="6922" max="6922" width="12.28515625" style="27" customWidth="1"/>
    <col min="6923" max="6923" width="1.5703125" style="27" customWidth="1"/>
    <col min="6924" max="6924" width="12.28515625" style="27" customWidth="1"/>
    <col min="6925" max="6925" width="1.5703125" style="27" customWidth="1"/>
    <col min="6926" max="6926" width="12.28515625" style="27" customWidth="1"/>
    <col min="6927" max="6927" width="1.5703125" style="27" customWidth="1"/>
    <col min="6928" max="6928" width="13.5703125" style="27" customWidth="1"/>
    <col min="6929" max="6929" width="0.85546875" style="27" customWidth="1"/>
    <col min="6930" max="6930" width="12.28515625" style="27" customWidth="1"/>
    <col min="6931" max="6931" width="1.5703125" style="27" customWidth="1"/>
    <col min="6932" max="6932" width="12.28515625" style="27" customWidth="1"/>
    <col min="6933" max="6933" width="1.5703125" style="27" customWidth="1"/>
    <col min="6934" max="6934" width="12.28515625" style="27" customWidth="1"/>
    <col min="6935" max="6935" width="0.85546875" style="27" customWidth="1"/>
    <col min="6936" max="6936" width="12.28515625" style="27" customWidth="1"/>
    <col min="6937" max="6937" width="1.5703125" style="27" customWidth="1"/>
    <col min="6938" max="6938" width="12.28515625" style="27" customWidth="1"/>
    <col min="6939" max="6939" width="1.5703125" style="27" customWidth="1"/>
    <col min="6940" max="6940" width="12.28515625" style="27" customWidth="1"/>
    <col min="6941" max="6941" width="0.85546875" style="27" customWidth="1"/>
    <col min="6942" max="6942" width="12.28515625" style="27" customWidth="1"/>
    <col min="6943" max="6943" width="1.5703125" style="27" customWidth="1"/>
    <col min="6944" max="6944" width="12.28515625" style="27" customWidth="1"/>
    <col min="6945" max="6945" width="1.5703125" style="27" customWidth="1"/>
    <col min="6946" max="6946" width="12.28515625" style="27" customWidth="1"/>
    <col min="6947" max="6947" width="4.5703125" style="27" customWidth="1"/>
    <col min="6948" max="6948" width="1.42578125" style="27" customWidth="1"/>
    <col min="6949" max="7171" width="13.85546875" style="27"/>
    <col min="7172" max="7172" width="7.85546875" style="27" customWidth="1"/>
    <col min="7173" max="7174" width="2.28515625" style="27" customWidth="1"/>
    <col min="7175" max="7175" width="31.42578125" style="27" customWidth="1"/>
    <col min="7176" max="7176" width="2.28515625" style="27" customWidth="1"/>
    <col min="7177" max="7177" width="2.140625" style="27" customWidth="1"/>
    <col min="7178" max="7178" width="12.28515625" style="27" customWidth="1"/>
    <col min="7179" max="7179" width="1.5703125" style="27" customWidth="1"/>
    <col min="7180" max="7180" width="12.28515625" style="27" customWidth="1"/>
    <col min="7181" max="7181" width="1.5703125" style="27" customWidth="1"/>
    <col min="7182" max="7182" width="12.28515625" style="27" customWidth="1"/>
    <col min="7183" max="7183" width="1.5703125" style="27" customWidth="1"/>
    <col min="7184" max="7184" width="13.5703125" style="27" customWidth="1"/>
    <col min="7185" max="7185" width="0.85546875" style="27" customWidth="1"/>
    <col min="7186" max="7186" width="12.28515625" style="27" customWidth="1"/>
    <col min="7187" max="7187" width="1.5703125" style="27" customWidth="1"/>
    <col min="7188" max="7188" width="12.28515625" style="27" customWidth="1"/>
    <col min="7189" max="7189" width="1.5703125" style="27" customWidth="1"/>
    <col min="7190" max="7190" width="12.28515625" style="27" customWidth="1"/>
    <col min="7191" max="7191" width="0.85546875" style="27" customWidth="1"/>
    <col min="7192" max="7192" width="12.28515625" style="27" customWidth="1"/>
    <col min="7193" max="7193" width="1.5703125" style="27" customWidth="1"/>
    <col min="7194" max="7194" width="12.28515625" style="27" customWidth="1"/>
    <col min="7195" max="7195" width="1.5703125" style="27" customWidth="1"/>
    <col min="7196" max="7196" width="12.28515625" style="27" customWidth="1"/>
    <col min="7197" max="7197" width="0.85546875" style="27" customWidth="1"/>
    <col min="7198" max="7198" width="12.28515625" style="27" customWidth="1"/>
    <col min="7199" max="7199" width="1.5703125" style="27" customWidth="1"/>
    <col min="7200" max="7200" width="12.28515625" style="27" customWidth="1"/>
    <col min="7201" max="7201" width="1.5703125" style="27" customWidth="1"/>
    <col min="7202" max="7202" width="12.28515625" style="27" customWidth="1"/>
    <col min="7203" max="7203" width="4.5703125" style="27" customWidth="1"/>
    <col min="7204" max="7204" width="1.42578125" style="27" customWidth="1"/>
    <col min="7205" max="7427" width="13.85546875" style="27"/>
    <col min="7428" max="7428" width="7.85546875" style="27" customWidth="1"/>
    <col min="7429" max="7430" width="2.28515625" style="27" customWidth="1"/>
    <col min="7431" max="7431" width="31.42578125" style="27" customWidth="1"/>
    <col min="7432" max="7432" width="2.28515625" style="27" customWidth="1"/>
    <col min="7433" max="7433" width="2.140625" style="27" customWidth="1"/>
    <col min="7434" max="7434" width="12.28515625" style="27" customWidth="1"/>
    <col min="7435" max="7435" width="1.5703125" style="27" customWidth="1"/>
    <col min="7436" max="7436" width="12.28515625" style="27" customWidth="1"/>
    <col min="7437" max="7437" width="1.5703125" style="27" customWidth="1"/>
    <col min="7438" max="7438" width="12.28515625" style="27" customWidth="1"/>
    <col min="7439" max="7439" width="1.5703125" style="27" customWidth="1"/>
    <col min="7440" max="7440" width="13.5703125" style="27" customWidth="1"/>
    <col min="7441" max="7441" width="0.85546875" style="27" customWidth="1"/>
    <col min="7442" max="7442" width="12.28515625" style="27" customWidth="1"/>
    <col min="7443" max="7443" width="1.5703125" style="27" customWidth="1"/>
    <col min="7444" max="7444" width="12.28515625" style="27" customWidth="1"/>
    <col min="7445" max="7445" width="1.5703125" style="27" customWidth="1"/>
    <col min="7446" max="7446" width="12.28515625" style="27" customWidth="1"/>
    <col min="7447" max="7447" width="0.85546875" style="27" customWidth="1"/>
    <col min="7448" max="7448" width="12.28515625" style="27" customWidth="1"/>
    <col min="7449" max="7449" width="1.5703125" style="27" customWidth="1"/>
    <col min="7450" max="7450" width="12.28515625" style="27" customWidth="1"/>
    <col min="7451" max="7451" width="1.5703125" style="27" customWidth="1"/>
    <col min="7452" max="7452" width="12.28515625" style="27" customWidth="1"/>
    <col min="7453" max="7453" width="0.85546875" style="27" customWidth="1"/>
    <col min="7454" max="7454" width="12.28515625" style="27" customWidth="1"/>
    <col min="7455" max="7455" width="1.5703125" style="27" customWidth="1"/>
    <col min="7456" max="7456" width="12.28515625" style="27" customWidth="1"/>
    <col min="7457" max="7457" width="1.5703125" style="27" customWidth="1"/>
    <col min="7458" max="7458" width="12.28515625" style="27" customWidth="1"/>
    <col min="7459" max="7459" width="4.5703125" style="27" customWidth="1"/>
    <col min="7460" max="7460" width="1.42578125" style="27" customWidth="1"/>
    <col min="7461" max="7683" width="13.85546875" style="27"/>
    <col min="7684" max="7684" width="7.85546875" style="27" customWidth="1"/>
    <col min="7685" max="7686" width="2.28515625" style="27" customWidth="1"/>
    <col min="7687" max="7687" width="31.42578125" style="27" customWidth="1"/>
    <col min="7688" max="7688" width="2.28515625" style="27" customWidth="1"/>
    <col min="7689" max="7689" width="2.140625" style="27" customWidth="1"/>
    <col min="7690" max="7690" width="12.28515625" style="27" customWidth="1"/>
    <col min="7691" max="7691" width="1.5703125" style="27" customWidth="1"/>
    <col min="7692" max="7692" width="12.28515625" style="27" customWidth="1"/>
    <col min="7693" max="7693" width="1.5703125" style="27" customWidth="1"/>
    <col min="7694" max="7694" width="12.28515625" style="27" customWidth="1"/>
    <col min="7695" max="7695" width="1.5703125" style="27" customWidth="1"/>
    <col min="7696" max="7696" width="13.5703125" style="27" customWidth="1"/>
    <col min="7697" max="7697" width="0.85546875" style="27" customWidth="1"/>
    <col min="7698" max="7698" width="12.28515625" style="27" customWidth="1"/>
    <col min="7699" max="7699" width="1.5703125" style="27" customWidth="1"/>
    <col min="7700" max="7700" width="12.28515625" style="27" customWidth="1"/>
    <col min="7701" max="7701" width="1.5703125" style="27" customWidth="1"/>
    <col min="7702" max="7702" width="12.28515625" style="27" customWidth="1"/>
    <col min="7703" max="7703" width="0.85546875" style="27" customWidth="1"/>
    <col min="7704" max="7704" width="12.28515625" style="27" customWidth="1"/>
    <col min="7705" max="7705" width="1.5703125" style="27" customWidth="1"/>
    <col min="7706" max="7706" width="12.28515625" style="27" customWidth="1"/>
    <col min="7707" max="7707" width="1.5703125" style="27" customWidth="1"/>
    <col min="7708" max="7708" width="12.28515625" style="27" customWidth="1"/>
    <col min="7709" max="7709" width="0.85546875" style="27" customWidth="1"/>
    <col min="7710" max="7710" width="12.28515625" style="27" customWidth="1"/>
    <col min="7711" max="7711" width="1.5703125" style="27" customWidth="1"/>
    <col min="7712" max="7712" width="12.28515625" style="27" customWidth="1"/>
    <col min="7713" max="7713" width="1.5703125" style="27" customWidth="1"/>
    <col min="7714" max="7714" width="12.28515625" style="27" customWidth="1"/>
    <col min="7715" max="7715" width="4.5703125" style="27" customWidth="1"/>
    <col min="7716" max="7716" width="1.42578125" style="27" customWidth="1"/>
    <col min="7717" max="7939" width="13.85546875" style="27"/>
    <col min="7940" max="7940" width="7.85546875" style="27" customWidth="1"/>
    <col min="7941" max="7942" width="2.28515625" style="27" customWidth="1"/>
    <col min="7943" max="7943" width="31.42578125" style="27" customWidth="1"/>
    <col min="7944" max="7944" width="2.28515625" style="27" customWidth="1"/>
    <col min="7945" max="7945" width="2.140625" style="27" customWidth="1"/>
    <col min="7946" max="7946" width="12.28515625" style="27" customWidth="1"/>
    <col min="7947" max="7947" width="1.5703125" style="27" customWidth="1"/>
    <col min="7948" max="7948" width="12.28515625" style="27" customWidth="1"/>
    <col min="7949" max="7949" width="1.5703125" style="27" customWidth="1"/>
    <col min="7950" max="7950" width="12.28515625" style="27" customWidth="1"/>
    <col min="7951" max="7951" width="1.5703125" style="27" customWidth="1"/>
    <col min="7952" max="7952" width="13.5703125" style="27" customWidth="1"/>
    <col min="7953" max="7953" width="0.85546875" style="27" customWidth="1"/>
    <col min="7954" max="7954" width="12.28515625" style="27" customWidth="1"/>
    <col min="7955" max="7955" width="1.5703125" style="27" customWidth="1"/>
    <col min="7956" max="7956" width="12.28515625" style="27" customWidth="1"/>
    <col min="7957" max="7957" width="1.5703125" style="27" customWidth="1"/>
    <col min="7958" max="7958" width="12.28515625" style="27" customWidth="1"/>
    <col min="7959" max="7959" width="0.85546875" style="27" customWidth="1"/>
    <col min="7960" max="7960" width="12.28515625" style="27" customWidth="1"/>
    <col min="7961" max="7961" width="1.5703125" style="27" customWidth="1"/>
    <col min="7962" max="7962" width="12.28515625" style="27" customWidth="1"/>
    <col min="7963" max="7963" width="1.5703125" style="27" customWidth="1"/>
    <col min="7964" max="7964" width="12.28515625" style="27" customWidth="1"/>
    <col min="7965" max="7965" width="0.85546875" style="27" customWidth="1"/>
    <col min="7966" max="7966" width="12.28515625" style="27" customWidth="1"/>
    <col min="7967" max="7967" width="1.5703125" style="27" customWidth="1"/>
    <col min="7968" max="7968" width="12.28515625" style="27" customWidth="1"/>
    <col min="7969" max="7969" width="1.5703125" style="27" customWidth="1"/>
    <col min="7970" max="7970" width="12.28515625" style="27" customWidth="1"/>
    <col min="7971" max="7971" width="4.5703125" style="27" customWidth="1"/>
    <col min="7972" max="7972" width="1.42578125" style="27" customWidth="1"/>
    <col min="7973" max="8195" width="13.85546875" style="27"/>
    <col min="8196" max="8196" width="7.85546875" style="27" customWidth="1"/>
    <col min="8197" max="8198" width="2.28515625" style="27" customWidth="1"/>
    <col min="8199" max="8199" width="31.42578125" style="27" customWidth="1"/>
    <col min="8200" max="8200" width="2.28515625" style="27" customWidth="1"/>
    <col min="8201" max="8201" width="2.140625" style="27" customWidth="1"/>
    <col min="8202" max="8202" width="12.28515625" style="27" customWidth="1"/>
    <col min="8203" max="8203" width="1.5703125" style="27" customWidth="1"/>
    <col min="8204" max="8204" width="12.28515625" style="27" customWidth="1"/>
    <col min="8205" max="8205" width="1.5703125" style="27" customWidth="1"/>
    <col min="8206" max="8206" width="12.28515625" style="27" customWidth="1"/>
    <col min="8207" max="8207" width="1.5703125" style="27" customWidth="1"/>
    <col min="8208" max="8208" width="13.5703125" style="27" customWidth="1"/>
    <col min="8209" max="8209" width="0.85546875" style="27" customWidth="1"/>
    <col min="8210" max="8210" width="12.28515625" style="27" customWidth="1"/>
    <col min="8211" max="8211" width="1.5703125" style="27" customWidth="1"/>
    <col min="8212" max="8212" width="12.28515625" style="27" customWidth="1"/>
    <col min="8213" max="8213" width="1.5703125" style="27" customWidth="1"/>
    <col min="8214" max="8214" width="12.28515625" style="27" customWidth="1"/>
    <col min="8215" max="8215" width="0.85546875" style="27" customWidth="1"/>
    <col min="8216" max="8216" width="12.28515625" style="27" customWidth="1"/>
    <col min="8217" max="8217" width="1.5703125" style="27" customWidth="1"/>
    <col min="8218" max="8218" width="12.28515625" style="27" customWidth="1"/>
    <col min="8219" max="8219" width="1.5703125" style="27" customWidth="1"/>
    <col min="8220" max="8220" width="12.28515625" style="27" customWidth="1"/>
    <col min="8221" max="8221" width="0.85546875" style="27" customWidth="1"/>
    <col min="8222" max="8222" width="12.28515625" style="27" customWidth="1"/>
    <col min="8223" max="8223" width="1.5703125" style="27" customWidth="1"/>
    <col min="8224" max="8224" width="12.28515625" style="27" customWidth="1"/>
    <col min="8225" max="8225" width="1.5703125" style="27" customWidth="1"/>
    <col min="8226" max="8226" width="12.28515625" style="27" customWidth="1"/>
    <col min="8227" max="8227" width="4.5703125" style="27" customWidth="1"/>
    <col min="8228" max="8228" width="1.42578125" style="27" customWidth="1"/>
    <col min="8229" max="8451" width="13.85546875" style="27"/>
    <col min="8452" max="8452" width="7.85546875" style="27" customWidth="1"/>
    <col min="8453" max="8454" width="2.28515625" style="27" customWidth="1"/>
    <col min="8455" max="8455" width="31.42578125" style="27" customWidth="1"/>
    <col min="8456" max="8456" width="2.28515625" style="27" customWidth="1"/>
    <col min="8457" max="8457" width="2.140625" style="27" customWidth="1"/>
    <col min="8458" max="8458" width="12.28515625" style="27" customWidth="1"/>
    <col min="8459" max="8459" width="1.5703125" style="27" customWidth="1"/>
    <col min="8460" max="8460" width="12.28515625" style="27" customWidth="1"/>
    <col min="8461" max="8461" width="1.5703125" style="27" customWidth="1"/>
    <col min="8462" max="8462" width="12.28515625" style="27" customWidth="1"/>
    <col min="8463" max="8463" width="1.5703125" style="27" customWidth="1"/>
    <col min="8464" max="8464" width="13.5703125" style="27" customWidth="1"/>
    <col min="8465" max="8465" width="0.85546875" style="27" customWidth="1"/>
    <col min="8466" max="8466" width="12.28515625" style="27" customWidth="1"/>
    <col min="8467" max="8467" width="1.5703125" style="27" customWidth="1"/>
    <col min="8468" max="8468" width="12.28515625" style="27" customWidth="1"/>
    <col min="8469" max="8469" width="1.5703125" style="27" customWidth="1"/>
    <col min="8470" max="8470" width="12.28515625" style="27" customWidth="1"/>
    <col min="8471" max="8471" width="0.85546875" style="27" customWidth="1"/>
    <col min="8472" max="8472" width="12.28515625" style="27" customWidth="1"/>
    <col min="8473" max="8473" width="1.5703125" style="27" customWidth="1"/>
    <col min="8474" max="8474" width="12.28515625" style="27" customWidth="1"/>
    <col min="8475" max="8475" width="1.5703125" style="27" customWidth="1"/>
    <col min="8476" max="8476" width="12.28515625" style="27" customWidth="1"/>
    <col min="8477" max="8477" width="0.85546875" style="27" customWidth="1"/>
    <col min="8478" max="8478" width="12.28515625" style="27" customWidth="1"/>
    <col min="8479" max="8479" width="1.5703125" style="27" customWidth="1"/>
    <col min="8480" max="8480" width="12.28515625" style="27" customWidth="1"/>
    <col min="8481" max="8481" width="1.5703125" style="27" customWidth="1"/>
    <col min="8482" max="8482" width="12.28515625" style="27" customWidth="1"/>
    <col min="8483" max="8483" width="4.5703125" style="27" customWidth="1"/>
    <col min="8484" max="8484" width="1.42578125" style="27" customWidth="1"/>
    <col min="8485" max="8707" width="13.85546875" style="27"/>
    <col min="8708" max="8708" width="7.85546875" style="27" customWidth="1"/>
    <col min="8709" max="8710" width="2.28515625" style="27" customWidth="1"/>
    <col min="8711" max="8711" width="31.42578125" style="27" customWidth="1"/>
    <col min="8712" max="8712" width="2.28515625" style="27" customWidth="1"/>
    <col min="8713" max="8713" width="2.140625" style="27" customWidth="1"/>
    <col min="8714" max="8714" width="12.28515625" style="27" customWidth="1"/>
    <col min="8715" max="8715" width="1.5703125" style="27" customWidth="1"/>
    <col min="8716" max="8716" width="12.28515625" style="27" customWidth="1"/>
    <col min="8717" max="8717" width="1.5703125" style="27" customWidth="1"/>
    <col min="8718" max="8718" width="12.28515625" style="27" customWidth="1"/>
    <col min="8719" max="8719" width="1.5703125" style="27" customWidth="1"/>
    <col min="8720" max="8720" width="13.5703125" style="27" customWidth="1"/>
    <col min="8721" max="8721" width="0.85546875" style="27" customWidth="1"/>
    <col min="8722" max="8722" width="12.28515625" style="27" customWidth="1"/>
    <col min="8723" max="8723" width="1.5703125" style="27" customWidth="1"/>
    <col min="8724" max="8724" width="12.28515625" style="27" customWidth="1"/>
    <col min="8725" max="8725" width="1.5703125" style="27" customWidth="1"/>
    <col min="8726" max="8726" width="12.28515625" style="27" customWidth="1"/>
    <col min="8727" max="8727" width="0.85546875" style="27" customWidth="1"/>
    <col min="8728" max="8728" width="12.28515625" style="27" customWidth="1"/>
    <col min="8729" max="8729" width="1.5703125" style="27" customWidth="1"/>
    <col min="8730" max="8730" width="12.28515625" style="27" customWidth="1"/>
    <col min="8731" max="8731" width="1.5703125" style="27" customWidth="1"/>
    <col min="8732" max="8732" width="12.28515625" style="27" customWidth="1"/>
    <col min="8733" max="8733" width="0.85546875" style="27" customWidth="1"/>
    <col min="8734" max="8734" width="12.28515625" style="27" customWidth="1"/>
    <col min="8735" max="8735" width="1.5703125" style="27" customWidth="1"/>
    <col min="8736" max="8736" width="12.28515625" style="27" customWidth="1"/>
    <col min="8737" max="8737" width="1.5703125" style="27" customWidth="1"/>
    <col min="8738" max="8738" width="12.28515625" style="27" customWidth="1"/>
    <col min="8739" max="8739" width="4.5703125" style="27" customWidth="1"/>
    <col min="8740" max="8740" width="1.42578125" style="27" customWidth="1"/>
    <col min="8741" max="8963" width="13.85546875" style="27"/>
    <col min="8964" max="8964" width="7.85546875" style="27" customWidth="1"/>
    <col min="8965" max="8966" width="2.28515625" style="27" customWidth="1"/>
    <col min="8967" max="8967" width="31.42578125" style="27" customWidth="1"/>
    <col min="8968" max="8968" width="2.28515625" style="27" customWidth="1"/>
    <col min="8969" max="8969" width="2.140625" style="27" customWidth="1"/>
    <col min="8970" max="8970" width="12.28515625" style="27" customWidth="1"/>
    <col min="8971" max="8971" width="1.5703125" style="27" customWidth="1"/>
    <col min="8972" max="8972" width="12.28515625" style="27" customWidth="1"/>
    <col min="8973" max="8973" width="1.5703125" style="27" customWidth="1"/>
    <col min="8974" max="8974" width="12.28515625" style="27" customWidth="1"/>
    <col min="8975" max="8975" width="1.5703125" style="27" customWidth="1"/>
    <col min="8976" max="8976" width="13.5703125" style="27" customWidth="1"/>
    <col min="8977" max="8977" width="0.85546875" style="27" customWidth="1"/>
    <col min="8978" max="8978" width="12.28515625" style="27" customWidth="1"/>
    <col min="8979" max="8979" width="1.5703125" style="27" customWidth="1"/>
    <col min="8980" max="8980" width="12.28515625" style="27" customWidth="1"/>
    <col min="8981" max="8981" width="1.5703125" style="27" customWidth="1"/>
    <col min="8982" max="8982" width="12.28515625" style="27" customWidth="1"/>
    <col min="8983" max="8983" width="0.85546875" style="27" customWidth="1"/>
    <col min="8984" max="8984" width="12.28515625" style="27" customWidth="1"/>
    <col min="8985" max="8985" width="1.5703125" style="27" customWidth="1"/>
    <col min="8986" max="8986" width="12.28515625" style="27" customWidth="1"/>
    <col min="8987" max="8987" width="1.5703125" style="27" customWidth="1"/>
    <col min="8988" max="8988" width="12.28515625" style="27" customWidth="1"/>
    <col min="8989" max="8989" width="0.85546875" style="27" customWidth="1"/>
    <col min="8990" max="8990" width="12.28515625" style="27" customWidth="1"/>
    <col min="8991" max="8991" width="1.5703125" style="27" customWidth="1"/>
    <col min="8992" max="8992" width="12.28515625" style="27" customWidth="1"/>
    <col min="8993" max="8993" width="1.5703125" style="27" customWidth="1"/>
    <col min="8994" max="8994" width="12.28515625" style="27" customWidth="1"/>
    <col min="8995" max="8995" width="4.5703125" style="27" customWidth="1"/>
    <col min="8996" max="8996" width="1.42578125" style="27" customWidth="1"/>
    <col min="8997" max="9219" width="13.85546875" style="27"/>
    <col min="9220" max="9220" width="7.85546875" style="27" customWidth="1"/>
    <col min="9221" max="9222" width="2.28515625" style="27" customWidth="1"/>
    <col min="9223" max="9223" width="31.42578125" style="27" customWidth="1"/>
    <col min="9224" max="9224" width="2.28515625" style="27" customWidth="1"/>
    <col min="9225" max="9225" width="2.140625" style="27" customWidth="1"/>
    <col min="9226" max="9226" width="12.28515625" style="27" customWidth="1"/>
    <col min="9227" max="9227" width="1.5703125" style="27" customWidth="1"/>
    <col min="9228" max="9228" width="12.28515625" style="27" customWidth="1"/>
    <col min="9229" max="9229" width="1.5703125" style="27" customWidth="1"/>
    <col min="9230" max="9230" width="12.28515625" style="27" customWidth="1"/>
    <col min="9231" max="9231" width="1.5703125" style="27" customWidth="1"/>
    <col min="9232" max="9232" width="13.5703125" style="27" customWidth="1"/>
    <col min="9233" max="9233" width="0.85546875" style="27" customWidth="1"/>
    <col min="9234" max="9234" width="12.28515625" style="27" customWidth="1"/>
    <col min="9235" max="9235" width="1.5703125" style="27" customWidth="1"/>
    <col min="9236" max="9236" width="12.28515625" style="27" customWidth="1"/>
    <col min="9237" max="9237" width="1.5703125" style="27" customWidth="1"/>
    <col min="9238" max="9238" width="12.28515625" style="27" customWidth="1"/>
    <col min="9239" max="9239" width="0.85546875" style="27" customWidth="1"/>
    <col min="9240" max="9240" width="12.28515625" style="27" customWidth="1"/>
    <col min="9241" max="9241" width="1.5703125" style="27" customWidth="1"/>
    <col min="9242" max="9242" width="12.28515625" style="27" customWidth="1"/>
    <col min="9243" max="9243" width="1.5703125" style="27" customWidth="1"/>
    <col min="9244" max="9244" width="12.28515625" style="27" customWidth="1"/>
    <col min="9245" max="9245" width="0.85546875" style="27" customWidth="1"/>
    <col min="9246" max="9246" width="12.28515625" style="27" customWidth="1"/>
    <col min="9247" max="9247" width="1.5703125" style="27" customWidth="1"/>
    <col min="9248" max="9248" width="12.28515625" style="27" customWidth="1"/>
    <col min="9249" max="9249" width="1.5703125" style="27" customWidth="1"/>
    <col min="9250" max="9250" width="12.28515625" style="27" customWidth="1"/>
    <col min="9251" max="9251" width="4.5703125" style="27" customWidth="1"/>
    <col min="9252" max="9252" width="1.42578125" style="27" customWidth="1"/>
    <col min="9253" max="9475" width="13.85546875" style="27"/>
    <col min="9476" max="9476" width="7.85546875" style="27" customWidth="1"/>
    <col min="9477" max="9478" width="2.28515625" style="27" customWidth="1"/>
    <col min="9479" max="9479" width="31.42578125" style="27" customWidth="1"/>
    <col min="9480" max="9480" width="2.28515625" style="27" customWidth="1"/>
    <col min="9481" max="9481" width="2.140625" style="27" customWidth="1"/>
    <col min="9482" max="9482" width="12.28515625" style="27" customWidth="1"/>
    <col min="9483" max="9483" width="1.5703125" style="27" customWidth="1"/>
    <col min="9484" max="9484" width="12.28515625" style="27" customWidth="1"/>
    <col min="9485" max="9485" width="1.5703125" style="27" customWidth="1"/>
    <col min="9486" max="9486" width="12.28515625" style="27" customWidth="1"/>
    <col min="9487" max="9487" width="1.5703125" style="27" customWidth="1"/>
    <col min="9488" max="9488" width="13.5703125" style="27" customWidth="1"/>
    <col min="9489" max="9489" width="0.85546875" style="27" customWidth="1"/>
    <col min="9490" max="9490" width="12.28515625" style="27" customWidth="1"/>
    <col min="9491" max="9491" width="1.5703125" style="27" customWidth="1"/>
    <col min="9492" max="9492" width="12.28515625" style="27" customWidth="1"/>
    <col min="9493" max="9493" width="1.5703125" style="27" customWidth="1"/>
    <col min="9494" max="9494" width="12.28515625" style="27" customWidth="1"/>
    <col min="9495" max="9495" width="0.85546875" style="27" customWidth="1"/>
    <col min="9496" max="9496" width="12.28515625" style="27" customWidth="1"/>
    <col min="9497" max="9497" width="1.5703125" style="27" customWidth="1"/>
    <col min="9498" max="9498" width="12.28515625" style="27" customWidth="1"/>
    <col min="9499" max="9499" width="1.5703125" style="27" customWidth="1"/>
    <col min="9500" max="9500" width="12.28515625" style="27" customWidth="1"/>
    <col min="9501" max="9501" width="0.85546875" style="27" customWidth="1"/>
    <col min="9502" max="9502" width="12.28515625" style="27" customWidth="1"/>
    <col min="9503" max="9503" width="1.5703125" style="27" customWidth="1"/>
    <col min="9504" max="9504" width="12.28515625" style="27" customWidth="1"/>
    <col min="9505" max="9505" width="1.5703125" style="27" customWidth="1"/>
    <col min="9506" max="9506" width="12.28515625" style="27" customWidth="1"/>
    <col min="9507" max="9507" width="4.5703125" style="27" customWidth="1"/>
    <col min="9508" max="9508" width="1.42578125" style="27" customWidth="1"/>
    <col min="9509" max="9731" width="13.85546875" style="27"/>
    <col min="9732" max="9732" width="7.85546875" style="27" customWidth="1"/>
    <col min="9733" max="9734" width="2.28515625" style="27" customWidth="1"/>
    <col min="9735" max="9735" width="31.42578125" style="27" customWidth="1"/>
    <col min="9736" max="9736" width="2.28515625" style="27" customWidth="1"/>
    <col min="9737" max="9737" width="2.140625" style="27" customWidth="1"/>
    <col min="9738" max="9738" width="12.28515625" style="27" customWidth="1"/>
    <col min="9739" max="9739" width="1.5703125" style="27" customWidth="1"/>
    <col min="9740" max="9740" width="12.28515625" style="27" customWidth="1"/>
    <col min="9741" max="9741" width="1.5703125" style="27" customWidth="1"/>
    <col min="9742" max="9742" width="12.28515625" style="27" customWidth="1"/>
    <col min="9743" max="9743" width="1.5703125" style="27" customWidth="1"/>
    <col min="9744" max="9744" width="13.5703125" style="27" customWidth="1"/>
    <col min="9745" max="9745" width="0.85546875" style="27" customWidth="1"/>
    <col min="9746" max="9746" width="12.28515625" style="27" customWidth="1"/>
    <col min="9747" max="9747" width="1.5703125" style="27" customWidth="1"/>
    <col min="9748" max="9748" width="12.28515625" style="27" customWidth="1"/>
    <col min="9749" max="9749" width="1.5703125" style="27" customWidth="1"/>
    <col min="9750" max="9750" width="12.28515625" style="27" customWidth="1"/>
    <col min="9751" max="9751" width="0.85546875" style="27" customWidth="1"/>
    <col min="9752" max="9752" width="12.28515625" style="27" customWidth="1"/>
    <col min="9753" max="9753" width="1.5703125" style="27" customWidth="1"/>
    <col min="9754" max="9754" width="12.28515625" style="27" customWidth="1"/>
    <col min="9755" max="9755" width="1.5703125" style="27" customWidth="1"/>
    <col min="9756" max="9756" width="12.28515625" style="27" customWidth="1"/>
    <col min="9757" max="9757" width="0.85546875" style="27" customWidth="1"/>
    <col min="9758" max="9758" width="12.28515625" style="27" customWidth="1"/>
    <col min="9759" max="9759" width="1.5703125" style="27" customWidth="1"/>
    <col min="9760" max="9760" width="12.28515625" style="27" customWidth="1"/>
    <col min="9761" max="9761" width="1.5703125" style="27" customWidth="1"/>
    <col min="9762" max="9762" width="12.28515625" style="27" customWidth="1"/>
    <col min="9763" max="9763" width="4.5703125" style="27" customWidth="1"/>
    <col min="9764" max="9764" width="1.42578125" style="27" customWidth="1"/>
    <col min="9765" max="9987" width="13.85546875" style="27"/>
    <col min="9988" max="9988" width="7.85546875" style="27" customWidth="1"/>
    <col min="9989" max="9990" width="2.28515625" style="27" customWidth="1"/>
    <col min="9991" max="9991" width="31.42578125" style="27" customWidth="1"/>
    <col min="9992" max="9992" width="2.28515625" style="27" customWidth="1"/>
    <col min="9993" max="9993" width="2.140625" style="27" customWidth="1"/>
    <col min="9994" max="9994" width="12.28515625" style="27" customWidth="1"/>
    <col min="9995" max="9995" width="1.5703125" style="27" customWidth="1"/>
    <col min="9996" max="9996" width="12.28515625" style="27" customWidth="1"/>
    <col min="9997" max="9997" width="1.5703125" style="27" customWidth="1"/>
    <col min="9998" max="9998" width="12.28515625" style="27" customWidth="1"/>
    <col min="9999" max="9999" width="1.5703125" style="27" customWidth="1"/>
    <col min="10000" max="10000" width="13.5703125" style="27" customWidth="1"/>
    <col min="10001" max="10001" width="0.85546875" style="27" customWidth="1"/>
    <col min="10002" max="10002" width="12.28515625" style="27" customWidth="1"/>
    <col min="10003" max="10003" width="1.5703125" style="27" customWidth="1"/>
    <col min="10004" max="10004" width="12.28515625" style="27" customWidth="1"/>
    <col min="10005" max="10005" width="1.5703125" style="27" customWidth="1"/>
    <col min="10006" max="10006" width="12.28515625" style="27" customWidth="1"/>
    <col min="10007" max="10007" width="0.85546875" style="27" customWidth="1"/>
    <col min="10008" max="10008" width="12.28515625" style="27" customWidth="1"/>
    <col min="10009" max="10009" width="1.5703125" style="27" customWidth="1"/>
    <col min="10010" max="10010" width="12.28515625" style="27" customWidth="1"/>
    <col min="10011" max="10011" width="1.5703125" style="27" customWidth="1"/>
    <col min="10012" max="10012" width="12.28515625" style="27" customWidth="1"/>
    <col min="10013" max="10013" width="0.85546875" style="27" customWidth="1"/>
    <col min="10014" max="10014" width="12.28515625" style="27" customWidth="1"/>
    <col min="10015" max="10015" width="1.5703125" style="27" customWidth="1"/>
    <col min="10016" max="10016" width="12.28515625" style="27" customWidth="1"/>
    <col min="10017" max="10017" width="1.5703125" style="27" customWidth="1"/>
    <col min="10018" max="10018" width="12.28515625" style="27" customWidth="1"/>
    <col min="10019" max="10019" width="4.5703125" style="27" customWidth="1"/>
    <col min="10020" max="10020" width="1.42578125" style="27" customWidth="1"/>
    <col min="10021" max="10243" width="13.85546875" style="27"/>
    <col min="10244" max="10244" width="7.85546875" style="27" customWidth="1"/>
    <col min="10245" max="10246" width="2.28515625" style="27" customWidth="1"/>
    <col min="10247" max="10247" width="31.42578125" style="27" customWidth="1"/>
    <col min="10248" max="10248" width="2.28515625" style="27" customWidth="1"/>
    <col min="10249" max="10249" width="2.140625" style="27" customWidth="1"/>
    <col min="10250" max="10250" width="12.28515625" style="27" customWidth="1"/>
    <col min="10251" max="10251" width="1.5703125" style="27" customWidth="1"/>
    <col min="10252" max="10252" width="12.28515625" style="27" customWidth="1"/>
    <col min="10253" max="10253" width="1.5703125" style="27" customWidth="1"/>
    <col min="10254" max="10254" width="12.28515625" style="27" customWidth="1"/>
    <col min="10255" max="10255" width="1.5703125" style="27" customWidth="1"/>
    <col min="10256" max="10256" width="13.5703125" style="27" customWidth="1"/>
    <col min="10257" max="10257" width="0.85546875" style="27" customWidth="1"/>
    <col min="10258" max="10258" width="12.28515625" style="27" customWidth="1"/>
    <col min="10259" max="10259" width="1.5703125" style="27" customWidth="1"/>
    <col min="10260" max="10260" width="12.28515625" style="27" customWidth="1"/>
    <col min="10261" max="10261" width="1.5703125" style="27" customWidth="1"/>
    <col min="10262" max="10262" width="12.28515625" style="27" customWidth="1"/>
    <col min="10263" max="10263" width="0.85546875" style="27" customWidth="1"/>
    <col min="10264" max="10264" width="12.28515625" style="27" customWidth="1"/>
    <col min="10265" max="10265" width="1.5703125" style="27" customWidth="1"/>
    <col min="10266" max="10266" width="12.28515625" style="27" customWidth="1"/>
    <col min="10267" max="10267" width="1.5703125" style="27" customWidth="1"/>
    <col min="10268" max="10268" width="12.28515625" style="27" customWidth="1"/>
    <col min="10269" max="10269" width="0.85546875" style="27" customWidth="1"/>
    <col min="10270" max="10270" width="12.28515625" style="27" customWidth="1"/>
    <col min="10271" max="10271" width="1.5703125" style="27" customWidth="1"/>
    <col min="10272" max="10272" width="12.28515625" style="27" customWidth="1"/>
    <col min="10273" max="10273" width="1.5703125" style="27" customWidth="1"/>
    <col min="10274" max="10274" width="12.28515625" style="27" customWidth="1"/>
    <col min="10275" max="10275" width="4.5703125" style="27" customWidth="1"/>
    <col min="10276" max="10276" width="1.42578125" style="27" customWidth="1"/>
    <col min="10277" max="10499" width="13.85546875" style="27"/>
    <col min="10500" max="10500" width="7.85546875" style="27" customWidth="1"/>
    <col min="10501" max="10502" width="2.28515625" style="27" customWidth="1"/>
    <col min="10503" max="10503" width="31.42578125" style="27" customWidth="1"/>
    <col min="10504" max="10504" width="2.28515625" style="27" customWidth="1"/>
    <col min="10505" max="10505" width="2.140625" style="27" customWidth="1"/>
    <col min="10506" max="10506" width="12.28515625" style="27" customWidth="1"/>
    <col min="10507" max="10507" width="1.5703125" style="27" customWidth="1"/>
    <col min="10508" max="10508" width="12.28515625" style="27" customWidth="1"/>
    <col min="10509" max="10509" width="1.5703125" style="27" customWidth="1"/>
    <col min="10510" max="10510" width="12.28515625" style="27" customWidth="1"/>
    <col min="10511" max="10511" width="1.5703125" style="27" customWidth="1"/>
    <col min="10512" max="10512" width="13.5703125" style="27" customWidth="1"/>
    <col min="10513" max="10513" width="0.85546875" style="27" customWidth="1"/>
    <col min="10514" max="10514" width="12.28515625" style="27" customWidth="1"/>
    <col min="10515" max="10515" width="1.5703125" style="27" customWidth="1"/>
    <col min="10516" max="10516" width="12.28515625" style="27" customWidth="1"/>
    <col min="10517" max="10517" width="1.5703125" style="27" customWidth="1"/>
    <col min="10518" max="10518" width="12.28515625" style="27" customWidth="1"/>
    <col min="10519" max="10519" width="0.85546875" style="27" customWidth="1"/>
    <col min="10520" max="10520" width="12.28515625" style="27" customWidth="1"/>
    <col min="10521" max="10521" width="1.5703125" style="27" customWidth="1"/>
    <col min="10522" max="10522" width="12.28515625" style="27" customWidth="1"/>
    <col min="10523" max="10523" width="1.5703125" style="27" customWidth="1"/>
    <col min="10524" max="10524" width="12.28515625" style="27" customWidth="1"/>
    <col min="10525" max="10525" width="0.85546875" style="27" customWidth="1"/>
    <col min="10526" max="10526" width="12.28515625" style="27" customWidth="1"/>
    <col min="10527" max="10527" width="1.5703125" style="27" customWidth="1"/>
    <col min="10528" max="10528" width="12.28515625" style="27" customWidth="1"/>
    <col min="10529" max="10529" width="1.5703125" style="27" customWidth="1"/>
    <col min="10530" max="10530" width="12.28515625" style="27" customWidth="1"/>
    <col min="10531" max="10531" width="4.5703125" style="27" customWidth="1"/>
    <col min="10532" max="10532" width="1.42578125" style="27" customWidth="1"/>
    <col min="10533" max="10755" width="13.85546875" style="27"/>
    <col min="10756" max="10756" width="7.85546875" style="27" customWidth="1"/>
    <col min="10757" max="10758" width="2.28515625" style="27" customWidth="1"/>
    <col min="10759" max="10759" width="31.42578125" style="27" customWidth="1"/>
    <col min="10760" max="10760" width="2.28515625" style="27" customWidth="1"/>
    <col min="10761" max="10761" width="2.140625" style="27" customWidth="1"/>
    <col min="10762" max="10762" width="12.28515625" style="27" customWidth="1"/>
    <col min="10763" max="10763" width="1.5703125" style="27" customWidth="1"/>
    <col min="10764" max="10764" width="12.28515625" style="27" customWidth="1"/>
    <col min="10765" max="10765" width="1.5703125" style="27" customWidth="1"/>
    <col min="10766" max="10766" width="12.28515625" style="27" customWidth="1"/>
    <col min="10767" max="10767" width="1.5703125" style="27" customWidth="1"/>
    <col min="10768" max="10768" width="13.5703125" style="27" customWidth="1"/>
    <col min="10769" max="10769" width="0.85546875" style="27" customWidth="1"/>
    <col min="10770" max="10770" width="12.28515625" style="27" customWidth="1"/>
    <col min="10771" max="10771" width="1.5703125" style="27" customWidth="1"/>
    <col min="10772" max="10772" width="12.28515625" style="27" customWidth="1"/>
    <col min="10773" max="10773" width="1.5703125" style="27" customWidth="1"/>
    <col min="10774" max="10774" width="12.28515625" style="27" customWidth="1"/>
    <col min="10775" max="10775" width="0.85546875" style="27" customWidth="1"/>
    <col min="10776" max="10776" width="12.28515625" style="27" customWidth="1"/>
    <col min="10777" max="10777" width="1.5703125" style="27" customWidth="1"/>
    <col min="10778" max="10778" width="12.28515625" style="27" customWidth="1"/>
    <col min="10779" max="10779" width="1.5703125" style="27" customWidth="1"/>
    <col min="10780" max="10780" width="12.28515625" style="27" customWidth="1"/>
    <col min="10781" max="10781" width="0.85546875" style="27" customWidth="1"/>
    <col min="10782" max="10782" width="12.28515625" style="27" customWidth="1"/>
    <col min="10783" max="10783" width="1.5703125" style="27" customWidth="1"/>
    <col min="10784" max="10784" width="12.28515625" style="27" customWidth="1"/>
    <col min="10785" max="10785" width="1.5703125" style="27" customWidth="1"/>
    <col min="10786" max="10786" width="12.28515625" style="27" customWidth="1"/>
    <col min="10787" max="10787" width="4.5703125" style="27" customWidth="1"/>
    <col min="10788" max="10788" width="1.42578125" style="27" customWidth="1"/>
    <col min="10789" max="11011" width="13.85546875" style="27"/>
    <col min="11012" max="11012" width="7.85546875" style="27" customWidth="1"/>
    <col min="11013" max="11014" width="2.28515625" style="27" customWidth="1"/>
    <col min="11015" max="11015" width="31.42578125" style="27" customWidth="1"/>
    <col min="11016" max="11016" width="2.28515625" style="27" customWidth="1"/>
    <col min="11017" max="11017" width="2.140625" style="27" customWidth="1"/>
    <col min="11018" max="11018" width="12.28515625" style="27" customWidth="1"/>
    <col min="11019" max="11019" width="1.5703125" style="27" customWidth="1"/>
    <col min="11020" max="11020" width="12.28515625" style="27" customWidth="1"/>
    <col min="11021" max="11021" width="1.5703125" style="27" customWidth="1"/>
    <col min="11022" max="11022" width="12.28515625" style="27" customWidth="1"/>
    <col min="11023" max="11023" width="1.5703125" style="27" customWidth="1"/>
    <col min="11024" max="11024" width="13.5703125" style="27" customWidth="1"/>
    <col min="11025" max="11025" width="0.85546875" style="27" customWidth="1"/>
    <col min="11026" max="11026" width="12.28515625" style="27" customWidth="1"/>
    <col min="11027" max="11027" width="1.5703125" style="27" customWidth="1"/>
    <col min="11028" max="11028" width="12.28515625" style="27" customWidth="1"/>
    <col min="11029" max="11029" width="1.5703125" style="27" customWidth="1"/>
    <col min="11030" max="11030" width="12.28515625" style="27" customWidth="1"/>
    <col min="11031" max="11031" width="0.85546875" style="27" customWidth="1"/>
    <col min="11032" max="11032" width="12.28515625" style="27" customWidth="1"/>
    <col min="11033" max="11033" width="1.5703125" style="27" customWidth="1"/>
    <col min="11034" max="11034" width="12.28515625" style="27" customWidth="1"/>
    <col min="11035" max="11035" width="1.5703125" style="27" customWidth="1"/>
    <col min="11036" max="11036" width="12.28515625" style="27" customWidth="1"/>
    <col min="11037" max="11037" width="0.85546875" style="27" customWidth="1"/>
    <col min="11038" max="11038" width="12.28515625" style="27" customWidth="1"/>
    <col min="11039" max="11039" width="1.5703125" style="27" customWidth="1"/>
    <col min="11040" max="11040" width="12.28515625" style="27" customWidth="1"/>
    <col min="11041" max="11041" width="1.5703125" style="27" customWidth="1"/>
    <col min="11042" max="11042" width="12.28515625" style="27" customWidth="1"/>
    <col min="11043" max="11043" width="4.5703125" style="27" customWidth="1"/>
    <col min="11044" max="11044" width="1.42578125" style="27" customWidth="1"/>
    <col min="11045" max="11267" width="13.85546875" style="27"/>
    <col min="11268" max="11268" width="7.85546875" style="27" customWidth="1"/>
    <col min="11269" max="11270" width="2.28515625" style="27" customWidth="1"/>
    <col min="11271" max="11271" width="31.42578125" style="27" customWidth="1"/>
    <col min="11272" max="11272" width="2.28515625" style="27" customWidth="1"/>
    <col min="11273" max="11273" width="2.140625" style="27" customWidth="1"/>
    <col min="11274" max="11274" width="12.28515625" style="27" customWidth="1"/>
    <col min="11275" max="11275" width="1.5703125" style="27" customWidth="1"/>
    <col min="11276" max="11276" width="12.28515625" style="27" customWidth="1"/>
    <col min="11277" max="11277" width="1.5703125" style="27" customWidth="1"/>
    <col min="11278" max="11278" width="12.28515625" style="27" customWidth="1"/>
    <col min="11279" max="11279" width="1.5703125" style="27" customWidth="1"/>
    <col min="11280" max="11280" width="13.5703125" style="27" customWidth="1"/>
    <col min="11281" max="11281" width="0.85546875" style="27" customWidth="1"/>
    <col min="11282" max="11282" width="12.28515625" style="27" customWidth="1"/>
    <col min="11283" max="11283" width="1.5703125" style="27" customWidth="1"/>
    <col min="11284" max="11284" width="12.28515625" style="27" customWidth="1"/>
    <col min="11285" max="11285" width="1.5703125" style="27" customWidth="1"/>
    <col min="11286" max="11286" width="12.28515625" style="27" customWidth="1"/>
    <col min="11287" max="11287" width="0.85546875" style="27" customWidth="1"/>
    <col min="11288" max="11288" width="12.28515625" style="27" customWidth="1"/>
    <col min="11289" max="11289" width="1.5703125" style="27" customWidth="1"/>
    <col min="11290" max="11290" width="12.28515625" style="27" customWidth="1"/>
    <col min="11291" max="11291" width="1.5703125" style="27" customWidth="1"/>
    <col min="11292" max="11292" width="12.28515625" style="27" customWidth="1"/>
    <col min="11293" max="11293" width="0.85546875" style="27" customWidth="1"/>
    <col min="11294" max="11294" width="12.28515625" style="27" customWidth="1"/>
    <col min="11295" max="11295" width="1.5703125" style="27" customWidth="1"/>
    <col min="11296" max="11296" width="12.28515625" style="27" customWidth="1"/>
    <col min="11297" max="11297" width="1.5703125" style="27" customWidth="1"/>
    <col min="11298" max="11298" width="12.28515625" style="27" customWidth="1"/>
    <col min="11299" max="11299" width="4.5703125" style="27" customWidth="1"/>
    <col min="11300" max="11300" width="1.42578125" style="27" customWidth="1"/>
    <col min="11301" max="11523" width="13.85546875" style="27"/>
    <col min="11524" max="11524" width="7.85546875" style="27" customWidth="1"/>
    <col min="11525" max="11526" width="2.28515625" style="27" customWidth="1"/>
    <col min="11527" max="11527" width="31.42578125" style="27" customWidth="1"/>
    <col min="11528" max="11528" width="2.28515625" style="27" customWidth="1"/>
    <col min="11529" max="11529" width="2.140625" style="27" customWidth="1"/>
    <col min="11530" max="11530" width="12.28515625" style="27" customWidth="1"/>
    <col min="11531" max="11531" width="1.5703125" style="27" customWidth="1"/>
    <col min="11532" max="11532" width="12.28515625" style="27" customWidth="1"/>
    <col min="11533" max="11533" width="1.5703125" style="27" customWidth="1"/>
    <col min="11534" max="11534" width="12.28515625" style="27" customWidth="1"/>
    <col min="11535" max="11535" width="1.5703125" style="27" customWidth="1"/>
    <col min="11536" max="11536" width="13.5703125" style="27" customWidth="1"/>
    <col min="11537" max="11537" width="0.85546875" style="27" customWidth="1"/>
    <col min="11538" max="11538" width="12.28515625" style="27" customWidth="1"/>
    <col min="11539" max="11539" width="1.5703125" style="27" customWidth="1"/>
    <col min="11540" max="11540" width="12.28515625" style="27" customWidth="1"/>
    <col min="11541" max="11541" width="1.5703125" style="27" customWidth="1"/>
    <col min="11542" max="11542" width="12.28515625" style="27" customWidth="1"/>
    <col min="11543" max="11543" width="0.85546875" style="27" customWidth="1"/>
    <col min="11544" max="11544" width="12.28515625" style="27" customWidth="1"/>
    <col min="11545" max="11545" width="1.5703125" style="27" customWidth="1"/>
    <col min="11546" max="11546" width="12.28515625" style="27" customWidth="1"/>
    <col min="11547" max="11547" width="1.5703125" style="27" customWidth="1"/>
    <col min="11548" max="11548" width="12.28515625" style="27" customWidth="1"/>
    <col min="11549" max="11549" width="0.85546875" style="27" customWidth="1"/>
    <col min="11550" max="11550" width="12.28515625" style="27" customWidth="1"/>
    <col min="11551" max="11551" width="1.5703125" style="27" customWidth="1"/>
    <col min="11552" max="11552" width="12.28515625" style="27" customWidth="1"/>
    <col min="11553" max="11553" width="1.5703125" style="27" customWidth="1"/>
    <col min="11554" max="11554" width="12.28515625" style="27" customWidth="1"/>
    <col min="11555" max="11555" width="4.5703125" style="27" customWidth="1"/>
    <col min="11556" max="11556" width="1.42578125" style="27" customWidth="1"/>
    <col min="11557" max="11779" width="13.85546875" style="27"/>
    <col min="11780" max="11780" width="7.85546875" style="27" customWidth="1"/>
    <col min="11781" max="11782" width="2.28515625" style="27" customWidth="1"/>
    <col min="11783" max="11783" width="31.42578125" style="27" customWidth="1"/>
    <col min="11784" max="11784" width="2.28515625" style="27" customWidth="1"/>
    <col min="11785" max="11785" width="2.140625" style="27" customWidth="1"/>
    <col min="11786" max="11786" width="12.28515625" style="27" customWidth="1"/>
    <col min="11787" max="11787" width="1.5703125" style="27" customWidth="1"/>
    <col min="11788" max="11788" width="12.28515625" style="27" customWidth="1"/>
    <col min="11789" max="11789" width="1.5703125" style="27" customWidth="1"/>
    <col min="11790" max="11790" width="12.28515625" style="27" customWidth="1"/>
    <col min="11791" max="11791" width="1.5703125" style="27" customWidth="1"/>
    <col min="11792" max="11792" width="13.5703125" style="27" customWidth="1"/>
    <col min="11793" max="11793" width="0.85546875" style="27" customWidth="1"/>
    <col min="11794" max="11794" width="12.28515625" style="27" customWidth="1"/>
    <col min="11795" max="11795" width="1.5703125" style="27" customWidth="1"/>
    <col min="11796" max="11796" width="12.28515625" style="27" customWidth="1"/>
    <col min="11797" max="11797" width="1.5703125" style="27" customWidth="1"/>
    <col min="11798" max="11798" width="12.28515625" style="27" customWidth="1"/>
    <col min="11799" max="11799" width="0.85546875" style="27" customWidth="1"/>
    <col min="11800" max="11800" width="12.28515625" style="27" customWidth="1"/>
    <col min="11801" max="11801" width="1.5703125" style="27" customWidth="1"/>
    <col min="11802" max="11802" width="12.28515625" style="27" customWidth="1"/>
    <col min="11803" max="11803" width="1.5703125" style="27" customWidth="1"/>
    <col min="11804" max="11804" width="12.28515625" style="27" customWidth="1"/>
    <col min="11805" max="11805" width="0.85546875" style="27" customWidth="1"/>
    <col min="11806" max="11806" width="12.28515625" style="27" customWidth="1"/>
    <col min="11807" max="11807" width="1.5703125" style="27" customWidth="1"/>
    <col min="11808" max="11808" width="12.28515625" style="27" customWidth="1"/>
    <col min="11809" max="11809" width="1.5703125" style="27" customWidth="1"/>
    <col min="11810" max="11810" width="12.28515625" style="27" customWidth="1"/>
    <col min="11811" max="11811" width="4.5703125" style="27" customWidth="1"/>
    <col min="11812" max="11812" width="1.42578125" style="27" customWidth="1"/>
    <col min="11813" max="12035" width="13.85546875" style="27"/>
    <col min="12036" max="12036" width="7.85546875" style="27" customWidth="1"/>
    <col min="12037" max="12038" width="2.28515625" style="27" customWidth="1"/>
    <col min="12039" max="12039" width="31.42578125" style="27" customWidth="1"/>
    <col min="12040" max="12040" width="2.28515625" style="27" customWidth="1"/>
    <col min="12041" max="12041" width="2.140625" style="27" customWidth="1"/>
    <col min="12042" max="12042" width="12.28515625" style="27" customWidth="1"/>
    <col min="12043" max="12043" width="1.5703125" style="27" customWidth="1"/>
    <col min="12044" max="12044" width="12.28515625" style="27" customWidth="1"/>
    <col min="12045" max="12045" width="1.5703125" style="27" customWidth="1"/>
    <col min="12046" max="12046" width="12.28515625" style="27" customWidth="1"/>
    <col min="12047" max="12047" width="1.5703125" style="27" customWidth="1"/>
    <col min="12048" max="12048" width="13.5703125" style="27" customWidth="1"/>
    <col min="12049" max="12049" width="0.85546875" style="27" customWidth="1"/>
    <col min="12050" max="12050" width="12.28515625" style="27" customWidth="1"/>
    <col min="12051" max="12051" width="1.5703125" style="27" customWidth="1"/>
    <col min="12052" max="12052" width="12.28515625" style="27" customWidth="1"/>
    <col min="12053" max="12053" width="1.5703125" style="27" customWidth="1"/>
    <col min="12054" max="12054" width="12.28515625" style="27" customWidth="1"/>
    <col min="12055" max="12055" width="0.85546875" style="27" customWidth="1"/>
    <col min="12056" max="12056" width="12.28515625" style="27" customWidth="1"/>
    <col min="12057" max="12057" width="1.5703125" style="27" customWidth="1"/>
    <col min="12058" max="12058" width="12.28515625" style="27" customWidth="1"/>
    <col min="12059" max="12059" width="1.5703125" style="27" customWidth="1"/>
    <col min="12060" max="12060" width="12.28515625" style="27" customWidth="1"/>
    <col min="12061" max="12061" width="0.85546875" style="27" customWidth="1"/>
    <col min="12062" max="12062" width="12.28515625" style="27" customWidth="1"/>
    <col min="12063" max="12063" width="1.5703125" style="27" customWidth="1"/>
    <col min="12064" max="12064" width="12.28515625" style="27" customWidth="1"/>
    <col min="12065" max="12065" width="1.5703125" style="27" customWidth="1"/>
    <col min="12066" max="12066" width="12.28515625" style="27" customWidth="1"/>
    <col min="12067" max="12067" width="4.5703125" style="27" customWidth="1"/>
    <col min="12068" max="12068" width="1.42578125" style="27" customWidth="1"/>
    <col min="12069" max="12291" width="13.85546875" style="27"/>
    <col min="12292" max="12292" width="7.85546875" style="27" customWidth="1"/>
    <col min="12293" max="12294" width="2.28515625" style="27" customWidth="1"/>
    <col min="12295" max="12295" width="31.42578125" style="27" customWidth="1"/>
    <col min="12296" max="12296" width="2.28515625" style="27" customWidth="1"/>
    <col min="12297" max="12297" width="2.140625" style="27" customWidth="1"/>
    <col min="12298" max="12298" width="12.28515625" style="27" customWidth="1"/>
    <col min="12299" max="12299" width="1.5703125" style="27" customWidth="1"/>
    <col min="12300" max="12300" width="12.28515625" style="27" customWidth="1"/>
    <col min="12301" max="12301" width="1.5703125" style="27" customWidth="1"/>
    <col min="12302" max="12302" width="12.28515625" style="27" customWidth="1"/>
    <col min="12303" max="12303" width="1.5703125" style="27" customWidth="1"/>
    <col min="12304" max="12304" width="13.5703125" style="27" customWidth="1"/>
    <col min="12305" max="12305" width="0.85546875" style="27" customWidth="1"/>
    <col min="12306" max="12306" width="12.28515625" style="27" customWidth="1"/>
    <col min="12307" max="12307" width="1.5703125" style="27" customWidth="1"/>
    <col min="12308" max="12308" width="12.28515625" style="27" customWidth="1"/>
    <col min="12309" max="12309" width="1.5703125" style="27" customWidth="1"/>
    <col min="12310" max="12310" width="12.28515625" style="27" customWidth="1"/>
    <col min="12311" max="12311" width="0.85546875" style="27" customWidth="1"/>
    <col min="12312" max="12312" width="12.28515625" style="27" customWidth="1"/>
    <col min="12313" max="12313" width="1.5703125" style="27" customWidth="1"/>
    <col min="12314" max="12314" width="12.28515625" style="27" customWidth="1"/>
    <col min="12315" max="12315" width="1.5703125" style="27" customWidth="1"/>
    <col min="12316" max="12316" width="12.28515625" style="27" customWidth="1"/>
    <col min="12317" max="12317" width="0.85546875" style="27" customWidth="1"/>
    <col min="12318" max="12318" width="12.28515625" style="27" customWidth="1"/>
    <col min="12319" max="12319" width="1.5703125" style="27" customWidth="1"/>
    <col min="12320" max="12320" width="12.28515625" style="27" customWidth="1"/>
    <col min="12321" max="12321" width="1.5703125" style="27" customWidth="1"/>
    <col min="12322" max="12322" width="12.28515625" style="27" customWidth="1"/>
    <col min="12323" max="12323" width="4.5703125" style="27" customWidth="1"/>
    <col min="12324" max="12324" width="1.42578125" style="27" customWidth="1"/>
    <col min="12325" max="12547" width="13.85546875" style="27"/>
    <col min="12548" max="12548" width="7.85546875" style="27" customWidth="1"/>
    <col min="12549" max="12550" width="2.28515625" style="27" customWidth="1"/>
    <col min="12551" max="12551" width="31.42578125" style="27" customWidth="1"/>
    <col min="12552" max="12552" width="2.28515625" style="27" customWidth="1"/>
    <col min="12553" max="12553" width="2.140625" style="27" customWidth="1"/>
    <col min="12554" max="12554" width="12.28515625" style="27" customWidth="1"/>
    <col min="12555" max="12555" width="1.5703125" style="27" customWidth="1"/>
    <col min="12556" max="12556" width="12.28515625" style="27" customWidth="1"/>
    <col min="12557" max="12557" width="1.5703125" style="27" customWidth="1"/>
    <col min="12558" max="12558" width="12.28515625" style="27" customWidth="1"/>
    <col min="12559" max="12559" width="1.5703125" style="27" customWidth="1"/>
    <col min="12560" max="12560" width="13.5703125" style="27" customWidth="1"/>
    <col min="12561" max="12561" width="0.85546875" style="27" customWidth="1"/>
    <col min="12562" max="12562" width="12.28515625" style="27" customWidth="1"/>
    <col min="12563" max="12563" width="1.5703125" style="27" customWidth="1"/>
    <col min="12564" max="12564" width="12.28515625" style="27" customWidth="1"/>
    <col min="12565" max="12565" width="1.5703125" style="27" customWidth="1"/>
    <col min="12566" max="12566" width="12.28515625" style="27" customWidth="1"/>
    <col min="12567" max="12567" width="0.85546875" style="27" customWidth="1"/>
    <col min="12568" max="12568" width="12.28515625" style="27" customWidth="1"/>
    <col min="12569" max="12569" width="1.5703125" style="27" customWidth="1"/>
    <col min="12570" max="12570" width="12.28515625" style="27" customWidth="1"/>
    <col min="12571" max="12571" width="1.5703125" style="27" customWidth="1"/>
    <col min="12572" max="12572" width="12.28515625" style="27" customWidth="1"/>
    <col min="12573" max="12573" width="0.85546875" style="27" customWidth="1"/>
    <col min="12574" max="12574" width="12.28515625" style="27" customWidth="1"/>
    <col min="12575" max="12575" width="1.5703125" style="27" customWidth="1"/>
    <col min="12576" max="12576" width="12.28515625" style="27" customWidth="1"/>
    <col min="12577" max="12577" width="1.5703125" style="27" customWidth="1"/>
    <col min="12578" max="12578" width="12.28515625" style="27" customWidth="1"/>
    <col min="12579" max="12579" width="4.5703125" style="27" customWidth="1"/>
    <col min="12580" max="12580" width="1.42578125" style="27" customWidth="1"/>
    <col min="12581" max="12803" width="13.85546875" style="27"/>
    <col min="12804" max="12804" width="7.85546875" style="27" customWidth="1"/>
    <col min="12805" max="12806" width="2.28515625" style="27" customWidth="1"/>
    <col min="12807" max="12807" width="31.42578125" style="27" customWidth="1"/>
    <col min="12808" max="12808" width="2.28515625" style="27" customWidth="1"/>
    <col min="12809" max="12809" width="2.140625" style="27" customWidth="1"/>
    <col min="12810" max="12810" width="12.28515625" style="27" customWidth="1"/>
    <col min="12811" max="12811" width="1.5703125" style="27" customWidth="1"/>
    <col min="12812" max="12812" width="12.28515625" style="27" customWidth="1"/>
    <col min="12813" max="12813" width="1.5703125" style="27" customWidth="1"/>
    <col min="12814" max="12814" width="12.28515625" style="27" customWidth="1"/>
    <col min="12815" max="12815" width="1.5703125" style="27" customWidth="1"/>
    <col min="12816" max="12816" width="13.5703125" style="27" customWidth="1"/>
    <col min="12817" max="12817" width="0.85546875" style="27" customWidth="1"/>
    <col min="12818" max="12818" width="12.28515625" style="27" customWidth="1"/>
    <col min="12819" max="12819" width="1.5703125" style="27" customWidth="1"/>
    <col min="12820" max="12820" width="12.28515625" style="27" customWidth="1"/>
    <col min="12821" max="12821" width="1.5703125" style="27" customWidth="1"/>
    <col min="12822" max="12822" width="12.28515625" style="27" customWidth="1"/>
    <col min="12823" max="12823" width="0.85546875" style="27" customWidth="1"/>
    <col min="12824" max="12824" width="12.28515625" style="27" customWidth="1"/>
    <col min="12825" max="12825" width="1.5703125" style="27" customWidth="1"/>
    <col min="12826" max="12826" width="12.28515625" style="27" customWidth="1"/>
    <col min="12827" max="12827" width="1.5703125" style="27" customWidth="1"/>
    <col min="12828" max="12828" width="12.28515625" style="27" customWidth="1"/>
    <col min="12829" max="12829" width="0.85546875" style="27" customWidth="1"/>
    <col min="12830" max="12830" width="12.28515625" style="27" customWidth="1"/>
    <col min="12831" max="12831" width="1.5703125" style="27" customWidth="1"/>
    <col min="12832" max="12832" width="12.28515625" style="27" customWidth="1"/>
    <col min="12833" max="12833" width="1.5703125" style="27" customWidth="1"/>
    <col min="12834" max="12834" width="12.28515625" style="27" customWidth="1"/>
    <col min="12835" max="12835" width="4.5703125" style="27" customWidth="1"/>
    <col min="12836" max="12836" width="1.42578125" style="27" customWidth="1"/>
    <col min="12837" max="13059" width="13.85546875" style="27"/>
    <col min="13060" max="13060" width="7.85546875" style="27" customWidth="1"/>
    <col min="13061" max="13062" width="2.28515625" style="27" customWidth="1"/>
    <col min="13063" max="13063" width="31.42578125" style="27" customWidth="1"/>
    <col min="13064" max="13064" width="2.28515625" style="27" customWidth="1"/>
    <col min="13065" max="13065" width="2.140625" style="27" customWidth="1"/>
    <col min="13066" max="13066" width="12.28515625" style="27" customWidth="1"/>
    <col min="13067" max="13067" width="1.5703125" style="27" customWidth="1"/>
    <col min="13068" max="13068" width="12.28515625" style="27" customWidth="1"/>
    <col min="13069" max="13069" width="1.5703125" style="27" customWidth="1"/>
    <col min="13070" max="13070" width="12.28515625" style="27" customWidth="1"/>
    <col min="13071" max="13071" width="1.5703125" style="27" customWidth="1"/>
    <col min="13072" max="13072" width="13.5703125" style="27" customWidth="1"/>
    <col min="13073" max="13073" width="0.85546875" style="27" customWidth="1"/>
    <col min="13074" max="13074" width="12.28515625" style="27" customWidth="1"/>
    <col min="13075" max="13075" width="1.5703125" style="27" customWidth="1"/>
    <col min="13076" max="13076" width="12.28515625" style="27" customWidth="1"/>
    <col min="13077" max="13077" width="1.5703125" style="27" customWidth="1"/>
    <col min="13078" max="13078" width="12.28515625" style="27" customWidth="1"/>
    <col min="13079" max="13079" width="0.85546875" style="27" customWidth="1"/>
    <col min="13080" max="13080" width="12.28515625" style="27" customWidth="1"/>
    <col min="13081" max="13081" width="1.5703125" style="27" customWidth="1"/>
    <col min="13082" max="13082" width="12.28515625" style="27" customWidth="1"/>
    <col min="13083" max="13083" width="1.5703125" style="27" customWidth="1"/>
    <col min="13084" max="13084" width="12.28515625" style="27" customWidth="1"/>
    <col min="13085" max="13085" width="0.85546875" style="27" customWidth="1"/>
    <col min="13086" max="13086" width="12.28515625" style="27" customWidth="1"/>
    <col min="13087" max="13087" width="1.5703125" style="27" customWidth="1"/>
    <col min="13088" max="13088" width="12.28515625" style="27" customWidth="1"/>
    <col min="13089" max="13089" width="1.5703125" style="27" customWidth="1"/>
    <col min="13090" max="13090" width="12.28515625" style="27" customWidth="1"/>
    <col min="13091" max="13091" width="4.5703125" style="27" customWidth="1"/>
    <col min="13092" max="13092" width="1.42578125" style="27" customWidth="1"/>
    <col min="13093" max="13315" width="13.85546875" style="27"/>
    <col min="13316" max="13316" width="7.85546875" style="27" customWidth="1"/>
    <col min="13317" max="13318" width="2.28515625" style="27" customWidth="1"/>
    <col min="13319" max="13319" width="31.42578125" style="27" customWidth="1"/>
    <col min="13320" max="13320" width="2.28515625" style="27" customWidth="1"/>
    <col min="13321" max="13321" width="2.140625" style="27" customWidth="1"/>
    <col min="13322" max="13322" width="12.28515625" style="27" customWidth="1"/>
    <col min="13323" max="13323" width="1.5703125" style="27" customWidth="1"/>
    <col min="13324" max="13324" width="12.28515625" style="27" customWidth="1"/>
    <col min="13325" max="13325" width="1.5703125" style="27" customWidth="1"/>
    <col min="13326" max="13326" width="12.28515625" style="27" customWidth="1"/>
    <col min="13327" max="13327" width="1.5703125" style="27" customWidth="1"/>
    <col min="13328" max="13328" width="13.5703125" style="27" customWidth="1"/>
    <col min="13329" max="13329" width="0.85546875" style="27" customWidth="1"/>
    <col min="13330" max="13330" width="12.28515625" style="27" customWidth="1"/>
    <col min="13331" max="13331" width="1.5703125" style="27" customWidth="1"/>
    <col min="13332" max="13332" width="12.28515625" style="27" customWidth="1"/>
    <col min="13333" max="13333" width="1.5703125" style="27" customWidth="1"/>
    <col min="13334" max="13334" width="12.28515625" style="27" customWidth="1"/>
    <col min="13335" max="13335" width="0.85546875" style="27" customWidth="1"/>
    <col min="13336" max="13336" width="12.28515625" style="27" customWidth="1"/>
    <col min="13337" max="13337" width="1.5703125" style="27" customWidth="1"/>
    <col min="13338" max="13338" width="12.28515625" style="27" customWidth="1"/>
    <col min="13339" max="13339" width="1.5703125" style="27" customWidth="1"/>
    <col min="13340" max="13340" width="12.28515625" style="27" customWidth="1"/>
    <col min="13341" max="13341" width="0.85546875" style="27" customWidth="1"/>
    <col min="13342" max="13342" width="12.28515625" style="27" customWidth="1"/>
    <col min="13343" max="13343" width="1.5703125" style="27" customWidth="1"/>
    <col min="13344" max="13344" width="12.28515625" style="27" customWidth="1"/>
    <col min="13345" max="13345" width="1.5703125" style="27" customWidth="1"/>
    <col min="13346" max="13346" width="12.28515625" style="27" customWidth="1"/>
    <col min="13347" max="13347" width="4.5703125" style="27" customWidth="1"/>
    <col min="13348" max="13348" width="1.42578125" style="27" customWidth="1"/>
    <col min="13349" max="13571" width="13.85546875" style="27"/>
    <col min="13572" max="13572" width="7.85546875" style="27" customWidth="1"/>
    <col min="13573" max="13574" width="2.28515625" style="27" customWidth="1"/>
    <col min="13575" max="13575" width="31.42578125" style="27" customWidth="1"/>
    <col min="13576" max="13576" width="2.28515625" style="27" customWidth="1"/>
    <col min="13577" max="13577" width="2.140625" style="27" customWidth="1"/>
    <col min="13578" max="13578" width="12.28515625" style="27" customWidth="1"/>
    <col min="13579" max="13579" width="1.5703125" style="27" customWidth="1"/>
    <col min="13580" max="13580" width="12.28515625" style="27" customWidth="1"/>
    <col min="13581" max="13581" width="1.5703125" style="27" customWidth="1"/>
    <col min="13582" max="13582" width="12.28515625" style="27" customWidth="1"/>
    <col min="13583" max="13583" width="1.5703125" style="27" customWidth="1"/>
    <col min="13584" max="13584" width="13.5703125" style="27" customWidth="1"/>
    <col min="13585" max="13585" width="0.85546875" style="27" customWidth="1"/>
    <col min="13586" max="13586" width="12.28515625" style="27" customWidth="1"/>
    <col min="13587" max="13587" width="1.5703125" style="27" customWidth="1"/>
    <col min="13588" max="13588" width="12.28515625" style="27" customWidth="1"/>
    <col min="13589" max="13589" width="1.5703125" style="27" customWidth="1"/>
    <col min="13590" max="13590" width="12.28515625" style="27" customWidth="1"/>
    <col min="13591" max="13591" width="0.85546875" style="27" customWidth="1"/>
    <col min="13592" max="13592" width="12.28515625" style="27" customWidth="1"/>
    <col min="13593" max="13593" width="1.5703125" style="27" customWidth="1"/>
    <col min="13594" max="13594" width="12.28515625" style="27" customWidth="1"/>
    <col min="13595" max="13595" width="1.5703125" style="27" customWidth="1"/>
    <col min="13596" max="13596" width="12.28515625" style="27" customWidth="1"/>
    <col min="13597" max="13597" width="0.85546875" style="27" customWidth="1"/>
    <col min="13598" max="13598" width="12.28515625" style="27" customWidth="1"/>
    <col min="13599" max="13599" width="1.5703125" style="27" customWidth="1"/>
    <col min="13600" max="13600" width="12.28515625" style="27" customWidth="1"/>
    <col min="13601" max="13601" width="1.5703125" style="27" customWidth="1"/>
    <col min="13602" max="13602" width="12.28515625" style="27" customWidth="1"/>
    <col min="13603" max="13603" width="4.5703125" style="27" customWidth="1"/>
    <col min="13604" max="13604" width="1.42578125" style="27" customWidth="1"/>
    <col min="13605" max="13827" width="13.85546875" style="27"/>
    <col min="13828" max="13828" width="7.85546875" style="27" customWidth="1"/>
    <col min="13829" max="13830" width="2.28515625" style="27" customWidth="1"/>
    <col min="13831" max="13831" width="31.42578125" style="27" customWidth="1"/>
    <col min="13832" max="13832" width="2.28515625" style="27" customWidth="1"/>
    <col min="13833" max="13833" width="2.140625" style="27" customWidth="1"/>
    <col min="13834" max="13834" width="12.28515625" style="27" customWidth="1"/>
    <col min="13835" max="13835" width="1.5703125" style="27" customWidth="1"/>
    <col min="13836" max="13836" width="12.28515625" style="27" customWidth="1"/>
    <col min="13837" max="13837" width="1.5703125" style="27" customWidth="1"/>
    <col min="13838" max="13838" width="12.28515625" style="27" customWidth="1"/>
    <col min="13839" max="13839" width="1.5703125" style="27" customWidth="1"/>
    <col min="13840" max="13840" width="13.5703125" style="27" customWidth="1"/>
    <col min="13841" max="13841" width="0.85546875" style="27" customWidth="1"/>
    <col min="13842" max="13842" width="12.28515625" style="27" customWidth="1"/>
    <col min="13843" max="13843" width="1.5703125" style="27" customWidth="1"/>
    <col min="13844" max="13844" width="12.28515625" style="27" customWidth="1"/>
    <col min="13845" max="13845" width="1.5703125" style="27" customWidth="1"/>
    <col min="13846" max="13846" width="12.28515625" style="27" customWidth="1"/>
    <col min="13847" max="13847" width="0.85546875" style="27" customWidth="1"/>
    <col min="13848" max="13848" width="12.28515625" style="27" customWidth="1"/>
    <col min="13849" max="13849" width="1.5703125" style="27" customWidth="1"/>
    <col min="13850" max="13850" width="12.28515625" style="27" customWidth="1"/>
    <col min="13851" max="13851" width="1.5703125" style="27" customWidth="1"/>
    <col min="13852" max="13852" width="12.28515625" style="27" customWidth="1"/>
    <col min="13853" max="13853" width="0.85546875" style="27" customWidth="1"/>
    <col min="13854" max="13854" width="12.28515625" style="27" customWidth="1"/>
    <col min="13855" max="13855" width="1.5703125" style="27" customWidth="1"/>
    <col min="13856" max="13856" width="12.28515625" style="27" customWidth="1"/>
    <col min="13857" max="13857" width="1.5703125" style="27" customWidth="1"/>
    <col min="13858" max="13858" width="12.28515625" style="27" customWidth="1"/>
    <col min="13859" max="13859" width="4.5703125" style="27" customWidth="1"/>
    <col min="13860" max="13860" width="1.42578125" style="27" customWidth="1"/>
    <col min="13861" max="14083" width="13.85546875" style="27"/>
    <col min="14084" max="14084" width="7.85546875" style="27" customWidth="1"/>
    <col min="14085" max="14086" width="2.28515625" style="27" customWidth="1"/>
    <col min="14087" max="14087" width="31.42578125" style="27" customWidth="1"/>
    <col min="14088" max="14088" width="2.28515625" style="27" customWidth="1"/>
    <col min="14089" max="14089" width="2.140625" style="27" customWidth="1"/>
    <col min="14090" max="14090" width="12.28515625" style="27" customWidth="1"/>
    <col min="14091" max="14091" width="1.5703125" style="27" customWidth="1"/>
    <col min="14092" max="14092" width="12.28515625" style="27" customWidth="1"/>
    <col min="14093" max="14093" width="1.5703125" style="27" customWidth="1"/>
    <col min="14094" max="14094" width="12.28515625" style="27" customWidth="1"/>
    <col min="14095" max="14095" width="1.5703125" style="27" customWidth="1"/>
    <col min="14096" max="14096" width="13.5703125" style="27" customWidth="1"/>
    <col min="14097" max="14097" width="0.85546875" style="27" customWidth="1"/>
    <col min="14098" max="14098" width="12.28515625" style="27" customWidth="1"/>
    <col min="14099" max="14099" width="1.5703125" style="27" customWidth="1"/>
    <col min="14100" max="14100" width="12.28515625" style="27" customWidth="1"/>
    <col min="14101" max="14101" width="1.5703125" style="27" customWidth="1"/>
    <col min="14102" max="14102" width="12.28515625" style="27" customWidth="1"/>
    <col min="14103" max="14103" width="0.85546875" style="27" customWidth="1"/>
    <col min="14104" max="14104" width="12.28515625" style="27" customWidth="1"/>
    <col min="14105" max="14105" width="1.5703125" style="27" customWidth="1"/>
    <col min="14106" max="14106" width="12.28515625" style="27" customWidth="1"/>
    <col min="14107" max="14107" width="1.5703125" style="27" customWidth="1"/>
    <col min="14108" max="14108" width="12.28515625" style="27" customWidth="1"/>
    <col min="14109" max="14109" width="0.85546875" style="27" customWidth="1"/>
    <col min="14110" max="14110" width="12.28515625" style="27" customWidth="1"/>
    <col min="14111" max="14111" width="1.5703125" style="27" customWidth="1"/>
    <col min="14112" max="14112" width="12.28515625" style="27" customWidth="1"/>
    <col min="14113" max="14113" width="1.5703125" style="27" customWidth="1"/>
    <col min="14114" max="14114" width="12.28515625" style="27" customWidth="1"/>
    <col min="14115" max="14115" width="4.5703125" style="27" customWidth="1"/>
    <col min="14116" max="14116" width="1.42578125" style="27" customWidth="1"/>
    <col min="14117" max="14339" width="13.85546875" style="27"/>
    <col min="14340" max="14340" width="7.85546875" style="27" customWidth="1"/>
    <col min="14341" max="14342" width="2.28515625" style="27" customWidth="1"/>
    <col min="14343" max="14343" width="31.42578125" style="27" customWidth="1"/>
    <col min="14344" max="14344" width="2.28515625" style="27" customWidth="1"/>
    <col min="14345" max="14345" width="2.140625" style="27" customWidth="1"/>
    <col min="14346" max="14346" width="12.28515625" style="27" customWidth="1"/>
    <col min="14347" max="14347" width="1.5703125" style="27" customWidth="1"/>
    <col min="14348" max="14348" width="12.28515625" style="27" customWidth="1"/>
    <col min="14349" max="14349" width="1.5703125" style="27" customWidth="1"/>
    <col min="14350" max="14350" width="12.28515625" style="27" customWidth="1"/>
    <col min="14351" max="14351" width="1.5703125" style="27" customWidth="1"/>
    <col min="14352" max="14352" width="13.5703125" style="27" customWidth="1"/>
    <col min="14353" max="14353" width="0.85546875" style="27" customWidth="1"/>
    <col min="14354" max="14354" width="12.28515625" style="27" customWidth="1"/>
    <col min="14355" max="14355" width="1.5703125" style="27" customWidth="1"/>
    <col min="14356" max="14356" width="12.28515625" style="27" customWidth="1"/>
    <col min="14357" max="14357" width="1.5703125" style="27" customWidth="1"/>
    <col min="14358" max="14358" width="12.28515625" style="27" customWidth="1"/>
    <col min="14359" max="14359" width="0.85546875" style="27" customWidth="1"/>
    <col min="14360" max="14360" width="12.28515625" style="27" customWidth="1"/>
    <col min="14361" max="14361" width="1.5703125" style="27" customWidth="1"/>
    <col min="14362" max="14362" width="12.28515625" style="27" customWidth="1"/>
    <col min="14363" max="14363" width="1.5703125" style="27" customWidth="1"/>
    <col min="14364" max="14364" width="12.28515625" style="27" customWidth="1"/>
    <col min="14365" max="14365" width="0.85546875" style="27" customWidth="1"/>
    <col min="14366" max="14366" width="12.28515625" style="27" customWidth="1"/>
    <col min="14367" max="14367" width="1.5703125" style="27" customWidth="1"/>
    <col min="14368" max="14368" width="12.28515625" style="27" customWidth="1"/>
    <col min="14369" max="14369" width="1.5703125" style="27" customWidth="1"/>
    <col min="14370" max="14370" width="12.28515625" style="27" customWidth="1"/>
    <col min="14371" max="14371" width="4.5703125" style="27" customWidth="1"/>
    <col min="14372" max="14372" width="1.42578125" style="27" customWidth="1"/>
    <col min="14373" max="14595" width="13.85546875" style="27"/>
    <col min="14596" max="14596" width="7.85546875" style="27" customWidth="1"/>
    <col min="14597" max="14598" width="2.28515625" style="27" customWidth="1"/>
    <col min="14599" max="14599" width="31.42578125" style="27" customWidth="1"/>
    <col min="14600" max="14600" width="2.28515625" style="27" customWidth="1"/>
    <col min="14601" max="14601" width="2.140625" style="27" customWidth="1"/>
    <col min="14602" max="14602" width="12.28515625" style="27" customWidth="1"/>
    <col min="14603" max="14603" width="1.5703125" style="27" customWidth="1"/>
    <col min="14604" max="14604" width="12.28515625" style="27" customWidth="1"/>
    <col min="14605" max="14605" width="1.5703125" style="27" customWidth="1"/>
    <col min="14606" max="14606" width="12.28515625" style="27" customWidth="1"/>
    <col min="14607" max="14607" width="1.5703125" style="27" customWidth="1"/>
    <col min="14608" max="14608" width="13.5703125" style="27" customWidth="1"/>
    <col min="14609" max="14609" width="0.85546875" style="27" customWidth="1"/>
    <col min="14610" max="14610" width="12.28515625" style="27" customWidth="1"/>
    <col min="14611" max="14611" width="1.5703125" style="27" customWidth="1"/>
    <col min="14612" max="14612" width="12.28515625" style="27" customWidth="1"/>
    <col min="14613" max="14613" width="1.5703125" style="27" customWidth="1"/>
    <col min="14614" max="14614" width="12.28515625" style="27" customWidth="1"/>
    <col min="14615" max="14615" width="0.85546875" style="27" customWidth="1"/>
    <col min="14616" max="14616" width="12.28515625" style="27" customWidth="1"/>
    <col min="14617" max="14617" width="1.5703125" style="27" customWidth="1"/>
    <col min="14618" max="14618" width="12.28515625" style="27" customWidth="1"/>
    <col min="14619" max="14619" width="1.5703125" style="27" customWidth="1"/>
    <col min="14620" max="14620" width="12.28515625" style="27" customWidth="1"/>
    <col min="14621" max="14621" width="0.85546875" style="27" customWidth="1"/>
    <col min="14622" max="14622" width="12.28515625" style="27" customWidth="1"/>
    <col min="14623" max="14623" width="1.5703125" style="27" customWidth="1"/>
    <col min="14624" max="14624" width="12.28515625" style="27" customWidth="1"/>
    <col min="14625" max="14625" width="1.5703125" style="27" customWidth="1"/>
    <col min="14626" max="14626" width="12.28515625" style="27" customWidth="1"/>
    <col min="14627" max="14627" width="4.5703125" style="27" customWidth="1"/>
    <col min="14628" max="14628" width="1.42578125" style="27" customWidth="1"/>
    <col min="14629" max="14851" width="13.85546875" style="27"/>
    <col min="14852" max="14852" width="7.85546875" style="27" customWidth="1"/>
    <col min="14853" max="14854" width="2.28515625" style="27" customWidth="1"/>
    <col min="14855" max="14855" width="31.42578125" style="27" customWidth="1"/>
    <col min="14856" max="14856" width="2.28515625" style="27" customWidth="1"/>
    <col min="14857" max="14857" width="2.140625" style="27" customWidth="1"/>
    <col min="14858" max="14858" width="12.28515625" style="27" customWidth="1"/>
    <col min="14859" max="14859" width="1.5703125" style="27" customWidth="1"/>
    <col min="14860" max="14860" width="12.28515625" style="27" customWidth="1"/>
    <col min="14861" max="14861" width="1.5703125" style="27" customWidth="1"/>
    <col min="14862" max="14862" width="12.28515625" style="27" customWidth="1"/>
    <col min="14863" max="14863" width="1.5703125" style="27" customWidth="1"/>
    <col min="14864" max="14864" width="13.5703125" style="27" customWidth="1"/>
    <col min="14865" max="14865" width="0.85546875" style="27" customWidth="1"/>
    <col min="14866" max="14866" width="12.28515625" style="27" customWidth="1"/>
    <col min="14867" max="14867" width="1.5703125" style="27" customWidth="1"/>
    <col min="14868" max="14868" width="12.28515625" style="27" customWidth="1"/>
    <col min="14869" max="14869" width="1.5703125" style="27" customWidth="1"/>
    <col min="14870" max="14870" width="12.28515625" style="27" customWidth="1"/>
    <col min="14871" max="14871" width="0.85546875" style="27" customWidth="1"/>
    <col min="14872" max="14872" width="12.28515625" style="27" customWidth="1"/>
    <col min="14873" max="14873" width="1.5703125" style="27" customWidth="1"/>
    <col min="14874" max="14874" width="12.28515625" style="27" customWidth="1"/>
    <col min="14875" max="14875" width="1.5703125" style="27" customWidth="1"/>
    <col min="14876" max="14876" width="12.28515625" style="27" customWidth="1"/>
    <col min="14877" max="14877" width="0.85546875" style="27" customWidth="1"/>
    <col min="14878" max="14878" width="12.28515625" style="27" customWidth="1"/>
    <col min="14879" max="14879" width="1.5703125" style="27" customWidth="1"/>
    <col min="14880" max="14880" width="12.28515625" style="27" customWidth="1"/>
    <col min="14881" max="14881" width="1.5703125" style="27" customWidth="1"/>
    <col min="14882" max="14882" width="12.28515625" style="27" customWidth="1"/>
    <col min="14883" max="14883" width="4.5703125" style="27" customWidth="1"/>
    <col min="14884" max="14884" width="1.42578125" style="27" customWidth="1"/>
    <col min="14885" max="15107" width="13.85546875" style="27"/>
    <col min="15108" max="15108" width="7.85546875" style="27" customWidth="1"/>
    <col min="15109" max="15110" width="2.28515625" style="27" customWidth="1"/>
    <col min="15111" max="15111" width="31.42578125" style="27" customWidth="1"/>
    <col min="15112" max="15112" width="2.28515625" style="27" customWidth="1"/>
    <col min="15113" max="15113" width="2.140625" style="27" customWidth="1"/>
    <col min="15114" max="15114" width="12.28515625" style="27" customWidth="1"/>
    <col min="15115" max="15115" width="1.5703125" style="27" customWidth="1"/>
    <col min="15116" max="15116" width="12.28515625" style="27" customWidth="1"/>
    <col min="15117" max="15117" width="1.5703125" style="27" customWidth="1"/>
    <col min="15118" max="15118" width="12.28515625" style="27" customWidth="1"/>
    <col min="15119" max="15119" width="1.5703125" style="27" customWidth="1"/>
    <col min="15120" max="15120" width="13.5703125" style="27" customWidth="1"/>
    <col min="15121" max="15121" width="0.85546875" style="27" customWidth="1"/>
    <col min="15122" max="15122" width="12.28515625" style="27" customWidth="1"/>
    <col min="15123" max="15123" width="1.5703125" style="27" customWidth="1"/>
    <col min="15124" max="15124" width="12.28515625" style="27" customWidth="1"/>
    <col min="15125" max="15125" width="1.5703125" style="27" customWidth="1"/>
    <col min="15126" max="15126" width="12.28515625" style="27" customWidth="1"/>
    <col min="15127" max="15127" width="0.85546875" style="27" customWidth="1"/>
    <col min="15128" max="15128" width="12.28515625" style="27" customWidth="1"/>
    <col min="15129" max="15129" width="1.5703125" style="27" customWidth="1"/>
    <col min="15130" max="15130" width="12.28515625" style="27" customWidth="1"/>
    <col min="15131" max="15131" width="1.5703125" style="27" customWidth="1"/>
    <col min="15132" max="15132" width="12.28515625" style="27" customWidth="1"/>
    <col min="15133" max="15133" width="0.85546875" style="27" customWidth="1"/>
    <col min="15134" max="15134" width="12.28515625" style="27" customWidth="1"/>
    <col min="15135" max="15135" width="1.5703125" style="27" customWidth="1"/>
    <col min="15136" max="15136" width="12.28515625" style="27" customWidth="1"/>
    <col min="15137" max="15137" width="1.5703125" style="27" customWidth="1"/>
    <col min="15138" max="15138" width="12.28515625" style="27" customWidth="1"/>
    <col min="15139" max="15139" width="4.5703125" style="27" customWidth="1"/>
    <col min="15140" max="15140" width="1.42578125" style="27" customWidth="1"/>
    <col min="15141" max="15363" width="13.85546875" style="27"/>
    <col min="15364" max="15364" width="7.85546875" style="27" customWidth="1"/>
    <col min="15365" max="15366" width="2.28515625" style="27" customWidth="1"/>
    <col min="15367" max="15367" width="31.42578125" style="27" customWidth="1"/>
    <col min="15368" max="15368" width="2.28515625" style="27" customWidth="1"/>
    <col min="15369" max="15369" width="2.140625" style="27" customWidth="1"/>
    <col min="15370" max="15370" width="12.28515625" style="27" customWidth="1"/>
    <col min="15371" max="15371" width="1.5703125" style="27" customWidth="1"/>
    <col min="15372" max="15372" width="12.28515625" style="27" customWidth="1"/>
    <col min="15373" max="15373" width="1.5703125" style="27" customWidth="1"/>
    <col min="15374" max="15374" width="12.28515625" style="27" customWidth="1"/>
    <col min="15375" max="15375" width="1.5703125" style="27" customWidth="1"/>
    <col min="15376" max="15376" width="13.5703125" style="27" customWidth="1"/>
    <col min="15377" max="15377" width="0.85546875" style="27" customWidth="1"/>
    <col min="15378" max="15378" width="12.28515625" style="27" customWidth="1"/>
    <col min="15379" max="15379" width="1.5703125" style="27" customWidth="1"/>
    <col min="15380" max="15380" width="12.28515625" style="27" customWidth="1"/>
    <col min="15381" max="15381" width="1.5703125" style="27" customWidth="1"/>
    <col min="15382" max="15382" width="12.28515625" style="27" customWidth="1"/>
    <col min="15383" max="15383" width="0.85546875" style="27" customWidth="1"/>
    <col min="15384" max="15384" width="12.28515625" style="27" customWidth="1"/>
    <col min="15385" max="15385" width="1.5703125" style="27" customWidth="1"/>
    <col min="15386" max="15386" width="12.28515625" style="27" customWidth="1"/>
    <col min="15387" max="15387" width="1.5703125" style="27" customWidth="1"/>
    <col min="15388" max="15388" width="12.28515625" style="27" customWidth="1"/>
    <col min="15389" max="15389" width="0.85546875" style="27" customWidth="1"/>
    <col min="15390" max="15390" width="12.28515625" style="27" customWidth="1"/>
    <col min="15391" max="15391" width="1.5703125" style="27" customWidth="1"/>
    <col min="15392" max="15392" width="12.28515625" style="27" customWidth="1"/>
    <col min="15393" max="15393" width="1.5703125" style="27" customWidth="1"/>
    <col min="15394" max="15394" width="12.28515625" style="27" customWidth="1"/>
    <col min="15395" max="15395" width="4.5703125" style="27" customWidth="1"/>
    <col min="15396" max="15396" width="1.42578125" style="27" customWidth="1"/>
    <col min="15397" max="15619" width="13.85546875" style="27"/>
    <col min="15620" max="15620" width="7.85546875" style="27" customWidth="1"/>
    <col min="15621" max="15622" width="2.28515625" style="27" customWidth="1"/>
    <col min="15623" max="15623" width="31.42578125" style="27" customWidth="1"/>
    <col min="15624" max="15624" width="2.28515625" style="27" customWidth="1"/>
    <col min="15625" max="15625" width="2.140625" style="27" customWidth="1"/>
    <col min="15626" max="15626" width="12.28515625" style="27" customWidth="1"/>
    <col min="15627" max="15627" width="1.5703125" style="27" customWidth="1"/>
    <col min="15628" max="15628" width="12.28515625" style="27" customWidth="1"/>
    <col min="15629" max="15629" width="1.5703125" style="27" customWidth="1"/>
    <col min="15630" max="15630" width="12.28515625" style="27" customWidth="1"/>
    <col min="15631" max="15631" width="1.5703125" style="27" customWidth="1"/>
    <col min="15632" max="15632" width="13.5703125" style="27" customWidth="1"/>
    <col min="15633" max="15633" width="0.85546875" style="27" customWidth="1"/>
    <col min="15634" max="15634" width="12.28515625" style="27" customWidth="1"/>
    <col min="15635" max="15635" width="1.5703125" style="27" customWidth="1"/>
    <col min="15636" max="15636" width="12.28515625" style="27" customWidth="1"/>
    <col min="15637" max="15637" width="1.5703125" style="27" customWidth="1"/>
    <col min="15638" max="15638" width="12.28515625" style="27" customWidth="1"/>
    <col min="15639" max="15639" width="0.85546875" style="27" customWidth="1"/>
    <col min="15640" max="15640" width="12.28515625" style="27" customWidth="1"/>
    <col min="15641" max="15641" width="1.5703125" style="27" customWidth="1"/>
    <col min="15642" max="15642" width="12.28515625" style="27" customWidth="1"/>
    <col min="15643" max="15643" width="1.5703125" style="27" customWidth="1"/>
    <col min="15644" max="15644" width="12.28515625" style="27" customWidth="1"/>
    <col min="15645" max="15645" width="0.85546875" style="27" customWidth="1"/>
    <col min="15646" max="15646" width="12.28515625" style="27" customWidth="1"/>
    <col min="15647" max="15647" width="1.5703125" style="27" customWidth="1"/>
    <col min="15648" max="15648" width="12.28515625" style="27" customWidth="1"/>
    <col min="15649" max="15649" width="1.5703125" style="27" customWidth="1"/>
    <col min="15650" max="15650" width="12.28515625" style="27" customWidth="1"/>
    <col min="15651" max="15651" width="4.5703125" style="27" customWidth="1"/>
    <col min="15652" max="15652" width="1.42578125" style="27" customWidth="1"/>
    <col min="15653" max="15875" width="13.85546875" style="27"/>
    <col min="15876" max="15876" width="7.85546875" style="27" customWidth="1"/>
    <col min="15877" max="15878" width="2.28515625" style="27" customWidth="1"/>
    <col min="15879" max="15879" width="31.42578125" style="27" customWidth="1"/>
    <col min="15880" max="15880" width="2.28515625" style="27" customWidth="1"/>
    <col min="15881" max="15881" width="2.140625" style="27" customWidth="1"/>
    <col min="15882" max="15882" width="12.28515625" style="27" customWidth="1"/>
    <col min="15883" max="15883" width="1.5703125" style="27" customWidth="1"/>
    <col min="15884" max="15884" width="12.28515625" style="27" customWidth="1"/>
    <col min="15885" max="15885" width="1.5703125" style="27" customWidth="1"/>
    <col min="15886" max="15886" width="12.28515625" style="27" customWidth="1"/>
    <col min="15887" max="15887" width="1.5703125" style="27" customWidth="1"/>
    <col min="15888" max="15888" width="13.5703125" style="27" customWidth="1"/>
    <col min="15889" max="15889" width="0.85546875" style="27" customWidth="1"/>
    <col min="15890" max="15890" width="12.28515625" style="27" customWidth="1"/>
    <col min="15891" max="15891" width="1.5703125" style="27" customWidth="1"/>
    <col min="15892" max="15892" width="12.28515625" style="27" customWidth="1"/>
    <col min="15893" max="15893" width="1.5703125" style="27" customWidth="1"/>
    <col min="15894" max="15894" width="12.28515625" style="27" customWidth="1"/>
    <col min="15895" max="15895" width="0.85546875" style="27" customWidth="1"/>
    <col min="15896" max="15896" width="12.28515625" style="27" customWidth="1"/>
    <col min="15897" max="15897" width="1.5703125" style="27" customWidth="1"/>
    <col min="15898" max="15898" width="12.28515625" style="27" customWidth="1"/>
    <col min="15899" max="15899" width="1.5703125" style="27" customWidth="1"/>
    <col min="15900" max="15900" width="12.28515625" style="27" customWidth="1"/>
    <col min="15901" max="15901" width="0.85546875" style="27" customWidth="1"/>
    <col min="15902" max="15902" width="12.28515625" style="27" customWidth="1"/>
    <col min="15903" max="15903" width="1.5703125" style="27" customWidth="1"/>
    <col min="15904" max="15904" width="12.28515625" style="27" customWidth="1"/>
    <col min="15905" max="15905" width="1.5703125" style="27" customWidth="1"/>
    <col min="15906" max="15906" width="12.28515625" style="27" customWidth="1"/>
    <col min="15907" max="15907" width="4.5703125" style="27" customWidth="1"/>
    <col min="15908" max="15908" width="1.42578125" style="27" customWidth="1"/>
    <col min="15909" max="16131" width="13.85546875" style="27"/>
    <col min="16132" max="16132" width="7.85546875" style="27" customWidth="1"/>
    <col min="16133" max="16134" width="2.28515625" style="27" customWidth="1"/>
    <col min="16135" max="16135" width="31.42578125" style="27" customWidth="1"/>
    <col min="16136" max="16136" width="2.28515625" style="27" customWidth="1"/>
    <col min="16137" max="16137" width="2.140625" style="27" customWidth="1"/>
    <col min="16138" max="16138" width="12.28515625" style="27" customWidth="1"/>
    <col min="16139" max="16139" width="1.5703125" style="27" customWidth="1"/>
    <col min="16140" max="16140" width="12.28515625" style="27" customWidth="1"/>
    <col min="16141" max="16141" width="1.5703125" style="27" customWidth="1"/>
    <col min="16142" max="16142" width="12.28515625" style="27" customWidth="1"/>
    <col min="16143" max="16143" width="1.5703125" style="27" customWidth="1"/>
    <col min="16144" max="16144" width="13.5703125" style="27" customWidth="1"/>
    <col min="16145" max="16145" width="0.85546875" style="27" customWidth="1"/>
    <col min="16146" max="16146" width="12.28515625" style="27" customWidth="1"/>
    <col min="16147" max="16147" width="1.5703125" style="27" customWidth="1"/>
    <col min="16148" max="16148" width="12.28515625" style="27" customWidth="1"/>
    <col min="16149" max="16149" width="1.5703125" style="27" customWidth="1"/>
    <col min="16150" max="16150" width="12.28515625" style="27" customWidth="1"/>
    <col min="16151" max="16151" width="0.85546875" style="27" customWidth="1"/>
    <col min="16152" max="16152" width="12.28515625" style="27" customWidth="1"/>
    <col min="16153" max="16153" width="1.5703125" style="27" customWidth="1"/>
    <col min="16154" max="16154" width="12.28515625" style="27" customWidth="1"/>
    <col min="16155" max="16155" width="1.5703125" style="27" customWidth="1"/>
    <col min="16156" max="16156" width="12.28515625" style="27" customWidth="1"/>
    <col min="16157" max="16157" width="0.85546875" style="27" customWidth="1"/>
    <col min="16158" max="16158" width="12.28515625" style="27" customWidth="1"/>
    <col min="16159" max="16159" width="1.5703125" style="27" customWidth="1"/>
    <col min="16160" max="16160" width="12.28515625" style="27" customWidth="1"/>
    <col min="16161" max="16161" width="1.5703125" style="27" customWidth="1"/>
    <col min="16162" max="16162" width="12.28515625" style="27" customWidth="1"/>
    <col min="16163" max="16163" width="4.5703125" style="27" customWidth="1"/>
    <col min="16164" max="16164" width="1.42578125" style="27" customWidth="1"/>
    <col min="16165" max="16384" width="13.85546875" style="27"/>
  </cols>
  <sheetData>
    <row r="1" spans="1:36" hidden="1">
      <c r="D1" s="27" t="s">
        <v>28</v>
      </c>
      <c r="E1" s="27" t="s">
        <v>29</v>
      </c>
      <c r="F1" s="28"/>
      <c r="G1" s="29"/>
      <c r="J1" s="27" t="s">
        <v>30</v>
      </c>
      <c r="L1" s="27" t="s">
        <v>31</v>
      </c>
      <c r="N1" s="27" t="s">
        <v>32</v>
      </c>
      <c r="P1" s="27" t="s">
        <v>33</v>
      </c>
      <c r="R1" s="27" t="s">
        <v>34</v>
      </c>
      <c r="T1" s="27" t="s">
        <v>35</v>
      </c>
      <c r="V1" s="27" t="s">
        <v>36</v>
      </c>
      <c r="X1" s="27" t="s">
        <v>37</v>
      </c>
      <c r="Z1" s="27" t="s">
        <v>38</v>
      </c>
      <c r="AB1" s="27" t="s">
        <v>39</v>
      </c>
      <c r="AD1" s="27" t="s">
        <v>40</v>
      </c>
      <c r="AF1" s="27" t="s">
        <v>41</v>
      </c>
      <c r="AH1" s="30"/>
    </row>
    <row r="2" spans="1:36" hidden="1" outlineLevel="1">
      <c r="B2" s="31"/>
      <c r="D2" s="32"/>
      <c r="E2" s="32"/>
      <c r="F2" s="33"/>
      <c r="G2" s="29"/>
      <c r="H2" s="34"/>
      <c r="I2" s="35"/>
      <c r="J2" s="36">
        <v>0</v>
      </c>
      <c r="K2" s="35"/>
      <c r="L2" s="36">
        <v>0</v>
      </c>
      <c r="M2" s="35"/>
      <c r="N2" s="36">
        <v>0</v>
      </c>
      <c r="O2" s="35"/>
      <c r="P2" s="36">
        <v>0</v>
      </c>
      <c r="Q2" s="35"/>
      <c r="R2" s="36">
        <v>0</v>
      </c>
      <c r="S2" s="35"/>
      <c r="T2" s="36">
        <v>0</v>
      </c>
      <c r="U2" s="35"/>
      <c r="V2" s="36">
        <v>0</v>
      </c>
      <c r="W2" s="35"/>
      <c r="X2" s="36">
        <v>0</v>
      </c>
      <c r="Y2" s="35"/>
      <c r="Z2" s="36">
        <v>0</v>
      </c>
      <c r="AA2" s="35"/>
      <c r="AB2" s="36">
        <v>0</v>
      </c>
      <c r="AC2" s="35"/>
      <c r="AD2" s="36">
        <v>0</v>
      </c>
      <c r="AE2" s="35"/>
      <c r="AF2" s="36">
        <v>0</v>
      </c>
      <c r="AG2" s="35"/>
      <c r="AH2" s="36">
        <f>AF2+AD2+AB2+Z2+X2+V2+T2+R2+P2+N2+L2+J2</f>
        <v>0</v>
      </c>
      <c r="AI2" s="37">
        <f>IF(AH$60=0,0,AH2/AH$60)</f>
        <v>0</v>
      </c>
      <c r="AJ2" s="38"/>
    </row>
    <row r="3" spans="1:36" hidden="1">
      <c r="D3" s="39"/>
      <c r="E3" s="39"/>
      <c r="F3" s="39"/>
      <c r="G3" s="39"/>
      <c r="H3" s="39"/>
      <c r="I3" s="39"/>
      <c r="J3" s="27" t="str">
        <f>TEXT(EDATE(DATEVALUE(RIGHT($D$8,2)&amp;"/1/"&amp;LEFT($D$8,4)),-11),"yyyy-mm")</f>
        <v>2016-10</v>
      </c>
      <c r="L3" s="27" t="str">
        <f>TEXT(EDATE(DATEVALUE(RIGHT($D$8,2)&amp;"/1/"&amp;LEFT($D$8,4)),-10),"yyyy-mm")</f>
        <v>2016-11</v>
      </c>
      <c r="N3" s="27" t="str">
        <f>TEXT(EDATE(DATEVALUE(RIGHT($D$8,2)&amp;"/1/"&amp;LEFT($D$8,4)),-9),"yyyy-mm")</f>
        <v>2016-12</v>
      </c>
      <c r="P3" s="27" t="str">
        <f>TEXT(EDATE(DATEVALUE(RIGHT($D$8,2)&amp;"/1/"&amp;LEFT($D$8,4)),-8),"yyyy-mm")</f>
        <v>2017-01</v>
      </c>
      <c r="R3" s="27" t="str">
        <f>TEXT(EDATE(DATEVALUE(RIGHT($D$8,2)&amp;"/1/"&amp;LEFT($D$8,4)),-7),"yyyy-mm")</f>
        <v>2017-02</v>
      </c>
      <c r="T3" s="27" t="str">
        <f>TEXT(EDATE(DATEVALUE(RIGHT($D$8,2)&amp;"/1/"&amp;LEFT($D$8,4)),-6),"yyyy-mm")</f>
        <v>2017-03</v>
      </c>
      <c r="V3" s="27" t="str">
        <f>TEXT(EDATE(DATEVALUE(RIGHT($D$8,2)&amp;"/1/"&amp;LEFT($D$8,4)),-5),"yyyy-mm")</f>
        <v>2017-04</v>
      </c>
      <c r="X3" s="27" t="str">
        <f>TEXT(EDATE(DATEVALUE(RIGHT($D$8,2)&amp;"/1/"&amp;LEFT($D$8,4)),-4),"yyyy-mm")</f>
        <v>2017-05</v>
      </c>
      <c r="Z3" s="27" t="str">
        <f>TEXT(EDATE(DATEVALUE(RIGHT($D$8,2)&amp;"/1/"&amp;LEFT($D$8,4)),-3),"yyyy-mm")</f>
        <v>2017-06</v>
      </c>
      <c r="AB3" s="27" t="str">
        <f>TEXT(EDATE(DATEVALUE(RIGHT($D$8,2)&amp;"/1/"&amp;LEFT($D$8,4)),-2),"yyyy-mm")</f>
        <v>2017-07</v>
      </c>
      <c r="AD3" s="27" t="str">
        <f>TEXT(EDATE(DATEVALUE(RIGHT($D$8,2)&amp;"/1/"&amp;LEFT($D$8,4)),-1),"yyyy-mm")</f>
        <v>2017-08</v>
      </c>
      <c r="AF3" s="27" t="str">
        <f>YearMonth</f>
        <v>2017-09</v>
      </c>
      <c r="AH3" s="27"/>
    </row>
    <row r="4" spans="1:36" ht="15" hidden="1">
      <c r="B4" s="40" t="str">
        <f ca="1">_xll.ReportVariable("WCN1",B13:B468,1:1,2:2,_xll.Param(D8,N6,"PL,98501",R7,"PL",R6,"AcctGrp1","ConsolSum","",""))</f>
        <v>OK!: ReportVariable Formula OK [jAction{}]</v>
      </c>
      <c r="G4" s="41"/>
      <c r="J4" s="27"/>
      <c r="L4" s="27"/>
      <c r="N4" s="27"/>
      <c r="P4" s="27"/>
      <c r="R4" s="27"/>
      <c r="T4" s="27"/>
      <c r="V4" s="27"/>
      <c r="X4" s="27"/>
      <c r="Z4" s="27"/>
      <c r="AB4" s="27"/>
      <c r="AD4" s="27"/>
      <c r="AF4" s="27"/>
      <c r="AH4" s="27"/>
    </row>
    <row r="5" spans="1:36" hidden="1">
      <c r="B5" s="40" t="e">
        <f ca="1">_xll.ReportDrill(,"JEQuery",D12:D366,J3:AJ3,"K7","G6",,,_xll.Param("","",N6))</f>
        <v>#VALUE!</v>
      </c>
      <c r="J5" s="27"/>
      <c r="L5" s="27"/>
      <c r="N5" s="27"/>
      <c r="P5" s="27"/>
      <c r="R5" s="27"/>
      <c r="T5" s="27"/>
      <c r="V5" s="27"/>
      <c r="X5" s="27"/>
      <c r="Z5" s="27"/>
      <c r="AB5" s="27"/>
      <c r="AD5" s="27"/>
      <c r="AF5" s="27"/>
      <c r="AH5" s="27"/>
    </row>
    <row r="6" spans="1:36" s="43" customFormat="1" ht="15.75">
      <c r="A6" s="27"/>
      <c r="B6" s="27"/>
      <c r="C6" s="27"/>
      <c r="D6" s="42" t="s">
        <v>42</v>
      </c>
      <c r="M6" s="44" t="s">
        <v>43</v>
      </c>
      <c r="N6" s="45" t="s">
        <v>44</v>
      </c>
      <c r="Q6" s="44" t="s">
        <v>45</v>
      </c>
      <c r="R6" s="46"/>
      <c r="S6" s="44"/>
      <c r="T6" s="45"/>
      <c r="Y6" s="44"/>
      <c r="Z6" s="45"/>
      <c r="AE6" s="44"/>
      <c r="AF6" s="45"/>
      <c r="AH6" s="47"/>
    </row>
    <row r="7" spans="1:36" s="43" customFormat="1" ht="15.75">
      <c r="A7" s="27"/>
      <c r="D7" s="42" t="s">
        <v>46</v>
      </c>
      <c r="N7" s="48" t="s">
        <v>47</v>
      </c>
      <c r="Q7" s="44" t="s">
        <v>48</v>
      </c>
      <c r="R7" s="48" t="s">
        <v>47</v>
      </c>
      <c r="T7" s="48" t="s">
        <v>47</v>
      </c>
      <c r="Z7" s="48" t="s">
        <v>47</v>
      </c>
      <c r="AF7" s="48" t="s">
        <v>47</v>
      </c>
    </row>
    <row r="8" spans="1:36" s="43" customFormat="1" ht="15.75">
      <c r="A8" s="27"/>
      <c r="D8" s="49" t="s">
        <v>49</v>
      </c>
    </row>
    <row r="9" spans="1:36" s="43" customFormat="1" ht="15">
      <c r="A9" s="27"/>
      <c r="B9" s="27"/>
      <c r="C9" s="27"/>
      <c r="D9" s="27">
        <v>1</v>
      </c>
      <c r="E9" s="27">
        <v>2</v>
      </c>
      <c r="F9" s="27">
        <v>3</v>
      </c>
      <c r="G9" s="27">
        <v>4</v>
      </c>
      <c r="H9" s="27">
        <v>5</v>
      </c>
      <c r="I9" s="27">
        <v>6</v>
      </c>
      <c r="J9" s="27">
        <v>7</v>
      </c>
      <c r="K9" s="27">
        <v>8</v>
      </c>
      <c r="L9" s="27">
        <v>9</v>
      </c>
      <c r="M9" s="27">
        <v>10</v>
      </c>
      <c r="N9" s="27">
        <v>11</v>
      </c>
      <c r="O9" s="27">
        <v>12</v>
      </c>
      <c r="P9" s="27">
        <v>13</v>
      </c>
      <c r="Q9" s="27">
        <v>14</v>
      </c>
      <c r="R9" s="27">
        <v>15</v>
      </c>
      <c r="S9" s="27">
        <v>16</v>
      </c>
      <c r="T9" s="27">
        <v>17</v>
      </c>
      <c r="U9" s="27">
        <v>18</v>
      </c>
      <c r="V9" s="27">
        <v>19</v>
      </c>
      <c r="W9" s="27">
        <v>20</v>
      </c>
      <c r="X9" s="27">
        <v>21</v>
      </c>
      <c r="Y9" s="27">
        <v>22</v>
      </c>
      <c r="Z9" s="27">
        <v>23</v>
      </c>
      <c r="AA9" s="27">
        <v>24</v>
      </c>
      <c r="AB9" s="27">
        <v>25</v>
      </c>
      <c r="AC9" s="27">
        <v>26</v>
      </c>
      <c r="AD9" s="27">
        <v>27</v>
      </c>
      <c r="AE9" s="27">
        <v>28</v>
      </c>
      <c r="AF9" s="27">
        <v>29</v>
      </c>
      <c r="AG9" s="27">
        <v>30</v>
      </c>
      <c r="AH9" s="27">
        <v>31</v>
      </c>
    </row>
    <row r="10" spans="1:36" s="43" customFormat="1" ht="15">
      <c r="A10" s="27"/>
      <c r="D10" s="50"/>
    </row>
    <row r="11" spans="1:36" s="43" customFormat="1" ht="15">
      <c r="A11" s="27"/>
      <c r="D11" s="51"/>
      <c r="E11" s="51"/>
      <c r="F11" s="51"/>
      <c r="G11" s="51"/>
      <c r="H11" s="51"/>
      <c r="I11" s="51"/>
      <c r="J11" s="52"/>
      <c r="K11" s="53"/>
      <c r="L11" s="52"/>
      <c r="M11" s="53"/>
      <c r="N11" s="54"/>
      <c r="O11" s="53"/>
      <c r="P11" s="52"/>
      <c r="Q11" s="53"/>
      <c r="R11" s="52"/>
      <c r="S11" s="53"/>
      <c r="T11" s="54"/>
      <c r="U11" s="53"/>
      <c r="V11" s="52"/>
      <c r="W11" s="53"/>
      <c r="X11" s="52"/>
      <c r="Y11" s="53"/>
      <c r="Z11" s="54"/>
      <c r="AA11" s="53"/>
      <c r="AB11" s="52"/>
      <c r="AC11" s="53"/>
      <c r="AD11" s="52"/>
      <c r="AE11" s="53"/>
      <c r="AF11" s="54"/>
      <c r="AG11" s="53"/>
      <c r="AH11" s="52"/>
      <c r="AI11" s="52"/>
    </row>
    <row r="12" spans="1:36" s="43" customFormat="1" ht="15.75" thickBot="1">
      <c r="A12" s="27"/>
      <c r="B12" s="55" t="s">
        <v>50</v>
      </c>
      <c r="D12" s="51"/>
      <c r="E12" s="51"/>
      <c r="F12" s="51"/>
      <c r="G12" s="51"/>
      <c r="H12" s="51"/>
      <c r="I12" s="51"/>
      <c r="J12" s="56">
        <f>DATE(MID(J3,1,4), MID(J3,6,2), MID(J3,6,2))</f>
        <v>42653</v>
      </c>
      <c r="K12" s="57"/>
      <c r="L12" s="56">
        <f>DATE(MID(L3,1,4), MID(L3,6,2), MID(L3,6,2))</f>
        <v>42685</v>
      </c>
      <c r="M12" s="57"/>
      <c r="N12" s="56">
        <f>DATE(MID(N3,1,4), MID(N3,6,2), MID(N3,6,2))</f>
        <v>42716</v>
      </c>
      <c r="O12" s="58"/>
      <c r="P12" s="56">
        <f>DATE(MID(P3,1,4), MID(P3,6,2), MID(P3,6,2))</f>
        <v>42736</v>
      </c>
      <c r="Q12" s="57"/>
      <c r="R12" s="56">
        <f>DATE(MID(R3,1,4), MID(R3,6,2), MID(R3,6,2))</f>
        <v>42768</v>
      </c>
      <c r="S12" s="57"/>
      <c r="T12" s="56">
        <f>DATE(MID(T3,1,4), MID(T3,6,2), MID(T3,6,2))</f>
        <v>42797</v>
      </c>
      <c r="U12" s="58"/>
      <c r="V12" s="56">
        <f>DATE(MID(V3,1,4), MID(V3,6,2), MID(V3,6,2))</f>
        <v>42829</v>
      </c>
      <c r="W12" s="57"/>
      <c r="X12" s="56">
        <f>DATE(MID(X3,1,4), MID(X3,6,2), MID(X3,6,2))</f>
        <v>42860</v>
      </c>
      <c r="Y12" s="57"/>
      <c r="Z12" s="56">
        <f>DATE(MID(Z3,1,4), MID(Z3,6,2), MID(Z3,6,2))</f>
        <v>42892</v>
      </c>
      <c r="AA12" s="58"/>
      <c r="AB12" s="56">
        <f>DATE(MID(AB3,1,4), MID(AB3,6,2), MID(AB3,6,2))</f>
        <v>42923</v>
      </c>
      <c r="AC12" s="57"/>
      <c r="AD12" s="56">
        <f>DATE(MID(AD3,1,4), MID(AD3,6,2), MID(AD3,6,2))</f>
        <v>42955</v>
      </c>
      <c r="AE12" s="57"/>
      <c r="AF12" s="56">
        <f>DATE(MID(AF3,1,4), MID(AF3,6,2), MID(AF3,6,2))</f>
        <v>42987</v>
      </c>
      <c r="AG12" s="58"/>
      <c r="AH12" s="59" t="s">
        <v>51</v>
      </c>
      <c r="AI12" s="60"/>
    </row>
    <row r="13" spans="1:36" outlineLevel="1">
      <c r="B13" s="31" t="s">
        <v>52</v>
      </c>
      <c r="D13" s="32">
        <v>98501</v>
      </c>
      <c r="E13" s="32" t="s">
        <v>53</v>
      </c>
      <c r="F13" s="33"/>
      <c r="G13" s="29"/>
      <c r="H13" s="34"/>
      <c r="I13" s="35"/>
      <c r="J13" s="36">
        <v>0</v>
      </c>
      <c r="K13" s="35"/>
      <c r="L13" s="36">
        <v>0</v>
      </c>
      <c r="M13" s="35"/>
      <c r="N13" s="36">
        <v>0</v>
      </c>
      <c r="O13" s="35"/>
      <c r="P13" s="36">
        <v>22</v>
      </c>
      <c r="Q13" s="35"/>
      <c r="R13" s="36">
        <v>0</v>
      </c>
      <c r="S13" s="35"/>
      <c r="T13" s="36">
        <v>0</v>
      </c>
      <c r="U13" s="35"/>
      <c r="V13" s="36">
        <v>0</v>
      </c>
      <c r="W13" s="35"/>
      <c r="X13" s="36">
        <v>0</v>
      </c>
      <c r="Y13" s="35"/>
      <c r="Z13" s="36">
        <v>0</v>
      </c>
      <c r="AA13" s="35"/>
      <c r="AB13" s="36">
        <v>0</v>
      </c>
      <c r="AC13" s="35"/>
      <c r="AD13" s="36">
        <v>0</v>
      </c>
      <c r="AE13" s="35"/>
      <c r="AF13" s="36">
        <v>0</v>
      </c>
      <c r="AG13" s="35"/>
      <c r="AH13" s="36">
        <f>AF13+AD13+AB13+Z13+X13+V13+T13+R13+P13+N13+L13+J13</f>
        <v>22</v>
      </c>
      <c r="AI13" s="37">
        <f>IF(AH$60=0,0,AH13/AH$60)</f>
        <v>3.2540471516635785E-7</v>
      </c>
      <c r="AJ13" s="38"/>
    </row>
    <row r="14" spans="1:36" s="34" customFormat="1" ht="4.5" customHeight="1">
      <c r="J14" s="35"/>
      <c r="K14" s="43"/>
      <c r="L14" s="35"/>
      <c r="M14" s="43"/>
      <c r="N14" s="35"/>
      <c r="O14" s="43"/>
      <c r="P14" s="35"/>
      <c r="Q14" s="43"/>
      <c r="R14" s="35"/>
      <c r="S14" s="43"/>
      <c r="T14" s="35"/>
      <c r="U14" s="43"/>
      <c r="V14" s="35"/>
      <c r="W14" s="43"/>
      <c r="X14" s="35"/>
      <c r="Y14" s="43"/>
      <c r="Z14" s="35"/>
      <c r="AA14" s="43"/>
      <c r="AB14" s="35"/>
      <c r="AC14" s="43"/>
      <c r="AD14" s="35"/>
      <c r="AE14" s="43"/>
      <c r="AF14" s="35"/>
      <c r="AG14" s="43"/>
      <c r="AH14" s="35"/>
      <c r="AI14" s="61"/>
      <c r="AJ14" s="43"/>
    </row>
    <row r="15" spans="1:36" s="34" customFormat="1" ht="15" outlineLevel="1">
      <c r="J15" s="35"/>
      <c r="K15" s="43"/>
      <c r="L15" s="35"/>
      <c r="M15" s="43"/>
      <c r="N15" s="35"/>
      <c r="O15" s="43"/>
      <c r="P15" s="35"/>
      <c r="Q15" s="43"/>
      <c r="R15" s="35"/>
      <c r="S15" s="43"/>
      <c r="T15" s="35"/>
      <c r="U15" s="43"/>
      <c r="V15" s="35"/>
      <c r="W15" s="43"/>
      <c r="X15" s="35"/>
      <c r="Y15" s="43"/>
      <c r="Z15" s="35"/>
      <c r="AA15" s="43"/>
      <c r="AB15" s="35"/>
      <c r="AC15" s="43"/>
      <c r="AD15" s="35"/>
      <c r="AE15" s="43"/>
      <c r="AF15" s="35"/>
      <c r="AG15" s="43"/>
      <c r="AH15" s="35"/>
      <c r="AI15" s="62"/>
      <c r="AJ15" s="43"/>
    </row>
    <row r="16" spans="1:36" outlineLevel="1">
      <c r="B16" s="31" t="s">
        <v>54</v>
      </c>
      <c r="D16" s="32">
        <v>31000</v>
      </c>
      <c r="E16" s="32" t="s">
        <v>55</v>
      </c>
      <c r="F16" s="33"/>
      <c r="G16" s="29"/>
      <c r="H16" s="34"/>
      <c r="I16" s="35"/>
      <c r="J16" s="36">
        <v>217889.37</v>
      </c>
      <c r="K16" s="35"/>
      <c r="L16" s="36">
        <v>212974.29</v>
      </c>
      <c r="M16" s="35"/>
      <c r="N16" s="36">
        <v>201437.08</v>
      </c>
      <c r="O16" s="35"/>
      <c r="P16" s="36">
        <v>181901.67</v>
      </c>
      <c r="Q16" s="35"/>
      <c r="R16" s="36">
        <v>194771.32</v>
      </c>
      <c r="S16" s="35"/>
      <c r="T16" s="36">
        <v>258365.42</v>
      </c>
      <c r="U16" s="35"/>
      <c r="V16" s="36">
        <v>222025.17</v>
      </c>
      <c r="W16" s="35"/>
      <c r="X16" s="36">
        <v>262685.48</v>
      </c>
      <c r="Y16" s="35"/>
      <c r="Z16" s="36">
        <v>270401.96999999997</v>
      </c>
      <c r="AA16" s="35"/>
      <c r="AB16" s="36">
        <v>261907.97</v>
      </c>
      <c r="AC16" s="35"/>
      <c r="AD16" s="36">
        <v>283159.23</v>
      </c>
      <c r="AE16" s="35"/>
      <c r="AF16" s="36">
        <v>256139.23</v>
      </c>
      <c r="AG16" s="35"/>
      <c r="AH16" s="36">
        <f t="shared" ref="AH16:AH29" si="0">AF16+AD16+AB16+Z16+X16+V16+T16+R16+P16+N16+L16+J16</f>
        <v>2823658.2</v>
      </c>
      <c r="AI16" s="37">
        <f t="shared" ref="AI16:AI29" si="1">IF(AH$60=0,0,AH16/AH$60)</f>
        <v>4.1765076922643217E-2</v>
      </c>
      <c r="AJ16" s="38"/>
    </row>
    <row r="17" spans="2:36" outlineLevel="1">
      <c r="B17" s="31" t="s">
        <v>56</v>
      </c>
      <c r="D17" s="32">
        <v>31004</v>
      </c>
      <c r="E17" s="32" t="s">
        <v>57</v>
      </c>
      <c r="F17" s="33"/>
      <c r="G17" s="29"/>
      <c r="H17" s="34"/>
      <c r="I17" s="35"/>
      <c r="J17" s="36">
        <v>45528.32</v>
      </c>
      <c r="K17" s="35"/>
      <c r="L17" s="36">
        <v>45963.69</v>
      </c>
      <c r="M17" s="35"/>
      <c r="N17" s="36">
        <v>38308.25</v>
      </c>
      <c r="O17" s="35"/>
      <c r="P17" s="36">
        <v>38408.870000000003</v>
      </c>
      <c r="Q17" s="35"/>
      <c r="R17" s="36">
        <v>42592.18</v>
      </c>
      <c r="S17" s="35"/>
      <c r="T17" s="36">
        <v>48055.95</v>
      </c>
      <c r="U17" s="35"/>
      <c r="V17" s="36">
        <v>49083.5</v>
      </c>
      <c r="W17" s="35"/>
      <c r="X17" s="36">
        <v>50529.07</v>
      </c>
      <c r="Y17" s="35"/>
      <c r="Z17" s="36">
        <v>59204.62</v>
      </c>
      <c r="AA17" s="35"/>
      <c r="AB17" s="36">
        <v>56116.04</v>
      </c>
      <c r="AC17" s="35"/>
      <c r="AD17" s="36">
        <v>65559.179999999993</v>
      </c>
      <c r="AE17" s="35"/>
      <c r="AF17" s="36">
        <v>54151.87</v>
      </c>
      <c r="AG17" s="35"/>
      <c r="AH17" s="36">
        <f t="shared" si="0"/>
        <v>593501.53999999992</v>
      </c>
      <c r="AI17" s="37">
        <f t="shared" si="1"/>
        <v>8.7785545261133968E-3</v>
      </c>
      <c r="AJ17" s="38"/>
    </row>
    <row r="18" spans="2:36" outlineLevel="1">
      <c r="B18" s="31" t="s">
        <v>56</v>
      </c>
      <c r="D18" s="32">
        <v>31005</v>
      </c>
      <c r="E18" s="32" t="s">
        <v>58</v>
      </c>
      <c r="F18" s="33"/>
      <c r="G18" s="29"/>
      <c r="H18" s="34"/>
      <c r="I18" s="35"/>
      <c r="J18" s="36">
        <v>513355.94</v>
      </c>
      <c r="K18" s="35"/>
      <c r="L18" s="36">
        <v>500669.3</v>
      </c>
      <c r="M18" s="35"/>
      <c r="N18" s="36">
        <v>474405.81</v>
      </c>
      <c r="O18" s="35"/>
      <c r="P18" s="36">
        <v>449861.01</v>
      </c>
      <c r="Q18" s="35"/>
      <c r="R18" s="36">
        <v>469888.9</v>
      </c>
      <c r="S18" s="35"/>
      <c r="T18" s="36">
        <v>679183.16</v>
      </c>
      <c r="U18" s="35"/>
      <c r="V18" s="36">
        <v>516059.21</v>
      </c>
      <c r="W18" s="35"/>
      <c r="X18" s="36">
        <v>608014.61</v>
      </c>
      <c r="Y18" s="35"/>
      <c r="Z18" s="36">
        <v>617826.14</v>
      </c>
      <c r="AA18" s="35"/>
      <c r="AB18" s="36">
        <v>592366.69999999995</v>
      </c>
      <c r="AC18" s="35"/>
      <c r="AD18" s="36">
        <v>623728.62</v>
      </c>
      <c r="AE18" s="35"/>
      <c r="AF18" s="36">
        <v>551798.31999999995</v>
      </c>
      <c r="AG18" s="35"/>
      <c r="AH18" s="36">
        <f t="shared" si="0"/>
        <v>6597157.7199999997</v>
      </c>
      <c r="AI18" s="37">
        <f t="shared" si="1"/>
        <v>9.757937403564268E-2</v>
      </c>
      <c r="AJ18" s="38"/>
    </row>
    <row r="19" spans="2:36" outlineLevel="1">
      <c r="B19" s="31" t="s">
        <v>56</v>
      </c>
      <c r="D19" s="32">
        <v>31009</v>
      </c>
      <c r="E19" s="32" t="s">
        <v>59</v>
      </c>
      <c r="F19" s="33"/>
      <c r="G19" s="29"/>
      <c r="H19" s="34"/>
      <c r="I19" s="35"/>
      <c r="J19" s="36">
        <v>775</v>
      </c>
      <c r="K19" s="35"/>
      <c r="L19" s="36">
        <v>2210</v>
      </c>
      <c r="M19" s="35"/>
      <c r="N19" s="36">
        <v>1080</v>
      </c>
      <c r="O19" s="35"/>
      <c r="P19" s="36">
        <v>985</v>
      </c>
      <c r="Q19" s="35"/>
      <c r="R19" s="36">
        <v>720</v>
      </c>
      <c r="S19" s="35"/>
      <c r="T19" s="36">
        <v>815</v>
      </c>
      <c r="U19" s="35"/>
      <c r="V19" s="36">
        <v>1465</v>
      </c>
      <c r="W19" s="35"/>
      <c r="X19" s="36">
        <v>1785</v>
      </c>
      <c r="Y19" s="35"/>
      <c r="Z19" s="36">
        <v>7710</v>
      </c>
      <c r="AA19" s="35"/>
      <c r="AB19" s="36">
        <v>3120</v>
      </c>
      <c r="AC19" s="35"/>
      <c r="AD19" s="36">
        <v>5090</v>
      </c>
      <c r="AE19" s="35"/>
      <c r="AF19" s="36">
        <v>1500</v>
      </c>
      <c r="AG19" s="35"/>
      <c r="AH19" s="36">
        <f t="shared" si="0"/>
        <v>27255</v>
      </c>
      <c r="AI19" s="37">
        <f t="shared" si="1"/>
        <v>4.0313206872086743E-4</v>
      </c>
      <c r="AJ19" s="38"/>
    </row>
    <row r="20" spans="2:36" outlineLevel="1">
      <c r="B20" s="31" t="s">
        <v>56</v>
      </c>
      <c r="D20" s="32">
        <v>31010</v>
      </c>
      <c r="E20" s="32" t="s">
        <v>60</v>
      </c>
      <c r="F20" s="33"/>
      <c r="G20" s="29"/>
      <c r="H20" s="34"/>
      <c r="I20" s="35"/>
      <c r="J20" s="36">
        <v>61208.18</v>
      </c>
      <c r="K20" s="35"/>
      <c r="L20" s="36">
        <v>59167.92</v>
      </c>
      <c r="M20" s="35"/>
      <c r="N20" s="36">
        <v>52403.68</v>
      </c>
      <c r="O20" s="35"/>
      <c r="P20" s="36">
        <v>53595.87</v>
      </c>
      <c r="Q20" s="35"/>
      <c r="R20" s="36">
        <v>58507.77</v>
      </c>
      <c r="S20" s="35"/>
      <c r="T20" s="36">
        <v>65671.55</v>
      </c>
      <c r="U20" s="35"/>
      <c r="V20" s="36">
        <v>60079.9</v>
      </c>
      <c r="W20" s="35"/>
      <c r="X20" s="36">
        <v>72634.14</v>
      </c>
      <c r="Y20" s="35"/>
      <c r="Z20" s="36">
        <v>76057.350000000006</v>
      </c>
      <c r="AA20" s="35"/>
      <c r="AB20" s="36">
        <v>75491.95</v>
      </c>
      <c r="AC20" s="35"/>
      <c r="AD20" s="36">
        <v>81701.14</v>
      </c>
      <c r="AE20" s="35"/>
      <c r="AF20" s="36">
        <v>74845.59</v>
      </c>
      <c r="AG20" s="35"/>
      <c r="AH20" s="36">
        <f t="shared" si="0"/>
        <v>791365.04000000015</v>
      </c>
      <c r="AI20" s="37">
        <f t="shared" si="1"/>
        <v>1.1705177974264248E-2</v>
      </c>
      <c r="AJ20" s="38"/>
    </row>
    <row r="21" spans="2:36" outlineLevel="1">
      <c r="B21" s="31" t="s">
        <v>56</v>
      </c>
      <c r="D21" s="32">
        <v>32000</v>
      </c>
      <c r="E21" s="32" t="s">
        <v>61</v>
      </c>
      <c r="F21" s="33"/>
      <c r="G21" s="29"/>
      <c r="H21" s="34"/>
      <c r="I21" s="35"/>
      <c r="J21" s="36">
        <v>1768318.53</v>
      </c>
      <c r="K21" s="35"/>
      <c r="L21" s="36">
        <v>1766041.04</v>
      </c>
      <c r="M21" s="35"/>
      <c r="N21" s="36">
        <v>1769909.31</v>
      </c>
      <c r="O21" s="35"/>
      <c r="P21" s="36">
        <v>1765954.58</v>
      </c>
      <c r="Q21" s="35"/>
      <c r="R21" s="36">
        <v>1769638.21</v>
      </c>
      <c r="S21" s="35"/>
      <c r="T21" s="36">
        <v>1794395.69</v>
      </c>
      <c r="U21" s="35"/>
      <c r="V21" s="36">
        <v>1803642.8799999999</v>
      </c>
      <c r="W21" s="35"/>
      <c r="X21" s="36">
        <v>1830967.26</v>
      </c>
      <c r="Y21" s="35"/>
      <c r="Z21" s="36">
        <v>1836581.26</v>
      </c>
      <c r="AA21" s="35"/>
      <c r="AB21" s="36">
        <v>1857355.5</v>
      </c>
      <c r="AC21" s="35"/>
      <c r="AD21" s="36">
        <v>1842070.62</v>
      </c>
      <c r="AE21" s="35"/>
      <c r="AF21" s="36">
        <v>1862970.89</v>
      </c>
      <c r="AG21" s="35"/>
      <c r="AH21" s="36">
        <f t="shared" si="0"/>
        <v>21667845.77</v>
      </c>
      <c r="AI21" s="37">
        <f t="shared" si="1"/>
        <v>0.32049178095706465</v>
      </c>
      <c r="AJ21" s="38"/>
    </row>
    <row r="22" spans="2:36" outlineLevel="1">
      <c r="B22" s="31" t="s">
        <v>56</v>
      </c>
      <c r="D22" s="32">
        <v>32001</v>
      </c>
      <c r="E22" s="32" t="s">
        <v>62</v>
      </c>
      <c r="F22" s="33"/>
      <c r="G22" s="29"/>
      <c r="H22" s="34"/>
      <c r="I22" s="35"/>
      <c r="J22" s="36">
        <v>84150.65</v>
      </c>
      <c r="K22" s="35"/>
      <c r="L22" s="36">
        <v>93605.28</v>
      </c>
      <c r="M22" s="35"/>
      <c r="N22" s="36">
        <v>86988.55</v>
      </c>
      <c r="O22" s="35"/>
      <c r="P22" s="36">
        <v>72259.679999999993</v>
      </c>
      <c r="Q22" s="35"/>
      <c r="R22" s="36">
        <v>78030.55</v>
      </c>
      <c r="S22" s="35"/>
      <c r="T22" s="36">
        <v>88219.96</v>
      </c>
      <c r="U22" s="35"/>
      <c r="V22" s="36">
        <v>82506.679999999993</v>
      </c>
      <c r="W22" s="35"/>
      <c r="X22" s="36">
        <v>93169.01</v>
      </c>
      <c r="Y22" s="35"/>
      <c r="Z22" s="36">
        <v>109994.5</v>
      </c>
      <c r="AA22" s="35"/>
      <c r="AB22" s="36">
        <v>105017.84</v>
      </c>
      <c r="AC22" s="35"/>
      <c r="AD22" s="36">
        <v>96811.17</v>
      </c>
      <c r="AE22" s="35"/>
      <c r="AF22" s="36">
        <v>99684.14</v>
      </c>
      <c r="AG22" s="35"/>
      <c r="AH22" s="36">
        <f t="shared" si="0"/>
        <v>1090438.01</v>
      </c>
      <c r="AI22" s="37">
        <f t="shared" si="1"/>
        <v>1.6128803184119096E-2</v>
      </c>
      <c r="AJ22" s="38"/>
    </row>
    <row r="23" spans="2:36" outlineLevel="1">
      <c r="B23" s="31" t="s">
        <v>56</v>
      </c>
      <c r="D23" s="32">
        <v>32100</v>
      </c>
      <c r="E23" s="32" t="s">
        <v>63</v>
      </c>
      <c r="F23" s="33"/>
      <c r="G23" s="29"/>
      <c r="H23" s="34"/>
      <c r="I23" s="35"/>
      <c r="J23" s="36">
        <v>602917.5</v>
      </c>
      <c r="K23" s="35"/>
      <c r="L23" s="36">
        <v>607179.44999999995</v>
      </c>
      <c r="M23" s="35"/>
      <c r="N23" s="36">
        <v>608968.39</v>
      </c>
      <c r="O23" s="35"/>
      <c r="P23" s="36">
        <v>610110.96</v>
      </c>
      <c r="Q23" s="35"/>
      <c r="R23" s="36">
        <v>604400.74</v>
      </c>
      <c r="S23" s="35"/>
      <c r="T23" s="36">
        <v>614620.31000000006</v>
      </c>
      <c r="U23" s="35"/>
      <c r="V23" s="36">
        <v>613298.22</v>
      </c>
      <c r="W23" s="35"/>
      <c r="X23" s="36">
        <v>617227.87</v>
      </c>
      <c r="Y23" s="35"/>
      <c r="Z23" s="36">
        <v>617517.72</v>
      </c>
      <c r="AA23" s="35"/>
      <c r="AB23" s="36">
        <v>618801.86</v>
      </c>
      <c r="AC23" s="35"/>
      <c r="AD23" s="36">
        <v>614962.05000000005</v>
      </c>
      <c r="AE23" s="35"/>
      <c r="AF23" s="36">
        <v>606267.38</v>
      </c>
      <c r="AG23" s="35"/>
      <c r="AH23" s="36">
        <f t="shared" si="0"/>
        <v>7336272.4500000002</v>
      </c>
      <c r="AI23" s="37">
        <f t="shared" si="1"/>
        <v>0.10851171122613856</v>
      </c>
      <c r="AJ23" s="38"/>
    </row>
    <row r="24" spans="2:36" outlineLevel="1">
      <c r="B24" s="31" t="s">
        <v>56</v>
      </c>
      <c r="D24" s="32">
        <v>32110</v>
      </c>
      <c r="E24" s="32" t="s">
        <v>64</v>
      </c>
      <c r="F24" s="33"/>
      <c r="G24" s="29"/>
      <c r="H24" s="34"/>
      <c r="I24" s="35"/>
      <c r="J24" s="36">
        <v>352174.08000000002</v>
      </c>
      <c r="K24" s="35"/>
      <c r="L24" s="36">
        <v>348666.32</v>
      </c>
      <c r="M24" s="35"/>
      <c r="N24" s="36">
        <v>340558.68</v>
      </c>
      <c r="O24" s="35"/>
      <c r="P24" s="36">
        <v>298322.03999999998</v>
      </c>
      <c r="Q24" s="35"/>
      <c r="R24" s="36">
        <v>297508.12</v>
      </c>
      <c r="S24" s="35"/>
      <c r="T24" s="36">
        <v>335677.4</v>
      </c>
      <c r="U24" s="35"/>
      <c r="V24" s="36">
        <v>342574.64</v>
      </c>
      <c r="W24" s="35"/>
      <c r="X24" s="36">
        <v>354094.96</v>
      </c>
      <c r="Y24" s="35"/>
      <c r="Z24" s="36">
        <v>358884.6</v>
      </c>
      <c r="AA24" s="35"/>
      <c r="AB24" s="36">
        <v>362718.65</v>
      </c>
      <c r="AC24" s="35"/>
      <c r="AD24" s="36">
        <v>359504.97</v>
      </c>
      <c r="AE24" s="35"/>
      <c r="AF24" s="36">
        <v>360932.56</v>
      </c>
      <c r="AG24" s="35"/>
      <c r="AH24" s="36">
        <f t="shared" si="0"/>
        <v>4111617.0200000005</v>
      </c>
      <c r="AI24" s="37">
        <f t="shared" si="1"/>
        <v>6.0815434784829515E-2</v>
      </c>
      <c r="AJ24" s="38"/>
    </row>
    <row r="25" spans="2:36" outlineLevel="1">
      <c r="B25" s="31" t="s">
        <v>56</v>
      </c>
      <c r="D25" s="32">
        <v>32111</v>
      </c>
      <c r="E25" s="32" t="s">
        <v>64</v>
      </c>
      <c r="F25" s="33"/>
      <c r="G25" s="29"/>
      <c r="H25" s="34"/>
      <c r="I25" s="35"/>
      <c r="J25" s="36">
        <v>32262.400000000001</v>
      </c>
      <c r="K25" s="35"/>
      <c r="L25" s="36">
        <v>40383.25</v>
      </c>
      <c r="M25" s="35"/>
      <c r="N25" s="36">
        <v>11390.35</v>
      </c>
      <c r="O25" s="35"/>
      <c r="P25" s="36">
        <v>11146.7</v>
      </c>
      <c r="Q25" s="35"/>
      <c r="R25" s="36">
        <v>16509.57</v>
      </c>
      <c r="S25" s="35"/>
      <c r="T25" s="36">
        <v>20649.05</v>
      </c>
      <c r="U25" s="35"/>
      <c r="V25" s="36">
        <v>37541.519999999997</v>
      </c>
      <c r="W25" s="35"/>
      <c r="X25" s="36">
        <v>63706.49</v>
      </c>
      <c r="Y25" s="35"/>
      <c r="Z25" s="36">
        <v>56714.83</v>
      </c>
      <c r="AA25" s="35"/>
      <c r="AB25" s="36">
        <v>39602.32</v>
      </c>
      <c r="AC25" s="35"/>
      <c r="AD25" s="36">
        <v>32146.55</v>
      </c>
      <c r="AE25" s="35"/>
      <c r="AF25" s="36">
        <v>39903.620000000003</v>
      </c>
      <c r="AG25" s="35"/>
      <c r="AH25" s="36">
        <f t="shared" si="0"/>
        <v>401956.65</v>
      </c>
      <c r="AI25" s="37">
        <f t="shared" si="1"/>
        <v>5.9453904182942456E-3</v>
      </c>
      <c r="AJ25" s="38"/>
    </row>
    <row r="26" spans="2:36" outlineLevel="1">
      <c r="B26" s="31" t="s">
        <v>56</v>
      </c>
      <c r="D26" s="32">
        <v>33000</v>
      </c>
      <c r="E26" s="32" t="s">
        <v>65</v>
      </c>
      <c r="F26" s="33"/>
      <c r="G26" s="29"/>
      <c r="H26" s="34"/>
      <c r="I26" s="35"/>
      <c r="J26" s="36">
        <v>1317576.6599999999</v>
      </c>
      <c r="K26" s="35"/>
      <c r="L26" s="36">
        <v>1306149.6499999999</v>
      </c>
      <c r="M26" s="35"/>
      <c r="N26" s="36">
        <v>1301862.96</v>
      </c>
      <c r="O26" s="35"/>
      <c r="P26" s="36">
        <v>1304105.93</v>
      </c>
      <c r="Q26" s="35"/>
      <c r="R26" s="36">
        <v>1296766.99</v>
      </c>
      <c r="S26" s="35"/>
      <c r="T26" s="36">
        <v>1305692.18</v>
      </c>
      <c r="U26" s="35"/>
      <c r="V26" s="36">
        <v>1366571.72</v>
      </c>
      <c r="W26" s="35"/>
      <c r="X26" s="36">
        <v>1374688.22</v>
      </c>
      <c r="Y26" s="35"/>
      <c r="Z26" s="36">
        <v>1381517</v>
      </c>
      <c r="AA26" s="35"/>
      <c r="AB26" s="36">
        <v>1386781.31</v>
      </c>
      <c r="AC26" s="35"/>
      <c r="AD26" s="36">
        <v>1389188.81</v>
      </c>
      <c r="AE26" s="35"/>
      <c r="AF26" s="36">
        <v>1394144.96</v>
      </c>
      <c r="AG26" s="35"/>
      <c r="AH26" s="36">
        <f t="shared" si="0"/>
        <v>16125046.389999999</v>
      </c>
      <c r="AI26" s="37">
        <f t="shared" si="1"/>
        <v>0.23850755125373896</v>
      </c>
      <c r="AJ26" s="38"/>
    </row>
    <row r="27" spans="2:36" outlineLevel="1">
      <c r="B27" s="31" t="s">
        <v>56</v>
      </c>
      <c r="D27" s="32">
        <v>33001</v>
      </c>
      <c r="E27" s="32" t="s">
        <v>66</v>
      </c>
      <c r="F27" s="33"/>
      <c r="G27" s="29"/>
      <c r="H27" s="34"/>
      <c r="I27" s="35"/>
      <c r="J27" s="36">
        <v>65479.06</v>
      </c>
      <c r="K27" s="35"/>
      <c r="L27" s="36">
        <v>70848.92</v>
      </c>
      <c r="M27" s="35"/>
      <c r="N27" s="36">
        <v>73004.58</v>
      </c>
      <c r="O27" s="35"/>
      <c r="P27" s="36">
        <v>66776.28</v>
      </c>
      <c r="Q27" s="35"/>
      <c r="R27" s="36">
        <v>72344.34</v>
      </c>
      <c r="S27" s="35"/>
      <c r="T27" s="36">
        <v>71390.3</v>
      </c>
      <c r="U27" s="35"/>
      <c r="V27" s="36">
        <v>69640.25</v>
      </c>
      <c r="W27" s="35"/>
      <c r="X27" s="36">
        <v>75430.94</v>
      </c>
      <c r="Y27" s="35"/>
      <c r="Z27" s="36">
        <v>74533.78</v>
      </c>
      <c r="AA27" s="35"/>
      <c r="AB27" s="36">
        <v>73505.52</v>
      </c>
      <c r="AC27" s="35"/>
      <c r="AD27" s="36">
        <v>74715.259999999995</v>
      </c>
      <c r="AE27" s="35"/>
      <c r="AF27" s="36">
        <v>69552.86</v>
      </c>
      <c r="AG27" s="35"/>
      <c r="AH27" s="36">
        <f t="shared" si="0"/>
        <v>857222.09000000008</v>
      </c>
      <c r="AI27" s="37">
        <f t="shared" si="1"/>
        <v>1.2679277728670909E-2</v>
      </c>
      <c r="AJ27" s="38"/>
    </row>
    <row r="28" spans="2:36" outlineLevel="1">
      <c r="B28" s="31" t="s">
        <v>56</v>
      </c>
      <c r="D28" s="32">
        <v>33020</v>
      </c>
      <c r="E28" s="32" t="s">
        <v>67</v>
      </c>
      <c r="F28" s="33"/>
      <c r="G28" s="29"/>
      <c r="H28" s="34"/>
      <c r="I28" s="35"/>
      <c r="J28" s="36">
        <v>276589.68</v>
      </c>
      <c r="K28" s="35"/>
      <c r="L28" s="36">
        <v>283029.81</v>
      </c>
      <c r="M28" s="35"/>
      <c r="N28" s="36">
        <v>282108.95</v>
      </c>
      <c r="O28" s="35"/>
      <c r="P28" s="36">
        <v>280999.94</v>
      </c>
      <c r="Q28" s="35"/>
      <c r="R28" s="36">
        <v>288697.61</v>
      </c>
      <c r="S28" s="35"/>
      <c r="T28" s="36">
        <v>293216.92</v>
      </c>
      <c r="U28" s="35"/>
      <c r="V28" s="36">
        <v>292345.11</v>
      </c>
      <c r="W28" s="35"/>
      <c r="X28" s="36">
        <v>294079.84999999998</v>
      </c>
      <c r="Y28" s="35"/>
      <c r="Z28" s="36">
        <v>296144.71000000002</v>
      </c>
      <c r="AA28" s="35"/>
      <c r="AB28" s="36">
        <v>269894.11</v>
      </c>
      <c r="AC28" s="35"/>
      <c r="AD28" s="36">
        <v>281709.48</v>
      </c>
      <c r="AE28" s="35"/>
      <c r="AF28" s="36">
        <v>301182.31</v>
      </c>
      <c r="AG28" s="35"/>
      <c r="AH28" s="36">
        <f t="shared" si="0"/>
        <v>3439998.48</v>
      </c>
      <c r="AI28" s="37">
        <f t="shared" si="1"/>
        <v>5.0881442070777452E-2</v>
      </c>
      <c r="AJ28" s="38"/>
    </row>
    <row r="29" spans="2:36" outlineLevel="1">
      <c r="B29" s="31" t="s">
        <v>56</v>
      </c>
      <c r="D29" s="32">
        <v>33031</v>
      </c>
      <c r="E29" s="32" t="s">
        <v>68</v>
      </c>
      <c r="F29" s="33"/>
      <c r="G29" s="29"/>
      <c r="H29" s="34"/>
      <c r="I29" s="35"/>
      <c r="J29" s="36">
        <v>17859.740000000002</v>
      </c>
      <c r="K29" s="35"/>
      <c r="L29" s="36">
        <v>25286.74</v>
      </c>
      <c r="M29" s="35"/>
      <c r="N29" s="36">
        <v>22878.17</v>
      </c>
      <c r="O29" s="35"/>
      <c r="P29" s="36">
        <v>19504.509999999998</v>
      </c>
      <c r="Q29" s="35"/>
      <c r="R29" s="36">
        <v>23741.21</v>
      </c>
      <c r="S29" s="35"/>
      <c r="T29" s="36">
        <v>25318.240000000002</v>
      </c>
      <c r="U29" s="35"/>
      <c r="V29" s="36">
        <v>26188.29</v>
      </c>
      <c r="W29" s="35"/>
      <c r="X29" s="36">
        <v>31915.34</v>
      </c>
      <c r="Y29" s="35"/>
      <c r="Z29" s="36">
        <v>23992.400000000001</v>
      </c>
      <c r="AA29" s="35"/>
      <c r="AB29" s="36">
        <v>29216.36</v>
      </c>
      <c r="AC29" s="35"/>
      <c r="AD29" s="36">
        <v>29735.19</v>
      </c>
      <c r="AE29" s="35"/>
      <c r="AF29" s="36">
        <v>29502.98</v>
      </c>
      <c r="AG29" s="35"/>
      <c r="AH29" s="36">
        <f t="shared" si="0"/>
        <v>305139.17</v>
      </c>
      <c r="AI29" s="37">
        <f t="shared" si="1"/>
        <v>4.5133511227249479E-3</v>
      </c>
      <c r="AJ29" s="38"/>
    </row>
    <row r="30" spans="2:36" s="34" customFormat="1" ht="4.5" customHeight="1" outlineLevel="1">
      <c r="B30" s="63" t="s">
        <v>47</v>
      </c>
      <c r="J30" s="64"/>
      <c r="K30" s="43"/>
      <c r="L30" s="64"/>
      <c r="M30" s="43"/>
      <c r="N30" s="64"/>
      <c r="O30" s="43"/>
      <c r="P30" s="64"/>
      <c r="Q30" s="43"/>
      <c r="R30" s="64"/>
      <c r="S30" s="43"/>
      <c r="T30" s="64"/>
      <c r="U30" s="43"/>
      <c r="V30" s="64"/>
      <c r="W30" s="43"/>
      <c r="X30" s="64"/>
      <c r="Y30" s="43"/>
      <c r="Z30" s="64"/>
      <c r="AA30" s="43"/>
      <c r="AB30" s="64"/>
      <c r="AC30" s="43"/>
      <c r="AD30" s="64"/>
      <c r="AE30" s="43"/>
      <c r="AF30" s="64"/>
      <c r="AG30" s="43"/>
      <c r="AH30" s="64"/>
      <c r="AI30" s="62"/>
      <c r="AJ30" s="43"/>
    </row>
    <row r="31" spans="2:36" s="34" customFormat="1" ht="15">
      <c r="B31" s="27" t="s">
        <v>47</v>
      </c>
      <c r="F31" s="34" t="s">
        <v>69</v>
      </c>
      <c r="J31" s="65">
        <f>SUM(J15:J30)</f>
        <v>5356085.1099999994</v>
      </c>
      <c r="K31" s="66"/>
      <c r="L31" s="65">
        <f>SUM(L15:L30)</f>
        <v>5362175.6599999992</v>
      </c>
      <c r="M31" s="66"/>
      <c r="N31" s="65">
        <f>SUM(N15:N30)</f>
        <v>5265304.7600000007</v>
      </c>
      <c r="O31" s="66"/>
      <c r="P31" s="65">
        <f>SUM(P15:P30)</f>
        <v>5153933.040000001</v>
      </c>
      <c r="Q31" s="66"/>
      <c r="R31" s="65">
        <f>SUM(R15:R30)</f>
        <v>5214117.51</v>
      </c>
      <c r="S31" s="66"/>
      <c r="T31" s="65">
        <f>SUM(T15:T30)</f>
        <v>5601271.1299999999</v>
      </c>
      <c r="U31" s="66"/>
      <c r="V31" s="65">
        <f>SUM(V15:V30)</f>
        <v>5483022.0900000008</v>
      </c>
      <c r="W31" s="66"/>
      <c r="X31" s="65">
        <f>SUM(X15:X30)</f>
        <v>5730928.2400000002</v>
      </c>
      <c r="Y31" s="66"/>
      <c r="Z31" s="65">
        <f>SUM(Z15:Z30)</f>
        <v>5787080.8800000008</v>
      </c>
      <c r="AA31" s="66"/>
      <c r="AB31" s="65">
        <f>SUM(AB15:AB30)</f>
        <v>5731896.1299999999</v>
      </c>
      <c r="AC31" s="66"/>
      <c r="AD31" s="65">
        <f>SUM(AD15:AD30)</f>
        <v>5780082.2700000005</v>
      </c>
      <c r="AE31" s="66"/>
      <c r="AF31" s="65">
        <f>SUM(AF15:AF30)</f>
        <v>5702576.7100000009</v>
      </c>
      <c r="AG31" s="66"/>
      <c r="AH31" s="65">
        <f>SUM(AH15:AH30)</f>
        <v>66168473.530000009</v>
      </c>
      <c r="AI31" s="37">
        <f>IF(AH$60=0,0,AH31/AH$60)</f>
        <v>0.97870605827374291</v>
      </c>
      <c r="AJ31" s="43"/>
    </row>
    <row r="32" spans="2:36" s="34" customFormat="1" ht="15" outlineLevel="1">
      <c r="B32" s="63" t="s">
        <v>47</v>
      </c>
      <c r="J32" s="67"/>
      <c r="K32" s="66"/>
      <c r="L32" s="67"/>
      <c r="M32" s="66"/>
      <c r="N32" s="67"/>
      <c r="O32" s="66"/>
      <c r="P32" s="67"/>
      <c r="Q32" s="66"/>
      <c r="R32" s="67"/>
      <c r="S32" s="66"/>
      <c r="T32" s="67"/>
      <c r="U32" s="66"/>
      <c r="V32" s="67"/>
      <c r="W32" s="66"/>
      <c r="X32" s="67"/>
      <c r="Y32" s="66"/>
      <c r="Z32" s="67"/>
      <c r="AA32" s="66"/>
      <c r="AB32" s="67"/>
      <c r="AC32" s="66"/>
      <c r="AD32" s="67"/>
      <c r="AE32" s="66"/>
      <c r="AF32" s="67"/>
      <c r="AG32" s="66"/>
      <c r="AH32" s="67"/>
      <c r="AI32" s="62"/>
      <c r="AJ32" s="43"/>
    </row>
    <row r="33" spans="2:36" outlineLevel="1">
      <c r="B33" s="31" t="s">
        <v>70</v>
      </c>
      <c r="D33" s="32"/>
      <c r="E33" s="32"/>
      <c r="F33" s="33"/>
      <c r="G33" s="29"/>
      <c r="H33" s="34"/>
      <c r="I33" s="35"/>
      <c r="J33" s="36"/>
      <c r="K33" s="35"/>
      <c r="L33" s="36"/>
      <c r="M33" s="35"/>
      <c r="N33" s="36"/>
      <c r="O33" s="35"/>
      <c r="P33" s="36"/>
      <c r="Q33" s="35"/>
      <c r="R33" s="36"/>
      <c r="S33" s="35"/>
      <c r="T33" s="36"/>
      <c r="U33" s="35"/>
      <c r="V33" s="36"/>
      <c r="W33" s="35"/>
      <c r="X33" s="36"/>
      <c r="Y33" s="35"/>
      <c r="Z33" s="36"/>
      <c r="AA33" s="35"/>
      <c r="AB33" s="36"/>
      <c r="AC33" s="35"/>
      <c r="AD33" s="36"/>
      <c r="AE33" s="35"/>
      <c r="AF33" s="36"/>
      <c r="AG33" s="35"/>
      <c r="AH33" s="36">
        <f>AF33+AD33+AB33+Z33+X33+V33+T33+R33+P33+N33+L33+J33</f>
        <v>0</v>
      </c>
      <c r="AI33" s="37">
        <f>IF(AH$60=0,0,AH33/AH$60)</f>
        <v>0</v>
      </c>
      <c r="AJ33" s="38"/>
    </row>
    <row r="34" spans="2:36" s="34" customFormat="1" ht="5.0999999999999996" customHeight="1" outlineLevel="1">
      <c r="B34" s="63" t="s">
        <v>47</v>
      </c>
      <c r="D34" s="33"/>
      <c r="E34" s="33"/>
      <c r="F34" s="33"/>
      <c r="G34" s="33"/>
      <c r="J34" s="68"/>
      <c r="K34" s="66"/>
      <c r="L34" s="68"/>
      <c r="M34" s="66"/>
      <c r="N34" s="68"/>
      <c r="O34" s="66"/>
      <c r="P34" s="68"/>
      <c r="Q34" s="66"/>
      <c r="R34" s="68"/>
      <c r="S34" s="66"/>
      <c r="T34" s="68"/>
      <c r="U34" s="66"/>
      <c r="V34" s="68"/>
      <c r="W34" s="66"/>
      <c r="X34" s="68"/>
      <c r="Y34" s="66"/>
      <c r="Z34" s="68"/>
      <c r="AA34" s="66"/>
      <c r="AB34" s="68"/>
      <c r="AC34" s="66"/>
      <c r="AD34" s="68"/>
      <c r="AE34" s="66"/>
      <c r="AF34" s="68"/>
      <c r="AG34" s="66"/>
      <c r="AH34" s="68"/>
      <c r="AI34" s="62"/>
      <c r="AJ34" s="43"/>
    </row>
    <row r="35" spans="2:36" s="34" customFormat="1" ht="15">
      <c r="B35" s="27" t="s">
        <v>47</v>
      </c>
      <c r="F35" s="33" t="s">
        <v>71</v>
      </c>
      <c r="J35" s="65">
        <f>SUM(J33:J34)</f>
        <v>0</v>
      </c>
      <c r="K35" s="66"/>
      <c r="L35" s="65">
        <f>SUM(L33:L34)</f>
        <v>0</v>
      </c>
      <c r="M35" s="66"/>
      <c r="N35" s="65">
        <f>SUM(N33:N34)</f>
        <v>0</v>
      </c>
      <c r="O35" s="66"/>
      <c r="P35" s="65">
        <f>SUM(P33:P34)</f>
        <v>0</v>
      </c>
      <c r="Q35" s="66"/>
      <c r="R35" s="65">
        <f>SUM(R33:R34)</f>
        <v>0</v>
      </c>
      <c r="S35" s="66"/>
      <c r="T35" s="65">
        <f>SUM(T33:T34)</f>
        <v>0</v>
      </c>
      <c r="U35" s="66"/>
      <c r="V35" s="65">
        <f>SUM(V33:V34)</f>
        <v>0</v>
      </c>
      <c r="W35" s="66"/>
      <c r="X35" s="65">
        <f>SUM(X33:X34)</f>
        <v>0</v>
      </c>
      <c r="Y35" s="66"/>
      <c r="Z35" s="65">
        <f>SUM(Z33:Z34)</f>
        <v>0</v>
      </c>
      <c r="AA35" s="66"/>
      <c r="AB35" s="65">
        <f>SUM(AB33:AB34)</f>
        <v>0</v>
      </c>
      <c r="AC35" s="66"/>
      <c r="AD35" s="65">
        <f>SUM(AD33:AD34)</f>
        <v>0</v>
      </c>
      <c r="AE35" s="66"/>
      <c r="AF35" s="65">
        <f>SUM(AF33:AF34)</f>
        <v>0</v>
      </c>
      <c r="AG35" s="66"/>
      <c r="AH35" s="65">
        <f>SUM(AH33:AH34)</f>
        <v>0</v>
      </c>
      <c r="AI35" s="37">
        <f>IF(AH$60=0,0,AH35/AH$60)</f>
        <v>0</v>
      </c>
      <c r="AJ35" s="43"/>
    </row>
    <row r="36" spans="2:36" s="34" customFormat="1" ht="15" outlineLevel="1">
      <c r="B36" s="27"/>
      <c r="J36" s="67"/>
      <c r="K36" s="66"/>
      <c r="L36" s="67"/>
      <c r="M36" s="66"/>
      <c r="N36" s="67"/>
      <c r="O36" s="66"/>
      <c r="P36" s="67"/>
      <c r="Q36" s="66"/>
      <c r="R36" s="67"/>
      <c r="S36" s="66"/>
      <c r="T36" s="67"/>
      <c r="U36" s="66"/>
      <c r="V36" s="67"/>
      <c r="W36" s="66"/>
      <c r="X36" s="67"/>
      <c r="Y36" s="66"/>
      <c r="Z36" s="67"/>
      <c r="AA36" s="66"/>
      <c r="AB36" s="67"/>
      <c r="AC36" s="66"/>
      <c r="AD36" s="67"/>
      <c r="AE36" s="66"/>
      <c r="AF36" s="67"/>
      <c r="AG36" s="66"/>
      <c r="AH36" s="67"/>
      <c r="AI36" s="62"/>
      <c r="AJ36" s="43"/>
    </row>
    <row r="37" spans="2:36" s="34" customFormat="1" ht="15" outlineLevel="1">
      <c r="B37" s="27" t="s">
        <v>47</v>
      </c>
      <c r="J37" s="67"/>
      <c r="K37" s="66"/>
      <c r="L37" s="67"/>
      <c r="M37" s="66"/>
      <c r="N37" s="67"/>
      <c r="O37" s="66"/>
      <c r="P37" s="67"/>
      <c r="Q37" s="66"/>
      <c r="R37" s="67"/>
      <c r="S37" s="66"/>
      <c r="T37" s="67"/>
      <c r="U37" s="66"/>
      <c r="V37" s="67"/>
      <c r="W37" s="66"/>
      <c r="X37" s="67"/>
      <c r="Y37" s="66"/>
      <c r="Z37" s="67"/>
      <c r="AA37" s="66"/>
      <c r="AB37" s="67"/>
      <c r="AC37" s="66"/>
      <c r="AD37" s="67"/>
      <c r="AE37" s="66"/>
      <c r="AF37" s="67"/>
      <c r="AG37" s="66"/>
      <c r="AH37" s="67"/>
      <c r="AI37" s="62"/>
      <c r="AJ37" s="43"/>
    </row>
    <row r="38" spans="2:36" outlineLevel="1">
      <c r="B38" s="31" t="s">
        <v>72</v>
      </c>
      <c r="D38" s="32">
        <v>35512</v>
      </c>
      <c r="E38" s="32" t="s">
        <v>73</v>
      </c>
      <c r="F38" s="33"/>
      <c r="G38" s="29"/>
      <c r="H38" s="34"/>
      <c r="I38" s="35"/>
      <c r="J38" s="36">
        <v>0</v>
      </c>
      <c r="K38" s="35"/>
      <c r="L38" s="36">
        <v>194.65</v>
      </c>
      <c r="M38" s="35"/>
      <c r="N38" s="36">
        <v>620.73</v>
      </c>
      <c r="O38" s="35"/>
      <c r="P38" s="36">
        <v>0</v>
      </c>
      <c r="Q38" s="35"/>
      <c r="R38" s="36">
        <v>0</v>
      </c>
      <c r="S38" s="35"/>
      <c r="T38" s="36">
        <v>0</v>
      </c>
      <c r="U38" s="35"/>
      <c r="V38" s="36">
        <v>0</v>
      </c>
      <c r="W38" s="35"/>
      <c r="X38" s="36">
        <v>0</v>
      </c>
      <c r="Y38" s="35"/>
      <c r="Z38" s="36">
        <v>830.25</v>
      </c>
      <c r="AA38" s="35"/>
      <c r="AB38" s="36">
        <v>1445.85</v>
      </c>
      <c r="AC38" s="35"/>
      <c r="AD38" s="36">
        <v>386.65</v>
      </c>
      <c r="AE38" s="35"/>
      <c r="AF38" s="36">
        <v>493.58</v>
      </c>
      <c r="AG38" s="35"/>
      <c r="AH38" s="36">
        <f t="shared" ref="AH38:AH41" si="2">AF38+AD38+AB38+Z38+X38+V38+T38+R38+P38+N38+L38+J38</f>
        <v>3971.71</v>
      </c>
      <c r="AI38" s="37">
        <f t="shared" ref="AI38:AI41" si="3">IF(AH$60=0,0,AH38/AH$60)</f>
        <v>5.8746052785153421E-5</v>
      </c>
      <c r="AJ38" s="38"/>
    </row>
    <row r="39" spans="2:36" outlineLevel="1">
      <c r="B39" s="31" t="s">
        <v>56</v>
      </c>
      <c r="D39" s="32">
        <v>35513</v>
      </c>
      <c r="E39" s="32" t="s">
        <v>74</v>
      </c>
      <c r="F39" s="33"/>
      <c r="G39" s="29"/>
      <c r="H39" s="34"/>
      <c r="I39" s="35"/>
      <c r="J39" s="36">
        <v>0</v>
      </c>
      <c r="K39" s="35"/>
      <c r="L39" s="36">
        <v>0</v>
      </c>
      <c r="M39" s="35"/>
      <c r="N39" s="36">
        <v>0</v>
      </c>
      <c r="O39" s="35"/>
      <c r="P39" s="36">
        <v>0</v>
      </c>
      <c r="Q39" s="35"/>
      <c r="R39" s="36">
        <v>0</v>
      </c>
      <c r="S39" s="35"/>
      <c r="T39" s="36">
        <v>0</v>
      </c>
      <c r="U39" s="35"/>
      <c r="V39" s="36">
        <v>0</v>
      </c>
      <c r="W39" s="35"/>
      <c r="X39" s="36">
        <v>686.4</v>
      </c>
      <c r="Y39" s="35"/>
      <c r="Z39" s="36">
        <v>0</v>
      </c>
      <c r="AA39" s="35"/>
      <c r="AB39" s="36">
        <v>0</v>
      </c>
      <c r="AC39" s="35"/>
      <c r="AD39" s="36">
        <v>0</v>
      </c>
      <c r="AE39" s="35"/>
      <c r="AF39" s="36">
        <v>0</v>
      </c>
      <c r="AG39" s="35"/>
      <c r="AH39" s="36">
        <f t="shared" si="2"/>
        <v>686.4</v>
      </c>
      <c r="AI39" s="37">
        <f t="shared" si="3"/>
        <v>1.0152627113190365E-5</v>
      </c>
      <c r="AJ39" s="38"/>
    </row>
    <row r="40" spans="2:36" outlineLevel="1">
      <c r="B40" s="31" t="s">
        <v>56</v>
      </c>
      <c r="D40" s="32">
        <v>35514</v>
      </c>
      <c r="E40" s="32" t="s">
        <v>75</v>
      </c>
      <c r="F40" s="33"/>
      <c r="G40" s="29"/>
      <c r="H40" s="34"/>
      <c r="I40" s="35"/>
      <c r="J40" s="36">
        <v>840.86</v>
      </c>
      <c r="K40" s="35"/>
      <c r="L40" s="36">
        <v>840.43</v>
      </c>
      <c r="M40" s="35"/>
      <c r="N40" s="36">
        <v>923.76</v>
      </c>
      <c r="O40" s="35"/>
      <c r="P40" s="36">
        <v>3220.66</v>
      </c>
      <c r="Q40" s="35"/>
      <c r="R40" s="36">
        <v>1231.94</v>
      </c>
      <c r="S40" s="35"/>
      <c r="T40" s="36">
        <v>2504.9</v>
      </c>
      <c r="U40" s="35"/>
      <c r="V40" s="36">
        <v>2010.75</v>
      </c>
      <c r="W40" s="35"/>
      <c r="X40" s="36">
        <v>2861.7</v>
      </c>
      <c r="Y40" s="35"/>
      <c r="Z40" s="36">
        <v>1657.5</v>
      </c>
      <c r="AA40" s="35"/>
      <c r="AB40" s="36">
        <v>3067.55</v>
      </c>
      <c r="AC40" s="35"/>
      <c r="AD40" s="36">
        <v>411.05</v>
      </c>
      <c r="AE40" s="35"/>
      <c r="AF40" s="36">
        <v>504.1</v>
      </c>
      <c r="AG40" s="35"/>
      <c r="AH40" s="36">
        <f t="shared" si="2"/>
        <v>20075.2</v>
      </c>
      <c r="AI40" s="37">
        <f t="shared" si="3"/>
        <v>2.9693476081398489E-4</v>
      </c>
      <c r="AJ40" s="38"/>
    </row>
    <row r="41" spans="2:36" outlineLevel="1">
      <c r="B41" s="31" t="s">
        <v>56</v>
      </c>
      <c r="D41" s="32">
        <v>35519</v>
      </c>
      <c r="E41" s="32" t="s">
        <v>76</v>
      </c>
      <c r="F41" s="33"/>
      <c r="G41" s="29"/>
      <c r="H41" s="34"/>
      <c r="I41" s="35"/>
      <c r="J41" s="36">
        <v>90042.98</v>
      </c>
      <c r="K41" s="35"/>
      <c r="L41" s="36">
        <v>101975.64</v>
      </c>
      <c r="M41" s="35"/>
      <c r="N41" s="36">
        <v>102418.12</v>
      </c>
      <c r="O41" s="35"/>
      <c r="P41" s="36">
        <v>115488.65</v>
      </c>
      <c r="Q41" s="35"/>
      <c r="R41" s="36">
        <v>122000.93</v>
      </c>
      <c r="S41" s="35"/>
      <c r="T41" s="36">
        <v>166305.29</v>
      </c>
      <c r="U41" s="35"/>
      <c r="V41" s="36">
        <v>80591.320000000007</v>
      </c>
      <c r="W41" s="35"/>
      <c r="X41" s="36">
        <v>99766.65</v>
      </c>
      <c r="Y41" s="35"/>
      <c r="Z41" s="36">
        <v>112323.48</v>
      </c>
      <c r="AA41" s="35"/>
      <c r="AB41" s="36">
        <v>112179.15</v>
      </c>
      <c r="AC41" s="35"/>
      <c r="AD41" s="36">
        <v>101042.71</v>
      </c>
      <c r="AE41" s="35"/>
      <c r="AF41" s="36">
        <v>60702.68</v>
      </c>
      <c r="AG41" s="35"/>
      <c r="AH41" s="36">
        <f t="shared" si="2"/>
        <v>1264837.5999999999</v>
      </c>
      <c r="AI41" s="37">
        <f t="shared" si="3"/>
        <v>1.8708369043622712E-2</v>
      </c>
      <c r="AJ41" s="38"/>
    </row>
    <row r="42" spans="2:36" s="34" customFormat="1" ht="5.0999999999999996" customHeight="1" outlineLevel="1">
      <c r="B42" s="63" t="s">
        <v>47</v>
      </c>
      <c r="D42" s="33"/>
      <c r="E42" s="33"/>
      <c r="F42" s="33"/>
      <c r="G42" s="33"/>
      <c r="J42" s="68"/>
      <c r="K42" s="66"/>
      <c r="L42" s="68"/>
      <c r="M42" s="66"/>
      <c r="N42" s="68"/>
      <c r="O42" s="66"/>
      <c r="P42" s="68"/>
      <c r="Q42" s="66"/>
      <c r="R42" s="68"/>
      <c r="S42" s="66"/>
      <c r="T42" s="68"/>
      <c r="U42" s="66"/>
      <c r="V42" s="68"/>
      <c r="W42" s="66"/>
      <c r="X42" s="68"/>
      <c r="Y42" s="66"/>
      <c r="Z42" s="68"/>
      <c r="AA42" s="66"/>
      <c r="AB42" s="68"/>
      <c r="AC42" s="66"/>
      <c r="AD42" s="68"/>
      <c r="AE42" s="66"/>
      <c r="AF42" s="68"/>
      <c r="AG42" s="66"/>
      <c r="AH42" s="68"/>
      <c r="AI42" s="62"/>
      <c r="AJ42" s="43"/>
    </row>
    <row r="43" spans="2:36" s="34" customFormat="1" ht="15">
      <c r="B43" s="27" t="s">
        <v>47</v>
      </c>
      <c r="F43" s="33" t="s">
        <v>77</v>
      </c>
      <c r="J43" s="65">
        <f>SUM(J37:J42)</f>
        <v>90883.839999999997</v>
      </c>
      <c r="K43" s="66"/>
      <c r="L43" s="65">
        <f>SUM(L37:L42)</f>
        <v>103010.72</v>
      </c>
      <c r="M43" s="66"/>
      <c r="N43" s="65">
        <f>SUM(N37:N42)</f>
        <v>103962.61</v>
      </c>
      <c r="O43" s="66"/>
      <c r="P43" s="65">
        <f>SUM(P37:P42)</f>
        <v>118709.31</v>
      </c>
      <c r="Q43" s="66"/>
      <c r="R43" s="65">
        <f>SUM(R37:R42)</f>
        <v>123232.87</v>
      </c>
      <c r="S43" s="66"/>
      <c r="T43" s="65">
        <f>SUM(T37:T42)</f>
        <v>168810.19</v>
      </c>
      <c r="U43" s="66"/>
      <c r="V43" s="65">
        <f>SUM(V37:V42)</f>
        <v>82602.070000000007</v>
      </c>
      <c r="W43" s="66"/>
      <c r="X43" s="65">
        <f>SUM(X37:X42)</f>
        <v>103314.75</v>
      </c>
      <c r="Y43" s="66"/>
      <c r="Z43" s="65">
        <f>SUM(Z37:Z42)</f>
        <v>114811.23</v>
      </c>
      <c r="AA43" s="66"/>
      <c r="AB43" s="65">
        <f>SUM(AB37:AB42)</f>
        <v>116692.54999999999</v>
      </c>
      <c r="AC43" s="66"/>
      <c r="AD43" s="65">
        <f>SUM(AD37:AD42)</f>
        <v>101840.41</v>
      </c>
      <c r="AE43" s="66"/>
      <c r="AF43" s="65">
        <f>SUM(AF37:AF42)</f>
        <v>61700.36</v>
      </c>
      <c r="AG43" s="66"/>
      <c r="AH43" s="65">
        <f>SUM(AH37:AH42)</f>
        <v>1289570.9099999999</v>
      </c>
      <c r="AI43" s="37">
        <f>IF(AH$60=0,0,AH43/AH$60)</f>
        <v>1.9074202484335039E-2</v>
      </c>
      <c r="AJ43" s="43"/>
    </row>
    <row r="44" spans="2:36" s="34" customFormat="1" ht="15" outlineLevel="1">
      <c r="B44" s="27"/>
      <c r="D44" s="33"/>
      <c r="E44" s="33"/>
      <c r="F44" s="33"/>
      <c r="G44" s="33"/>
      <c r="J44" s="67"/>
      <c r="K44" s="66"/>
      <c r="L44" s="67"/>
      <c r="M44" s="66"/>
      <c r="N44" s="67"/>
      <c r="O44" s="66"/>
      <c r="P44" s="67"/>
      <c r="Q44" s="66"/>
      <c r="R44" s="67"/>
      <c r="S44" s="66"/>
      <c r="T44" s="67"/>
      <c r="U44" s="66"/>
      <c r="V44" s="67"/>
      <c r="W44" s="66"/>
      <c r="X44" s="67"/>
      <c r="Y44" s="66"/>
      <c r="Z44" s="67"/>
      <c r="AA44" s="66"/>
      <c r="AB44" s="67"/>
      <c r="AC44" s="66"/>
      <c r="AD44" s="67"/>
      <c r="AE44" s="66"/>
      <c r="AF44" s="67"/>
      <c r="AG44" s="66"/>
      <c r="AH44" s="67"/>
      <c r="AI44" s="62"/>
      <c r="AJ44" s="43"/>
    </row>
    <row r="45" spans="2:36" s="34" customFormat="1" ht="15" outlineLevel="1">
      <c r="B45" s="27" t="s">
        <v>47</v>
      </c>
      <c r="J45" s="67"/>
      <c r="K45" s="66"/>
      <c r="L45" s="67"/>
      <c r="M45" s="66"/>
      <c r="N45" s="67"/>
      <c r="O45" s="66"/>
      <c r="P45" s="67"/>
      <c r="Q45" s="66"/>
      <c r="R45" s="67"/>
      <c r="S45" s="66"/>
      <c r="T45" s="67"/>
      <c r="U45" s="66"/>
      <c r="V45" s="67"/>
      <c r="W45" s="66"/>
      <c r="X45" s="67"/>
      <c r="Y45" s="66"/>
      <c r="Z45" s="67"/>
      <c r="AA45" s="66"/>
      <c r="AB45" s="67"/>
      <c r="AC45" s="66"/>
      <c r="AD45" s="67"/>
      <c r="AE45" s="66"/>
      <c r="AF45" s="67"/>
      <c r="AG45" s="66"/>
      <c r="AH45" s="67"/>
      <c r="AI45" s="62"/>
      <c r="AJ45" s="43"/>
    </row>
    <row r="46" spans="2:36" outlineLevel="1">
      <c r="B46" s="31" t="s">
        <v>78</v>
      </c>
      <c r="D46" s="32"/>
      <c r="E46" s="32"/>
      <c r="F46" s="33"/>
      <c r="G46" s="29"/>
      <c r="H46" s="34"/>
      <c r="I46" s="35"/>
      <c r="J46" s="36"/>
      <c r="K46" s="35"/>
      <c r="L46" s="36"/>
      <c r="M46" s="35"/>
      <c r="N46" s="36"/>
      <c r="O46" s="35"/>
      <c r="P46" s="36"/>
      <c r="Q46" s="35"/>
      <c r="R46" s="36"/>
      <c r="S46" s="35"/>
      <c r="T46" s="36"/>
      <c r="U46" s="35"/>
      <c r="V46" s="36"/>
      <c r="W46" s="35"/>
      <c r="X46" s="36"/>
      <c r="Y46" s="35"/>
      <c r="Z46" s="36"/>
      <c r="AA46" s="35"/>
      <c r="AB46" s="36"/>
      <c r="AC46" s="35"/>
      <c r="AD46" s="36"/>
      <c r="AE46" s="35"/>
      <c r="AF46" s="36"/>
      <c r="AG46" s="35"/>
      <c r="AH46" s="36">
        <f>AF46+AD46+AB46+Z46+X46+V46+T46+R46+P46+N46+L46+J46</f>
        <v>0</v>
      </c>
      <c r="AI46" s="37">
        <f>IF(AH$60=0,0,AH46/AH$60)</f>
        <v>0</v>
      </c>
      <c r="AJ46" s="38"/>
    </row>
    <row r="47" spans="2:36" s="34" customFormat="1" ht="3.75" customHeight="1" outlineLevel="1">
      <c r="B47" s="63" t="s">
        <v>47</v>
      </c>
      <c r="D47" s="33"/>
      <c r="E47" s="33"/>
      <c r="F47" s="33"/>
      <c r="G47" s="33"/>
      <c r="J47" s="68"/>
      <c r="K47" s="66"/>
      <c r="L47" s="68"/>
      <c r="M47" s="66"/>
      <c r="N47" s="68"/>
      <c r="O47" s="66"/>
      <c r="P47" s="68"/>
      <c r="Q47" s="66"/>
      <c r="R47" s="68"/>
      <c r="S47" s="66"/>
      <c r="T47" s="68"/>
      <c r="U47" s="66"/>
      <c r="V47" s="68"/>
      <c r="W47" s="66"/>
      <c r="X47" s="68"/>
      <c r="Y47" s="66"/>
      <c r="Z47" s="68"/>
      <c r="AA47" s="66"/>
      <c r="AB47" s="68"/>
      <c r="AC47" s="66"/>
      <c r="AD47" s="68"/>
      <c r="AE47" s="66"/>
      <c r="AF47" s="68"/>
      <c r="AG47" s="66"/>
      <c r="AH47" s="68"/>
      <c r="AI47" s="62"/>
      <c r="AJ47" s="43"/>
    </row>
    <row r="48" spans="2:36" s="34" customFormat="1" ht="15">
      <c r="B48" s="27" t="s">
        <v>47</v>
      </c>
      <c r="F48" s="33" t="s">
        <v>79</v>
      </c>
      <c r="J48" s="65">
        <f>SUM(J45:J47)</f>
        <v>0</v>
      </c>
      <c r="K48" s="66"/>
      <c r="L48" s="65">
        <f>SUM(L45:L47)</f>
        <v>0</v>
      </c>
      <c r="M48" s="66"/>
      <c r="N48" s="65">
        <f>SUM(N45:N47)</f>
        <v>0</v>
      </c>
      <c r="O48" s="66"/>
      <c r="P48" s="65">
        <f>SUM(P45:P47)</f>
        <v>0</v>
      </c>
      <c r="Q48" s="66"/>
      <c r="R48" s="65">
        <f>SUM(R45:R47)</f>
        <v>0</v>
      </c>
      <c r="S48" s="66"/>
      <c r="T48" s="65">
        <f>SUM(T45:T47)</f>
        <v>0</v>
      </c>
      <c r="U48" s="66"/>
      <c r="V48" s="65">
        <f>SUM(V45:V47)</f>
        <v>0</v>
      </c>
      <c r="W48" s="66"/>
      <c r="X48" s="65">
        <f>SUM(X45:X47)</f>
        <v>0</v>
      </c>
      <c r="Y48" s="66"/>
      <c r="Z48" s="65">
        <f>SUM(Z45:Z47)</f>
        <v>0</v>
      </c>
      <c r="AA48" s="66"/>
      <c r="AB48" s="65">
        <f>SUM(AB45:AB47)</f>
        <v>0</v>
      </c>
      <c r="AC48" s="66"/>
      <c r="AD48" s="65">
        <f>SUM(AD45:AD47)</f>
        <v>0</v>
      </c>
      <c r="AE48" s="66"/>
      <c r="AF48" s="65">
        <f>SUM(AF45:AF47)</f>
        <v>0</v>
      </c>
      <c r="AG48" s="66"/>
      <c r="AH48" s="65">
        <f>SUM(AH45:AH47)</f>
        <v>0</v>
      </c>
      <c r="AI48" s="37">
        <f>IF(AH$60=0,0,AH48/AH$60)</f>
        <v>0</v>
      </c>
      <c r="AJ48" s="43"/>
    </row>
    <row r="49" spans="2:36" s="34" customFormat="1" ht="15" outlineLevel="1">
      <c r="B49" s="63" t="s">
        <v>47</v>
      </c>
      <c r="J49" s="67"/>
      <c r="K49" s="66"/>
      <c r="L49" s="67"/>
      <c r="M49" s="66"/>
      <c r="N49" s="67"/>
      <c r="O49" s="66"/>
      <c r="P49" s="67"/>
      <c r="Q49" s="66"/>
      <c r="R49" s="67"/>
      <c r="S49" s="66"/>
      <c r="T49" s="67"/>
      <c r="U49" s="66"/>
      <c r="V49" s="67"/>
      <c r="W49" s="66"/>
      <c r="X49" s="67"/>
      <c r="Y49" s="66"/>
      <c r="Z49" s="67"/>
      <c r="AA49" s="66"/>
      <c r="AB49" s="67"/>
      <c r="AC49" s="66"/>
      <c r="AD49" s="67"/>
      <c r="AE49" s="66"/>
      <c r="AF49" s="67"/>
      <c r="AG49" s="66"/>
      <c r="AH49" s="67"/>
      <c r="AI49" s="62"/>
      <c r="AJ49" s="43"/>
    </row>
    <row r="50" spans="2:36" outlineLevel="1">
      <c r="B50" s="31" t="s">
        <v>80</v>
      </c>
      <c r="D50" s="32"/>
      <c r="E50" s="32"/>
      <c r="F50" s="33"/>
      <c r="G50" s="29"/>
      <c r="H50" s="34"/>
      <c r="I50" s="35"/>
      <c r="J50" s="36"/>
      <c r="K50" s="35"/>
      <c r="L50" s="36"/>
      <c r="M50" s="35"/>
      <c r="N50" s="36"/>
      <c r="O50" s="35"/>
      <c r="P50" s="36"/>
      <c r="Q50" s="35"/>
      <c r="R50" s="36"/>
      <c r="S50" s="35"/>
      <c r="T50" s="36"/>
      <c r="U50" s="35"/>
      <c r="V50" s="36"/>
      <c r="W50" s="35"/>
      <c r="X50" s="36"/>
      <c r="Y50" s="35"/>
      <c r="Z50" s="36"/>
      <c r="AA50" s="35"/>
      <c r="AB50" s="36"/>
      <c r="AC50" s="35"/>
      <c r="AD50" s="36"/>
      <c r="AE50" s="35"/>
      <c r="AF50" s="36"/>
      <c r="AG50" s="35"/>
      <c r="AH50" s="36">
        <f>AF50+AD50+AB50+Z50+X50+V50+T50+R50+P50+N50+L50+J50</f>
        <v>0</v>
      </c>
      <c r="AI50" s="37">
        <f>IF(AH$60=0,0,AH50/AH$60)</f>
        <v>0</v>
      </c>
      <c r="AJ50" s="38"/>
    </row>
    <row r="51" spans="2:36" s="34" customFormat="1" ht="3.75" customHeight="1" outlineLevel="1">
      <c r="B51" s="63" t="s">
        <v>47</v>
      </c>
      <c r="D51" s="33"/>
      <c r="E51" s="33"/>
      <c r="F51" s="33"/>
      <c r="G51" s="33"/>
      <c r="J51" s="68"/>
      <c r="K51" s="66"/>
      <c r="L51" s="68"/>
      <c r="M51" s="66"/>
      <c r="N51" s="68"/>
      <c r="O51" s="66"/>
      <c r="P51" s="68"/>
      <c r="Q51" s="66"/>
      <c r="R51" s="68"/>
      <c r="S51" s="66"/>
      <c r="T51" s="68"/>
      <c r="U51" s="66"/>
      <c r="V51" s="68"/>
      <c r="W51" s="66"/>
      <c r="X51" s="68"/>
      <c r="Y51" s="66"/>
      <c r="Z51" s="68"/>
      <c r="AA51" s="66"/>
      <c r="AB51" s="68"/>
      <c r="AC51" s="66"/>
      <c r="AD51" s="68"/>
      <c r="AE51" s="66"/>
      <c r="AF51" s="68"/>
      <c r="AG51" s="66"/>
      <c r="AH51" s="68"/>
      <c r="AI51" s="62"/>
      <c r="AJ51" s="43"/>
    </row>
    <row r="52" spans="2:36" s="34" customFormat="1" ht="15">
      <c r="B52" s="63"/>
      <c r="F52" s="33" t="s">
        <v>81</v>
      </c>
      <c r="J52" s="65">
        <f>SUM(J50:J51)</f>
        <v>0</v>
      </c>
      <c r="K52" s="66"/>
      <c r="L52" s="65">
        <f>SUM(L50:L51)</f>
        <v>0</v>
      </c>
      <c r="M52" s="66"/>
      <c r="N52" s="65">
        <f>SUM(N50:N51)</f>
        <v>0</v>
      </c>
      <c r="O52" s="66"/>
      <c r="P52" s="65">
        <f>SUM(P50:P51)</f>
        <v>0</v>
      </c>
      <c r="Q52" s="66"/>
      <c r="R52" s="65">
        <f>SUM(R50:R51)</f>
        <v>0</v>
      </c>
      <c r="S52" s="66"/>
      <c r="T52" s="65">
        <f>SUM(T50:T51)</f>
        <v>0</v>
      </c>
      <c r="U52" s="66"/>
      <c r="V52" s="65">
        <f>SUM(V50:V51)</f>
        <v>0</v>
      </c>
      <c r="W52" s="66"/>
      <c r="X52" s="65">
        <f>SUM(X50:X51)</f>
        <v>0</v>
      </c>
      <c r="Y52" s="66"/>
      <c r="Z52" s="65">
        <f>SUM(Z50:Z51)</f>
        <v>0</v>
      </c>
      <c r="AA52" s="66"/>
      <c r="AB52" s="65">
        <f>SUM(AB50:AB51)</f>
        <v>0</v>
      </c>
      <c r="AC52" s="66"/>
      <c r="AD52" s="65">
        <f>SUM(AD50:AD51)</f>
        <v>0</v>
      </c>
      <c r="AE52" s="66"/>
      <c r="AF52" s="65">
        <f>SUM(AF50:AF51)</f>
        <v>0</v>
      </c>
      <c r="AG52" s="66"/>
      <c r="AH52" s="65">
        <f>SUM(AH50:AH51)</f>
        <v>0</v>
      </c>
      <c r="AI52" s="37">
        <f>IF(AH$60=0,0,AH52/AH$60)</f>
        <v>0</v>
      </c>
      <c r="AJ52" s="43"/>
    </row>
    <row r="53" spans="2:36" s="34" customFormat="1" ht="15" outlineLevel="1">
      <c r="B53" s="63"/>
      <c r="J53" s="67"/>
      <c r="K53" s="66"/>
      <c r="L53" s="67"/>
      <c r="M53" s="66"/>
      <c r="N53" s="67"/>
      <c r="O53" s="66"/>
      <c r="P53" s="67"/>
      <c r="Q53" s="66"/>
      <c r="R53" s="67"/>
      <c r="S53" s="66"/>
      <c r="T53" s="67"/>
      <c r="U53" s="66"/>
      <c r="V53" s="67"/>
      <c r="W53" s="66"/>
      <c r="X53" s="67"/>
      <c r="Y53" s="66"/>
      <c r="Z53" s="67"/>
      <c r="AA53" s="66"/>
      <c r="AB53" s="67"/>
      <c r="AC53" s="66"/>
      <c r="AD53" s="67"/>
      <c r="AE53" s="66"/>
      <c r="AF53" s="67"/>
      <c r="AG53" s="66"/>
      <c r="AH53" s="67"/>
      <c r="AI53" s="62"/>
      <c r="AJ53" s="43"/>
    </row>
    <row r="54" spans="2:36" s="34" customFormat="1" ht="15" outlineLevel="1">
      <c r="B54" s="63" t="s">
        <v>47</v>
      </c>
      <c r="J54" s="67"/>
      <c r="K54" s="66"/>
      <c r="L54" s="67"/>
      <c r="M54" s="66"/>
      <c r="N54" s="67"/>
      <c r="O54" s="66"/>
      <c r="P54" s="67"/>
      <c r="Q54" s="66"/>
      <c r="R54" s="67"/>
      <c r="S54" s="66"/>
      <c r="T54" s="67"/>
      <c r="U54" s="66"/>
      <c r="V54" s="67"/>
      <c r="W54" s="66"/>
      <c r="X54" s="67"/>
      <c r="Y54" s="66"/>
      <c r="Z54" s="67"/>
      <c r="AA54" s="66"/>
      <c r="AB54" s="67"/>
      <c r="AC54" s="66"/>
      <c r="AD54" s="67"/>
      <c r="AE54" s="66"/>
      <c r="AF54" s="67"/>
      <c r="AG54" s="66"/>
      <c r="AH54" s="67"/>
      <c r="AI54" s="62"/>
      <c r="AJ54" s="43"/>
    </row>
    <row r="55" spans="2:36" outlineLevel="1">
      <c r="B55" s="31" t="s">
        <v>82</v>
      </c>
      <c r="D55" s="32">
        <v>38000</v>
      </c>
      <c r="E55" s="32" t="s">
        <v>83</v>
      </c>
      <c r="F55" s="33"/>
      <c r="G55" s="29"/>
      <c r="H55" s="34"/>
      <c r="I55" s="35"/>
      <c r="J55" s="36">
        <v>6039.69</v>
      </c>
      <c r="K55" s="35"/>
      <c r="L55" s="36">
        <v>7158.54</v>
      </c>
      <c r="M55" s="35"/>
      <c r="N55" s="36">
        <v>5319.8</v>
      </c>
      <c r="O55" s="35"/>
      <c r="P55" s="36">
        <v>8073.5</v>
      </c>
      <c r="Q55" s="35"/>
      <c r="R55" s="36">
        <v>7519.3</v>
      </c>
      <c r="S55" s="35"/>
      <c r="T55" s="36">
        <v>7905.76</v>
      </c>
      <c r="U55" s="35"/>
      <c r="V55" s="36">
        <v>5629.13</v>
      </c>
      <c r="W55" s="35"/>
      <c r="X55" s="36">
        <v>7363.57</v>
      </c>
      <c r="Y55" s="35"/>
      <c r="Z55" s="36">
        <v>6766.32</v>
      </c>
      <c r="AA55" s="35"/>
      <c r="AB55" s="36">
        <v>6188.55</v>
      </c>
      <c r="AC55" s="35"/>
      <c r="AD55" s="36">
        <v>7133.87</v>
      </c>
      <c r="AE55" s="35"/>
      <c r="AF55" s="36">
        <v>6453.6</v>
      </c>
      <c r="AG55" s="35"/>
      <c r="AH55" s="36">
        <f t="shared" ref="AH55:AH56" si="4">AF55+AD55+AB55+Z55+X55+V55+T55+R55+P55+N55+L55+J55</f>
        <v>81551.63</v>
      </c>
      <c r="AI55" s="37">
        <f t="shared" ref="AI55:AI56" si="5">IF(AH$60=0,0,AH55/AH$60)</f>
        <v>1.2062402241591911E-3</v>
      </c>
      <c r="AJ55" s="38"/>
    </row>
    <row r="56" spans="2:36" outlineLevel="1">
      <c r="B56" s="31" t="s">
        <v>56</v>
      </c>
      <c r="D56" s="32">
        <v>38001</v>
      </c>
      <c r="E56" s="32" t="s">
        <v>84</v>
      </c>
      <c r="F56" s="33"/>
      <c r="G56" s="29"/>
      <c r="H56" s="34"/>
      <c r="I56" s="35"/>
      <c r="J56" s="36">
        <v>5703.8</v>
      </c>
      <c r="K56" s="35"/>
      <c r="L56" s="36">
        <v>3879.97</v>
      </c>
      <c r="M56" s="35"/>
      <c r="N56" s="36">
        <v>4190.93</v>
      </c>
      <c r="O56" s="35"/>
      <c r="P56" s="36">
        <v>4569.71</v>
      </c>
      <c r="Q56" s="35"/>
      <c r="R56" s="36">
        <v>5482.73</v>
      </c>
      <c r="S56" s="35"/>
      <c r="T56" s="36">
        <v>2554.96</v>
      </c>
      <c r="U56" s="35"/>
      <c r="V56" s="36">
        <v>8265.82</v>
      </c>
      <c r="W56" s="35"/>
      <c r="X56" s="36">
        <v>5957.73</v>
      </c>
      <c r="Y56" s="35"/>
      <c r="Z56" s="36">
        <v>6924.55</v>
      </c>
      <c r="AA56" s="35"/>
      <c r="AB56" s="36">
        <v>5083.24</v>
      </c>
      <c r="AC56" s="35"/>
      <c r="AD56" s="36">
        <v>6037.06</v>
      </c>
      <c r="AE56" s="35"/>
      <c r="AF56" s="36">
        <v>9870.26</v>
      </c>
      <c r="AG56" s="35"/>
      <c r="AH56" s="36">
        <f t="shared" si="4"/>
        <v>68520.759999999995</v>
      </c>
      <c r="AI56" s="37">
        <f t="shared" si="5"/>
        <v>1.0134990177628348E-3</v>
      </c>
      <c r="AJ56" s="38"/>
    </row>
    <row r="57" spans="2:36" s="34" customFormat="1" ht="4.5" customHeight="1" outlineLevel="1">
      <c r="B57" s="63" t="s">
        <v>47</v>
      </c>
      <c r="D57" s="69"/>
      <c r="J57" s="68"/>
      <c r="K57" s="66"/>
      <c r="L57" s="68"/>
      <c r="M57" s="66"/>
      <c r="N57" s="68"/>
      <c r="O57" s="66"/>
      <c r="P57" s="68"/>
      <c r="Q57" s="66"/>
      <c r="R57" s="68"/>
      <c r="S57" s="66"/>
      <c r="T57" s="68"/>
      <c r="U57" s="66"/>
      <c r="V57" s="68"/>
      <c r="W57" s="66"/>
      <c r="X57" s="68"/>
      <c r="Y57" s="66"/>
      <c r="Z57" s="68"/>
      <c r="AA57" s="66"/>
      <c r="AB57" s="68"/>
      <c r="AC57" s="66"/>
      <c r="AD57" s="68"/>
      <c r="AE57" s="66"/>
      <c r="AF57" s="68"/>
      <c r="AG57" s="66"/>
      <c r="AH57" s="68"/>
      <c r="AI57" s="62"/>
      <c r="AJ57" s="43"/>
    </row>
    <row r="58" spans="2:36" s="34" customFormat="1" ht="15">
      <c r="B58" s="63" t="s">
        <v>47</v>
      </c>
      <c r="F58" s="34" t="s">
        <v>83</v>
      </c>
      <c r="J58" s="65">
        <f>SUM(J54:J57)</f>
        <v>11743.49</v>
      </c>
      <c r="K58" s="66"/>
      <c r="L58" s="65">
        <f>SUM(L54:L57)</f>
        <v>11038.51</v>
      </c>
      <c r="M58" s="66"/>
      <c r="N58" s="65">
        <f>SUM(N54:N57)</f>
        <v>9510.73</v>
      </c>
      <c r="O58" s="66"/>
      <c r="P58" s="65">
        <f>SUM(P54:P57)</f>
        <v>12643.21</v>
      </c>
      <c r="Q58" s="66"/>
      <c r="R58" s="65">
        <f>SUM(R54:R57)</f>
        <v>13002.029999999999</v>
      </c>
      <c r="S58" s="66"/>
      <c r="T58" s="65">
        <f>SUM(T54:T57)</f>
        <v>10460.720000000001</v>
      </c>
      <c r="U58" s="66"/>
      <c r="V58" s="65">
        <f>SUM(V54:V57)</f>
        <v>13894.95</v>
      </c>
      <c r="W58" s="66"/>
      <c r="X58" s="65">
        <f>SUM(X54:X57)</f>
        <v>13321.3</v>
      </c>
      <c r="Y58" s="66"/>
      <c r="Z58" s="65">
        <f>SUM(Z54:Z57)</f>
        <v>13690.869999999999</v>
      </c>
      <c r="AA58" s="66"/>
      <c r="AB58" s="65">
        <f>SUM(AB54:AB57)</f>
        <v>11271.79</v>
      </c>
      <c r="AC58" s="66"/>
      <c r="AD58" s="65">
        <f>SUM(AD54:AD57)</f>
        <v>13170.93</v>
      </c>
      <c r="AE58" s="66"/>
      <c r="AF58" s="65">
        <f>SUM(AF54:AF57)</f>
        <v>16323.86</v>
      </c>
      <c r="AG58" s="66"/>
      <c r="AH58" s="65">
        <f>SUM(AH54:AH57)</f>
        <v>150072.39000000001</v>
      </c>
      <c r="AI58" s="37">
        <f>IF(AH$60=0,0,AH58/AH$60)</f>
        <v>2.2197392419220263E-3</v>
      </c>
      <c r="AJ58" s="43"/>
    </row>
    <row r="59" spans="2:36" s="34" customFormat="1" ht="7.5" customHeight="1">
      <c r="B59" s="63" t="s">
        <v>47</v>
      </c>
      <c r="J59" s="67"/>
      <c r="K59" s="66"/>
      <c r="L59" s="67"/>
      <c r="M59" s="66"/>
      <c r="N59" s="67"/>
      <c r="O59" s="66"/>
      <c r="P59" s="67"/>
      <c r="Q59" s="66"/>
      <c r="R59" s="67"/>
      <c r="S59" s="66"/>
      <c r="T59" s="67"/>
      <c r="U59" s="66"/>
      <c r="V59" s="67"/>
      <c r="W59" s="66"/>
      <c r="X59" s="67"/>
      <c r="Y59" s="66"/>
      <c r="Z59" s="67"/>
      <c r="AA59" s="66"/>
      <c r="AB59" s="67"/>
      <c r="AC59" s="66"/>
      <c r="AD59" s="67"/>
      <c r="AE59" s="66"/>
      <c r="AF59" s="67"/>
      <c r="AG59" s="66"/>
      <c r="AH59" s="67"/>
      <c r="AI59" s="62"/>
      <c r="AJ59" s="43"/>
    </row>
    <row r="60" spans="2:36" s="34" customFormat="1" ht="15">
      <c r="B60" s="63" t="s">
        <v>47</v>
      </c>
      <c r="E60" s="70" t="s">
        <v>85</v>
      </c>
      <c r="J60" s="71">
        <f>+J35+J43+J48+J58+J31+J52</f>
        <v>5458712.4399999995</v>
      </c>
      <c r="K60" s="66"/>
      <c r="L60" s="71">
        <f>+L35+L43+L48+L58+L31+L52</f>
        <v>5476224.8899999997</v>
      </c>
      <c r="M60" s="66"/>
      <c r="N60" s="71">
        <f>+N35+N43+N48+N58+N31+N52</f>
        <v>5378778.1000000006</v>
      </c>
      <c r="O60" s="66"/>
      <c r="P60" s="71">
        <f>+P35+P43+P48+P58+P31+P52</f>
        <v>5285285.5600000005</v>
      </c>
      <c r="Q60" s="66"/>
      <c r="R60" s="71">
        <f>+R35+R43+R48+R58+R31+R52</f>
        <v>5350352.41</v>
      </c>
      <c r="S60" s="66"/>
      <c r="T60" s="71">
        <f>+T35+T43+T48+T58+T31+T52</f>
        <v>5780542.04</v>
      </c>
      <c r="U60" s="66"/>
      <c r="V60" s="71">
        <f>+V35+V43+V48+V58+V31+V52</f>
        <v>5579519.1100000003</v>
      </c>
      <c r="W60" s="66"/>
      <c r="X60" s="71">
        <f>+X35+X43+X48+X58+X31+X52</f>
        <v>5847564.29</v>
      </c>
      <c r="Y60" s="66"/>
      <c r="Z60" s="71">
        <f>+Z35+Z43+Z48+Z58+Z31+Z52</f>
        <v>5915582.9800000004</v>
      </c>
      <c r="AA60" s="66"/>
      <c r="AB60" s="71">
        <f>+AB35+AB43+AB48+AB58+AB31+AB52</f>
        <v>5859860.4699999997</v>
      </c>
      <c r="AC60" s="66"/>
      <c r="AD60" s="71">
        <f>+AD35+AD43+AD48+AD58+AD31+AD52</f>
        <v>5895093.6100000003</v>
      </c>
      <c r="AE60" s="66"/>
      <c r="AF60" s="71">
        <f>+AF35+AF43+AF48+AF58+AF31+AF52</f>
        <v>5780600.9300000006</v>
      </c>
      <c r="AG60" s="66"/>
      <c r="AH60" s="71">
        <f>+AH35+AH43+AH48+AH58+AH31+AH52</f>
        <v>67608116.830000013</v>
      </c>
      <c r="AI60" s="37">
        <f>IF(AH$60=0,0,AH60/AH$60)</f>
        <v>1</v>
      </c>
      <c r="AJ60" s="43"/>
    </row>
    <row r="61" spans="2:36" s="34" customFormat="1" ht="7.5" customHeight="1">
      <c r="B61" s="63" t="s">
        <v>47</v>
      </c>
      <c r="J61" s="67"/>
      <c r="K61" s="66"/>
      <c r="L61" s="67"/>
      <c r="M61" s="66"/>
      <c r="N61" s="67"/>
      <c r="O61" s="66"/>
      <c r="P61" s="67"/>
      <c r="Q61" s="66"/>
      <c r="R61" s="67"/>
      <c r="S61" s="66"/>
      <c r="T61" s="67"/>
      <c r="U61" s="66"/>
      <c r="V61" s="67"/>
      <c r="W61" s="66"/>
      <c r="X61" s="67"/>
      <c r="Y61" s="66"/>
      <c r="Z61" s="67"/>
      <c r="AA61" s="66"/>
      <c r="AB61" s="67"/>
      <c r="AC61" s="66"/>
      <c r="AD61" s="67"/>
      <c r="AE61" s="66"/>
      <c r="AF61" s="67"/>
      <c r="AG61" s="66"/>
      <c r="AH61" s="67"/>
      <c r="AI61" s="62"/>
      <c r="AJ61" s="43"/>
    </row>
    <row r="62" spans="2:36" s="34" customFormat="1" ht="15" outlineLevel="1">
      <c r="B62" s="63"/>
      <c r="J62" s="67"/>
      <c r="K62" s="66"/>
      <c r="L62" s="67"/>
      <c r="M62" s="66"/>
      <c r="N62" s="67"/>
      <c r="O62" s="66"/>
      <c r="P62" s="67"/>
      <c r="Q62" s="66"/>
      <c r="R62" s="67"/>
      <c r="S62" s="66"/>
      <c r="T62" s="67"/>
      <c r="U62" s="66"/>
      <c r="V62" s="67"/>
      <c r="W62" s="66"/>
      <c r="X62" s="67"/>
      <c r="Y62" s="66"/>
      <c r="Z62" s="67"/>
      <c r="AA62" s="66"/>
      <c r="AB62" s="67"/>
      <c r="AC62" s="66"/>
      <c r="AD62" s="67"/>
      <c r="AE62" s="66"/>
      <c r="AF62" s="67"/>
      <c r="AG62" s="66"/>
      <c r="AH62" s="67"/>
      <c r="AI62" s="62"/>
      <c r="AJ62" s="43"/>
    </row>
    <row r="63" spans="2:36" outlineLevel="1">
      <c r="B63" s="31" t="s">
        <v>86</v>
      </c>
      <c r="D63" s="32">
        <v>40101</v>
      </c>
      <c r="E63" s="32" t="s">
        <v>87</v>
      </c>
      <c r="F63" s="33"/>
      <c r="G63" s="29"/>
      <c r="H63" s="34"/>
      <c r="I63" s="35"/>
      <c r="J63" s="36">
        <v>64280.49</v>
      </c>
      <c r="K63" s="35"/>
      <c r="L63" s="36">
        <v>68883.12</v>
      </c>
      <c r="M63" s="35"/>
      <c r="N63" s="36">
        <v>28336.44</v>
      </c>
      <c r="O63" s="35"/>
      <c r="P63" s="36">
        <v>22228.65</v>
      </c>
      <c r="Q63" s="35"/>
      <c r="R63" s="36">
        <v>34177.449999999997</v>
      </c>
      <c r="S63" s="35"/>
      <c r="T63" s="36">
        <v>49354.59</v>
      </c>
      <c r="U63" s="35"/>
      <c r="V63" s="36">
        <v>76533.02</v>
      </c>
      <c r="W63" s="35"/>
      <c r="X63" s="36">
        <v>124253.29</v>
      </c>
      <c r="Y63" s="35"/>
      <c r="Z63" s="36">
        <v>108848.37</v>
      </c>
      <c r="AA63" s="35"/>
      <c r="AB63" s="36">
        <v>72857.31</v>
      </c>
      <c r="AC63" s="35"/>
      <c r="AD63" s="36">
        <v>70929.78</v>
      </c>
      <c r="AE63" s="35"/>
      <c r="AF63" s="36">
        <v>65576.89</v>
      </c>
      <c r="AG63" s="35"/>
      <c r="AH63" s="36">
        <f t="shared" ref="AH63:AH66" si="6">AF63+AD63+AB63+Z63+X63+V63+T63+R63+P63+N63+L63+J63</f>
        <v>786259.39999999991</v>
      </c>
      <c r="AI63" s="37">
        <f t="shared" ref="AI63:AI66" si="7">IF(AH$60=0,0,AH63/AH$60)</f>
        <v>1.1629659822903246E-2</v>
      </c>
      <c r="AJ63" s="38"/>
    </row>
    <row r="64" spans="2:36" outlineLevel="1">
      <c r="B64" s="31" t="s">
        <v>56</v>
      </c>
      <c r="D64" s="32">
        <v>40109</v>
      </c>
      <c r="E64" s="32" t="s">
        <v>88</v>
      </c>
      <c r="F64" s="33"/>
      <c r="G64" s="29"/>
      <c r="H64" s="34"/>
      <c r="I64" s="35"/>
      <c r="J64" s="36">
        <v>22878.77</v>
      </c>
      <c r="K64" s="35"/>
      <c r="L64" s="36">
        <v>16763.02</v>
      </c>
      <c r="M64" s="35"/>
      <c r="N64" s="36">
        <v>11499.7</v>
      </c>
      <c r="O64" s="35"/>
      <c r="P64" s="36">
        <v>12843.96</v>
      </c>
      <c r="Q64" s="35"/>
      <c r="R64" s="36">
        <v>14809.35</v>
      </c>
      <c r="S64" s="35"/>
      <c r="T64" s="36">
        <v>16931.810000000001</v>
      </c>
      <c r="U64" s="35"/>
      <c r="V64" s="36">
        <v>20328.8</v>
      </c>
      <c r="W64" s="35"/>
      <c r="X64" s="36">
        <v>22054.09</v>
      </c>
      <c r="Y64" s="35"/>
      <c r="Z64" s="36">
        <v>16230.73</v>
      </c>
      <c r="AA64" s="35"/>
      <c r="AB64" s="36">
        <v>22734.76</v>
      </c>
      <c r="AC64" s="35"/>
      <c r="AD64" s="36">
        <v>24480.71</v>
      </c>
      <c r="AE64" s="35"/>
      <c r="AF64" s="36">
        <v>21578.31</v>
      </c>
      <c r="AG64" s="35"/>
      <c r="AH64" s="36">
        <f t="shared" si="6"/>
        <v>223134.00999999998</v>
      </c>
      <c r="AI64" s="37">
        <f t="shared" si="7"/>
        <v>3.3004026803626018E-3</v>
      </c>
      <c r="AJ64" s="38"/>
    </row>
    <row r="65" spans="2:36" outlineLevel="1">
      <c r="B65" s="31" t="s">
        <v>56</v>
      </c>
      <c r="D65" s="32">
        <v>40131</v>
      </c>
      <c r="E65" s="32" t="s">
        <v>89</v>
      </c>
      <c r="F65" s="33"/>
      <c r="G65" s="29"/>
      <c r="H65" s="34"/>
      <c r="I65" s="35"/>
      <c r="J65" s="36">
        <v>0</v>
      </c>
      <c r="K65" s="35"/>
      <c r="L65" s="36">
        <v>0</v>
      </c>
      <c r="M65" s="35"/>
      <c r="N65" s="36">
        <v>0</v>
      </c>
      <c r="O65" s="35"/>
      <c r="P65" s="36">
        <v>0</v>
      </c>
      <c r="Q65" s="35"/>
      <c r="R65" s="36">
        <v>0</v>
      </c>
      <c r="S65" s="35"/>
      <c r="T65" s="36">
        <v>4300.09</v>
      </c>
      <c r="U65" s="35"/>
      <c r="V65" s="36">
        <v>0.01</v>
      </c>
      <c r="W65" s="35"/>
      <c r="X65" s="36">
        <v>0</v>
      </c>
      <c r="Y65" s="35"/>
      <c r="Z65" s="36">
        <v>0</v>
      </c>
      <c r="AA65" s="35"/>
      <c r="AB65" s="36">
        <v>0</v>
      </c>
      <c r="AC65" s="35"/>
      <c r="AD65" s="36">
        <v>0</v>
      </c>
      <c r="AE65" s="35"/>
      <c r="AF65" s="36">
        <v>0</v>
      </c>
      <c r="AG65" s="35"/>
      <c r="AH65" s="36">
        <f t="shared" si="6"/>
        <v>4300.1000000000004</v>
      </c>
      <c r="AI65" s="37">
        <f t="shared" si="7"/>
        <v>6.3603309803947979E-5</v>
      </c>
      <c r="AJ65" s="38"/>
    </row>
    <row r="66" spans="2:36" outlineLevel="1">
      <c r="B66" s="31" t="s">
        <v>56</v>
      </c>
      <c r="D66" s="32">
        <v>40139</v>
      </c>
      <c r="E66" s="32" t="s">
        <v>90</v>
      </c>
      <c r="F66" s="33"/>
      <c r="G66" s="29"/>
      <c r="H66" s="34"/>
      <c r="I66" s="35"/>
      <c r="J66" s="36">
        <v>1552651.94</v>
      </c>
      <c r="K66" s="35"/>
      <c r="L66" s="36">
        <v>1608455.98</v>
      </c>
      <c r="M66" s="35"/>
      <c r="N66" s="36">
        <v>1507178.98</v>
      </c>
      <c r="O66" s="35"/>
      <c r="P66" s="36">
        <v>1474368.66</v>
      </c>
      <c r="Q66" s="35"/>
      <c r="R66" s="36">
        <v>1448378.1</v>
      </c>
      <c r="S66" s="35"/>
      <c r="T66" s="36">
        <v>1809471.04</v>
      </c>
      <c r="U66" s="35"/>
      <c r="V66" s="36">
        <v>1528962.82</v>
      </c>
      <c r="W66" s="35"/>
      <c r="X66" s="36">
        <v>1786344.59</v>
      </c>
      <c r="Y66" s="35"/>
      <c r="Z66" s="36">
        <v>1749875.53</v>
      </c>
      <c r="AA66" s="35"/>
      <c r="AB66" s="36">
        <v>1664550.18</v>
      </c>
      <c r="AC66" s="35"/>
      <c r="AD66" s="36">
        <v>1745386.4</v>
      </c>
      <c r="AE66" s="35"/>
      <c r="AF66" s="36">
        <v>1597549.86</v>
      </c>
      <c r="AG66" s="35"/>
      <c r="AH66" s="36">
        <f t="shared" si="6"/>
        <v>19473174.080000002</v>
      </c>
      <c r="AI66" s="37">
        <f t="shared" si="7"/>
        <v>0.28803012113124105</v>
      </c>
      <c r="AJ66" s="38"/>
    </row>
    <row r="67" spans="2:36" s="34" customFormat="1" ht="5.0999999999999996" customHeight="1" outlineLevel="1">
      <c r="B67" s="63" t="s">
        <v>47</v>
      </c>
      <c r="D67" s="33"/>
      <c r="E67" s="33"/>
      <c r="F67" s="33"/>
      <c r="G67" s="33"/>
      <c r="J67" s="68"/>
      <c r="K67" s="66"/>
      <c r="L67" s="68"/>
      <c r="M67" s="66"/>
      <c r="N67" s="68"/>
      <c r="O67" s="66"/>
      <c r="P67" s="68"/>
      <c r="Q67" s="66"/>
      <c r="R67" s="68"/>
      <c r="S67" s="66"/>
      <c r="T67" s="68"/>
      <c r="U67" s="66"/>
      <c r="V67" s="68"/>
      <c r="W67" s="66"/>
      <c r="X67" s="68"/>
      <c r="Y67" s="66"/>
      <c r="Z67" s="68"/>
      <c r="AA67" s="66"/>
      <c r="AB67" s="68"/>
      <c r="AC67" s="66"/>
      <c r="AD67" s="68"/>
      <c r="AE67" s="66"/>
      <c r="AF67" s="68"/>
      <c r="AG67" s="66"/>
      <c r="AH67" s="68"/>
      <c r="AI67" s="62"/>
      <c r="AJ67" s="43"/>
    </row>
    <row r="68" spans="2:36" s="34" customFormat="1" ht="15">
      <c r="B68" s="63" t="s">
        <v>47</v>
      </c>
      <c r="F68" s="33" t="s">
        <v>91</v>
      </c>
      <c r="J68" s="65">
        <f>SUM(J62:J67)</f>
        <v>1639811.2</v>
      </c>
      <c r="K68" s="66"/>
      <c r="L68" s="65">
        <f>SUM(L62:L67)</f>
        <v>1694102.1199999999</v>
      </c>
      <c r="M68" s="66"/>
      <c r="N68" s="65">
        <f>SUM(N62:N67)</f>
        <v>1547015.1199999999</v>
      </c>
      <c r="O68" s="66"/>
      <c r="P68" s="65">
        <f>SUM(P62:P67)</f>
        <v>1509441.27</v>
      </c>
      <c r="Q68" s="66"/>
      <c r="R68" s="65">
        <f>SUM(R62:R67)</f>
        <v>1497364.9000000001</v>
      </c>
      <c r="S68" s="66"/>
      <c r="T68" s="65">
        <f>SUM(T62:T67)</f>
        <v>1880057.53</v>
      </c>
      <c r="U68" s="66"/>
      <c r="V68" s="65">
        <f>SUM(V62:V67)</f>
        <v>1625824.6500000001</v>
      </c>
      <c r="W68" s="66"/>
      <c r="X68" s="65">
        <f>SUM(X62:X67)</f>
        <v>1932651.9700000002</v>
      </c>
      <c r="Y68" s="66"/>
      <c r="Z68" s="65">
        <f>SUM(Z62:Z67)</f>
        <v>1874954.6300000001</v>
      </c>
      <c r="AA68" s="66"/>
      <c r="AB68" s="65">
        <f>SUM(AB62:AB67)</f>
        <v>1760142.25</v>
      </c>
      <c r="AC68" s="66"/>
      <c r="AD68" s="65">
        <f>SUM(AD62:AD67)</f>
        <v>1840796.89</v>
      </c>
      <c r="AE68" s="66"/>
      <c r="AF68" s="65">
        <f>SUM(AF62:AF67)</f>
        <v>1684705.06</v>
      </c>
      <c r="AG68" s="66"/>
      <c r="AH68" s="65">
        <f>SUM(AH62:AH67)</f>
        <v>20486867.590000004</v>
      </c>
      <c r="AI68" s="37">
        <f>IF(AH$60=0,0,AH68/AH$60)</f>
        <v>0.30302378694431087</v>
      </c>
      <c r="AJ68" s="43"/>
    </row>
    <row r="69" spans="2:36" s="34" customFormat="1" ht="15" outlineLevel="1">
      <c r="B69" s="63"/>
      <c r="J69" s="67"/>
      <c r="K69" s="66"/>
      <c r="L69" s="67"/>
      <c r="M69" s="66"/>
      <c r="N69" s="67"/>
      <c r="O69" s="66"/>
      <c r="P69" s="67"/>
      <c r="Q69" s="66"/>
      <c r="R69" s="67"/>
      <c r="S69" s="66"/>
      <c r="T69" s="67"/>
      <c r="U69" s="66"/>
      <c r="V69" s="67"/>
      <c r="W69" s="66"/>
      <c r="X69" s="67"/>
      <c r="Y69" s="66"/>
      <c r="Z69" s="67"/>
      <c r="AA69" s="66"/>
      <c r="AB69" s="67"/>
      <c r="AC69" s="66"/>
      <c r="AD69" s="67"/>
      <c r="AE69" s="66"/>
      <c r="AF69" s="67"/>
      <c r="AG69" s="66"/>
      <c r="AH69" s="67"/>
      <c r="AI69" s="62"/>
      <c r="AJ69" s="43"/>
    </row>
    <row r="70" spans="2:36" outlineLevel="1">
      <c r="B70" s="31" t="s">
        <v>92</v>
      </c>
      <c r="D70" s="32"/>
      <c r="E70" s="32"/>
      <c r="F70" s="33"/>
      <c r="G70" s="29"/>
      <c r="H70" s="34"/>
      <c r="I70" s="35"/>
      <c r="J70" s="36"/>
      <c r="K70" s="35"/>
      <c r="L70" s="36"/>
      <c r="M70" s="35"/>
      <c r="N70" s="36"/>
      <c r="O70" s="35"/>
      <c r="P70" s="36"/>
      <c r="Q70" s="35"/>
      <c r="R70" s="36"/>
      <c r="S70" s="35"/>
      <c r="T70" s="36"/>
      <c r="U70" s="35"/>
      <c r="V70" s="36"/>
      <c r="W70" s="35"/>
      <c r="X70" s="36"/>
      <c r="Y70" s="35"/>
      <c r="Z70" s="36"/>
      <c r="AA70" s="35"/>
      <c r="AB70" s="36"/>
      <c r="AC70" s="35"/>
      <c r="AD70" s="36"/>
      <c r="AE70" s="35"/>
      <c r="AF70" s="36"/>
      <c r="AG70" s="35"/>
      <c r="AH70" s="36">
        <f>AF70+AD70+AB70+Z70+X70+V70+T70+R70+P70+N70+L70+J70</f>
        <v>0</v>
      </c>
      <c r="AI70" s="37">
        <f>IF(AH$60=0,0,AH70/AH$60)</f>
        <v>0</v>
      </c>
      <c r="AJ70" s="38"/>
    </row>
    <row r="71" spans="2:36" s="34" customFormat="1" ht="4.5" customHeight="1" outlineLevel="1">
      <c r="B71" s="34" t="s">
        <v>47</v>
      </c>
      <c r="D71" s="69"/>
      <c r="J71" s="68"/>
      <c r="K71" s="66"/>
      <c r="L71" s="68"/>
      <c r="M71" s="66"/>
      <c r="N71" s="68"/>
      <c r="O71" s="66"/>
      <c r="P71" s="68"/>
      <c r="Q71" s="66"/>
      <c r="R71" s="68"/>
      <c r="S71" s="66"/>
      <c r="T71" s="68"/>
      <c r="U71" s="66"/>
      <c r="V71" s="68"/>
      <c r="W71" s="66"/>
      <c r="X71" s="68"/>
      <c r="Y71" s="66"/>
      <c r="Z71" s="68"/>
      <c r="AA71" s="66"/>
      <c r="AB71" s="68"/>
      <c r="AC71" s="66"/>
      <c r="AD71" s="68"/>
      <c r="AE71" s="66"/>
      <c r="AF71" s="68"/>
      <c r="AG71" s="66"/>
      <c r="AH71" s="68"/>
      <c r="AI71" s="62"/>
      <c r="AJ71" s="43"/>
    </row>
    <row r="72" spans="2:36" s="34" customFormat="1" ht="15">
      <c r="B72" s="63" t="s">
        <v>47</v>
      </c>
      <c r="F72" s="34" t="s">
        <v>93</v>
      </c>
      <c r="J72" s="65">
        <f>SUM(J70:J71)</f>
        <v>0</v>
      </c>
      <c r="K72" s="66"/>
      <c r="L72" s="65">
        <f>SUM(L70:L71)</f>
        <v>0</v>
      </c>
      <c r="M72" s="66"/>
      <c r="N72" s="65">
        <f>SUM(N70:N71)</f>
        <v>0</v>
      </c>
      <c r="O72" s="66"/>
      <c r="P72" s="65">
        <f>SUM(P70:P71)</f>
        <v>0</v>
      </c>
      <c r="Q72" s="66"/>
      <c r="R72" s="65">
        <f>SUM(R70:R71)</f>
        <v>0</v>
      </c>
      <c r="S72" s="66"/>
      <c r="T72" s="65">
        <f>SUM(T70:T71)</f>
        <v>0</v>
      </c>
      <c r="U72" s="66"/>
      <c r="V72" s="65">
        <f>SUM(V70:V71)</f>
        <v>0</v>
      </c>
      <c r="W72" s="66"/>
      <c r="X72" s="65">
        <f>SUM(X70:X71)</f>
        <v>0</v>
      </c>
      <c r="Y72" s="66"/>
      <c r="Z72" s="65">
        <f>SUM(Z70:Z71)</f>
        <v>0</v>
      </c>
      <c r="AA72" s="66"/>
      <c r="AB72" s="65">
        <f>SUM(AB70:AB71)</f>
        <v>0</v>
      </c>
      <c r="AC72" s="66"/>
      <c r="AD72" s="65">
        <f>SUM(AD70:AD71)</f>
        <v>0</v>
      </c>
      <c r="AE72" s="66"/>
      <c r="AF72" s="65">
        <f>SUM(AF70:AF71)</f>
        <v>0</v>
      </c>
      <c r="AG72" s="66"/>
      <c r="AH72" s="65">
        <f>SUM(AH70:AH71)</f>
        <v>0</v>
      </c>
      <c r="AI72" s="37">
        <f>IF(AH$60=0,0,AH72/AH$60)</f>
        <v>0</v>
      </c>
      <c r="AJ72" s="43"/>
    </row>
    <row r="73" spans="2:36" s="34" customFormat="1" ht="15" outlineLevel="1">
      <c r="B73" s="63"/>
      <c r="J73" s="67"/>
      <c r="K73" s="66"/>
      <c r="L73" s="67"/>
      <c r="M73" s="66"/>
      <c r="N73" s="67"/>
      <c r="O73" s="66"/>
      <c r="P73" s="67"/>
      <c r="Q73" s="66"/>
      <c r="R73" s="67"/>
      <c r="S73" s="66"/>
      <c r="T73" s="67"/>
      <c r="U73" s="66"/>
      <c r="V73" s="67"/>
      <c r="W73" s="66"/>
      <c r="X73" s="67"/>
      <c r="Y73" s="66"/>
      <c r="Z73" s="67"/>
      <c r="AA73" s="66"/>
      <c r="AB73" s="67"/>
      <c r="AC73" s="66"/>
      <c r="AD73" s="67"/>
      <c r="AE73" s="66"/>
      <c r="AF73" s="67"/>
      <c r="AG73" s="66"/>
      <c r="AH73" s="67"/>
      <c r="AI73" s="62"/>
      <c r="AJ73" s="43"/>
    </row>
    <row r="74" spans="2:36" s="34" customFormat="1" ht="15" outlineLevel="1">
      <c r="B74" s="63" t="s">
        <v>47</v>
      </c>
      <c r="J74" s="67"/>
      <c r="K74" s="66"/>
      <c r="L74" s="67"/>
      <c r="M74" s="66"/>
      <c r="N74" s="67"/>
      <c r="O74" s="66"/>
      <c r="P74" s="67"/>
      <c r="Q74" s="66"/>
      <c r="R74" s="67"/>
      <c r="S74" s="66"/>
      <c r="T74" s="67"/>
      <c r="U74" s="66"/>
      <c r="V74" s="67"/>
      <c r="W74" s="66"/>
      <c r="X74" s="67"/>
      <c r="Y74" s="66"/>
      <c r="Z74" s="67"/>
      <c r="AA74" s="66"/>
      <c r="AB74" s="67"/>
      <c r="AC74" s="66"/>
      <c r="AD74" s="67"/>
      <c r="AE74" s="66"/>
      <c r="AF74" s="67"/>
      <c r="AG74" s="66"/>
      <c r="AH74" s="67"/>
      <c r="AI74" s="62"/>
      <c r="AJ74" s="43"/>
    </row>
    <row r="75" spans="2:36" outlineLevel="1">
      <c r="B75" s="31" t="s">
        <v>94</v>
      </c>
      <c r="D75" s="32">
        <v>41121</v>
      </c>
      <c r="E75" s="32" t="s">
        <v>95</v>
      </c>
      <c r="F75" s="33"/>
      <c r="G75" s="29"/>
      <c r="H75" s="34"/>
      <c r="I75" s="35"/>
      <c r="J75" s="36">
        <v>40</v>
      </c>
      <c r="K75" s="35"/>
      <c r="L75" s="36">
        <v>100</v>
      </c>
      <c r="M75" s="35"/>
      <c r="N75" s="36">
        <v>80</v>
      </c>
      <c r="O75" s="35"/>
      <c r="P75" s="36">
        <v>100</v>
      </c>
      <c r="Q75" s="35"/>
      <c r="R75" s="36">
        <v>40</v>
      </c>
      <c r="S75" s="35"/>
      <c r="T75" s="36">
        <v>120</v>
      </c>
      <c r="U75" s="35"/>
      <c r="V75" s="36">
        <v>40</v>
      </c>
      <c r="W75" s="35"/>
      <c r="X75" s="36">
        <v>120</v>
      </c>
      <c r="Y75" s="35"/>
      <c r="Z75" s="36">
        <v>60</v>
      </c>
      <c r="AA75" s="35"/>
      <c r="AB75" s="36">
        <v>230</v>
      </c>
      <c r="AC75" s="35"/>
      <c r="AD75" s="36">
        <v>120</v>
      </c>
      <c r="AE75" s="35"/>
      <c r="AF75" s="36">
        <v>60</v>
      </c>
      <c r="AG75" s="35"/>
      <c r="AH75" s="36">
        <f t="shared" ref="AH75:AH78" si="8">AF75+AD75+AB75+Z75+X75+V75+T75+R75+P75+N75+L75+J75</f>
        <v>1110</v>
      </c>
      <c r="AI75" s="37">
        <f t="shared" ref="AI75:AI78" si="9">IF(AH$60=0,0,AH75/AH$60)</f>
        <v>1.6418146992484419E-5</v>
      </c>
      <c r="AJ75" s="38"/>
    </row>
    <row r="76" spans="2:36" outlineLevel="1">
      <c r="B76" s="31" t="s">
        <v>56</v>
      </c>
      <c r="D76" s="32">
        <v>41201</v>
      </c>
      <c r="E76" s="32" t="s">
        <v>96</v>
      </c>
      <c r="F76" s="33"/>
      <c r="G76" s="29"/>
      <c r="H76" s="34"/>
      <c r="I76" s="35"/>
      <c r="J76" s="36">
        <v>507146.38</v>
      </c>
      <c r="K76" s="35"/>
      <c r="L76" s="36">
        <v>507056.21</v>
      </c>
      <c r="M76" s="35"/>
      <c r="N76" s="36">
        <v>506361.69</v>
      </c>
      <c r="O76" s="35"/>
      <c r="P76" s="36">
        <v>511702.5</v>
      </c>
      <c r="Q76" s="35"/>
      <c r="R76" s="36">
        <v>501533.53</v>
      </c>
      <c r="S76" s="35"/>
      <c r="T76" s="36">
        <v>534216.72</v>
      </c>
      <c r="U76" s="35"/>
      <c r="V76" s="36">
        <v>589806.23</v>
      </c>
      <c r="W76" s="35"/>
      <c r="X76" s="36">
        <v>604519.25</v>
      </c>
      <c r="Y76" s="35"/>
      <c r="Z76" s="36">
        <v>603676.37</v>
      </c>
      <c r="AA76" s="35"/>
      <c r="AB76" s="36">
        <v>602830.87</v>
      </c>
      <c r="AC76" s="35"/>
      <c r="AD76" s="36">
        <v>609487.92000000004</v>
      </c>
      <c r="AE76" s="35"/>
      <c r="AF76" s="36">
        <v>629292.18000000005</v>
      </c>
      <c r="AG76" s="35"/>
      <c r="AH76" s="36">
        <f t="shared" si="8"/>
        <v>6707629.8500000006</v>
      </c>
      <c r="AI76" s="37">
        <f t="shared" si="9"/>
        <v>9.9213380944573173E-2</v>
      </c>
      <c r="AJ76" s="38"/>
    </row>
    <row r="77" spans="2:36" outlineLevel="1">
      <c r="B77" s="31" t="s">
        <v>56</v>
      </c>
      <c r="D77" s="32">
        <v>43001</v>
      </c>
      <c r="E77" s="32" t="s">
        <v>97</v>
      </c>
      <c r="F77" s="33"/>
      <c r="G77" s="29"/>
      <c r="H77" s="34"/>
      <c r="I77" s="35"/>
      <c r="J77" s="36">
        <v>78728.539999999994</v>
      </c>
      <c r="K77" s="35"/>
      <c r="L77" s="36">
        <v>79958.289999999994</v>
      </c>
      <c r="M77" s="35"/>
      <c r="N77" s="36">
        <v>79185.17</v>
      </c>
      <c r="O77" s="35"/>
      <c r="P77" s="36">
        <v>77248.25</v>
      </c>
      <c r="Q77" s="35"/>
      <c r="R77" s="36">
        <v>80201.58</v>
      </c>
      <c r="S77" s="35"/>
      <c r="T77" s="36">
        <v>83065.570000000007</v>
      </c>
      <c r="U77" s="35"/>
      <c r="V77" s="36">
        <v>83036.23</v>
      </c>
      <c r="W77" s="35"/>
      <c r="X77" s="36">
        <v>85632.38</v>
      </c>
      <c r="Y77" s="35"/>
      <c r="Z77" s="36">
        <v>87296.79</v>
      </c>
      <c r="AA77" s="35"/>
      <c r="AB77" s="36">
        <v>87105.98</v>
      </c>
      <c r="AC77" s="35"/>
      <c r="AD77" s="36">
        <v>87208</v>
      </c>
      <c r="AE77" s="35"/>
      <c r="AF77" s="36">
        <v>86845.8</v>
      </c>
      <c r="AG77" s="35"/>
      <c r="AH77" s="36">
        <f t="shared" si="8"/>
        <v>995512.58000000007</v>
      </c>
      <c r="AI77" s="37">
        <f t="shared" si="9"/>
        <v>1.4724749433610277E-2</v>
      </c>
      <c r="AJ77" s="38"/>
    </row>
    <row r="78" spans="2:36" outlineLevel="1">
      <c r="B78" s="31" t="s">
        <v>56</v>
      </c>
      <c r="D78" s="32">
        <v>43002</v>
      </c>
      <c r="E78" s="32" t="s">
        <v>98</v>
      </c>
      <c r="F78" s="33"/>
      <c r="G78" s="29"/>
      <c r="H78" s="34"/>
      <c r="I78" s="35"/>
      <c r="J78" s="36">
        <v>7216.38</v>
      </c>
      <c r="K78" s="35"/>
      <c r="L78" s="36">
        <v>7095.18</v>
      </c>
      <c r="M78" s="35"/>
      <c r="N78" s="36">
        <v>6961.02</v>
      </c>
      <c r="O78" s="35"/>
      <c r="P78" s="36">
        <v>6841.78</v>
      </c>
      <c r="Q78" s="35"/>
      <c r="R78" s="36">
        <v>26179.07</v>
      </c>
      <c r="S78" s="35"/>
      <c r="T78" s="36">
        <v>8699.56</v>
      </c>
      <c r="U78" s="35"/>
      <c r="V78" s="36">
        <v>8704.7800000000007</v>
      </c>
      <c r="W78" s="35"/>
      <c r="X78" s="36">
        <v>9090</v>
      </c>
      <c r="Y78" s="35"/>
      <c r="Z78" s="36">
        <v>9374.0499999999993</v>
      </c>
      <c r="AA78" s="35"/>
      <c r="AB78" s="36">
        <v>9398.4599999999991</v>
      </c>
      <c r="AC78" s="35"/>
      <c r="AD78" s="36">
        <v>9285.27</v>
      </c>
      <c r="AE78" s="35"/>
      <c r="AF78" s="36">
        <v>8826.77</v>
      </c>
      <c r="AG78" s="35"/>
      <c r="AH78" s="36">
        <f t="shared" si="8"/>
        <v>117672.32000000001</v>
      </c>
      <c r="AI78" s="37">
        <f t="shared" si="9"/>
        <v>1.7405058078438418E-3</v>
      </c>
      <c r="AJ78" s="38"/>
    </row>
    <row r="79" spans="2:36" s="34" customFormat="1" ht="5.0999999999999996" customHeight="1" outlineLevel="1">
      <c r="B79" s="27" t="s">
        <v>47</v>
      </c>
      <c r="D79" s="33"/>
      <c r="E79" s="33"/>
      <c r="F79" s="33"/>
      <c r="G79" s="33"/>
      <c r="J79" s="68"/>
      <c r="K79" s="66"/>
      <c r="L79" s="68"/>
      <c r="M79" s="66"/>
      <c r="N79" s="68"/>
      <c r="O79" s="66"/>
      <c r="P79" s="68"/>
      <c r="Q79" s="66"/>
      <c r="R79" s="68"/>
      <c r="S79" s="66"/>
      <c r="T79" s="68"/>
      <c r="U79" s="66"/>
      <c r="V79" s="68"/>
      <c r="W79" s="66"/>
      <c r="X79" s="68"/>
      <c r="Y79" s="66"/>
      <c r="Z79" s="68"/>
      <c r="AA79" s="66"/>
      <c r="AB79" s="68"/>
      <c r="AC79" s="66"/>
      <c r="AD79" s="68"/>
      <c r="AE79" s="66"/>
      <c r="AF79" s="68"/>
      <c r="AG79" s="66"/>
      <c r="AH79" s="68"/>
      <c r="AI79" s="62"/>
      <c r="AJ79" s="43"/>
    </row>
    <row r="80" spans="2:36" s="34" customFormat="1" ht="15">
      <c r="B80" s="63" t="s">
        <v>47</v>
      </c>
      <c r="F80" s="33" t="s">
        <v>99</v>
      </c>
      <c r="G80" s="72"/>
      <c r="H80" s="72"/>
      <c r="I80" s="72"/>
      <c r="J80" s="65">
        <f>SUM(J74:J79)</f>
        <v>593131.30000000005</v>
      </c>
      <c r="K80" s="66"/>
      <c r="L80" s="65">
        <f>SUM(L74:L79)</f>
        <v>594209.68000000005</v>
      </c>
      <c r="M80" s="66"/>
      <c r="N80" s="65">
        <f>SUM(N74:N79)</f>
        <v>592587.88</v>
      </c>
      <c r="O80" s="66"/>
      <c r="P80" s="65">
        <f>SUM(P74:P79)</f>
        <v>595892.53</v>
      </c>
      <c r="Q80" s="66"/>
      <c r="R80" s="65">
        <f>SUM(R74:R79)</f>
        <v>607954.17999999993</v>
      </c>
      <c r="S80" s="66"/>
      <c r="T80" s="65">
        <f>SUM(T74:T79)</f>
        <v>626101.85000000009</v>
      </c>
      <c r="U80" s="66"/>
      <c r="V80" s="65">
        <f>SUM(V74:V79)</f>
        <v>681587.24</v>
      </c>
      <c r="W80" s="66"/>
      <c r="X80" s="65">
        <f>SUM(X74:X79)</f>
        <v>699361.63</v>
      </c>
      <c r="Y80" s="66"/>
      <c r="Z80" s="65">
        <f>SUM(Z74:Z79)</f>
        <v>700407.21000000008</v>
      </c>
      <c r="AA80" s="66"/>
      <c r="AB80" s="65">
        <f>SUM(AB74:AB79)</f>
        <v>699565.30999999994</v>
      </c>
      <c r="AC80" s="66"/>
      <c r="AD80" s="65">
        <f>SUM(AD74:AD79)</f>
        <v>706101.19000000006</v>
      </c>
      <c r="AE80" s="66"/>
      <c r="AF80" s="65">
        <f>SUM(AF74:AF79)</f>
        <v>725024.75000000012</v>
      </c>
      <c r="AG80" s="66"/>
      <c r="AH80" s="65">
        <f>SUM(AH74:AH79)</f>
        <v>7821924.7500000009</v>
      </c>
      <c r="AI80" s="37">
        <f>IF(AH$60=0,0,AH80/AH$60)</f>
        <v>0.11569505433301978</v>
      </c>
      <c r="AJ80" s="43"/>
    </row>
    <row r="81" spans="2:36" s="34" customFormat="1" ht="15" outlineLevel="1">
      <c r="B81" s="63"/>
      <c r="J81" s="67"/>
      <c r="K81" s="66"/>
      <c r="L81" s="67"/>
      <c r="M81" s="66"/>
      <c r="N81" s="67"/>
      <c r="O81" s="66"/>
      <c r="P81" s="67"/>
      <c r="Q81" s="66"/>
      <c r="R81" s="67"/>
      <c r="S81" s="66"/>
      <c r="T81" s="67"/>
      <c r="U81" s="66"/>
      <c r="V81" s="67"/>
      <c r="W81" s="66"/>
      <c r="X81" s="67"/>
      <c r="Y81" s="66"/>
      <c r="Z81" s="67"/>
      <c r="AA81" s="66"/>
      <c r="AB81" s="67"/>
      <c r="AC81" s="66"/>
      <c r="AD81" s="67"/>
      <c r="AE81" s="66"/>
      <c r="AF81" s="67"/>
      <c r="AG81" s="66"/>
      <c r="AH81" s="67"/>
      <c r="AI81" s="62"/>
      <c r="AJ81" s="43"/>
    </row>
    <row r="82" spans="2:36" s="34" customFormat="1" ht="15" outlineLevel="1">
      <c r="B82" s="63" t="s">
        <v>47</v>
      </c>
      <c r="J82" s="67"/>
      <c r="K82" s="66"/>
      <c r="L82" s="67"/>
      <c r="M82" s="66"/>
      <c r="N82" s="67"/>
      <c r="O82" s="66"/>
      <c r="P82" s="67"/>
      <c r="Q82" s="66"/>
      <c r="R82" s="67"/>
      <c r="S82" s="66"/>
      <c r="T82" s="67"/>
      <c r="U82" s="66"/>
      <c r="V82" s="67"/>
      <c r="W82" s="66"/>
      <c r="X82" s="67"/>
      <c r="Y82" s="66"/>
      <c r="Z82" s="67"/>
      <c r="AA82" s="66"/>
      <c r="AB82" s="67"/>
      <c r="AC82" s="66"/>
      <c r="AD82" s="67"/>
      <c r="AE82" s="66"/>
      <c r="AF82" s="67"/>
      <c r="AG82" s="66"/>
      <c r="AH82" s="67"/>
      <c r="AI82" s="62"/>
      <c r="AJ82" s="43"/>
    </row>
    <row r="83" spans="2:36" outlineLevel="1">
      <c r="B83" s="31" t="s">
        <v>100</v>
      </c>
      <c r="D83" s="32">
        <v>44161</v>
      </c>
      <c r="E83" s="32" t="s">
        <v>101</v>
      </c>
      <c r="F83" s="33"/>
      <c r="G83" s="29"/>
      <c r="H83" s="34"/>
      <c r="I83" s="35"/>
      <c r="J83" s="36">
        <v>3095.86</v>
      </c>
      <c r="K83" s="35"/>
      <c r="L83" s="36">
        <v>3220.9</v>
      </c>
      <c r="M83" s="35"/>
      <c r="N83" s="36">
        <v>2889.66</v>
      </c>
      <c r="O83" s="35"/>
      <c r="P83" s="36">
        <v>3025.97</v>
      </c>
      <c r="Q83" s="35"/>
      <c r="R83" s="36">
        <v>3695.37</v>
      </c>
      <c r="S83" s="35"/>
      <c r="T83" s="36">
        <v>3169.51</v>
      </c>
      <c r="U83" s="35"/>
      <c r="V83" s="36">
        <v>3501.62</v>
      </c>
      <c r="W83" s="35"/>
      <c r="X83" s="36">
        <v>4106.42</v>
      </c>
      <c r="Y83" s="35"/>
      <c r="Z83" s="36">
        <v>3443.1</v>
      </c>
      <c r="AA83" s="35"/>
      <c r="AB83" s="36">
        <v>1254.44</v>
      </c>
      <c r="AC83" s="35"/>
      <c r="AD83" s="36">
        <v>2188.17</v>
      </c>
      <c r="AE83" s="35"/>
      <c r="AF83" s="36">
        <v>3969.93</v>
      </c>
      <c r="AG83" s="35"/>
      <c r="AH83" s="36">
        <f t="shared" ref="AH83:AH84" si="10">AF83+AD83+AB83+Z83+X83+V83+T83+R83+P83+N83+L83+J83</f>
        <v>37560.950000000004</v>
      </c>
      <c r="AI83" s="37">
        <f t="shared" ref="AI83:AI84" si="11">IF(AH$60=0,0,AH83/AH$60)</f>
        <v>5.5556864709671865E-4</v>
      </c>
      <c r="AJ83" s="38"/>
    </row>
    <row r="84" spans="2:36" outlineLevel="1">
      <c r="B84" s="31" t="s">
        <v>56</v>
      </c>
      <c r="D84" s="32">
        <v>44169</v>
      </c>
      <c r="E84" s="32" t="s">
        <v>102</v>
      </c>
      <c r="F84" s="33"/>
      <c r="G84" s="29"/>
      <c r="H84" s="34"/>
      <c r="I84" s="35"/>
      <c r="J84" s="36">
        <v>0</v>
      </c>
      <c r="K84" s="35"/>
      <c r="L84" s="36">
        <v>0</v>
      </c>
      <c r="M84" s="35"/>
      <c r="N84" s="36">
        <v>0</v>
      </c>
      <c r="O84" s="35"/>
      <c r="P84" s="36">
        <v>0</v>
      </c>
      <c r="Q84" s="35"/>
      <c r="R84" s="36">
        <v>0</v>
      </c>
      <c r="S84" s="35"/>
      <c r="T84" s="36">
        <v>0</v>
      </c>
      <c r="U84" s="35"/>
      <c r="V84" s="36">
        <v>0</v>
      </c>
      <c r="W84" s="35"/>
      <c r="X84" s="36">
        <v>0</v>
      </c>
      <c r="Y84" s="35"/>
      <c r="Z84" s="36">
        <v>0</v>
      </c>
      <c r="AA84" s="35"/>
      <c r="AB84" s="36">
        <v>0</v>
      </c>
      <c r="AC84" s="35"/>
      <c r="AD84" s="36">
        <v>0</v>
      </c>
      <c r="AE84" s="35"/>
      <c r="AF84" s="36">
        <v>8752.84</v>
      </c>
      <c r="AG84" s="35"/>
      <c r="AH84" s="36">
        <f t="shared" si="10"/>
        <v>8752.84</v>
      </c>
      <c r="AI84" s="37">
        <f t="shared" si="11"/>
        <v>1.294643366862138E-4</v>
      </c>
      <c r="AJ84" s="38"/>
    </row>
    <row r="85" spans="2:36" s="34" customFormat="1" ht="5.0999999999999996" customHeight="1" outlineLevel="1">
      <c r="B85" s="27" t="s">
        <v>47</v>
      </c>
      <c r="D85" s="33"/>
      <c r="E85" s="33"/>
      <c r="F85" s="33"/>
      <c r="G85" s="33"/>
      <c r="J85" s="68"/>
      <c r="K85" s="66"/>
      <c r="L85" s="68"/>
      <c r="M85" s="66"/>
      <c r="N85" s="68"/>
      <c r="O85" s="66"/>
      <c r="P85" s="68"/>
      <c r="Q85" s="66"/>
      <c r="R85" s="68"/>
      <c r="S85" s="66"/>
      <c r="T85" s="68"/>
      <c r="U85" s="66"/>
      <c r="V85" s="68"/>
      <c r="W85" s="66"/>
      <c r="X85" s="68"/>
      <c r="Y85" s="66"/>
      <c r="Z85" s="68"/>
      <c r="AA85" s="66"/>
      <c r="AB85" s="68"/>
      <c r="AC85" s="66"/>
      <c r="AD85" s="68"/>
      <c r="AE85" s="66"/>
      <c r="AF85" s="68"/>
      <c r="AG85" s="66"/>
      <c r="AH85" s="68"/>
      <c r="AI85" s="62"/>
      <c r="AJ85" s="43"/>
    </row>
    <row r="86" spans="2:36" s="34" customFormat="1" ht="15">
      <c r="B86" s="27" t="s">
        <v>47</v>
      </c>
      <c r="F86" s="33" t="s">
        <v>103</v>
      </c>
      <c r="G86" s="72"/>
      <c r="H86" s="72"/>
      <c r="I86" s="72"/>
      <c r="J86" s="65">
        <f>SUM(J82:J85)</f>
        <v>3095.86</v>
      </c>
      <c r="K86" s="66"/>
      <c r="L86" s="65">
        <f>SUM(L82:L85)</f>
        <v>3220.9</v>
      </c>
      <c r="M86" s="66"/>
      <c r="N86" s="65">
        <f>SUM(N82:N85)</f>
        <v>2889.66</v>
      </c>
      <c r="O86" s="66"/>
      <c r="P86" s="65">
        <f>SUM(P82:P85)</f>
        <v>3025.97</v>
      </c>
      <c r="Q86" s="66"/>
      <c r="R86" s="65">
        <f>SUM(R82:R85)</f>
        <v>3695.37</v>
      </c>
      <c r="S86" s="66"/>
      <c r="T86" s="65">
        <f>SUM(T82:T85)</f>
        <v>3169.51</v>
      </c>
      <c r="U86" s="66"/>
      <c r="V86" s="65">
        <f>SUM(V82:V85)</f>
        <v>3501.62</v>
      </c>
      <c r="W86" s="66"/>
      <c r="X86" s="65">
        <f>SUM(X82:X85)</f>
        <v>4106.42</v>
      </c>
      <c r="Y86" s="66"/>
      <c r="Z86" s="65">
        <f>SUM(Z82:Z85)</f>
        <v>3443.1</v>
      </c>
      <c r="AA86" s="66"/>
      <c r="AB86" s="65">
        <f>SUM(AB82:AB85)</f>
        <v>1254.44</v>
      </c>
      <c r="AC86" s="66"/>
      <c r="AD86" s="65">
        <f>SUM(AD82:AD85)</f>
        <v>2188.17</v>
      </c>
      <c r="AE86" s="66"/>
      <c r="AF86" s="65">
        <f>SUM(AF82:AF85)</f>
        <v>12722.77</v>
      </c>
      <c r="AG86" s="66"/>
      <c r="AH86" s="65">
        <f>SUM(AH82:AH85)</f>
        <v>46313.790000000008</v>
      </c>
      <c r="AI86" s="37">
        <f>IF(AH$60=0,0,AH86/AH$60)</f>
        <v>6.8503298378293253E-4</v>
      </c>
      <c r="AJ86" s="43"/>
    </row>
    <row r="87" spans="2:36" s="34" customFormat="1" ht="15" outlineLevel="1">
      <c r="B87" s="63" t="s">
        <v>47</v>
      </c>
      <c r="J87" s="67"/>
      <c r="K87" s="66"/>
      <c r="L87" s="67"/>
      <c r="M87" s="66"/>
      <c r="N87" s="67"/>
      <c r="O87" s="66"/>
      <c r="P87" s="67"/>
      <c r="Q87" s="66"/>
      <c r="R87" s="67"/>
      <c r="S87" s="66"/>
      <c r="T87" s="67"/>
      <c r="U87" s="66"/>
      <c r="V87" s="67"/>
      <c r="W87" s="66"/>
      <c r="X87" s="67"/>
      <c r="Y87" s="66"/>
      <c r="Z87" s="67"/>
      <c r="AA87" s="66"/>
      <c r="AB87" s="67"/>
      <c r="AC87" s="66"/>
      <c r="AD87" s="67"/>
      <c r="AE87" s="66"/>
      <c r="AF87" s="67"/>
      <c r="AG87" s="66"/>
      <c r="AH87" s="67"/>
      <c r="AI87" s="62"/>
      <c r="AJ87" s="43"/>
    </row>
    <row r="88" spans="2:36" outlineLevel="1">
      <c r="B88" s="31" t="s">
        <v>104</v>
      </c>
      <c r="D88" s="32"/>
      <c r="E88" s="32"/>
      <c r="F88" s="33"/>
      <c r="G88" s="29"/>
      <c r="H88" s="34"/>
      <c r="I88" s="35"/>
      <c r="J88" s="36"/>
      <c r="K88" s="35"/>
      <c r="L88" s="36"/>
      <c r="M88" s="35"/>
      <c r="N88" s="36"/>
      <c r="O88" s="35"/>
      <c r="P88" s="36"/>
      <c r="Q88" s="35"/>
      <c r="R88" s="36"/>
      <c r="S88" s="35"/>
      <c r="T88" s="36"/>
      <c r="U88" s="35"/>
      <c r="V88" s="36"/>
      <c r="W88" s="35"/>
      <c r="X88" s="36"/>
      <c r="Y88" s="35"/>
      <c r="Z88" s="36"/>
      <c r="AA88" s="35"/>
      <c r="AB88" s="36"/>
      <c r="AC88" s="35"/>
      <c r="AD88" s="36"/>
      <c r="AE88" s="35"/>
      <c r="AF88" s="36"/>
      <c r="AG88" s="35"/>
      <c r="AH88" s="36">
        <f>AF88+AD88+AB88+Z88+X88+V88+T88+R88+P88+N88+L88+J88</f>
        <v>0</v>
      </c>
      <c r="AI88" s="37">
        <f>IF(AH$60=0,0,AH88/AH$60)</f>
        <v>0</v>
      </c>
      <c r="AJ88" s="38"/>
    </row>
    <row r="89" spans="2:36" s="34" customFormat="1" ht="4.5" customHeight="1" outlineLevel="1">
      <c r="B89" s="34" t="s">
        <v>47</v>
      </c>
      <c r="D89" s="69"/>
      <c r="J89" s="68"/>
      <c r="K89" s="66"/>
      <c r="L89" s="68"/>
      <c r="M89" s="66"/>
      <c r="N89" s="68"/>
      <c r="O89" s="66"/>
      <c r="P89" s="68"/>
      <c r="Q89" s="66"/>
      <c r="R89" s="68"/>
      <c r="S89" s="66"/>
      <c r="T89" s="68"/>
      <c r="U89" s="66"/>
      <c r="V89" s="68"/>
      <c r="W89" s="66"/>
      <c r="X89" s="68"/>
      <c r="Y89" s="66"/>
      <c r="Z89" s="68"/>
      <c r="AA89" s="66"/>
      <c r="AB89" s="68"/>
      <c r="AC89" s="66"/>
      <c r="AD89" s="68"/>
      <c r="AE89" s="66"/>
      <c r="AF89" s="68"/>
      <c r="AG89" s="66"/>
      <c r="AH89" s="68"/>
      <c r="AI89" s="62"/>
      <c r="AJ89" s="43"/>
    </row>
    <row r="90" spans="2:36" s="34" customFormat="1" ht="15">
      <c r="B90" s="63" t="s">
        <v>47</v>
      </c>
      <c r="F90" s="34" t="s">
        <v>105</v>
      </c>
      <c r="J90" s="65">
        <f>SUM(J88:J89)</f>
        <v>0</v>
      </c>
      <c r="K90" s="66"/>
      <c r="L90" s="65">
        <f>SUM(L88:L89)</f>
        <v>0</v>
      </c>
      <c r="M90" s="66"/>
      <c r="N90" s="65">
        <f>SUM(N88:N89)</f>
        <v>0</v>
      </c>
      <c r="O90" s="66"/>
      <c r="P90" s="65">
        <f>SUM(P88:P89)</f>
        <v>0</v>
      </c>
      <c r="Q90" s="66"/>
      <c r="R90" s="65">
        <f>SUM(R88:R89)</f>
        <v>0</v>
      </c>
      <c r="S90" s="66"/>
      <c r="T90" s="65">
        <f>SUM(T88:T89)</f>
        <v>0</v>
      </c>
      <c r="U90" s="66"/>
      <c r="V90" s="65">
        <f>SUM(V88:V89)</f>
        <v>0</v>
      </c>
      <c r="W90" s="66"/>
      <c r="X90" s="65">
        <f>SUM(X88:X89)</f>
        <v>0</v>
      </c>
      <c r="Y90" s="66"/>
      <c r="Z90" s="65">
        <f>SUM(Z88:Z89)</f>
        <v>0</v>
      </c>
      <c r="AA90" s="66"/>
      <c r="AB90" s="65">
        <f>SUM(AB88:AB89)</f>
        <v>0</v>
      </c>
      <c r="AC90" s="66"/>
      <c r="AD90" s="65">
        <f>SUM(AD88:AD89)</f>
        <v>0</v>
      </c>
      <c r="AE90" s="66"/>
      <c r="AF90" s="65">
        <f>SUM(AF88:AF89)</f>
        <v>0</v>
      </c>
      <c r="AG90" s="66"/>
      <c r="AH90" s="65">
        <f>SUM(AH88:AH89)</f>
        <v>0</v>
      </c>
      <c r="AI90" s="37">
        <f>IF(AH$60=0,0,AH90/AH$60)</f>
        <v>0</v>
      </c>
      <c r="AJ90" s="43"/>
    </row>
    <row r="91" spans="2:36" s="34" customFormat="1" ht="7.5" customHeight="1">
      <c r="B91" s="27" t="s">
        <v>47</v>
      </c>
      <c r="J91" s="67"/>
      <c r="K91" s="66"/>
      <c r="L91" s="67"/>
      <c r="M91" s="66"/>
      <c r="N91" s="67"/>
      <c r="O91" s="66"/>
      <c r="P91" s="67"/>
      <c r="Q91" s="66"/>
      <c r="R91" s="67"/>
      <c r="S91" s="66"/>
      <c r="T91" s="67"/>
      <c r="U91" s="66"/>
      <c r="V91" s="67"/>
      <c r="W91" s="66"/>
      <c r="X91" s="67"/>
      <c r="Y91" s="66"/>
      <c r="Z91" s="67"/>
      <c r="AA91" s="66"/>
      <c r="AB91" s="67"/>
      <c r="AC91" s="66"/>
      <c r="AD91" s="67"/>
      <c r="AE91" s="66"/>
      <c r="AF91" s="67"/>
      <c r="AG91" s="66"/>
      <c r="AH91" s="67"/>
      <c r="AI91" s="62"/>
      <c r="AJ91" s="43"/>
    </row>
    <row r="92" spans="2:36" s="34" customFormat="1" ht="15">
      <c r="B92" s="27" t="s">
        <v>47</v>
      </c>
      <c r="E92" s="70" t="s">
        <v>106</v>
      </c>
      <c r="J92" s="71">
        <f>+J68+J80+J86+J72+J90</f>
        <v>2236038.36</v>
      </c>
      <c r="K92" s="66"/>
      <c r="L92" s="71">
        <f>+L68+L80+L86+L72+L90</f>
        <v>2291532.6999999997</v>
      </c>
      <c r="M92" s="66"/>
      <c r="N92" s="71">
        <f>+N68+N80+N86+N72+N90</f>
        <v>2142492.66</v>
      </c>
      <c r="O92" s="66"/>
      <c r="P92" s="71">
        <f>+P68+P80+P86+P72+P90</f>
        <v>2108359.77</v>
      </c>
      <c r="Q92" s="66"/>
      <c r="R92" s="71">
        <f>+R68+R80+R86+R72+R90</f>
        <v>2109014.4500000002</v>
      </c>
      <c r="S92" s="66"/>
      <c r="T92" s="71">
        <f>+T68+T80+T86+T72+T90</f>
        <v>2509328.8899999997</v>
      </c>
      <c r="U92" s="66"/>
      <c r="V92" s="71">
        <f>+V68+V80+V86+V72+V90</f>
        <v>2310913.5100000002</v>
      </c>
      <c r="W92" s="66"/>
      <c r="X92" s="71">
        <f>+X68+X80+X86+X72+X90</f>
        <v>2636120.02</v>
      </c>
      <c r="Y92" s="66"/>
      <c r="Z92" s="71">
        <f>+Z68+Z80+Z86+Z72+Z90</f>
        <v>2578804.9400000004</v>
      </c>
      <c r="AA92" s="66"/>
      <c r="AB92" s="71">
        <f>+AB68+AB80+AB86+AB72+AB90</f>
        <v>2460962</v>
      </c>
      <c r="AC92" s="66"/>
      <c r="AD92" s="71">
        <f>+AD68+AD80+AD86+AD72+AD90</f>
        <v>2549086.25</v>
      </c>
      <c r="AE92" s="66"/>
      <c r="AF92" s="71">
        <f>+AF68+AF80+AF86+AF72+AF90</f>
        <v>2422452.58</v>
      </c>
      <c r="AG92" s="66"/>
      <c r="AH92" s="71">
        <f>+AH68+AH80+AH86+AH72+AH90</f>
        <v>28355106.130000003</v>
      </c>
      <c r="AI92" s="37">
        <f>IF(AH$60=0,0,AH92/AH$60)</f>
        <v>0.41940387426111359</v>
      </c>
      <c r="AJ92" s="43"/>
    </row>
    <row r="93" spans="2:36" s="34" customFormat="1" ht="7.5" customHeight="1">
      <c r="B93" s="27" t="s">
        <v>47</v>
      </c>
      <c r="J93" s="67"/>
      <c r="K93" s="66"/>
      <c r="L93" s="67"/>
      <c r="M93" s="66"/>
      <c r="N93" s="67"/>
      <c r="O93" s="66"/>
      <c r="P93" s="67"/>
      <c r="Q93" s="66"/>
      <c r="R93" s="67"/>
      <c r="S93" s="66"/>
      <c r="T93" s="67"/>
      <c r="U93" s="66"/>
      <c r="V93" s="67"/>
      <c r="W93" s="66"/>
      <c r="X93" s="67"/>
      <c r="Y93" s="66"/>
      <c r="Z93" s="67"/>
      <c r="AA93" s="66"/>
      <c r="AB93" s="67"/>
      <c r="AC93" s="66"/>
      <c r="AD93" s="67"/>
      <c r="AE93" s="66"/>
      <c r="AF93" s="67"/>
      <c r="AG93" s="66"/>
      <c r="AH93" s="67"/>
      <c r="AI93" s="62"/>
      <c r="AJ93" s="43"/>
    </row>
    <row r="94" spans="2:36" s="34" customFormat="1" ht="15">
      <c r="B94" s="27" t="s">
        <v>47</v>
      </c>
      <c r="E94" s="73" t="s">
        <v>107</v>
      </c>
      <c r="J94" s="71">
        <f>J60-J92</f>
        <v>3222674.0799999996</v>
      </c>
      <c r="K94" s="66"/>
      <c r="L94" s="71">
        <f>L60-L92</f>
        <v>3184692.19</v>
      </c>
      <c r="M94" s="66"/>
      <c r="N94" s="71">
        <f>N60-N92</f>
        <v>3236285.4400000004</v>
      </c>
      <c r="O94" s="66"/>
      <c r="P94" s="71">
        <f>P60-P92</f>
        <v>3176925.7900000005</v>
      </c>
      <c r="Q94" s="66"/>
      <c r="R94" s="71">
        <f>R60-R92</f>
        <v>3241337.96</v>
      </c>
      <c r="S94" s="66"/>
      <c r="T94" s="71">
        <f>T60-T92</f>
        <v>3271213.1500000004</v>
      </c>
      <c r="U94" s="66"/>
      <c r="V94" s="71">
        <f>V60-V92</f>
        <v>3268605.6</v>
      </c>
      <c r="W94" s="66"/>
      <c r="X94" s="71">
        <f>X60-X92</f>
        <v>3211444.27</v>
      </c>
      <c r="Y94" s="66"/>
      <c r="Z94" s="71">
        <f>Z60-Z92</f>
        <v>3336778.04</v>
      </c>
      <c r="AA94" s="66"/>
      <c r="AB94" s="71">
        <f>AB60-AB92</f>
        <v>3398898.4699999997</v>
      </c>
      <c r="AC94" s="66"/>
      <c r="AD94" s="71">
        <f>AD60-AD92</f>
        <v>3346007.3600000003</v>
      </c>
      <c r="AE94" s="66"/>
      <c r="AF94" s="71">
        <f>AF60-AF92</f>
        <v>3358148.3500000006</v>
      </c>
      <c r="AG94" s="66"/>
      <c r="AH94" s="71">
        <f>AH60-AH92</f>
        <v>39253010.70000001</v>
      </c>
      <c r="AI94" s="37">
        <f>IF(AH$60=0,0,AH94/AH$60)</f>
        <v>0.58059612573888641</v>
      </c>
      <c r="AJ94" s="43"/>
    </row>
    <row r="95" spans="2:36" s="34" customFormat="1" ht="7.5" customHeight="1">
      <c r="B95" s="27" t="s">
        <v>47</v>
      </c>
      <c r="J95" s="67"/>
      <c r="K95" s="66"/>
      <c r="L95" s="67"/>
      <c r="M95" s="66"/>
      <c r="N95" s="67"/>
      <c r="O95" s="66"/>
      <c r="P95" s="67"/>
      <c r="Q95" s="66"/>
      <c r="R95" s="67"/>
      <c r="S95" s="66"/>
      <c r="T95" s="67"/>
      <c r="U95" s="66"/>
      <c r="V95" s="67"/>
      <c r="W95" s="66"/>
      <c r="X95" s="67"/>
      <c r="Y95" s="66"/>
      <c r="Z95" s="67"/>
      <c r="AA95" s="66"/>
      <c r="AB95" s="67"/>
      <c r="AC95" s="66"/>
      <c r="AD95" s="67"/>
      <c r="AE95" s="66"/>
      <c r="AF95" s="67"/>
      <c r="AG95" s="66"/>
      <c r="AH95" s="67"/>
      <c r="AI95" s="62"/>
      <c r="AJ95" s="43"/>
    </row>
    <row r="96" spans="2:36" s="34" customFormat="1" ht="15" outlineLevel="1">
      <c r="B96" s="27"/>
      <c r="J96" s="67"/>
      <c r="K96" s="66"/>
      <c r="L96" s="67"/>
      <c r="M96" s="66"/>
      <c r="N96" s="67"/>
      <c r="O96" s="66"/>
      <c r="P96" s="67"/>
      <c r="Q96" s="66"/>
      <c r="R96" s="67"/>
      <c r="S96" s="66"/>
      <c r="T96" s="67"/>
      <c r="U96" s="66"/>
      <c r="V96" s="67"/>
      <c r="W96" s="66"/>
      <c r="X96" s="67"/>
      <c r="Y96" s="66"/>
      <c r="Z96" s="67"/>
      <c r="AA96" s="66"/>
      <c r="AB96" s="67"/>
      <c r="AC96" s="66"/>
      <c r="AD96" s="67"/>
      <c r="AE96" s="66"/>
      <c r="AF96" s="67"/>
      <c r="AG96" s="66"/>
      <c r="AH96" s="67"/>
      <c r="AI96" s="62"/>
      <c r="AJ96" s="43"/>
    </row>
    <row r="97" spans="2:36" outlineLevel="1">
      <c r="B97" s="31" t="s">
        <v>108</v>
      </c>
      <c r="D97" s="32">
        <v>50020</v>
      </c>
      <c r="E97" s="32" t="s">
        <v>109</v>
      </c>
      <c r="F97" s="33"/>
      <c r="G97" s="29"/>
      <c r="H97" s="34"/>
      <c r="I97" s="35"/>
      <c r="J97" s="36">
        <v>385535.17</v>
      </c>
      <c r="K97" s="35"/>
      <c r="L97" s="36">
        <v>412273.48</v>
      </c>
      <c r="M97" s="35"/>
      <c r="N97" s="36">
        <v>383959.5</v>
      </c>
      <c r="O97" s="35"/>
      <c r="P97" s="36">
        <v>353298.6</v>
      </c>
      <c r="Q97" s="35"/>
      <c r="R97" s="36">
        <v>389555.04</v>
      </c>
      <c r="S97" s="35"/>
      <c r="T97" s="36">
        <v>435902.52</v>
      </c>
      <c r="U97" s="35"/>
      <c r="V97" s="36">
        <v>386673.27</v>
      </c>
      <c r="W97" s="35"/>
      <c r="X97" s="36">
        <v>441311.41</v>
      </c>
      <c r="Y97" s="35"/>
      <c r="Z97" s="36">
        <v>427476.01</v>
      </c>
      <c r="AA97" s="35"/>
      <c r="AB97" s="36">
        <v>405827.17</v>
      </c>
      <c r="AC97" s="35"/>
      <c r="AD97" s="36">
        <v>455382.41</v>
      </c>
      <c r="AE97" s="35"/>
      <c r="AF97" s="36">
        <v>401990.34</v>
      </c>
      <c r="AG97" s="35"/>
      <c r="AH97" s="36">
        <f t="shared" ref="AH97:AH111" si="12">AF97+AD97+AB97+Z97+X97+V97+T97+R97+P97+N97+L97+J97</f>
        <v>4879184.92</v>
      </c>
      <c r="AI97" s="37">
        <f t="shared" ref="AI97:AI111" si="13">IF(AH$60=0,0,AH97/AH$60)</f>
        <v>7.2168626324390389E-2</v>
      </c>
      <c r="AJ97" s="38"/>
    </row>
    <row r="98" spans="2:36" outlineLevel="1">
      <c r="B98" s="31" t="s">
        <v>56</v>
      </c>
      <c r="D98" s="32">
        <v>50025</v>
      </c>
      <c r="E98" s="32" t="s">
        <v>110</v>
      </c>
      <c r="F98" s="33"/>
      <c r="G98" s="29"/>
      <c r="H98" s="34"/>
      <c r="I98" s="35"/>
      <c r="J98" s="36">
        <v>119192.35</v>
      </c>
      <c r="K98" s="35"/>
      <c r="L98" s="36">
        <v>168982.71</v>
      </c>
      <c r="M98" s="35"/>
      <c r="N98" s="36">
        <v>159553.72</v>
      </c>
      <c r="O98" s="35"/>
      <c r="P98" s="36">
        <v>140674.88</v>
      </c>
      <c r="Q98" s="35"/>
      <c r="R98" s="36">
        <v>92779.33</v>
      </c>
      <c r="S98" s="35"/>
      <c r="T98" s="36">
        <v>113184.64</v>
      </c>
      <c r="U98" s="35"/>
      <c r="V98" s="36">
        <v>123903.95</v>
      </c>
      <c r="W98" s="35"/>
      <c r="X98" s="36">
        <v>189575.89</v>
      </c>
      <c r="Y98" s="35"/>
      <c r="Z98" s="36">
        <v>167145.60999999999</v>
      </c>
      <c r="AA98" s="35"/>
      <c r="AB98" s="36">
        <v>187516.61</v>
      </c>
      <c r="AC98" s="35"/>
      <c r="AD98" s="36">
        <v>161462.19</v>
      </c>
      <c r="AE98" s="35"/>
      <c r="AF98" s="36">
        <v>169597.61</v>
      </c>
      <c r="AG98" s="35"/>
      <c r="AH98" s="36">
        <f t="shared" si="12"/>
        <v>1793569.49</v>
      </c>
      <c r="AI98" s="37">
        <f t="shared" si="13"/>
        <v>2.6528907682932715E-2</v>
      </c>
      <c r="AJ98" s="38"/>
    </row>
    <row r="99" spans="2:36" outlineLevel="1">
      <c r="B99" s="31" t="s">
        <v>56</v>
      </c>
      <c r="D99" s="32">
        <v>50035</v>
      </c>
      <c r="E99" s="32" t="s">
        <v>111</v>
      </c>
      <c r="F99" s="33"/>
      <c r="G99" s="29"/>
      <c r="H99" s="34"/>
      <c r="I99" s="35"/>
      <c r="J99" s="36">
        <v>5692</v>
      </c>
      <c r="K99" s="35"/>
      <c r="L99" s="36">
        <v>8428.4</v>
      </c>
      <c r="M99" s="35"/>
      <c r="N99" s="36">
        <v>12655.87</v>
      </c>
      <c r="O99" s="35"/>
      <c r="P99" s="36">
        <v>11468.25</v>
      </c>
      <c r="Q99" s="35"/>
      <c r="R99" s="36">
        <v>10857.09</v>
      </c>
      <c r="S99" s="35"/>
      <c r="T99" s="36">
        <v>11505.66</v>
      </c>
      <c r="U99" s="35"/>
      <c r="V99" s="36">
        <v>11313</v>
      </c>
      <c r="W99" s="35"/>
      <c r="X99" s="36">
        <v>5435.25</v>
      </c>
      <c r="Y99" s="35"/>
      <c r="Z99" s="36">
        <v>6891.75</v>
      </c>
      <c r="AA99" s="35"/>
      <c r="AB99" s="36">
        <v>9578.25</v>
      </c>
      <c r="AC99" s="35"/>
      <c r="AD99" s="36">
        <v>9578.25</v>
      </c>
      <c r="AE99" s="35"/>
      <c r="AF99" s="36">
        <v>-1246.5</v>
      </c>
      <c r="AG99" s="35"/>
      <c r="AH99" s="36">
        <f t="shared" si="12"/>
        <v>102157.26999999999</v>
      </c>
      <c r="AI99" s="37">
        <f t="shared" si="13"/>
        <v>1.5110207884783051E-3</v>
      </c>
      <c r="AJ99" s="38"/>
    </row>
    <row r="100" spans="2:36" outlineLevel="1">
      <c r="B100" s="31" t="s">
        <v>56</v>
      </c>
      <c r="D100" s="32">
        <v>50036</v>
      </c>
      <c r="E100" s="32" t="s">
        <v>112</v>
      </c>
      <c r="F100" s="33"/>
      <c r="G100" s="29"/>
      <c r="H100" s="34"/>
      <c r="I100" s="35"/>
      <c r="J100" s="36">
        <v>-5282.51</v>
      </c>
      <c r="K100" s="35"/>
      <c r="L100" s="36">
        <v>0</v>
      </c>
      <c r="M100" s="35"/>
      <c r="N100" s="36">
        <v>0</v>
      </c>
      <c r="O100" s="35"/>
      <c r="P100" s="36">
        <v>200</v>
      </c>
      <c r="Q100" s="35"/>
      <c r="R100" s="36">
        <v>0</v>
      </c>
      <c r="S100" s="35"/>
      <c r="T100" s="36">
        <v>0</v>
      </c>
      <c r="U100" s="35"/>
      <c r="V100" s="36">
        <v>1006.54</v>
      </c>
      <c r="W100" s="35"/>
      <c r="X100" s="36">
        <v>0</v>
      </c>
      <c r="Y100" s="35"/>
      <c r="Z100" s="36">
        <v>0</v>
      </c>
      <c r="AA100" s="35"/>
      <c r="AB100" s="36">
        <v>1785.81</v>
      </c>
      <c r="AC100" s="35"/>
      <c r="AD100" s="36">
        <v>0</v>
      </c>
      <c r="AE100" s="35"/>
      <c r="AF100" s="36">
        <v>0</v>
      </c>
      <c r="AG100" s="35"/>
      <c r="AH100" s="36">
        <f t="shared" si="12"/>
        <v>-2290.1600000000003</v>
      </c>
      <c r="AI100" s="37">
        <f t="shared" si="13"/>
        <v>-3.3874039203881191E-5</v>
      </c>
      <c r="AJ100" s="38"/>
    </row>
    <row r="101" spans="2:36" outlineLevel="1">
      <c r="B101" s="31" t="s">
        <v>56</v>
      </c>
      <c r="D101" s="32">
        <v>50045</v>
      </c>
      <c r="E101" s="32" t="s">
        <v>113</v>
      </c>
      <c r="F101" s="33"/>
      <c r="G101" s="29"/>
      <c r="H101" s="34"/>
      <c r="I101" s="35"/>
      <c r="J101" s="36">
        <v>1970.46</v>
      </c>
      <c r="K101" s="35"/>
      <c r="L101" s="36">
        <v>1164.2</v>
      </c>
      <c r="M101" s="35"/>
      <c r="N101" s="36">
        <v>0</v>
      </c>
      <c r="O101" s="35"/>
      <c r="P101" s="36">
        <v>7743.72</v>
      </c>
      <c r="Q101" s="35"/>
      <c r="R101" s="36">
        <v>557.08000000000004</v>
      </c>
      <c r="S101" s="35"/>
      <c r="T101" s="36">
        <v>0</v>
      </c>
      <c r="U101" s="35"/>
      <c r="V101" s="36">
        <v>0</v>
      </c>
      <c r="W101" s="35"/>
      <c r="X101" s="36">
        <v>0</v>
      </c>
      <c r="Y101" s="35"/>
      <c r="Z101" s="36">
        <v>0</v>
      </c>
      <c r="AA101" s="35"/>
      <c r="AB101" s="36">
        <v>205.71</v>
      </c>
      <c r="AC101" s="35"/>
      <c r="AD101" s="36">
        <v>5727.49</v>
      </c>
      <c r="AE101" s="35"/>
      <c r="AF101" s="36">
        <v>3459.08</v>
      </c>
      <c r="AG101" s="35"/>
      <c r="AH101" s="36">
        <f t="shared" si="12"/>
        <v>20827.739999999998</v>
      </c>
      <c r="AI101" s="37">
        <f t="shared" si="13"/>
        <v>3.0806567282995261E-4</v>
      </c>
      <c r="AJ101" s="38"/>
    </row>
    <row r="102" spans="2:36" outlineLevel="1">
      <c r="B102" s="31" t="s">
        <v>56</v>
      </c>
      <c r="D102" s="32">
        <v>50050</v>
      </c>
      <c r="E102" s="32" t="s">
        <v>114</v>
      </c>
      <c r="F102" s="33"/>
      <c r="G102" s="29"/>
      <c r="H102" s="34"/>
      <c r="I102" s="35"/>
      <c r="J102" s="36">
        <v>42390.61</v>
      </c>
      <c r="K102" s="35"/>
      <c r="L102" s="36">
        <v>47476.17</v>
      </c>
      <c r="M102" s="35"/>
      <c r="N102" s="36">
        <v>46147.72</v>
      </c>
      <c r="O102" s="35"/>
      <c r="P102" s="36">
        <v>50258.02</v>
      </c>
      <c r="Q102" s="35"/>
      <c r="R102" s="36">
        <v>42146.36</v>
      </c>
      <c r="S102" s="35"/>
      <c r="T102" s="36">
        <v>47720.21</v>
      </c>
      <c r="U102" s="35"/>
      <c r="V102" s="36">
        <v>44739.7</v>
      </c>
      <c r="W102" s="35"/>
      <c r="X102" s="36">
        <v>56117.43</v>
      </c>
      <c r="Y102" s="35"/>
      <c r="Z102" s="36">
        <v>52456.89</v>
      </c>
      <c r="AA102" s="35"/>
      <c r="AB102" s="36">
        <v>52956.23</v>
      </c>
      <c r="AC102" s="35"/>
      <c r="AD102" s="36">
        <v>53920.88</v>
      </c>
      <c r="AE102" s="35"/>
      <c r="AF102" s="36">
        <v>50014.63</v>
      </c>
      <c r="AG102" s="35"/>
      <c r="AH102" s="36">
        <f t="shared" si="12"/>
        <v>586344.85000000009</v>
      </c>
      <c r="AI102" s="37">
        <f t="shared" si="13"/>
        <v>8.6726990410686752E-3</v>
      </c>
      <c r="AJ102" s="38"/>
    </row>
    <row r="103" spans="2:36" outlineLevel="1">
      <c r="B103" s="31" t="s">
        <v>56</v>
      </c>
      <c r="D103" s="32">
        <v>50060</v>
      </c>
      <c r="E103" s="32" t="s">
        <v>115</v>
      </c>
      <c r="F103" s="33"/>
      <c r="G103" s="29"/>
      <c r="H103" s="34"/>
      <c r="I103" s="35"/>
      <c r="J103" s="36">
        <v>3450.78</v>
      </c>
      <c r="K103" s="35"/>
      <c r="L103" s="36">
        <v>3376.93</v>
      </c>
      <c r="M103" s="35"/>
      <c r="N103" s="36">
        <v>3861.1</v>
      </c>
      <c r="O103" s="35"/>
      <c r="P103" s="36">
        <v>6428.1</v>
      </c>
      <c r="Q103" s="35"/>
      <c r="R103" s="36">
        <v>6599.38</v>
      </c>
      <c r="S103" s="35"/>
      <c r="T103" s="36">
        <v>7711.08</v>
      </c>
      <c r="U103" s="35"/>
      <c r="V103" s="36">
        <v>3442.16</v>
      </c>
      <c r="W103" s="35"/>
      <c r="X103" s="36">
        <v>3186.98</v>
      </c>
      <c r="Y103" s="35"/>
      <c r="Z103" s="36">
        <v>5589.72</v>
      </c>
      <c r="AA103" s="35"/>
      <c r="AB103" s="36">
        <v>3626</v>
      </c>
      <c r="AC103" s="35"/>
      <c r="AD103" s="36">
        <v>3748.48</v>
      </c>
      <c r="AE103" s="35"/>
      <c r="AF103" s="36">
        <v>4718.8999999999996</v>
      </c>
      <c r="AG103" s="35"/>
      <c r="AH103" s="36">
        <f t="shared" si="12"/>
        <v>55739.609999999993</v>
      </c>
      <c r="AI103" s="37">
        <f t="shared" si="13"/>
        <v>8.24451450706085E-4</v>
      </c>
      <c r="AJ103" s="38"/>
    </row>
    <row r="104" spans="2:36" outlineLevel="1">
      <c r="B104" s="31" t="s">
        <v>56</v>
      </c>
      <c r="D104" s="32">
        <v>50065</v>
      </c>
      <c r="E104" s="32" t="s">
        <v>116</v>
      </c>
      <c r="F104" s="33"/>
      <c r="G104" s="29"/>
      <c r="H104" s="34"/>
      <c r="I104" s="35"/>
      <c r="J104" s="36">
        <v>22123.45</v>
      </c>
      <c r="K104" s="35"/>
      <c r="L104" s="36">
        <v>20518.5</v>
      </c>
      <c r="M104" s="35"/>
      <c r="N104" s="36">
        <v>23112.82</v>
      </c>
      <c r="O104" s="35"/>
      <c r="P104" s="36">
        <v>21176.36</v>
      </c>
      <c r="Q104" s="35"/>
      <c r="R104" s="36">
        <v>19011.580000000002</v>
      </c>
      <c r="S104" s="35"/>
      <c r="T104" s="36">
        <v>22155.14</v>
      </c>
      <c r="U104" s="35"/>
      <c r="V104" s="36">
        <v>16582.82</v>
      </c>
      <c r="W104" s="35"/>
      <c r="X104" s="36">
        <v>23830.7</v>
      </c>
      <c r="Y104" s="35"/>
      <c r="Z104" s="36">
        <v>25102.32</v>
      </c>
      <c r="AA104" s="35"/>
      <c r="AB104" s="36">
        <v>20727.86</v>
      </c>
      <c r="AC104" s="35"/>
      <c r="AD104" s="36">
        <v>21385.32</v>
      </c>
      <c r="AE104" s="35"/>
      <c r="AF104" s="36">
        <v>20861.96</v>
      </c>
      <c r="AG104" s="35"/>
      <c r="AH104" s="36">
        <f t="shared" si="12"/>
        <v>256588.83000000002</v>
      </c>
      <c r="AI104" s="37">
        <f t="shared" si="13"/>
        <v>3.7952370518645013E-3</v>
      </c>
      <c r="AJ104" s="38"/>
    </row>
    <row r="105" spans="2:36" outlineLevel="1">
      <c r="B105" s="31" t="s">
        <v>56</v>
      </c>
      <c r="D105" s="32">
        <v>50070</v>
      </c>
      <c r="E105" s="32" t="s">
        <v>117</v>
      </c>
      <c r="F105" s="33"/>
      <c r="G105" s="29"/>
      <c r="H105" s="34"/>
      <c r="I105" s="35"/>
      <c r="J105" s="36">
        <v>-632.62</v>
      </c>
      <c r="K105" s="35"/>
      <c r="L105" s="36">
        <v>0</v>
      </c>
      <c r="M105" s="35"/>
      <c r="N105" s="36">
        <v>1165.48</v>
      </c>
      <c r="O105" s="35"/>
      <c r="P105" s="36">
        <v>2584</v>
      </c>
      <c r="Q105" s="35"/>
      <c r="R105" s="36">
        <v>-813.49</v>
      </c>
      <c r="S105" s="35"/>
      <c r="T105" s="36">
        <v>338.93</v>
      </c>
      <c r="U105" s="35"/>
      <c r="V105" s="36">
        <v>-147.36000000000001</v>
      </c>
      <c r="W105" s="35"/>
      <c r="X105" s="36">
        <v>108</v>
      </c>
      <c r="Y105" s="35"/>
      <c r="Z105" s="36">
        <v>0</v>
      </c>
      <c r="AA105" s="35"/>
      <c r="AB105" s="36">
        <v>0</v>
      </c>
      <c r="AC105" s="35"/>
      <c r="AD105" s="36">
        <v>287.55</v>
      </c>
      <c r="AE105" s="35"/>
      <c r="AF105" s="36">
        <v>77.03</v>
      </c>
      <c r="AG105" s="35"/>
      <c r="AH105" s="36">
        <f t="shared" si="12"/>
        <v>2967.52</v>
      </c>
      <c r="AI105" s="37">
        <f t="shared" si="13"/>
        <v>4.3892954561385013E-5</v>
      </c>
      <c r="AJ105" s="38"/>
    </row>
    <row r="106" spans="2:36" outlineLevel="1">
      <c r="B106" s="31" t="s">
        <v>56</v>
      </c>
      <c r="D106" s="32">
        <v>50086</v>
      </c>
      <c r="E106" s="32" t="s">
        <v>118</v>
      </c>
      <c r="F106" s="33"/>
      <c r="G106" s="29"/>
      <c r="H106" s="34"/>
      <c r="I106" s="35"/>
      <c r="J106" s="36">
        <v>4347.1099999999997</v>
      </c>
      <c r="K106" s="35"/>
      <c r="L106" s="36">
        <v>7364.54</v>
      </c>
      <c r="M106" s="35"/>
      <c r="N106" s="36">
        <v>857.3</v>
      </c>
      <c r="O106" s="35"/>
      <c r="P106" s="36">
        <v>5458.69</v>
      </c>
      <c r="Q106" s="35"/>
      <c r="R106" s="36">
        <v>3532.5</v>
      </c>
      <c r="S106" s="35"/>
      <c r="T106" s="36">
        <v>8632.57</v>
      </c>
      <c r="U106" s="35"/>
      <c r="V106" s="36">
        <v>5498.45</v>
      </c>
      <c r="W106" s="35"/>
      <c r="X106" s="36">
        <v>4685.53</v>
      </c>
      <c r="Y106" s="35"/>
      <c r="Z106" s="36">
        <v>14059.26</v>
      </c>
      <c r="AA106" s="35"/>
      <c r="AB106" s="36">
        <v>7800.17</v>
      </c>
      <c r="AC106" s="35"/>
      <c r="AD106" s="36">
        <v>9222.27</v>
      </c>
      <c r="AE106" s="35"/>
      <c r="AF106" s="36">
        <v>8379.84</v>
      </c>
      <c r="AG106" s="35"/>
      <c r="AH106" s="36">
        <f t="shared" si="12"/>
        <v>79838.23</v>
      </c>
      <c r="AI106" s="37">
        <f t="shared" si="13"/>
        <v>1.1808971132970985E-3</v>
      </c>
      <c r="AJ106" s="38"/>
    </row>
    <row r="107" spans="2:36" outlineLevel="1">
      <c r="B107" s="31" t="s">
        <v>56</v>
      </c>
      <c r="D107" s="32">
        <v>50087</v>
      </c>
      <c r="E107" s="32" t="s">
        <v>119</v>
      </c>
      <c r="F107" s="33"/>
      <c r="G107" s="29"/>
      <c r="H107" s="34"/>
      <c r="I107" s="35"/>
      <c r="J107" s="36">
        <v>0</v>
      </c>
      <c r="K107" s="35"/>
      <c r="L107" s="36">
        <v>0</v>
      </c>
      <c r="M107" s="35"/>
      <c r="N107" s="36">
        <v>0</v>
      </c>
      <c r="O107" s="35"/>
      <c r="P107" s="36">
        <v>0</v>
      </c>
      <c r="Q107" s="35"/>
      <c r="R107" s="36">
        <v>190</v>
      </c>
      <c r="S107" s="35"/>
      <c r="T107" s="36">
        <v>0</v>
      </c>
      <c r="U107" s="35"/>
      <c r="V107" s="36">
        <v>0</v>
      </c>
      <c r="W107" s="35"/>
      <c r="X107" s="36">
        <v>0</v>
      </c>
      <c r="Y107" s="35"/>
      <c r="Z107" s="36">
        <v>0</v>
      </c>
      <c r="AA107" s="35"/>
      <c r="AB107" s="36">
        <v>0</v>
      </c>
      <c r="AC107" s="35"/>
      <c r="AD107" s="36">
        <v>0</v>
      </c>
      <c r="AE107" s="35"/>
      <c r="AF107" s="36">
        <v>0</v>
      </c>
      <c r="AG107" s="35"/>
      <c r="AH107" s="36">
        <f t="shared" si="12"/>
        <v>190</v>
      </c>
      <c r="AI107" s="37">
        <f t="shared" si="13"/>
        <v>2.810313449164E-6</v>
      </c>
      <c r="AJ107" s="38"/>
    </row>
    <row r="108" spans="2:36" outlineLevel="1">
      <c r="B108" s="31" t="s">
        <v>56</v>
      </c>
      <c r="D108" s="32">
        <v>50090</v>
      </c>
      <c r="E108" s="32" t="s">
        <v>120</v>
      </c>
      <c r="F108" s="33"/>
      <c r="G108" s="29"/>
      <c r="H108" s="34"/>
      <c r="I108" s="35"/>
      <c r="J108" s="36">
        <v>12056.72</v>
      </c>
      <c r="K108" s="35"/>
      <c r="L108" s="36">
        <v>11797.37</v>
      </c>
      <c r="M108" s="35"/>
      <c r="N108" s="36">
        <v>15607.16</v>
      </c>
      <c r="O108" s="35"/>
      <c r="P108" s="36">
        <v>11739.48</v>
      </c>
      <c r="Q108" s="35"/>
      <c r="R108" s="36">
        <v>9136.2099999999991</v>
      </c>
      <c r="S108" s="35"/>
      <c r="T108" s="36">
        <v>10327.24</v>
      </c>
      <c r="U108" s="35"/>
      <c r="V108" s="36">
        <v>10795.14</v>
      </c>
      <c r="W108" s="35"/>
      <c r="X108" s="36">
        <v>11750.55</v>
      </c>
      <c r="Y108" s="35"/>
      <c r="Z108" s="36">
        <v>6504.21</v>
      </c>
      <c r="AA108" s="35"/>
      <c r="AB108" s="36">
        <v>11167.66</v>
      </c>
      <c r="AC108" s="35"/>
      <c r="AD108" s="36">
        <v>22338.240000000002</v>
      </c>
      <c r="AE108" s="35"/>
      <c r="AF108" s="36">
        <v>8761.98</v>
      </c>
      <c r="AG108" s="35"/>
      <c r="AH108" s="36">
        <f t="shared" si="12"/>
        <v>141981.96</v>
      </c>
      <c r="AI108" s="37">
        <f t="shared" si="13"/>
        <v>2.1000726932982371E-3</v>
      </c>
      <c r="AJ108" s="38"/>
    </row>
    <row r="109" spans="2:36" outlineLevel="1">
      <c r="B109" s="31" t="s">
        <v>56</v>
      </c>
      <c r="D109" s="32">
        <v>50115</v>
      </c>
      <c r="E109" s="32" t="s">
        <v>121</v>
      </c>
      <c r="F109" s="33"/>
      <c r="G109" s="29"/>
      <c r="H109" s="34"/>
      <c r="I109" s="35"/>
      <c r="J109" s="36">
        <v>271.82</v>
      </c>
      <c r="K109" s="35"/>
      <c r="L109" s="36">
        <v>367.08</v>
      </c>
      <c r="M109" s="35"/>
      <c r="N109" s="36">
        <v>269.14999999999998</v>
      </c>
      <c r="O109" s="35"/>
      <c r="P109" s="36">
        <v>206.08</v>
      </c>
      <c r="Q109" s="35"/>
      <c r="R109" s="36">
        <v>237.68</v>
      </c>
      <c r="S109" s="35"/>
      <c r="T109" s="36">
        <v>240.6</v>
      </c>
      <c r="U109" s="35"/>
      <c r="V109" s="36">
        <v>236.78</v>
      </c>
      <c r="W109" s="35"/>
      <c r="X109" s="36">
        <v>390.11</v>
      </c>
      <c r="Y109" s="35"/>
      <c r="Z109" s="36">
        <v>225.29</v>
      </c>
      <c r="AA109" s="35"/>
      <c r="AB109" s="36">
        <v>250.79</v>
      </c>
      <c r="AC109" s="35"/>
      <c r="AD109" s="36">
        <v>164.97</v>
      </c>
      <c r="AE109" s="35"/>
      <c r="AF109" s="36">
        <v>178.75</v>
      </c>
      <c r="AG109" s="35"/>
      <c r="AH109" s="36">
        <f t="shared" si="12"/>
        <v>3039.1</v>
      </c>
      <c r="AI109" s="37">
        <f t="shared" si="13"/>
        <v>4.4951703175549008E-5</v>
      </c>
      <c r="AJ109" s="38"/>
    </row>
    <row r="110" spans="2:36" outlineLevel="1">
      <c r="B110" s="31" t="s">
        <v>56</v>
      </c>
      <c r="D110" s="32">
        <v>50116</v>
      </c>
      <c r="E110" s="32" t="s">
        <v>122</v>
      </c>
      <c r="F110" s="33"/>
      <c r="G110" s="29"/>
      <c r="H110" s="34"/>
      <c r="I110" s="35"/>
      <c r="J110" s="36">
        <v>157917.57999999999</v>
      </c>
      <c r="K110" s="35"/>
      <c r="L110" s="36">
        <v>164918.06</v>
      </c>
      <c r="M110" s="35"/>
      <c r="N110" s="36">
        <v>159808.41</v>
      </c>
      <c r="O110" s="35"/>
      <c r="P110" s="36">
        <v>178255.54</v>
      </c>
      <c r="Q110" s="35"/>
      <c r="R110" s="36">
        <v>172995.52</v>
      </c>
      <c r="S110" s="35"/>
      <c r="T110" s="36">
        <v>174606.41</v>
      </c>
      <c r="U110" s="35"/>
      <c r="V110" s="36">
        <v>174506.42</v>
      </c>
      <c r="W110" s="35"/>
      <c r="X110" s="36">
        <v>171259.02</v>
      </c>
      <c r="Y110" s="35"/>
      <c r="Z110" s="36">
        <v>178375.33</v>
      </c>
      <c r="AA110" s="35"/>
      <c r="AB110" s="36">
        <v>180369.83</v>
      </c>
      <c r="AC110" s="35"/>
      <c r="AD110" s="36">
        <v>176643.48</v>
      </c>
      <c r="AE110" s="35"/>
      <c r="AF110" s="36">
        <v>186425.13</v>
      </c>
      <c r="AG110" s="35"/>
      <c r="AH110" s="36">
        <f t="shared" si="12"/>
        <v>2076080.73</v>
      </c>
      <c r="AI110" s="37">
        <f t="shared" si="13"/>
        <v>3.0707566300364288E-2</v>
      </c>
      <c r="AJ110" s="38"/>
    </row>
    <row r="111" spans="2:36" outlineLevel="1">
      <c r="B111" s="31" t="s">
        <v>56</v>
      </c>
      <c r="D111" s="32">
        <v>50117</v>
      </c>
      <c r="E111" s="32" t="s">
        <v>123</v>
      </c>
      <c r="F111" s="33"/>
      <c r="G111" s="29"/>
      <c r="H111" s="34"/>
      <c r="I111" s="35"/>
      <c r="J111" s="36">
        <v>57750.21</v>
      </c>
      <c r="K111" s="35"/>
      <c r="L111" s="36">
        <v>57854.400000000001</v>
      </c>
      <c r="M111" s="35"/>
      <c r="N111" s="36">
        <v>30626.32</v>
      </c>
      <c r="O111" s="35"/>
      <c r="P111" s="36">
        <v>54044.89</v>
      </c>
      <c r="Q111" s="35"/>
      <c r="R111" s="36">
        <v>57112.7</v>
      </c>
      <c r="S111" s="35"/>
      <c r="T111" s="36">
        <v>59680.43</v>
      </c>
      <c r="U111" s="35"/>
      <c r="V111" s="36">
        <v>57940.39</v>
      </c>
      <c r="W111" s="35"/>
      <c r="X111" s="36">
        <v>59374.43</v>
      </c>
      <c r="Y111" s="35"/>
      <c r="Z111" s="36">
        <v>59004.24</v>
      </c>
      <c r="AA111" s="35"/>
      <c r="AB111" s="36">
        <v>59410.52</v>
      </c>
      <c r="AC111" s="35"/>
      <c r="AD111" s="36">
        <v>61484.53</v>
      </c>
      <c r="AE111" s="35"/>
      <c r="AF111" s="36">
        <v>63542.61</v>
      </c>
      <c r="AG111" s="35"/>
      <c r="AH111" s="36">
        <f t="shared" si="12"/>
        <v>677825.66999999993</v>
      </c>
      <c r="AI111" s="37">
        <f t="shared" si="13"/>
        <v>1.0025803139945257E-2</v>
      </c>
      <c r="AJ111" s="38"/>
    </row>
    <row r="112" spans="2:36" s="34" customFormat="1" ht="5.0999999999999996" customHeight="1" outlineLevel="1">
      <c r="B112" s="63" t="s">
        <v>47</v>
      </c>
      <c r="D112" s="33"/>
      <c r="E112" s="33"/>
      <c r="F112" s="33"/>
      <c r="G112" s="33"/>
      <c r="J112" s="68"/>
      <c r="K112" s="66"/>
      <c r="L112" s="68"/>
      <c r="M112" s="66"/>
      <c r="N112" s="68"/>
      <c r="O112" s="66"/>
      <c r="P112" s="68"/>
      <c r="Q112" s="66"/>
      <c r="R112" s="68"/>
      <c r="S112" s="66"/>
      <c r="T112" s="68"/>
      <c r="U112" s="66"/>
      <c r="V112" s="68"/>
      <c r="W112" s="66"/>
      <c r="X112" s="68"/>
      <c r="Y112" s="66"/>
      <c r="Z112" s="68"/>
      <c r="AA112" s="66"/>
      <c r="AB112" s="68"/>
      <c r="AC112" s="66"/>
      <c r="AD112" s="68"/>
      <c r="AE112" s="66"/>
      <c r="AF112" s="68"/>
      <c r="AG112" s="66"/>
      <c r="AH112" s="68"/>
      <c r="AI112" s="62"/>
      <c r="AJ112" s="43"/>
    </row>
    <row r="113" spans="2:36" s="34" customFormat="1" ht="15">
      <c r="B113" s="63" t="s">
        <v>47</v>
      </c>
      <c r="F113" s="33" t="s">
        <v>124</v>
      </c>
      <c r="J113" s="65">
        <f>SUM(J96:J112)</f>
        <v>806783.12999999989</v>
      </c>
      <c r="K113" s="66"/>
      <c r="L113" s="65">
        <f>SUM(L96:L112)</f>
        <v>904521.84</v>
      </c>
      <c r="M113" s="66"/>
      <c r="N113" s="65">
        <f>SUM(N96:N112)</f>
        <v>837624.54999999993</v>
      </c>
      <c r="O113" s="66"/>
      <c r="P113" s="65">
        <f>SUM(P96:P112)</f>
        <v>843536.60999999987</v>
      </c>
      <c r="Q113" s="66"/>
      <c r="R113" s="65">
        <f>SUM(R96:R112)</f>
        <v>803896.98</v>
      </c>
      <c r="S113" s="66"/>
      <c r="T113" s="65">
        <f>SUM(T96:T112)</f>
        <v>892005.43</v>
      </c>
      <c r="U113" s="66"/>
      <c r="V113" s="65">
        <f>SUM(V96:V112)</f>
        <v>836491.26</v>
      </c>
      <c r="W113" s="66"/>
      <c r="X113" s="65">
        <f>SUM(X96:X112)</f>
        <v>967025.30000000016</v>
      </c>
      <c r="Y113" s="66"/>
      <c r="Z113" s="65">
        <f>SUM(Z96:Z112)</f>
        <v>942830.62999999989</v>
      </c>
      <c r="AA113" s="66"/>
      <c r="AB113" s="65">
        <f>SUM(AB96:AB112)</f>
        <v>941222.6100000001</v>
      </c>
      <c r="AC113" s="66"/>
      <c r="AD113" s="65">
        <f>SUM(AD96:AD112)</f>
        <v>981346.05999999994</v>
      </c>
      <c r="AE113" s="66"/>
      <c r="AF113" s="65">
        <f>SUM(AF96:AF112)</f>
        <v>916761.35999999987</v>
      </c>
      <c r="AG113" s="66"/>
      <c r="AH113" s="65">
        <f>SUM(AH96:AH112)</f>
        <v>10674045.76</v>
      </c>
      <c r="AI113" s="37">
        <f>IF(AH$60=0,0,AH113/AH$60)</f>
        <v>0.15788112819115771</v>
      </c>
      <c r="AJ113" s="43"/>
    </row>
    <row r="114" spans="2:36" s="34" customFormat="1" ht="15" outlineLevel="1">
      <c r="J114" s="67"/>
      <c r="K114" s="66"/>
      <c r="L114" s="67"/>
      <c r="M114" s="66"/>
      <c r="N114" s="67"/>
      <c r="O114" s="66"/>
      <c r="P114" s="67"/>
      <c r="Q114" s="66"/>
      <c r="R114" s="67"/>
      <c r="S114" s="66"/>
      <c r="T114" s="67"/>
      <c r="U114" s="66"/>
      <c r="V114" s="67"/>
      <c r="W114" s="66"/>
      <c r="X114" s="67"/>
      <c r="Y114" s="66"/>
      <c r="Z114" s="67"/>
      <c r="AA114" s="66"/>
      <c r="AB114" s="67"/>
      <c r="AC114" s="66"/>
      <c r="AD114" s="67"/>
      <c r="AE114" s="66"/>
      <c r="AF114" s="67"/>
      <c r="AG114" s="66"/>
      <c r="AH114" s="67"/>
      <c r="AI114" s="62"/>
      <c r="AJ114" s="43"/>
    </row>
    <row r="115" spans="2:36" outlineLevel="1">
      <c r="B115" s="31" t="s">
        <v>125</v>
      </c>
      <c r="D115" s="32">
        <v>51295</v>
      </c>
      <c r="E115" s="32" t="s">
        <v>126</v>
      </c>
      <c r="F115" s="33"/>
      <c r="G115" s="29"/>
      <c r="H115" s="34"/>
      <c r="I115" s="35"/>
      <c r="J115" s="36">
        <v>11644.82</v>
      </c>
      <c r="K115" s="35"/>
      <c r="L115" s="36">
        <v>10979.23</v>
      </c>
      <c r="M115" s="35"/>
      <c r="N115" s="36">
        <v>11964.14</v>
      </c>
      <c r="O115" s="35"/>
      <c r="P115" s="36">
        <v>10892.69</v>
      </c>
      <c r="Q115" s="35"/>
      <c r="R115" s="36">
        <v>10878.8</v>
      </c>
      <c r="S115" s="35"/>
      <c r="T115" s="36">
        <v>11196.05</v>
      </c>
      <c r="U115" s="35"/>
      <c r="V115" s="36">
        <v>11060.19</v>
      </c>
      <c r="W115" s="35"/>
      <c r="X115" s="36">
        <v>11154.6</v>
      </c>
      <c r="Y115" s="35"/>
      <c r="Z115" s="36">
        <v>11403.69</v>
      </c>
      <c r="AA115" s="35"/>
      <c r="AB115" s="36">
        <v>11206.84</v>
      </c>
      <c r="AC115" s="35"/>
      <c r="AD115" s="36">
        <v>11037.68</v>
      </c>
      <c r="AE115" s="35"/>
      <c r="AF115" s="36">
        <v>11263.05</v>
      </c>
      <c r="AG115" s="35"/>
      <c r="AH115" s="36">
        <f>AF115+AD115+AB115+Z115+X115+V115+T115+R115+P115+N115+L115+J115</f>
        <v>134681.78</v>
      </c>
      <c r="AI115" s="37">
        <f>IF(AH$60=0,0,AH115/AH$60)</f>
        <v>1.9920948299544578E-3</v>
      </c>
      <c r="AJ115" s="38"/>
    </row>
    <row r="116" spans="2:36" s="34" customFormat="1" ht="5.0999999999999996" customHeight="1" outlineLevel="1">
      <c r="B116" s="27" t="s">
        <v>47</v>
      </c>
      <c r="D116" s="33"/>
      <c r="E116" s="33"/>
      <c r="F116" s="33"/>
      <c r="G116" s="33"/>
      <c r="J116" s="68"/>
      <c r="K116" s="66"/>
      <c r="L116" s="68"/>
      <c r="M116" s="66"/>
      <c r="N116" s="68"/>
      <c r="O116" s="66"/>
      <c r="P116" s="68"/>
      <c r="Q116" s="66"/>
      <c r="R116" s="68"/>
      <c r="S116" s="66"/>
      <c r="T116" s="68"/>
      <c r="U116" s="66"/>
      <c r="V116" s="68"/>
      <c r="W116" s="66"/>
      <c r="X116" s="68"/>
      <c r="Y116" s="66"/>
      <c r="Z116" s="68"/>
      <c r="AA116" s="66"/>
      <c r="AB116" s="68"/>
      <c r="AC116" s="66"/>
      <c r="AD116" s="68"/>
      <c r="AE116" s="66"/>
      <c r="AF116" s="68"/>
      <c r="AG116" s="66"/>
      <c r="AH116" s="68"/>
      <c r="AI116" s="62"/>
      <c r="AJ116" s="43"/>
    </row>
    <row r="117" spans="2:36" s="34" customFormat="1" ht="15">
      <c r="B117" s="27"/>
      <c r="F117" s="33" t="s">
        <v>127</v>
      </c>
      <c r="J117" s="65">
        <f>SUM(J115:J116)</f>
        <v>11644.82</v>
      </c>
      <c r="K117" s="66"/>
      <c r="L117" s="65">
        <f>SUM(L115:L116)</f>
        <v>10979.23</v>
      </c>
      <c r="M117" s="66"/>
      <c r="N117" s="65">
        <f>SUM(N115:N116)</f>
        <v>11964.14</v>
      </c>
      <c r="O117" s="66"/>
      <c r="P117" s="65">
        <f>SUM(P115:P116)</f>
        <v>10892.69</v>
      </c>
      <c r="Q117" s="66"/>
      <c r="R117" s="65">
        <f>SUM(R115:R116)</f>
        <v>10878.8</v>
      </c>
      <c r="S117" s="66"/>
      <c r="T117" s="65">
        <f>SUM(T115:T116)</f>
        <v>11196.05</v>
      </c>
      <c r="U117" s="66"/>
      <c r="V117" s="65">
        <f>SUM(V115:V116)</f>
        <v>11060.19</v>
      </c>
      <c r="W117" s="66"/>
      <c r="X117" s="65">
        <f>SUM(X115:X116)</f>
        <v>11154.6</v>
      </c>
      <c r="Y117" s="66"/>
      <c r="Z117" s="65">
        <f>SUM(Z115:Z116)</f>
        <v>11403.69</v>
      </c>
      <c r="AA117" s="66"/>
      <c r="AB117" s="65">
        <f>SUM(AB115:AB116)</f>
        <v>11206.84</v>
      </c>
      <c r="AC117" s="66"/>
      <c r="AD117" s="65">
        <f>SUM(AD115:AD116)</f>
        <v>11037.68</v>
      </c>
      <c r="AE117" s="66"/>
      <c r="AF117" s="65">
        <f>SUM(AF115:AF116)</f>
        <v>11263.05</v>
      </c>
      <c r="AG117" s="66"/>
      <c r="AH117" s="65">
        <f>SUM(AH115:AH116)</f>
        <v>134681.78</v>
      </c>
      <c r="AI117" s="37">
        <f>IF(AH$60=0,0,AH117/AH$60)</f>
        <v>1.9920948299544578E-3</v>
      </c>
      <c r="AJ117" s="43"/>
    </row>
    <row r="118" spans="2:36" s="34" customFormat="1" ht="15" outlineLevel="1">
      <c r="B118" s="27"/>
      <c r="J118" s="67"/>
      <c r="K118" s="66"/>
      <c r="L118" s="67"/>
      <c r="M118" s="66"/>
      <c r="N118" s="67"/>
      <c r="O118" s="66"/>
      <c r="P118" s="67"/>
      <c r="Q118" s="66"/>
      <c r="R118" s="67"/>
      <c r="S118" s="66"/>
      <c r="T118" s="67"/>
      <c r="U118" s="66"/>
      <c r="V118" s="67"/>
      <c r="W118" s="66"/>
      <c r="X118" s="67"/>
      <c r="Y118" s="66"/>
      <c r="Z118" s="67"/>
      <c r="AA118" s="66"/>
      <c r="AB118" s="67"/>
      <c r="AC118" s="66"/>
      <c r="AD118" s="67"/>
      <c r="AE118" s="66"/>
      <c r="AF118" s="67"/>
      <c r="AG118" s="66"/>
      <c r="AH118" s="67"/>
      <c r="AI118" s="62"/>
      <c r="AJ118" s="43"/>
    </row>
    <row r="119" spans="2:36" s="34" customFormat="1" ht="15" outlineLevel="1">
      <c r="B119" s="27"/>
      <c r="J119" s="67"/>
      <c r="K119" s="66"/>
      <c r="L119" s="67"/>
      <c r="M119" s="66"/>
      <c r="N119" s="67"/>
      <c r="O119" s="66"/>
      <c r="P119" s="67"/>
      <c r="Q119" s="66"/>
      <c r="R119" s="67"/>
      <c r="S119" s="66"/>
      <c r="T119" s="67"/>
      <c r="U119" s="66"/>
      <c r="V119" s="67"/>
      <c r="W119" s="66"/>
      <c r="X119" s="67"/>
      <c r="Y119" s="66"/>
      <c r="Z119" s="67"/>
      <c r="AA119" s="66"/>
      <c r="AB119" s="67"/>
      <c r="AC119" s="66"/>
      <c r="AD119" s="67"/>
      <c r="AE119" s="66"/>
      <c r="AF119" s="67"/>
      <c r="AG119" s="66"/>
      <c r="AH119" s="67"/>
      <c r="AI119" s="62"/>
      <c r="AJ119" s="43"/>
    </row>
    <row r="120" spans="2:36" outlineLevel="1">
      <c r="B120" s="31" t="s">
        <v>128</v>
      </c>
      <c r="D120" s="32">
        <v>52010</v>
      </c>
      <c r="E120" s="32" t="s">
        <v>129</v>
      </c>
      <c r="F120" s="33"/>
      <c r="G120" s="29"/>
      <c r="H120" s="34"/>
      <c r="I120" s="35"/>
      <c r="J120" s="36">
        <v>14638.14</v>
      </c>
      <c r="K120" s="35"/>
      <c r="L120" s="36">
        <v>15405.67</v>
      </c>
      <c r="M120" s="35"/>
      <c r="N120" s="36">
        <v>14704.29</v>
      </c>
      <c r="O120" s="35"/>
      <c r="P120" s="36">
        <v>11899.82</v>
      </c>
      <c r="Q120" s="35"/>
      <c r="R120" s="36">
        <v>9524.52</v>
      </c>
      <c r="S120" s="35"/>
      <c r="T120" s="36">
        <v>12550.8</v>
      </c>
      <c r="U120" s="35"/>
      <c r="V120" s="36">
        <v>11656.94</v>
      </c>
      <c r="W120" s="35"/>
      <c r="X120" s="36">
        <v>11012.12</v>
      </c>
      <c r="Y120" s="35"/>
      <c r="Z120" s="36">
        <v>13751.72</v>
      </c>
      <c r="AA120" s="35"/>
      <c r="AB120" s="36">
        <v>9924</v>
      </c>
      <c r="AC120" s="35"/>
      <c r="AD120" s="36">
        <v>11970.4</v>
      </c>
      <c r="AE120" s="35"/>
      <c r="AF120" s="36">
        <v>13761.07</v>
      </c>
      <c r="AG120" s="35"/>
      <c r="AH120" s="36">
        <f t="shared" ref="AH120:AH150" si="14">AF120+AD120+AB120+Z120+X120+V120+T120+R120+P120+N120+L120+J120</f>
        <v>150799.49000000005</v>
      </c>
      <c r="AI120" s="37">
        <f t="shared" ref="AI120:AI150" si="15">IF(AH$60=0,0,AH120/AH$60)</f>
        <v>2.230493867758275E-3</v>
      </c>
      <c r="AJ120" s="38"/>
    </row>
    <row r="121" spans="2:36" outlineLevel="1">
      <c r="B121" s="31" t="s">
        <v>56</v>
      </c>
      <c r="D121" s="32">
        <v>52020</v>
      </c>
      <c r="E121" s="32" t="s">
        <v>109</v>
      </c>
      <c r="F121" s="33"/>
      <c r="G121" s="29"/>
      <c r="H121" s="34"/>
      <c r="I121" s="35"/>
      <c r="J121" s="36">
        <v>59272.46</v>
      </c>
      <c r="K121" s="35"/>
      <c r="L121" s="36">
        <v>59233.57</v>
      </c>
      <c r="M121" s="35"/>
      <c r="N121" s="36">
        <v>65162.27</v>
      </c>
      <c r="O121" s="35"/>
      <c r="P121" s="36">
        <v>60369.73</v>
      </c>
      <c r="Q121" s="35"/>
      <c r="R121" s="36">
        <v>56679.8</v>
      </c>
      <c r="S121" s="35"/>
      <c r="T121" s="36">
        <v>65922.91</v>
      </c>
      <c r="U121" s="35"/>
      <c r="V121" s="36">
        <v>56255.13</v>
      </c>
      <c r="W121" s="35"/>
      <c r="X121" s="36">
        <v>65133.58</v>
      </c>
      <c r="Y121" s="35"/>
      <c r="Z121" s="36">
        <v>62993.73</v>
      </c>
      <c r="AA121" s="35"/>
      <c r="AB121" s="36">
        <v>57471.49</v>
      </c>
      <c r="AC121" s="35"/>
      <c r="AD121" s="36">
        <v>58931.8</v>
      </c>
      <c r="AE121" s="35"/>
      <c r="AF121" s="36">
        <v>59576.85</v>
      </c>
      <c r="AG121" s="35"/>
      <c r="AH121" s="36">
        <f t="shared" si="14"/>
        <v>727003.32</v>
      </c>
      <c r="AI121" s="37">
        <f t="shared" si="15"/>
        <v>1.0753195830436204E-2</v>
      </c>
      <c r="AJ121" s="38"/>
    </row>
    <row r="122" spans="2:36" outlineLevel="1">
      <c r="B122" s="31" t="s">
        <v>56</v>
      </c>
      <c r="D122" s="32">
        <v>52025</v>
      </c>
      <c r="E122" s="32" t="s">
        <v>110</v>
      </c>
      <c r="F122" s="33"/>
      <c r="G122" s="29"/>
      <c r="H122" s="34"/>
      <c r="I122" s="35"/>
      <c r="J122" s="36">
        <v>5962.93</v>
      </c>
      <c r="K122" s="35"/>
      <c r="L122" s="36">
        <v>11377.08</v>
      </c>
      <c r="M122" s="35"/>
      <c r="N122" s="36">
        <v>10751.14</v>
      </c>
      <c r="O122" s="35"/>
      <c r="P122" s="36">
        <v>10412.74</v>
      </c>
      <c r="Q122" s="35"/>
      <c r="R122" s="36">
        <v>9370.83</v>
      </c>
      <c r="S122" s="35"/>
      <c r="T122" s="36">
        <v>6953.22</v>
      </c>
      <c r="U122" s="35"/>
      <c r="V122" s="36">
        <v>6547.87</v>
      </c>
      <c r="W122" s="35"/>
      <c r="X122" s="36">
        <v>15324.41</v>
      </c>
      <c r="Y122" s="35"/>
      <c r="Z122" s="36">
        <v>9529.69</v>
      </c>
      <c r="AA122" s="35"/>
      <c r="AB122" s="36">
        <v>12992.56</v>
      </c>
      <c r="AC122" s="35"/>
      <c r="AD122" s="36">
        <v>7126.34</v>
      </c>
      <c r="AE122" s="35"/>
      <c r="AF122" s="36">
        <v>9176.99</v>
      </c>
      <c r="AG122" s="35"/>
      <c r="AH122" s="36">
        <f t="shared" si="14"/>
        <v>115525.80000000002</v>
      </c>
      <c r="AI122" s="37">
        <f t="shared" si="15"/>
        <v>1.7087563656075287E-3</v>
      </c>
      <c r="AJ122" s="38"/>
    </row>
    <row r="123" spans="2:36" outlineLevel="1">
      <c r="B123" s="31" t="s">
        <v>56</v>
      </c>
      <c r="D123" s="32">
        <v>52035</v>
      </c>
      <c r="E123" s="32" t="s">
        <v>111</v>
      </c>
      <c r="F123" s="33"/>
      <c r="G123" s="29"/>
      <c r="H123" s="34"/>
      <c r="I123" s="35"/>
      <c r="J123" s="36">
        <v>2802.43</v>
      </c>
      <c r="K123" s="35"/>
      <c r="L123" s="36">
        <v>2776.26</v>
      </c>
      <c r="M123" s="35"/>
      <c r="N123" s="36">
        <v>1905.34</v>
      </c>
      <c r="O123" s="35"/>
      <c r="P123" s="36">
        <v>2769.15</v>
      </c>
      <c r="Q123" s="35"/>
      <c r="R123" s="36">
        <v>2416.83</v>
      </c>
      <c r="S123" s="35"/>
      <c r="T123" s="36">
        <v>3300.58</v>
      </c>
      <c r="U123" s="35"/>
      <c r="V123" s="36">
        <v>2593.58</v>
      </c>
      <c r="W123" s="35"/>
      <c r="X123" s="36">
        <v>2616.96</v>
      </c>
      <c r="Y123" s="35"/>
      <c r="Z123" s="36">
        <v>-1449.08</v>
      </c>
      <c r="AA123" s="35"/>
      <c r="AB123" s="36">
        <v>2091.17</v>
      </c>
      <c r="AC123" s="35"/>
      <c r="AD123" s="36">
        <v>2091.17</v>
      </c>
      <c r="AE123" s="35"/>
      <c r="AF123" s="36">
        <v>7268.43</v>
      </c>
      <c r="AG123" s="35"/>
      <c r="AH123" s="36">
        <f t="shared" si="14"/>
        <v>31182.82</v>
      </c>
      <c r="AI123" s="37">
        <f t="shared" si="15"/>
        <v>4.6122893909926395E-4</v>
      </c>
      <c r="AJ123" s="38"/>
    </row>
    <row r="124" spans="2:36" outlineLevel="1">
      <c r="B124" s="31" t="s">
        <v>56</v>
      </c>
      <c r="D124" s="32">
        <v>52036</v>
      </c>
      <c r="E124" s="32" t="s">
        <v>112</v>
      </c>
      <c r="F124" s="33"/>
      <c r="G124" s="29"/>
      <c r="H124" s="34"/>
      <c r="I124" s="35"/>
      <c r="J124" s="36">
        <v>0</v>
      </c>
      <c r="K124" s="35"/>
      <c r="L124" s="36">
        <v>0</v>
      </c>
      <c r="M124" s="35"/>
      <c r="N124" s="36">
        <v>0</v>
      </c>
      <c r="O124" s="35"/>
      <c r="P124" s="36">
        <v>0</v>
      </c>
      <c r="Q124" s="35"/>
      <c r="R124" s="36">
        <v>0</v>
      </c>
      <c r="S124" s="35"/>
      <c r="T124" s="36">
        <v>0</v>
      </c>
      <c r="U124" s="35"/>
      <c r="V124" s="36">
        <v>351.47</v>
      </c>
      <c r="W124" s="35"/>
      <c r="X124" s="36">
        <v>0</v>
      </c>
      <c r="Y124" s="35"/>
      <c r="Z124" s="36">
        <v>0</v>
      </c>
      <c r="AA124" s="35"/>
      <c r="AB124" s="36">
        <v>0</v>
      </c>
      <c r="AC124" s="35"/>
      <c r="AD124" s="36">
        <v>0</v>
      </c>
      <c r="AE124" s="35"/>
      <c r="AF124" s="36">
        <v>0</v>
      </c>
      <c r="AG124" s="35"/>
      <c r="AH124" s="36">
        <f t="shared" si="14"/>
        <v>351.47</v>
      </c>
      <c r="AI124" s="37">
        <f t="shared" si="15"/>
        <v>5.1986361472509001E-6</v>
      </c>
      <c r="AJ124" s="38"/>
    </row>
    <row r="125" spans="2:36" outlineLevel="1">
      <c r="B125" s="31" t="s">
        <v>56</v>
      </c>
      <c r="D125" s="32">
        <v>52050</v>
      </c>
      <c r="E125" s="32" t="s">
        <v>114</v>
      </c>
      <c r="F125" s="33"/>
      <c r="G125" s="29"/>
      <c r="H125" s="34"/>
      <c r="I125" s="35"/>
      <c r="J125" s="36">
        <v>6500.18</v>
      </c>
      <c r="K125" s="35"/>
      <c r="L125" s="36">
        <v>7180.19</v>
      </c>
      <c r="M125" s="35"/>
      <c r="N125" s="36">
        <v>6981.63</v>
      </c>
      <c r="O125" s="35"/>
      <c r="P125" s="36">
        <v>8128.21</v>
      </c>
      <c r="Q125" s="35"/>
      <c r="R125" s="36">
        <v>6644.7</v>
      </c>
      <c r="S125" s="35"/>
      <c r="T125" s="36">
        <v>7358.4</v>
      </c>
      <c r="U125" s="35"/>
      <c r="V125" s="36">
        <v>6475.99</v>
      </c>
      <c r="W125" s="35"/>
      <c r="X125" s="36">
        <v>8028.8</v>
      </c>
      <c r="Y125" s="35"/>
      <c r="Z125" s="36">
        <v>7385.55</v>
      </c>
      <c r="AA125" s="35"/>
      <c r="AB125" s="36">
        <v>7101.87</v>
      </c>
      <c r="AC125" s="35"/>
      <c r="AD125" s="36">
        <v>6980.15</v>
      </c>
      <c r="AE125" s="35"/>
      <c r="AF125" s="36">
        <v>7188.46</v>
      </c>
      <c r="AG125" s="35"/>
      <c r="AH125" s="36">
        <f t="shared" si="14"/>
        <v>85954.13</v>
      </c>
      <c r="AI125" s="37">
        <f t="shared" si="15"/>
        <v>1.2713581450010045E-3</v>
      </c>
      <c r="AJ125" s="38"/>
    </row>
    <row r="126" spans="2:36" outlineLevel="1">
      <c r="B126" s="31" t="s">
        <v>56</v>
      </c>
      <c r="D126" s="32">
        <v>52060</v>
      </c>
      <c r="E126" s="32" t="s">
        <v>115</v>
      </c>
      <c r="F126" s="33"/>
      <c r="G126" s="29"/>
      <c r="H126" s="34"/>
      <c r="I126" s="35"/>
      <c r="J126" s="36">
        <v>3166.48</v>
      </c>
      <c r="K126" s="35"/>
      <c r="L126" s="36">
        <v>2749.72</v>
      </c>
      <c r="M126" s="35"/>
      <c r="N126" s="36">
        <v>3090.88</v>
      </c>
      <c r="O126" s="35"/>
      <c r="P126" s="36">
        <v>3166.48</v>
      </c>
      <c r="Q126" s="35"/>
      <c r="R126" s="36">
        <v>3166.48</v>
      </c>
      <c r="S126" s="35"/>
      <c r="T126" s="36">
        <v>3166.48</v>
      </c>
      <c r="U126" s="35"/>
      <c r="V126" s="36">
        <v>3190.58</v>
      </c>
      <c r="W126" s="35"/>
      <c r="X126" s="36">
        <v>2785.87</v>
      </c>
      <c r="Y126" s="35"/>
      <c r="Z126" s="36">
        <v>3147.42</v>
      </c>
      <c r="AA126" s="35"/>
      <c r="AB126" s="36">
        <v>3189.68</v>
      </c>
      <c r="AC126" s="35"/>
      <c r="AD126" s="36">
        <v>3146.78</v>
      </c>
      <c r="AE126" s="35"/>
      <c r="AF126" s="36">
        <v>3188.91</v>
      </c>
      <c r="AG126" s="35"/>
      <c r="AH126" s="36">
        <f t="shared" si="14"/>
        <v>37155.760000000002</v>
      </c>
      <c r="AI126" s="37">
        <f t="shared" si="15"/>
        <v>5.4957543179952513E-4</v>
      </c>
      <c r="AJ126" s="38"/>
    </row>
    <row r="127" spans="2:36" outlineLevel="1">
      <c r="B127" s="31" t="s">
        <v>56</v>
      </c>
      <c r="D127" s="32">
        <v>52065</v>
      </c>
      <c r="E127" s="32" t="s">
        <v>116</v>
      </c>
      <c r="F127" s="33"/>
      <c r="G127" s="29"/>
      <c r="H127" s="34"/>
      <c r="I127" s="35"/>
      <c r="J127" s="36">
        <v>3901.94</v>
      </c>
      <c r="K127" s="35"/>
      <c r="L127" s="36">
        <v>3903.11</v>
      </c>
      <c r="M127" s="35"/>
      <c r="N127" s="36">
        <v>3394.43</v>
      </c>
      <c r="O127" s="35"/>
      <c r="P127" s="36">
        <v>4272.2</v>
      </c>
      <c r="Q127" s="35"/>
      <c r="R127" s="36">
        <v>3043.47</v>
      </c>
      <c r="S127" s="35"/>
      <c r="T127" s="36">
        <v>4559.76</v>
      </c>
      <c r="U127" s="35"/>
      <c r="V127" s="36">
        <v>4032.23</v>
      </c>
      <c r="W127" s="35"/>
      <c r="X127" s="36">
        <v>4537.5600000000004</v>
      </c>
      <c r="Y127" s="35"/>
      <c r="Z127" s="36">
        <v>4581.68</v>
      </c>
      <c r="AA127" s="35"/>
      <c r="AB127" s="36">
        <v>4084.71</v>
      </c>
      <c r="AC127" s="35"/>
      <c r="AD127" s="36">
        <v>4133.2299999999996</v>
      </c>
      <c r="AE127" s="35"/>
      <c r="AF127" s="36">
        <v>3385.84</v>
      </c>
      <c r="AG127" s="35"/>
      <c r="AH127" s="36">
        <f t="shared" si="14"/>
        <v>47830.16</v>
      </c>
      <c r="AI127" s="37">
        <f t="shared" si="15"/>
        <v>7.0746179959824205E-4</v>
      </c>
      <c r="AJ127" s="38"/>
    </row>
    <row r="128" spans="2:36" outlineLevel="1">
      <c r="B128" s="31" t="s">
        <v>56</v>
      </c>
      <c r="D128" s="32">
        <v>52070</v>
      </c>
      <c r="E128" s="32" t="s">
        <v>117</v>
      </c>
      <c r="F128" s="33"/>
      <c r="G128" s="29"/>
      <c r="H128" s="34"/>
      <c r="I128" s="35"/>
      <c r="J128" s="36">
        <v>242.31</v>
      </c>
      <c r="K128" s="35"/>
      <c r="L128" s="36">
        <v>-242.31</v>
      </c>
      <c r="M128" s="35"/>
      <c r="N128" s="36">
        <v>0</v>
      </c>
      <c r="O128" s="35"/>
      <c r="P128" s="36">
        <v>2304.16</v>
      </c>
      <c r="Q128" s="35"/>
      <c r="R128" s="36">
        <v>-285.76</v>
      </c>
      <c r="S128" s="35"/>
      <c r="T128" s="36">
        <v>150.4</v>
      </c>
      <c r="U128" s="35"/>
      <c r="V128" s="36">
        <v>0</v>
      </c>
      <c r="W128" s="35"/>
      <c r="X128" s="36">
        <v>4249.6499999999996</v>
      </c>
      <c r="Y128" s="35"/>
      <c r="Z128" s="36">
        <v>0</v>
      </c>
      <c r="AA128" s="35"/>
      <c r="AB128" s="36">
        <v>387.71</v>
      </c>
      <c r="AC128" s="35"/>
      <c r="AD128" s="36">
        <v>-145.38999999999999</v>
      </c>
      <c r="AE128" s="35"/>
      <c r="AF128" s="36">
        <v>1284.8800000000001</v>
      </c>
      <c r="AG128" s="35"/>
      <c r="AH128" s="36">
        <f t="shared" si="14"/>
        <v>7945.65</v>
      </c>
      <c r="AI128" s="37">
        <f t="shared" si="15"/>
        <v>1.1752508977552597E-4</v>
      </c>
      <c r="AJ128" s="38"/>
    </row>
    <row r="129" spans="2:36" outlineLevel="1">
      <c r="B129" s="31" t="s">
        <v>56</v>
      </c>
      <c r="D129" s="32">
        <v>52086</v>
      </c>
      <c r="E129" s="32" t="s">
        <v>118</v>
      </c>
      <c r="F129" s="33"/>
      <c r="G129" s="29"/>
      <c r="H129" s="34"/>
      <c r="I129" s="35"/>
      <c r="J129" s="36">
        <v>343.03</v>
      </c>
      <c r="K129" s="35"/>
      <c r="L129" s="36">
        <v>-0.73</v>
      </c>
      <c r="M129" s="35"/>
      <c r="N129" s="36">
        <v>0</v>
      </c>
      <c r="O129" s="35"/>
      <c r="P129" s="36">
        <v>2145.4499999999998</v>
      </c>
      <c r="Q129" s="35"/>
      <c r="R129" s="36">
        <v>-1038.1400000000001</v>
      </c>
      <c r="S129" s="35"/>
      <c r="T129" s="36">
        <v>59.63</v>
      </c>
      <c r="U129" s="35"/>
      <c r="V129" s="36">
        <v>31.44</v>
      </c>
      <c r="W129" s="35"/>
      <c r="X129" s="36">
        <v>1837.15</v>
      </c>
      <c r="Y129" s="35"/>
      <c r="Z129" s="36">
        <v>1135.05</v>
      </c>
      <c r="AA129" s="35"/>
      <c r="AB129" s="36">
        <v>47.61</v>
      </c>
      <c r="AC129" s="35"/>
      <c r="AD129" s="36">
        <v>139.85</v>
      </c>
      <c r="AE129" s="35"/>
      <c r="AF129" s="36">
        <v>0</v>
      </c>
      <c r="AG129" s="35"/>
      <c r="AH129" s="36">
        <f t="shared" si="14"/>
        <v>4700.34</v>
      </c>
      <c r="AI129" s="37">
        <f t="shared" si="15"/>
        <v>6.9523309040229027E-5</v>
      </c>
      <c r="AJ129" s="38"/>
    </row>
    <row r="130" spans="2:36" outlineLevel="1">
      <c r="B130" s="31" t="s">
        <v>56</v>
      </c>
      <c r="D130" s="32">
        <v>52090</v>
      </c>
      <c r="E130" s="32" t="s">
        <v>120</v>
      </c>
      <c r="F130" s="33"/>
      <c r="G130" s="29"/>
      <c r="H130" s="34"/>
      <c r="I130" s="35"/>
      <c r="J130" s="36">
        <v>6458.46</v>
      </c>
      <c r="K130" s="35"/>
      <c r="L130" s="36">
        <v>2941.61</v>
      </c>
      <c r="M130" s="35"/>
      <c r="N130" s="36">
        <v>1233.83</v>
      </c>
      <c r="O130" s="35"/>
      <c r="P130" s="36">
        <v>2312.5100000000002</v>
      </c>
      <c r="Q130" s="35"/>
      <c r="R130" s="36">
        <v>2223.3000000000002</v>
      </c>
      <c r="S130" s="35"/>
      <c r="T130" s="36">
        <v>6827.92</v>
      </c>
      <c r="U130" s="35"/>
      <c r="V130" s="36">
        <v>2162.12</v>
      </c>
      <c r="W130" s="35"/>
      <c r="X130" s="36">
        <v>3753.99</v>
      </c>
      <c r="Y130" s="35"/>
      <c r="Z130" s="36">
        <v>2983.31</v>
      </c>
      <c r="AA130" s="35"/>
      <c r="AB130" s="36">
        <v>6141.5</v>
      </c>
      <c r="AC130" s="35"/>
      <c r="AD130" s="36">
        <v>4584.49</v>
      </c>
      <c r="AE130" s="35"/>
      <c r="AF130" s="36">
        <v>3015.79</v>
      </c>
      <c r="AG130" s="35"/>
      <c r="AH130" s="36">
        <f t="shared" si="14"/>
        <v>44638.83</v>
      </c>
      <c r="AI130" s="37">
        <f t="shared" si="15"/>
        <v>6.6025844370497591E-4</v>
      </c>
      <c r="AJ130" s="38"/>
    </row>
    <row r="131" spans="2:36" outlineLevel="1">
      <c r="B131" s="31" t="s">
        <v>56</v>
      </c>
      <c r="D131" s="32">
        <v>52115</v>
      </c>
      <c r="E131" s="32" t="s">
        <v>121</v>
      </c>
      <c r="F131" s="33"/>
      <c r="G131" s="29"/>
      <c r="H131" s="34"/>
      <c r="I131" s="35"/>
      <c r="J131" s="36">
        <v>395.92</v>
      </c>
      <c r="K131" s="35"/>
      <c r="L131" s="36">
        <v>501.76</v>
      </c>
      <c r="M131" s="35"/>
      <c r="N131" s="36">
        <v>397.62</v>
      </c>
      <c r="O131" s="35"/>
      <c r="P131" s="36">
        <v>321.16000000000003</v>
      </c>
      <c r="Q131" s="35"/>
      <c r="R131" s="36">
        <v>375.01</v>
      </c>
      <c r="S131" s="35"/>
      <c r="T131" s="36">
        <v>281.98</v>
      </c>
      <c r="U131" s="35"/>
      <c r="V131" s="36">
        <v>371.32</v>
      </c>
      <c r="W131" s="35"/>
      <c r="X131" s="36">
        <v>418.44</v>
      </c>
      <c r="Y131" s="35"/>
      <c r="Z131" s="36">
        <v>288.57</v>
      </c>
      <c r="AA131" s="35"/>
      <c r="AB131" s="36">
        <v>282.8</v>
      </c>
      <c r="AC131" s="35"/>
      <c r="AD131" s="36">
        <v>282.8</v>
      </c>
      <c r="AE131" s="35"/>
      <c r="AF131" s="36">
        <v>282.8</v>
      </c>
      <c r="AG131" s="35"/>
      <c r="AH131" s="36">
        <f t="shared" si="14"/>
        <v>4200.18</v>
      </c>
      <c r="AI131" s="37">
        <f t="shared" si="15"/>
        <v>6.2125380752156047E-5</v>
      </c>
      <c r="AJ131" s="38"/>
    </row>
    <row r="132" spans="2:36" outlineLevel="1">
      <c r="B132" s="31" t="s">
        <v>56</v>
      </c>
      <c r="D132" s="32">
        <v>52116</v>
      </c>
      <c r="E132" s="32" t="s">
        <v>122</v>
      </c>
      <c r="F132" s="33"/>
      <c r="G132" s="29"/>
      <c r="H132" s="34"/>
      <c r="I132" s="35"/>
      <c r="J132" s="36">
        <v>18305.41</v>
      </c>
      <c r="K132" s="35"/>
      <c r="L132" s="36">
        <v>16997.810000000001</v>
      </c>
      <c r="M132" s="35"/>
      <c r="N132" s="36">
        <v>16997.810000000001</v>
      </c>
      <c r="O132" s="35"/>
      <c r="P132" s="36">
        <v>18217.009999999998</v>
      </c>
      <c r="Q132" s="35"/>
      <c r="R132" s="36">
        <v>18217.009999999998</v>
      </c>
      <c r="S132" s="35"/>
      <c r="T132" s="36">
        <v>18217.009999999998</v>
      </c>
      <c r="U132" s="35"/>
      <c r="V132" s="36">
        <v>18217.009999999998</v>
      </c>
      <c r="W132" s="35"/>
      <c r="X132" s="36">
        <v>18174.11</v>
      </c>
      <c r="Y132" s="35"/>
      <c r="Z132" s="36">
        <v>18217.009999999998</v>
      </c>
      <c r="AA132" s="35"/>
      <c r="AB132" s="36">
        <v>18223.73</v>
      </c>
      <c r="AC132" s="35"/>
      <c r="AD132" s="36">
        <v>18267.189999999999</v>
      </c>
      <c r="AE132" s="35"/>
      <c r="AF132" s="36">
        <v>18224.29</v>
      </c>
      <c r="AG132" s="35"/>
      <c r="AH132" s="36">
        <f t="shared" si="14"/>
        <v>216275.4</v>
      </c>
      <c r="AI132" s="37">
        <f t="shared" si="15"/>
        <v>3.1989561333859141E-3</v>
      </c>
      <c r="AJ132" s="38"/>
    </row>
    <row r="133" spans="2:36" outlineLevel="1">
      <c r="B133" s="31" t="s">
        <v>56</v>
      </c>
      <c r="D133" s="32">
        <v>52117</v>
      </c>
      <c r="E133" s="32" t="s">
        <v>123</v>
      </c>
      <c r="F133" s="33"/>
      <c r="G133" s="29"/>
      <c r="H133" s="34"/>
      <c r="I133" s="35"/>
      <c r="J133" s="36">
        <v>7875.03</v>
      </c>
      <c r="K133" s="35"/>
      <c r="L133" s="36">
        <v>7889.24</v>
      </c>
      <c r="M133" s="35"/>
      <c r="N133" s="36">
        <v>4176.32</v>
      </c>
      <c r="O133" s="35"/>
      <c r="P133" s="36">
        <v>7369.76</v>
      </c>
      <c r="Q133" s="35"/>
      <c r="R133" s="36">
        <v>7736.24</v>
      </c>
      <c r="S133" s="35"/>
      <c r="T133" s="36">
        <v>8138.24</v>
      </c>
      <c r="U133" s="35"/>
      <c r="V133" s="36">
        <v>7900.96</v>
      </c>
      <c r="W133" s="35"/>
      <c r="X133" s="36">
        <v>8096.51</v>
      </c>
      <c r="Y133" s="35"/>
      <c r="Z133" s="36">
        <v>8046.03</v>
      </c>
      <c r="AA133" s="35"/>
      <c r="AB133" s="36">
        <v>8101.43</v>
      </c>
      <c r="AC133" s="35"/>
      <c r="AD133" s="36">
        <v>8384.25</v>
      </c>
      <c r="AE133" s="35"/>
      <c r="AF133" s="36">
        <v>7060.29</v>
      </c>
      <c r="AG133" s="35"/>
      <c r="AH133" s="36">
        <f t="shared" si="14"/>
        <v>90774.3</v>
      </c>
      <c r="AI133" s="37">
        <f t="shared" si="15"/>
        <v>1.3426538743602509E-3</v>
      </c>
      <c r="AJ133" s="38"/>
    </row>
    <row r="134" spans="2:36" outlineLevel="1">
      <c r="B134" s="31" t="s">
        <v>56</v>
      </c>
      <c r="D134" s="32">
        <v>52120</v>
      </c>
      <c r="E134" s="32" t="s">
        <v>130</v>
      </c>
      <c r="F134" s="33"/>
      <c r="G134" s="29"/>
      <c r="H134" s="34"/>
      <c r="I134" s="35"/>
      <c r="J134" s="36">
        <v>65535.87</v>
      </c>
      <c r="K134" s="35"/>
      <c r="L134" s="36">
        <v>69434.42</v>
      </c>
      <c r="M134" s="35"/>
      <c r="N134" s="36">
        <v>70221.5</v>
      </c>
      <c r="O134" s="35"/>
      <c r="P134" s="36">
        <v>71777.77</v>
      </c>
      <c r="Q134" s="35"/>
      <c r="R134" s="36">
        <v>57433.17</v>
      </c>
      <c r="S134" s="35"/>
      <c r="T134" s="36">
        <v>66939.7</v>
      </c>
      <c r="U134" s="35"/>
      <c r="V134" s="36">
        <v>73538.850000000006</v>
      </c>
      <c r="W134" s="35"/>
      <c r="X134" s="36">
        <v>74241.61</v>
      </c>
      <c r="Y134" s="35"/>
      <c r="Z134" s="36">
        <v>92623.06</v>
      </c>
      <c r="AA134" s="35"/>
      <c r="AB134" s="36">
        <v>76271.05</v>
      </c>
      <c r="AC134" s="35"/>
      <c r="AD134" s="36">
        <v>72491.02</v>
      </c>
      <c r="AE134" s="35"/>
      <c r="AF134" s="36">
        <v>65724.039999999994</v>
      </c>
      <c r="AG134" s="35"/>
      <c r="AH134" s="36">
        <f t="shared" si="14"/>
        <v>856232.06</v>
      </c>
      <c r="AI134" s="37">
        <f t="shared" si="15"/>
        <v>1.2664634072754722E-2</v>
      </c>
      <c r="AJ134" s="38"/>
    </row>
    <row r="135" spans="2:36" outlineLevel="1">
      <c r="B135" s="31" t="s">
        <v>56</v>
      </c>
      <c r="D135" s="32">
        <v>52125</v>
      </c>
      <c r="E135" s="32" t="s">
        <v>131</v>
      </c>
      <c r="F135" s="33"/>
      <c r="G135" s="29"/>
      <c r="H135" s="34"/>
      <c r="I135" s="35"/>
      <c r="J135" s="36">
        <v>724.44</v>
      </c>
      <c r="K135" s="35"/>
      <c r="L135" s="36">
        <v>1204.28</v>
      </c>
      <c r="M135" s="35"/>
      <c r="N135" s="36">
        <v>1422.03</v>
      </c>
      <c r="O135" s="35"/>
      <c r="P135" s="36">
        <v>1728.24</v>
      </c>
      <c r="Q135" s="35"/>
      <c r="R135" s="36">
        <v>947.61</v>
      </c>
      <c r="S135" s="35"/>
      <c r="T135" s="36">
        <v>1048.3900000000001</v>
      </c>
      <c r="U135" s="35"/>
      <c r="V135" s="36">
        <v>1640.97</v>
      </c>
      <c r="W135" s="35"/>
      <c r="X135" s="36">
        <v>1070.03</v>
      </c>
      <c r="Y135" s="35"/>
      <c r="Z135" s="36">
        <v>1755.71</v>
      </c>
      <c r="AA135" s="35"/>
      <c r="AB135" s="36">
        <v>1358.91</v>
      </c>
      <c r="AC135" s="35"/>
      <c r="AD135" s="36">
        <v>1412.43</v>
      </c>
      <c r="AE135" s="35"/>
      <c r="AF135" s="36">
        <v>1886.24</v>
      </c>
      <c r="AG135" s="35"/>
      <c r="AH135" s="36">
        <f t="shared" si="14"/>
        <v>16199.28</v>
      </c>
      <c r="AI135" s="37">
        <f t="shared" si="15"/>
        <v>2.3960554974091264E-4</v>
      </c>
      <c r="AJ135" s="38"/>
    </row>
    <row r="136" spans="2:36" outlineLevel="1">
      <c r="B136" s="31" t="s">
        <v>56</v>
      </c>
      <c r="D136" s="32">
        <v>52135</v>
      </c>
      <c r="E136" s="32" t="s">
        <v>132</v>
      </c>
      <c r="F136" s="33"/>
      <c r="G136" s="29"/>
      <c r="H136" s="34"/>
      <c r="I136" s="35"/>
      <c r="J136" s="36">
        <v>376.09</v>
      </c>
      <c r="K136" s="35"/>
      <c r="L136" s="36">
        <v>1712.71</v>
      </c>
      <c r="M136" s="35"/>
      <c r="N136" s="36">
        <v>2034.92</v>
      </c>
      <c r="O136" s="35"/>
      <c r="P136" s="36">
        <v>0</v>
      </c>
      <c r="Q136" s="35"/>
      <c r="R136" s="36">
        <v>197.32</v>
      </c>
      <c r="S136" s="35"/>
      <c r="T136" s="36">
        <v>0</v>
      </c>
      <c r="U136" s="35"/>
      <c r="V136" s="36">
        <v>0</v>
      </c>
      <c r="W136" s="35"/>
      <c r="X136" s="36">
        <v>1731.32</v>
      </c>
      <c r="Y136" s="35"/>
      <c r="Z136" s="36">
        <v>695.02</v>
      </c>
      <c r="AA136" s="35"/>
      <c r="AB136" s="36">
        <v>18.37</v>
      </c>
      <c r="AC136" s="35"/>
      <c r="AD136" s="36">
        <v>48.75</v>
      </c>
      <c r="AE136" s="35"/>
      <c r="AF136" s="36">
        <v>305.79000000000002</v>
      </c>
      <c r="AG136" s="35"/>
      <c r="AH136" s="36">
        <f t="shared" si="14"/>
        <v>7120.29</v>
      </c>
      <c r="AI136" s="37">
        <f t="shared" si="15"/>
        <v>1.0531708815235756E-4</v>
      </c>
      <c r="AJ136" s="38"/>
    </row>
    <row r="137" spans="2:36" outlineLevel="1">
      <c r="B137" s="31" t="s">
        <v>56</v>
      </c>
      <c r="D137" s="32">
        <v>52140</v>
      </c>
      <c r="E137" s="32" t="s">
        <v>133</v>
      </c>
      <c r="F137" s="33"/>
      <c r="G137" s="29"/>
      <c r="H137" s="34"/>
      <c r="I137" s="35"/>
      <c r="J137" s="36">
        <v>23122.86</v>
      </c>
      <c r="K137" s="35"/>
      <c r="L137" s="36">
        <v>25502.54</v>
      </c>
      <c r="M137" s="35"/>
      <c r="N137" s="36">
        <v>27659.02</v>
      </c>
      <c r="O137" s="35"/>
      <c r="P137" s="36">
        <v>27695.08</v>
      </c>
      <c r="Q137" s="35"/>
      <c r="R137" s="36">
        <v>24780.240000000002</v>
      </c>
      <c r="S137" s="35"/>
      <c r="T137" s="36">
        <v>27833.61</v>
      </c>
      <c r="U137" s="35"/>
      <c r="V137" s="36">
        <v>28253.45</v>
      </c>
      <c r="W137" s="35"/>
      <c r="X137" s="36">
        <v>28903.78</v>
      </c>
      <c r="Y137" s="35"/>
      <c r="Z137" s="36">
        <v>32400.45</v>
      </c>
      <c r="AA137" s="35"/>
      <c r="AB137" s="36">
        <v>26623.200000000001</v>
      </c>
      <c r="AC137" s="35"/>
      <c r="AD137" s="36">
        <v>22975.5</v>
      </c>
      <c r="AE137" s="35"/>
      <c r="AF137" s="36">
        <v>25344.639999999999</v>
      </c>
      <c r="AG137" s="35"/>
      <c r="AH137" s="36">
        <f t="shared" si="14"/>
        <v>321094.37</v>
      </c>
      <c r="AI137" s="37">
        <f t="shared" si="15"/>
        <v>4.7493464550623235E-3</v>
      </c>
      <c r="AJ137" s="38"/>
    </row>
    <row r="138" spans="2:36" outlineLevel="1">
      <c r="B138" s="31" t="s">
        <v>56</v>
      </c>
      <c r="D138" s="32">
        <v>52142</v>
      </c>
      <c r="E138" s="32" t="s">
        <v>134</v>
      </c>
      <c r="F138" s="33"/>
      <c r="G138" s="29"/>
      <c r="H138" s="34"/>
      <c r="I138" s="35"/>
      <c r="J138" s="36">
        <v>136467.6</v>
      </c>
      <c r="K138" s="35"/>
      <c r="L138" s="36">
        <v>127034.72</v>
      </c>
      <c r="M138" s="35"/>
      <c r="N138" s="36">
        <v>136007.37</v>
      </c>
      <c r="O138" s="35"/>
      <c r="P138" s="36">
        <v>122451.47</v>
      </c>
      <c r="Q138" s="35"/>
      <c r="R138" s="36">
        <v>123765.26</v>
      </c>
      <c r="S138" s="35"/>
      <c r="T138" s="36">
        <v>143362.91</v>
      </c>
      <c r="U138" s="35"/>
      <c r="V138" s="36">
        <v>131903.60999999999</v>
      </c>
      <c r="W138" s="35"/>
      <c r="X138" s="36">
        <v>155782.57</v>
      </c>
      <c r="Y138" s="35"/>
      <c r="Z138" s="36">
        <v>145312.48000000001</v>
      </c>
      <c r="AA138" s="35"/>
      <c r="AB138" s="36">
        <v>143712.73000000001</v>
      </c>
      <c r="AC138" s="35"/>
      <c r="AD138" s="36">
        <v>169219.86</v>
      </c>
      <c r="AE138" s="35"/>
      <c r="AF138" s="36">
        <v>165626.73000000001</v>
      </c>
      <c r="AG138" s="35"/>
      <c r="AH138" s="36">
        <f t="shared" si="14"/>
        <v>1700647.3099999998</v>
      </c>
      <c r="AI138" s="37">
        <f t="shared" si="15"/>
        <v>2.5154484250408303E-2</v>
      </c>
      <c r="AJ138" s="38"/>
    </row>
    <row r="139" spans="2:36" outlineLevel="1">
      <c r="B139" s="31" t="s">
        <v>56</v>
      </c>
      <c r="D139" s="32">
        <v>52143</v>
      </c>
      <c r="E139" s="32" t="s">
        <v>135</v>
      </c>
      <c r="F139" s="33"/>
      <c r="G139" s="29"/>
      <c r="H139" s="34"/>
      <c r="I139" s="35"/>
      <c r="J139" s="36">
        <v>3924.3</v>
      </c>
      <c r="K139" s="35"/>
      <c r="L139" s="36">
        <v>3509.02</v>
      </c>
      <c r="M139" s="35"/>
      <c r="N139" s="36">
        <v>2964.99</v>
      </c>
      <c r="O139" s="35"/>
      <c r="P139" s="36">
        <v>4589.6499999999996</v>
      </c>
      <c r="Q139" s="35"/>
      <c r="R139" s="36">
        <v>4840.8</v>
      </c>
      <c r="S139" s="35"/>
      <c r="T139" s="36">
        <v>4828.63</v>
      </c>
      <c r="U139" s="35"/>
      <c r="V139" s="36">
        <v>4524.97</v>
      </c>
      <c r="W139" s="35"/>
      <c r="X139" s="36">
        <v>5581.79</v>
      </c>
      <c r="Y139" s="35"/>
      <c r="Z139" s="36">
        <v>2287.8000000000002</v>
      </c>
      <c r="AA139" s="35"/>
      <c r="AB139" s="36">
        <v>5803.09</v>
      </c>
      <c r="AC139" s="35"/>
      <c r="AD139" s="36">
        <v>5379.11</v>
      </c>
      <c r="AE139" s="35"/>
      <c r="AF139" s="36">
        <v>5478.3</v>
      </c>
      <c r="AG139" s="35"/>
      <c r="AH139" s="36">
        <f t="shared" si="14"/>
        <v>53712.450000000004</v>
      </c>
      <c r="AI139" s="37">
        <f t="shared" si="15"/>
        <v>7.9446747696078368E-4</v>
      </c>
      <c r="AJ139" s="38"/>
    </row>
    <row r="140" spans="2:36" outlineLevel="1">
      <c r="B140" s="31" t="s">
        <v>56</v>
      </c>
      <c r="D140" s="32">
        <v>52144</v>
      </c>
      <c r="E140" s="32" t="s">
        <v>136</v>
      </c>
      <c r="F140" s="33"/>
      <c r="G140" s="29"/>
      <c r="H140" s="34"/>
      <c r="I140" s="35"/>
      <c r="J140" s="36">
        <v>1125.22</v>
      </c>
      <c r="K140" s="35"/>
      <c r="L140" s="36">
        <v>564.51</v>
      </c>
      <c r="M140" s="35"/>
      <c r="N140" s="36">
        <v>1017.84</v>
      </c>
      <c r="O140" s="35"/>
      <c r="P140" s="36">
        <v>626.92999999999995</v>
      </c>
      <c r="Q140" s="35"/>
      <c r="R140" s="36">
        <v>796</v>
      </c>
      <c r="S140" s="35"/>
      <c r="T140" s="36">
        <v>748.67</v>
      </c>
      <c r="U140" s="35"/>
      <c r="V140" s="36">
        <v>959.18</v>
      </c>
      <c r="W140" s="35"/>
      <c r="X140" s="36">
        <v>1135.83</v>
      </c>
      <c r="Y140" s="35"/>
      <c r="Z140" s="36">
        <v>897.25</v>
      </c>
      <c r="AA140" s="35"/>
      <c r="AB140" s="36">
        <v>793.64</v>
      </c>
      <c r="AC140" s="35"/>
      <c r="AD140" s="36">
        <v>1251.8499999999999</v>
      </c>
      <c r="AE140" s="35"/>
      <c r="AF140" s="36">
        <v>749.95</v>
      </c>
      <c r="AG140" s="35"/>
      <c r="AH140" s="36">
        <f t="shared" si="14"/>
        <v>10666.87</v>
      </c>
      <c r="AI140" s="37">
        <f t="shared" si="15"/>
        <v>1.5777499063938946E-4</v>
      </c>
      <c r="AJ140" s="38"/>
    </row>
    <row r="141" spans="2:36" outlineLevel="1">
      <c r="B141" s="31" t="s">
        <v>56</v>
      </c>
      <c r="D141" s="32">
        <v>52146</v>
      </c>
      <c r="E141" s="32" t="s">
        <v>137</v>
      </c>
      <c r="F141" s="33"/>
      <c r="G141" s="29"/>
      <c r="H141" s="34"/>
      <c r="I141" s="35"/>
      <c r="J141" s="36">
        <v>10301.5</v>
      </c>
      <c r="K141" s="35"/>
      <c r="L141" s="36">
        <v>8678.98</v>
      </c>
      <c r="M141" s="35"/>
      <c r="N141" s="36">
        <v>8653.1299999999992</v>
      </c>
      <c r="O141" s="35"/>
      <c r="P141" s="36">
        <v>8958.7999999999993</v>
      </c>
      <c r="Q141" s="35"/>
      <c r="R141" s="36">
        <v>10585.75</v>
      </c>
      <c r="S141" s="35"/>
      <c r="T141" s="36">
        <v>9461.39</v>
      </c>
      <c r="U141" s="35"/>
      <c r="V141" s="36">
        <v>9340.25</v>
      </c>
      <c r="W141" s="35"/>
      <c r="X141" s="36">
        <v>11934.55</v>
      </c>
      <c r="Y141" s="35"/>
      <c r="Z141" s="36">
        <v>5809.38</v>
      </c>
      <c r="AA141" s="35"/>
      <c r="AB141" s="36">
        <v>10687.64</v>
      </c>
      <c r="AC141" s="35"/>
      <c r="AD141" s="36">
        <v>14698.81</v>
      </c>
      <c r="AE141" s="35"/>
      <c r="AF141" s="36">
        <v>7066.58</v>
      </c>
      <c r="AG141" s="35"/>
      <c r="AH141" s="36">
        <f t="shared" si="14"/>
        <v>116176.76</v>
      </c>
      <c r="AI141" s="37">
        <f t="shared" si="15"/>
        <v>1.7183847953068326E-3</v>
      </c>
      <c r="AJ141" s="38"/>
    </row>
    <row r="142" spans="2:36" outlineLevel="1">
      <c r="B142" s="31" t="s">
        <v>56</v>
      </c>
      <c r="D142" s="32">
        <v>52147</v>
      </c>
      <c r="E142" s="32" t="s">
        <v>138</v>
      </c>
      <c r="F142" s="33"/>
      <c r="G142" s="29"/>
      <c r="H142" s="34"/>
      <c r="I142" s="35"/>
      <c r="J142" s="36">
        <v>10813.79</v>
      </c>
      <c r="K142" s="35"/>
      <c r="L142" s="36">
        <v>4729.91</v>
      </c>
      <c r="M142" s="35"/>
      <c r="N142" s="36">
        <v>3449.12</v>
      </c>
      <c r="O142" s="35"/>
      <c r="P142" s="36">
        <v>3750.86</v>
      </c>
      <c r="Q142" s="35"/>
      <c r="R142" s="36">
        <v>10739.84</v>
      </c>
      <c r="S142" s="35"/>
      <c r="T142" s="36">
        <v>1441.79</v>
      </c>
      <c r="U142" s="35"/>
      <c r="V142" s="36">
        <v>10109.219999999999</v>
      </c>
      <c r="W142" s="35"/>
      <c r="X142" s="36">
        <v>1045.1300000000001</v>
      </c>
      <c r="Y142" s="35"/>
      <c r="Z142" s="36">
        <v>23987.72</v>
      </c>
      <c r="AA142" s="35"/>
      <c r="AB142" s="36">
        <v>7062.14</v>
      </c>
      <c r="AC142" s="35"/>
      <c r="AD142" s="36">
        <v>7371.84</v>
      </c>
      <c r="AE142" s="35"/>
      <c r="AF142" s="36">
        <v>3850.52</v>
      </c>
      <c r="AG142" s="35"/>
      <c r="AH142" s="36">
        <f t="shared" si="14"/>
        <v>88351.88</v>
      </c>
      <c r="AI142" s="37">
        <f t="shared" si="15"/>
        <v>1.3068235611732833E-3</v>
      </c>
      <c r="AJ142" s="38"/>
    </row>
    <row r="143" spans="2:36" outlineLevel="1">
      <c r="B143" s="31" t="s">
        <v>56</v>
      </c>
      <c r="D143" s="32">
        <v>52150</v>
      </c>
      <c r="E143" s="32" t="s">
        <v>139</v>
      </c>
      <c r="F143" s="33"/>
      <c r="G143" s="29"/>
      <c r="H143" s="34"/>
      <c r="I143" s="35"/>
      <c r="J143" s="36">
        <v>1565.14</v>
      </c>
      <c r="K143" s="35"/>
      <c r="L143" s="36">
        <v>1189.53</v>
      </c>
      <c r="M143" s="35"/>
      <c r="N143" s="36">
        <v>2294.62</v>
      </c>
      <c r="O143" s="35"/>
      <c r="P143" s="36">
        <v>2805.84</v>
      </c>
      <c r="Q143" s="35"/>
      <c r="R143" s="36">
        <v>3215.13</v>
      </c>
      <c r="S143" s="35"/>
      <c r="T143" s="36">
        <v>2295.5700000000002</v>
      </c>
      <c r="U143" s="35"/>
      <c r="V143" s="36">
        <v>1839.91</v>
      </c>
      <c r="W143" s="35"/>
      <c r="X143" s="36">
        <v>1517.29</v>
      </c>
      <c r="Y143" s="35"/>
      <c r="Z143" s="36">
        <v>1300.1500000000001</v>
      </c>
      <c r="AA143" s="35"/>
      <c r="AB143" s="36">
        <v>1034.97</v>
      </c>
      <c r="AC143" s="35"/>
      <c r="AD143" s="36">
        <v>1034.55</v>
      </c>
      <c r="AE143" s="35"/>
      <c r="AF143" s="36">
        <v>1095.01</v>
      </c>
      <c r="AG143" s="35"/>
      <c r="AH143" s="36">
        <f t="shared" si="14"/>
        <v>21187.71</v>
      </c>
      <c r="AI143" s="37">
        <f t="shared" si="15"/>
        <v>3.1339003352624507E-4</v>
      </c>
      <c r="AJ143" s="38"/>
    </row>
    <row r="144" spans="2:36" outlineLevel="1">
      <c r="B144" s="31" t="s">
        <v>56</v>
      </c>
      <c r="D144" s="32">
        <v>52165</v>
      </c>
      <c r="E144" s="32" t="s">
        <v>140</v>
      </c>
      <c r="F144" s="33"/>
      <c r="G144" s="29"/>
      <c r="H144" s="34"/>
      <c r="I144" s="35"/>
      <c r="J144" s="36">
        <v>-2421.13</v>
      </c>
      <c r="K144" s="35"/>
      <c r="L144" s="36">
        <v>3254.07</v>
      </c>
      <c r="M144" s="35"/>
      <c r="N144" s="36">
        <v>3254.07</v>
      </c>
      <c r="O144" s="35"/>
      <c r="P144" s="36">
        <v>3414.41</v>
      </c>
      <c r="Q144" s="35"/>
      <c r="R144" s="36">
        <v>3254.03</v>
      </c>
      <c r="S144" s="35"/>
      <c r="T144" s="36">
        <v>3254.03</v>
      </c>
      <c r="U144" s="35"/>
      <c r="V144" s="36">
        <v>3254.08</v>
      </c>
      <c r="W144" s="35"/>
      <c r="X144" s="36">
        <v>3254.93</v>
      </c>
      <c r="Y144" s="35"/>
      <c r="Z144" s="36">
        <v>3414.53</v>
      </c>
      <c r="AA144" s="35"/>
      <c r="AB144" s="36">
        <v>3414.74</v>
      </c>
      <c r="AC144" s="35"/>
      <c r="AD144" s="36">
        <v>3454.52</v>
      </c>
      <c r="AE144" s="35"/>
      <c r="AF144" s="36">
        <v>3454.52</v>
      </c>
      <c r="AG144" s="35"/>
      <c r="AH144" s="36">
        <f t="shared" si="14"/>
        <v>34256.800000000003</v>
      </c>
      <c r="AI144" s="37">
        <f t="shared" si="15"/>
        <v>5.0669655665958589E-4</v>
      </c>
      <c r="AJ144" s="38"/>
    </row>
    <row r="145" spans="2:36" outlineLevel="1">
      <c r="B145" s="31" t="s">
        <v>56</v>
      </c>
      <c r="D145" s="32">
        <v>52175</v>
      </c>
      <c r="E145" s="32" t="s">
        <v>141</v>
      </c>
      <c r="F145" s="33"/>
      <c r="G145" s="29"/>
      <c r="H145" s="34"/>
      <c r="I145" s="35"/>
      <c r="J145" s="36">
        <v>11150.67</v>
      </c>
      <c r="K145" s="35"/>
      <c r="L145" s="36">
        <v>11150.67</v>
      </c>
      <c r="M145" s="35"/>
      <c r="N145" s="36">
        <v>11150.67</v>
      </c>
      <c r="O145" s="35"/>
      <c r="P145" s="36">
        <v>11150.67</v>
      </c>
      <c r="Q145" s="35"/>
      <c r="R145" s="36">
        <v>11150.67</v>
      </c>
      <c r="S145" s="35"/>
      <c r="T145" s="36">
        <v>11150.67</v>
      </c>
      <c r="U145" s="35"/>
      <c r="V145" s="36">
        <v>11150.67</v>
      </c>
      <c r="W145" s="35"/>
      <c r="X145" s="36">
        <v>11150.67</v>
      </c>
      <c r="Y145" s="35"/>
      <c r="Z145" s="36">
        <v>11150.67</v>
      </c>
      <c r="AA145" s="35"/>
      <c r="AB145" s="36">
        <v>11150.67</v>
      </c>
      <c r="AC145" s="35"/>
      <c r="AD145" s="36">
        <v>11150.67</v>
      </c>
      <c r="AE145" s="35"/>
      <c r="AF145" s="36">
        <v>11150.67</v>
      </c>
      <c r="AG145" s="35"/>
      <c r="AH145" s="36">
        <f t="shared" si="14"/>
        <v>133808.04</v>
      </c>
      <c r="AI145" s="37">
        <f t="shared" si="15"/>
        <v>1.9791712337803918E-3</v>
      </c>
      <c r="AJ145" s="38"/>
    </row>
    <row r="146" spans="2:36" outlineLevel="1">
      <c r="B146" s="31" t="s">
        <v>56</v>
      </c>
      <c r="D146" s="32">
        <v>52181</v>
      </c>
      <c r="E146" s="32" t="s">
        <v>142</v>
      </c>
      <c r="F146" s="33"/>
      <c r="G146" s="29"/>
      <c r="H146" s="34"/>
      <c r="I146" s="35"/>
      <c r="J146" s="36">
        <v>0</v>
      </c>
      <c r="K146" s="35"/>
      <c r="L146" s="36">
        <v>0</v>
      </c>
      <c r="M146" s="35"/>
      <c r="N146" s="36">
        <v>0</v>
      </c>
      <c r="O146" s="35"/>
      <c r="P146" s="36">
        <v>0</v>
      </c>
      <c r="Q146" s="35"/>
      <c r="R146" s="36">
        <v>541</v>
      </c>
      <c r="S146" s="35"/>
      <c r="T146" s="36">
        <v>0</v>
      </c>
      <c r="U146" s="35"/>
      <c r="V146" s="36">
        <v>0</v>
      </c>
      <c r="W146" s="35"/>
      <c r="X146" s="36">
        <v>0</v>
      </c>
      <c r="Y146" s="35"/>
      <c r="Z146" s="36">
        <v>68.83</v>
      </c>
      <c r="AA146" s="35"/>
      <c r="AB146" s="36">
        <v>0</v>
      </c>
      <c r="AC146" s="35"/>
      <c r="AD146" s="36">
        <v>0</v>
      </c>
      <c r="AE146" s="35"/>
      <c r="AF146" s="36">
        <v>634.71</v>
      </c>
      <c r="AG146" s="35"/>
      <c r="AH146" s="36">
        <f t="shared" si="14"/>
        <v>1244.54</v>
      </c>
      <c r="AI146" s="37">
        <f t="shared" si="15"/>
        <v>1.8408144736960864E-5</v>
      </c>
      <c r="AJ146" s="38"/>
    </row>
    <row r="147" spans="2:36" outlineLevel="1">
      <c r="B147" s="31" t="s">
        <v>56</v>
      </c>
      <c r="D147" s="32">
        <v>52182</v>
      </c>
      <c r="E147" s="32" t="s">
        <v>143</v>
      </c>
      <c r="F147" s="33"/>
      <c r="G147" s="29"/>
      <c r="H147" s="34"/>
      <c r="I147" s="35"/>
      <c r="J147" s="36">
        <v>935.49</v>
      </c>
      <c r="K147" s="35"/>
      <c r="L147" s="36">
        <v>576.69000000000005</v>
      </c>
      <c r="M147" s="35"/>
      <c r="N147" s="36">
        <v>1502.42</v>
      </c>
      <c r="O147" s="35"/>
      <c r="P147" s="36">
        <v>1879.66</v>
      </c>
      <c r="Q147" s="35"/>
      <c r="R147" s="36">
        <v>2434.67</v>
      </c>
      <c r="S147" s="35"/>
      <c r="T147" s="36">
        <v>641.73</v>
      </c>
      <c r="U147" s="35"/>
      <c r="V147" s="36">
        <v>1699.7</v>
      </c>
      <c r="W147" s="35"/>
      <c r="X147" s="36">
        <v>2109.44</v>
      </c>
      <c r="Y147" s="35"/>
      <c r="Z147" s="36">
        <v>2159.13</v>
      </c>
      <c r="AA147" s="35"/>
      <c r="AB147" s="36">
        <v>910.55</v>
      </c>
      <c r="AC147" s="35"/>
      <c r="AD147" s="36">
        <v>511.66</v>
      </c>
      <c r="AE147" s="35"/>
      <c r="AF147" s="36">
        <v>1567.46</v>
      </c>
      <c r="AG147" s="35"/>
      <c r="AH147" s="36">
        <f t="shared" si="14"/>
        <v>16928.600000000002</v>
      </c>
      <c r="AI147" s="37">
        <f t="shared" si="15"/>
        <v>2.5039301187114574E-4</v>
      </c>
      <c r="AJ147" s="38"/>
    </row>
    <row r="148" spans="2:36" outlineLevel="1">
      <c r="B148" s="31" t="s">
        <v>56</v>
      </c>
      <c r="D148" s="32">
        <v>52200</v>
      </c>
      <c r="E148" s="32" t="s">
        <v>144</v>
      </c>
      <c r="F148" s="33"/>
      <c r="G148" s="29"/>
      <c r="H148" s="34"/>
      <c r="I148" s="35"/>
      <c r="J148" s="36">
        <v>311.25</v>
      </c>
      <c r="K148" s="35"/>
      <c r="L148" s="36">
        <v>233.77</v>
      </c>
      <c r="M148" s="35"/>
      <c r="N148" s="36">
        <v>48.58</v>
      </c>
      <c r="O148" s="35"/>
      <c r="P148" s="36">
        <v>372.13</v>
      </c>
      <c r="Q148" s="35"/>
      <c r="R148" s="36">
        <v>175.5</v>
      </c>
      <c r="S148" s="35"/>
      <c r="T148" s="36">
        <v>57.44</v>
      </c>
      <c r="U148" s="35"/>
      <c r="V148" s="36">
        <v>117.18</v>
      </c>
      <c r="W148" s="35"/>
      <c r="X148" s="36">
        <v>359.55</v>
      </c>
      <c r="Y148" s="35"/>
      <c r="Z148" s="36">
        <v>56.87</v>
      </c>
      <c r="AA148" s="35"/>
      <c r="AB148" s="36">
        <v>162.16999999999999</v>
      </c>
      <c r="AC148" s="35"/>
      <c r="AD148" s="36">
        <v>51.36</v>
      </c>
      <c r="AE148" s="35"/>
      <c r="AF148" s="36">
        <v>60.68</v>
      </c>
      <c r="AG148" s="35"/>
      <c r="AH148" s="36">
        <f t="shared" si="14"/>
        <v>2006.48</v>
      </c>
      <c r="AI148" s="37">
        <f t="shared" si="15"/>
        <v>2.967809331304517E-5</v>
      </c>
      <c r="AJ148" s="38"/>
    </row>
    <row r="149" spans="2:36" outlineLevel="1">
      <c r="B149" s="31" t="s">
        <v>56</v>
      </c>
      <c r="D149" s="32">
        <v>52900</v>
      </c>
      <c r="E149" s="32" t="s">
        <v>145</v>
      </c>
      <c r="F149" s="33"/>
      <c r="G149" s="29"/>
      <c r="H149" s="34"/>
      <c r="I149" s="35"/>
      <c r="J149" s="36">
        <v>0</v>
      </c>
      <c r="K149" s="35"/>
      <c r="L149" s="36">
        <v>0</v>
      </c>
      <c r="M149" s="35"/>
      <c r="N149" s="36">
        <v>0</v>
      </c>
      <c r="O149" s="35"/>
      <c r="P149" s="36">
        <v>0</v>
      </c>
      <c r="Q149" s="35"/>
      <c r="R149" s="36">
        <v>0</v>
      </c>
      <c r="S149" s="35"/>
      <c r="T149" s="36">
        <v>0</v>
      </c>
      <c r="U149" s="35"/>
      <c r="V149" s="36">
        <v>0</v>
      </c>
      <c r="W149" s="35"/>
      <c r="X149" s="36">
        <v>-1400</v>
      </c>
      <c r="Y149" s="35"/>
      <c r="Z149" s="36">
        <v>0</v>
      </c>
      <c r="AA149" s="35"/>
      <c r="AB149" s="36">
        <v>0</v>
      </c>
      <c r="AC149" s="35"/>
      <c r="AD149" s="36">
        <v>0</v>
      </c>
      <c r="AE149" s="35"/>
      <c r="AF149" s="36">
        <v>-1790.95</v>
      </c>
      <c r="AG149" s="35"/>
      <c r="AH149" s="36">
        <f t="shared" si="14"/>
        <v>-3190.95</v>
      </c>
      <c r="AI149" s="37">
        <f t="shared" si="15"/>
        <v>-4.7197735266367711E-5</v>
      </c>
      <c r="AJ149" s="38"/>
    </row>
    <row r="150" spans="2:36" outlineLevel="1">
      <c r="B150" s="31" t="s">
        <v>56</v>
      </c>
      <c r="D150" s="32">
        <v>52901</v>
      </c>
      <c r="E150" s="32" t="s">
        <v>146</v>
      </c>
      <c r="F150" s="33"/>
      <c r="G150" s="29"/>
      <c r="H150" s="34"/>
      <c r="I150" s="35"/>
      <c r="J150" s="36">
        <v>0</v>
      </c>
      <c r="K150" s="35"/>
      <c r="L150" s="36">
        <v>0</v>
      </c>
      <c r="M150" s="35"/>
      <c r="N150" s="36">
        <v>0</v>
      </c>
      <c r="O150" s="35"/>
      <c r="P150" s="36">
        <v>0</v>
      </c>
      <c r="Q150" s="35"/>
      <c r="R150" s="36">
        <v>0</v>
      </c>
      <c r="S150" s="35"/>
      <c r="T150" s="36">
        <v>0</v>
      </c>
      <c r="U150" s="35"/>
      <c r="V150" s="36">
        <v>0</v>
      </c>
      <c r="W150" s="35"/>
      <c r="X150" s="36">
        <v>0</v>
      </c>
      <c r="Y150" s="35"/>
      <c r="Z150" s="36">
        <v>0</v>
      </c>
      <c r="AA150" s="35"/>
      <c r="AB150" s="36">
        <v>0</v>
      </c>
      <c r="AC150" s="35"/>
      <c r="AD150" s="36">
        <v>0</v>
      </c>
      <c r="AE150" s="35"/>
      <c r="AF150" s="36">
        <v>0</v>
      </c>
      <c r="AG150" s="35"/>
      <c r="AH150" s="36">
        <f t="shared" si="14"/>
        <v>0</v>
      </c>
      <c r="AI150" s="37">
        <f t="shared" si="15"/>
        <v>0</v>
      </c>
      <c r="AJ150" s="38"/>
    </row>
    <row r="151" spans="2:36" s="34" customFormat="1" ht="5.0999999999999996" customHeight="1" outlineLevel="1">
      <c r="B151" s="27" t="s">
        <v>47</v>
      </c>
      <c r="D151" s="33"/>
      <c r="E151" s="33"/>
      <c r="F151" s="33"/>
      <c r="G151" s="33"/>
      <c r="J151" s="68"/>
      <c r="K151" s="66"/>
      <c r="L151" s="68"/>
      <c r="M151" s="66"/>
      <c r="N151" s="68"/>
      <c r="O151" s="66"/>
      <c r="P151" s="68"/>
      <c r="Q151" s="66"/>
      <c r="R151" s="68"/>
      <c r="S151" s="66"/>
      <c r="T151" s="68"/>
      <c r="U151" s="66"/>
      <c r="V151" s="68"/>
      <c r="W151" s="66"/>
      <c r="X151" s="68"/>
      <c r="Y151" s="66"/>
      <c r="Z151" s="68"/>
      <c r="AA151" s="66"/>
      <c r="AB151" s="68"/>
      <c r="AC151" s="66"/>
      <c r="AD151" s="68"/>
      <c r="AE151" s="66"/>
      <c r="AF151" s="68"/>
      <c r="AG151" s="66"/>
      <c r="AH151" s="68"/>
      <c r="AI151" s="62"/>
      <c r="AJ151" s="43"/>
    </row>
    <row r="152" spans="2:36" s="34" customFormat="1" ht="15">
      <c r="B152" s="27" t="s">
        <v>47</v>
      </c>
      <c r="F152" s="33" t="s">
        <v>147</v>
      </c>
      <c r="J152" s="65">
        <f>SUM(J119:J151)</f>
        <v>393797.80999999988</v>
      </c>
      <c r="K152" s="66"/>
      <c r="L152" s="65">
        <f>SUM(L119:L151)</f>
        <v>389488.80000000005</v>
      </c>
      <c r="M152" s="66"/>
      <c r="N152" s="65">
        <f>SUM(N119:N151)</f>
        <v>400475.84</v>
      </c>
      <c r="O152" s="66"/>
      <c r="P152" s="65">
        <f>SUM(P119:P151)</f>
        <v>394889.89</v>
      </c>
      <c r="Q152" s="66"/>
      <c r="R152" s="65">
        <f>SUM(R119:R151)</f>
        <v>372931.28</v>
      </c>
      <c r="S152" s="66"/>
      <c r="T152" s="65">
        <f>SUM(T119:T151)</f>
        <v>410551.85999999993</v>
      </c>
      <c r="U152" s="66"/>
      <c r="V152" s="65">
        <f>SUM(V119:V151)</f>
        <v>398118.67999999993</v>
      </c>
      <c r="W152" s="66"/>
      <c r="X152" s="65">
        <f>SUM(X119:X151)</f>
        <v>444387.63999999996</v>
      </c>
      <c r="Y152" s="66"/>
      <c r="Z152" s="65">
        <f>SUM(Z119:Z151)</f>
        <v>454529.7300000001</v>
      </c>
      <c r="AA152" s="66"/>
      <c r="AB152" s="65">
        <f>SUM(AB119:AB151)</f>
        <v>419044.13</v>
      </c>
      <c r="AC152" s="66"/>
      <c r="AD152" s="65">
        <f>SUM(AD119:AD151)</f>
        <v>436944.98999999993</v>
      </c>
      <c r="AE152" s="66"/>
      <c r="AF152" s="65">
        <f>SUM(AF119:AF151)</f>
        <v>425619.49000000011</v>
      </c>
      <c r="AG152" s="66"/>
      <c r="AH152" s="65">
        <f>SUM(AH119:AH151)</f>
        <v>4940780.1399999997</v>
      </c>
      <c r="AI152" s="37">
        <f>IF(AH$60=0,0,AH152/AH$60)</f>
        <v>7.307968882528626E-2</v>
      </c>
      <c r="AJ152" s="43"/>
    </row>
    <row r="153" spans="2:36" s="34" customFormat="1" ht="15" outlineLevel="1">
      <c r="B153" s="27" t="s">
        <v>47</v>
      </c>
      <c r="J153" s="67"/>
      <c r="K153" s="66"/>
      <c r="L153" s="67"/>
      <c r="M153" s="66"/>
      <c r="N153" s="67"/>
      <c r="O153" s="66"/>
      <c r="P153" s="67"/>
      <c r="Q153" s="66"/>
      <c r="R153" s="67"/>
      <c r="S153" s="66"/>
      <c r="T153" s="67"/>
      <c r="U153" s="66"/>
      <c r="V153" s="67"/>
      <c r="W153" s="66"/>
      <c r="X153" s="67"/>
      <c r="Y153" s="66"/>
      <c r="Z153" s="67"/>
      <c r="AA153" s="66"/>
      <c r="AB153" s="67"/>
      <c r="AC153" s="66"/>
      <c r="AD153" s="67"/>
      <c r="AE153" s="66"/>
      <c r="AF153" s="67"/>
      <c r="AG153" s="66"/>
      <c r="AH153" s="67"/>
      <c r="AI153" s="62"/>
      <c r="AJ153" s="43"/>
    </row>
    <row r="154" spans="2:36" s="34" customFormat="1" ht="15" outlineLevel="1">
      <c r="J154" s="67"/>
      <c r="K154" s="66"/>
      <c r="L154" s="67"/>
      <c r="M154" s="66"/>
      <c r="N154" s="67"/>
      <c r="O154" s="66"/>
      <c r="P154" s="67"/>
      <c r="Q154" s="66"/>
      <c r="R154" s="67"/>
      <c r="S154" s="66"/>
      <c r="T154" s="67"/>
      <c r="U154" s="66"/>
      <c r="V154" s="67"/>
      <c r="W154" s="66"/>
      <c r="X154" s="67"/>
      <c r="Y154" s="66"/>
      <c r="Z154" s="67"/>
      <c r="AA154" s="66"/>
      <c r="AB154" s="67"/>
      <c r="AC154" s="66"/>
      <c r="AD154" s="67"/>
      <c r="AE154" s="66"/>
      <c r="AF154" s="67"/>
      <c r="AG154" s="66"/>
      <c r="AH154" s="67"/>
      <c r="AI154" s="62"/>
      <c r="AJ154" s="43"/>
    </row>
    <row r="155" spans="2:36" outlineLevel="1">
      <c r="B155" s="31" t="s">
        <v>148</v>
      </c>
      <c r="D155" s="32">
        <v>55020</v>
      </c>
      <c r="E155" s="32" t="s">
        <v>109</v>
      </c>
      <c r="F155" s="33"/>
      <c r="G155" s="29"/>
      <c r="H155" s="34"/>
      <c r="I155" s="35"/>
      <c r="J155" s="36">
        <v>24304.5</v>
      </c>
      <c r="K155" s="35"/>
      <c r="L155" s="36">
        <v>25702.959999999999</v>
      </c>
      <c r="M155" s="35"/>
      <c r="N155" s="36">
        <v>18070.93</v>
      </c>
      <c r="O155" s="35"/>
      <c r="P155" s="36">
        <v>21773.91</v>
      </c>
      <c r="Q155" s="35"/>
      <c r="R155" s="36">
        <v>22122.6</v>
      </c>
      <c r="S155" s="35"/>
      <c r="T155" s="36">
        <v>27472.98</v>
      </c>
      <c r="U155" s="35"/>
      <c r="V155" s="36">
        <v>26606.04</v>
      </c>
      <c r="W155" s="35"/>
      <c r="X155" s="36">
        <v>30727.43</v>
      </c>
      <c r="Y155" s="35"/>
      <c r="Z155" s="36">
        <v>26508.5</v>
      </c>
      <c r="AA155" s="35"/>
      <c r="AB155" s="36">
        <v>24731.56</v>
      </c>
      <c r="AC155" s="35"/>
      <c r="AD155" s="36">
        <v>26861.45</v>
      </c>
      <c r="AE155" s="35"/>
      <c r="AF155" s="36">
        <v>22973.45</v>
      </c>
      <c r="AG155" s="35"/>
      <c r="AH155" s="36">
        <f t="shared" ref="AH155:AH169" si="16">AF155+AD155+AB155+Z155+X155+V155+T155+R155+P155+N155+L155+J155</f>
        <v>297856.31000000006</v>
      </c>
      <c r="AI155" s="37">
        <f t="shared" ref="AI155:AI169" si="17">IF(AH$60=0,0,AH155/AH$60)</f>
        <v>4.4056294416387459E-3</v>
      </c>
      <c r="AJ155" s="38"/>
    </row>
    <row r="156" spans="2:36" outlineLevel="1">
      <c r="B156" s="31" t="s">
        <v>56</v>
      </c>
      <c r="D156" s="32">
        <v>55025</v>
      </c>
      <c r="E156" s="32" t="s">
        <v>110</v>
      </c>
      <c r="F156" s="33"/>
      <c r="G156" s="29"/>
      <c r="H156" s="34"/>
      <c r="I156" s="35"/>
      <c r="J156" s="36">
        <v>2511.4</v>
      </c>
      <c r="K156" s="35"/>
      <c r="L156" s="36">
        <v>1083.8499999999999</v>
      </c>
      <c r="M156" s="35"/>
      <c r="N156" s="36">
        <v>854.2</v>
      </c>
      <c r="O156" s="35"/>
      <c r="P156" s="36">
        <v>1228.8499999999999</v>
      </c>
      <c r="Q156" s="35"/>
      <c r="R156" s="36">
        <v>2106.02</v>
      </c>
      <c r="S156" s="35"/>
      <c r="T156" s="36">
        <v>2272.65</v>
      </c>
      <c r="U156" s="35"/>
      <c r="V156" s="36">
        <v>2286.4699999999998</v>
      </c>
      <c r="W156" s="35"/>
      <c r="X156" s="36">
        <v>2079.5700000000002</v>
      </c>
      <c r="Y156" s="35"/>
      <c r="Z156" s="36">
        <v>2027.39</v>
      </c>
      <c r="AA156" s="35"/>
      <c r="AB156" s="36">
        <v>1774.06</v>
      </c>
      <c r="AC156" s="35"/>
      <c r="AD156" s="36">
        <v>1308.3499999999999</v>
      </c>
      <c r="AE156" s="35"/>
      <c r="AF156" s="36">
        <v>824.91</v>
      </c>
      <c r="AG156" s="35"/>
      <c r="AH156" s="36">
        <f t="shared" si="16"/>
        <v>20357.72</v>
      </c>
      <c r="AI156" s="37">
        <f t="shared" si="17"/>
        <v>3.011135490016576E-4</v>
      </c>
      <c r="AJ156" s="38"/>
    </row>
    <row r="157" spans="2:36" outlineLevel="1">
      <c r="B157" s="31" t="s">
        <v>56</v>
      </c>
      <c r="D157" s="32">
        <v>55035</v>
      </c>
      <c r="E157" s="32" t="s">
        <v>111</v>
      </c>
      <c r="F157" s="33"/>
      <c r="G157" s="29"/>
      <c r="H157" s="34"/>
      <c r="I157" s="35"/>
      <c r="J157" s="36">
        <v>0</v>
      </c>
      <c r="K157" s="35"/>
      <c r="L157" s="36">
        <v>0</v>
      </c>
      <c r="M157" s="35"/>
      <c r="N157" s="36">
        <v>0</v>
      </c>
      <c r="O157" s="35"/>
      <c r="P157" s="36">
        <v>0</v>
      </c>
      <c r="Q157" s="35"/>
      <c r="R157" s="36">
        <v>0</v>
      </c>
      <c r="S157" s="35"/>
      <c r="T157" s="36">
        <v>0</v>
      </c>
      <c r="U157" s="35"/>
      <c r="V157" s="36">
        <v>0</v>
      </c>
      <c r="W157" s="35"/>
      <c r="X157" s="36">
        <v>0</v>
      </c>
      <c r="Y157" s="35"/>
      <c r="Z157" s="36">
        <v>0</v>
      </c>
      <c r="AA157" s="35"/>
      <c r="AB157" s="36">
        <v>0</v>
      </c>
      <c r="AC157" s="35"/>
      <c r="AD157" s="36">
        <v>0</v>
      </c>
      <c r="AE157" s="35"/>
      <c r="AF157" s="36">
        <v>0</v>
      </c>
      <c r="AG157" s="35"/>
      <c r="AH157" s="36">
        <f t="shared" si="16"/>
        <v>0</v>
      </c>
      <c r="AI157" s="37">
        <f t="shared" si="17"/>
        <v>0</v>
      </c>
      <c r="AJ157" s="38"/>
    </row>
    <row r="158" spans="2:36" outlineLevel="1">
      <c r="B158" s="31" t="s">
        <v>56</v>
      </c>
      <c r="D158" s="32">
        <v>55036</v>
      </c>
      <c r="E158" s="32" t="s">
        <v>112</v>
      </c>
      <c r="F158" s="33"/>
      <c r="G158" s="29"/>
      <c r="H158" s="34"/>
      <c r="I158" s="35"/>
      <c r="J158" s="36">
        <v>0</v>
      </c>
      <c r="K158" s="35"/>
      <c r="L158" s="36">
        <v>0</v>
      </c>
      <c r="M158" s="35"/>
      <c r="N158" s="36">
        <v>0</v>
      </c>
      <c r="O158" s="35"/>
      <c r="P158" s="36">
        <v>0</v>
      </c>
      <c r="Q158" s="35"/>
      <c r="R158" s="36">
        <v>0</v>
      </c>
      <c r="S158" s="35"/>
      <c r="T158" s="36">
        <v>0</v>
      </c>
      <c r="U158" s="35"/>
      <c r="V158" s="36">
        <v>90.77</v>
      </c>
      <c r="W158" s="35"/>
      <c r="X158" s="36">
        <v>0</v>
      </c>
      <c r="Y158" s="35"/>
      <c r="Z158" s="36">
        <v>0</v>
      </c>
      <c r="AA158" s="35"/>
      <c r="AB158" s="36">
        <v>0</v>
      </c>
      <c r="AC158" s="35"/>
      <c r="AD158" s="36">
        <v>400</v>
      </c>
      <c r="AE158" s="35"/>
      <c r="AF158" s="36">
        <v>0</v>
      </c>
      <c r="AG158" s="35"/>
      <c r="AH158" s="36">
        <f t="shared" si="16"/>
        <v>490.77</v>
      </c>
      <c r="AI158" s="37">
        <f t="shared" si="17"/>
        <v>7.259039639190611E-6</v>
      </c>
      <c r="AJ158" s="38"/>
    </row>
    <row r="159" spans="2:36" outlineLevel="1">
      <c r="B159" s="31" t="s">
        <v>56</v>
      </c>
      <c r="D159" s="32">
        <v>55050</v>
      </c>
      <c r="E159" s="32" t="s">
        <v>114</v>
      </c>
      <c r="F159" s="33"/>
      <c r="G159" s="29"/>
      <c r="H159" s="34"/>
      <c r="I159" s="35"/>
      <c r="J159" s="36">
        <v>2350.75</v>
      </c>
      <c r="K159" s="35"/>
      <c r="L159" s="36">
        <v>2426.09</v>
      </c>
      <c r="M159" s="35"/>
      <c r="N159" s="36">
        <v>2136.65</v>
      </c>
      <c r="O159" s="35"/>
      <c r="P159" s="36">
        <v>1736.44</v>
      </c>
      <c r="Q159" s="35"/>
      <c r="R159" s="36">
        <v>2196.6999999999998</v>
      </c>
      <c r="S159" s="35"/>
      <c r="T159" s="36">
        <v>2691.7</v>
      </c>
      <c r="U159" s="35"/>
      <c r="V159" s="36">
        <v>2448.15</v>
      </c>
      <c r="W159" s="35"/>
      <c r="X159" s="36">
        <v>2846.54</v>
      </c>
      <c r="Y159" s="35"/>
      <c r="Z159" s="36">
        <v>1727.91</v>
      </c>
      <c r="AA159" s="35"/>
      <c r="AB159" s="36">
        <v>3001.11</v>
      </c>
      <c r="AC159" s="35"/>
      <c r="AD159" s="36">
        <v>2488.5300000000002</v>
      </c>
      <c r="AE159" s="35"/>
      <c r="AF159" s="36">
        <v>2120.19</v>
      </c>
      <c r="AG159" s="35"/>
      <c r="AH159" s="36">
        <f t="shared" si="16"/>
        <v>28170.76</v>
      </c>
      <c r="AI159" s="37">
        <f t="shared" si="17"/>
        <v>4.1667718790090123E-4</v>
      </c>
      <c r="AJ159" s="38"/>
    </row>
    <row r="160" spans="2:36" outlineLevel="1">
      <c r="B160" s="31" t="s">
        <v>56</v>
      </c>
      <c r="D160" s="32">
        <v>55060</v>
      </c>
      <c r="E160" s="32" t="s">
        <v>115</v>
      </c>
      <c r="F160" s="33"/>
      <c r="G160" s="29"/>
      <c r="H160" s="34"/>
      <c r="I160" s="35"/>
      <c r="J160" s="36">
        <v>8716.02</v>
      </c>
      <c r="K160" s="35"/>
      <c r="L160" s="36">
        <v>8074.03</v>
      </c>
      <c r="M160" s="35"/>
      <c r="N160" s="36">
        <v>7716.02</v>
      </c>
      <c r="O160" s="35"/>
      <c r="P160" s="36">
        <v>6976.32</v>
      </c>
      <c r="Q160" s="35"/>
      <c r="R160" s="36">
        <v>7110.16</v>
      </c>
      <c r="S160" s="35"/>
      <c r="T160" s="36">
        <v>9110.16</v>
      </c>
      <c r="U160" s="35"/>
      <c r="V160" s="36">
        <v>10144.08</v>
      </c>
      <c r="W160" s="35"/>
      <c r="X160" s="36">
        <v>9715.85</v>
      </c>
      <c r="Y160" s="35"/>
      <c r="Z160" s="36">
        <v>9878.85</v>
      </c>
      <c r="AA160" s="35"/>
      <c r="AB160" s="36">
        <v>9085.9699999999993</v>
      </c>
      <c r="AC160" s="35"/>
      <c r="AD160" s="36">
        <v>9948.75</v>
      </c>
      <c r="AE160" s="35"/>
      <c r="AF160" s="36">
        <v>9030.9599999999991</v>
      </c>
      <c r="AG160" s="35"/>
      <c r="AH160" s="36">
        <f t="shared" si="16"/>
        <v>105507.17000000001</v>
      </c>
      <c r="AI160" s="37">
        <f t="shared" si="17"/>
        <v>1.56056957281175E-3</v>
      </c>
      <c r="AJ160" s="38"/>
    </row>
    <row r="161" spans="2:36" outlineLevel="1">
      <c r="B161" s="31" t="s">
        <v>56</v>
      </c>
      <c r="D161" s="32">
        <v>55065</v>
      </c>
      <c r="E161" s="32" t="s">
        <v>116</v>
      </c>
      <c r="F161" s="33"/>
      <c r="G161" s="29"/>
      <c r="H161" s="34"/>
      <c r="I161" s="35"/>
      <c r="J161" s="36">
        <v>1291.3699999999999</v>
      </c>
      <c r="K161" s="35"/>
      <c r="L161" s="36">
        <v>1468.94</v>
      </c>
      <c r="M161" s="35"/>
      <c r="N161" s="36">
        <v>2104.91</v>
      </c>
      <c r="O161" s="35"/>
      <c r="P161" s="36">
        <v>34.51</v>
      </c>
      <c r="Q161" s="35"/>
      <c r="R161" s="36">
        <v>553.66</v>
      </c>
      <c r="S161" s="35"/>
      <c r="T161" s="36">
        <v>1651.45</v>
      </c>
      <c r="U161" s="35"/>
      <c r="V161" s="36">
        <v>430.16</v>
      </c>
      <c r="W161" s="35"/>
      <c r="X161" s="36">
        <v>1711.64</v>
      </c>
      <c r="Y161" s="35"/>
      <c r="Z161" s="36">
        <v>1365.17</v>
      </c>
      <c r="AA161" s="35"/>
      <c r="AB161" s="36">
        <v>1250.82</v>
      </c>
      <c r="AC161" s="35"/>
      <c r="AD161" s="36">
        <v>1218.8399999999999</v>
      </c>
      <c r="AE161" s="35"/>
      <c r="AF161" s="36">
        <v>1121.52</v>
      </c>
      <c r="AG161" s="35"/>
      <c r="AH161" s="36">
        <f t="shared" si="16"/>
        <v>14202.990000000002</v>
      </c>
      <c r="AI161" s="37">
        <f t="shared" si="17"/>
        <v>2.1007817797548316E-4</v>
      </c>
      <c r="AJ161" s="38"/>
    </row>
    <row r="162" spans="2:36" outlineLevel="1">
      <c r="B162" s="31" t="s">
        <v>56</v>
      </c>
      <c r="D162" s="32">
        <v>55070</v>
      </c>
      <c r="E162" s="32" t="s">
        <v>117</v>
      </c>
      <c r="F162" s="33"/>
      <c r="G162" s="29"/>
      <c r="H162" s="34"/>
      <c r="I162" s="35"/>
      <c r="J162" s="36">
        <v>1354.82</v>
      </c>
      <c r="K162" s="35"/>
      <c r="L162" s="36">
        <v>860.8</v>
      </c>
      <c r="M162" s="35"/>
      <c r="N162" s="36">
        <v>0</v>
      </c>
      <c r="O162" s="35"/>
      <c r="P162" s="36">
        <v>1026.17</v>
      </c>
      <c r="Q162" s="35"/>
      <c r="R162" s="36">
        <v>-599.72</v>
      </c>
      <c r="S162" s="35"/>
      <c r="T162" s="36">
        <v>49.01</v>
      </c>
      <c r="U162" s="35"/>
      <c r="V162" s="36">
        <v>51.19</v>
      </c>
      <c r="W162" s="35"/>
      <c r="X162" s="36">
        <v>51.19</v>
      </c>
      <c r="Y162" s="35"/>
      <c r="Z162" s="36">
        <v>250.15</v>
      </c>
      <c r="AA162" s="35"/>
      <c r="AB162" s="36">
        <v>-15.13</v>
      </c>
      <c r="AC162" s="35"/>
      <c r="AD162" s="36">
        <v>146.77000000000001</v>
      </c>
      <c r="AE162" s="35"/>
      <c r="AF162" s="36">
        <v>306.07</v>
      </c>
      <c r="AG162" s="35"/>
      <c r="AH162" s="36">
        <f t="shared" si="16"/>
        <v>3481.3199999999997</v>
      </c>
      <c r="AI162" s="37">
        <f t="shared" si="17"/>
        <v>5.1492633772861131E-5</v>
      </c>
      <c r="AJ162" s="38"/>
    </row>
    <row r="163" spans="2:36" outlineLevel="1">
      <c r="B163" s="31" t="s">
        <v>56</v>
      </c>
      <c r="D163" s="32">
        <v>55090</v>
      </c>
      <c r="E163" s="32" t="s">
        <v>120</v>
      </c>
      <c r="F163" s="33"/>
      <c r="G163" s="29"/>
      <c r="H163" s="34"/>
      <c r="I163" s="35"/>
      <c r="J163" s="36">
        <v>1261.1199999999999</v>
      </c>
      <c r="K163" s="35"/>
      <c r="L163" s="36">
        <v>1043.3699999999999</v>
      </c>
      <c r="M163" s="35"/>
      <c r="N163" s="36">
        <v>980.61</v>
      </c>
      <c r="O163" s="35"/>
      <c r="P163" s="36">
        <v>672.4</v>
      </c>
      <c r="Q163" s="35"/>
      <c r="R163" s="36">
        <v>827.74</v>
      </c>
      <c r="S163" s="35"/>
      <c r="T163" s="36">
        <v>966.31</v>
      </c>
      <c r="U163" s="35"/>
      <c r="V163" s="36">
        <v>1498.89</v>
      </c>
      <c r="W163" s="35"/>
      <c r="X163" s="36">
        <v>774.25</v>
      </c>
      <c r="Y163" s="35"/>
      <c r="Z163" s="36">
        <v>1827.83</v>
      </c>
      <c r="AA163" s="35"/>
      <c r="AB163" s="36">
        <v>2376.2800000000002</v>
      </c>
      <c r="AC163" s="35"/>
      <c r="AD163" s="36">
        <v>2650.1</v>
      </c>
      <c r="AE163" s="35"/>
      <c r="AF163" s="36">
        <v>1364.89</v>
      </c>
      <c r="AG163" s="35"/>
      <c r="AH163" s="36">
        <f t="shared" si="16"/>
        <v>16243.789999999997</v>
      </c>
      <c r="AI163" s="37">
        <f t="shared" si="17"/>
        <v>2.402639026441878E-4</v>
      </c>
      <c r="AJ163" s="38"/>
    </row>
    <row r="164" spans="2:36" outlineLevel="1">
      <c r="B164" s="31" t="s">
        <v>56</v>
      </c>
      <c r="D164" s="32">
        <v>55115</v>
      </c>
      <c r="E164" s="32" t="s">
        <v>121</v>
      </c>
      <c r="F164" s="33"/>
      <c r="G164" s="29"/>
      <c r="H164" s="34"/>
      <c r="I164" s="35"/>
      <c r="J164" s="36">
        <v>246.63</v>
      </c>
      <c r="K164" s="35"/>
      <c r="L164" s="36">
        <v>342.52</v>
      </c>
      <c r="M164" s="35"/>
      <c r="N164" s="36">
        <v>275.22000000000003</v>
      </c>
      <c r="O164" s="35"/>
      <c r="P164" s="36">
        <v>225.24</v>
      </c>
      <c r="Q164" s="35"/>
      <c r="R164" s="36">
        <v>243.63</v>
      </c>
      <c r="S164" s="35"/>
      <c r="T164" s="36">
        <v>250.4</v>
      </c>
      <c r="U164" s="35"/>
      <c r="V164" s="36">
        <v>223.79</v>
      </c>
      <c r="W164" s="35"/>
      <c r="X164" s="36">
        <v>370.12</v>
      </c>
      <c r="Y164" s="35"/>
      <c r="Z164" s="36">
        <v>205.22</v>
      </c>
      <c r="AA164" s="35"/>
      <c r="AB164" s="36">
        <v>233.46</v>
      </c>
      <c r="AC164" s="35"/>
      <c r="AD164" s="36">
        <v>216.82</v>
      </c>
      <c r="AE164" s="35"/>
      <c r="AF164" s="36">
        <v>163.65</v>
      </c>
      <c r="AG164" s="35"/>
      <c r="AH164" s="36">
        <f t="shared" si="16"/>
        <v>2996.7000000000003</v>
      </c>
      <c r="AI164" s="37">
        <f t="shared" si="17"/>
        <v>4.4324559542682944E-5</v>
      </c>
      <c r="AJ164" s="38"/>
    </row>
    <row r="165" spans="2:36" outlineLevel="1">
      <c r="B165" s="31" t="s">
        <v>56</v>
      </c>
      <c r="D165" s="32">
        <v>55120</v>
      </c>
      <c r="E165" s="32" t="s">
        <v>130</v>
      </c>
      <c r="F165" s="33"/>
      <c r="G165" s="29"/>
      <c r="H165" s="34"/>
      <c r="I165" s="35"/>
      <c r="J165" s="36">
        <v>17903.28</v>
      </c>
      <c r="K165" s="35"/>
      <c r="L165" s="36">
        <v>14787.07</v>
      </c>
      <c r="M165" s="35"/>
      <c r="N165" s="36">
        <v>14965.72</v>
      </c>
      <c r="O165" s="35"/>
      <c r="P165" s="36">
        <v>16561.34</v>
      </c>
      <c r="Q165" s="35"/>
      <c r="R165" s="36">
        <v>16836.93</v>
      </c>
      <c r="S165" s="35"/>
      <c r="T165" s="36">
        <v>15450.47</v>
      </c>
      <c r="U165" s="35"/>
      <c r="V165" s="36">
        <v>12139.63</v>
      </c>
      <c r="W165" s="35"/>
      <c r="X165" s="36">
        <v>17122.36</v>
      </c>
      <c r="Y165" s="35"/>
      <c r="Z165" s="36">
        <v>13792.25</v>
      </c>
      <c r="AA165" s="35"/>
      <c r="AB165" s="36">
        <v>18379.240000000002</v>
      </c>
      <c r="AC165" s="35"/>
      <c r="AD165" s="36">
        <v>17460.5</v>
      </c>
      <c r="AE165" s="35"/>
      <c r="AF165" s="36">
        <v>16995.32</v>
      </c>
      <c r="AG165" s="35"/>
      <c r="AH165" s="36">
        <f t="shared" si="16"/>
        <v>192394.11000000002</v>
      </c>
      <c r="AI165" s="37">
        <f t="shared" si="17"/>
        <v>2.8457250256470421E-3</v>
      </c>
      <c r="AJ165" s="38"/>
    </row>
    <row r="166" spans="2:36" outlineLevel="1">
      <c r="B166" s="31" t="s">
        <v>56</v>
      </c>
      <c r="D166" s="32">
        <v>55125</v>
      </c>
      <c r="E166" s="32" t="s">
        <v>131</v>
      </c>
      <c r="F166" s="33"/>
      <c r="G166" s="29"/>
      <c r="H166" s="34"/>
      <c r="I166" s="35"/>
      <c r="J166" s="36">
        <v>11.64</v>
      </c>
      <c r="K166" s="35"/>
      <c r="L166" s="36">
        <v>0</v>
      </c>
      <c r="M166" s="35"/>
      <c r="N166" s="36">
        <v>0</v>
      </c>
      <c r="O166" s="35"/>
      <c r="P166" s="36">
        <v>0</v>
      </c>
      <c r="Q166" s="35"/>
      <c r="R166" s="36">
        <v>0</v>
      </c>
      <c r="S166" s="35"/>
      <c r="T166" s="36">
        <v>2443.42</v>
      </c>
      <c r="U166" s="35"/>
      <c r="V166" s="36">
        <v>0</v>
      </c>
      <c r="W166" s="35"/>
      <c r="X166" s="36">
        <v>0</v>
      </c>
      <c r="Y166" s="35"/>
      <c r="Z166" s="36">
        <v>22.18</v>
      </c>
      <c r="AA166" s="35"/>
      <c r="AB166" s="36">
        <v>3180.82</v>
      </c>
      <c r="AC166" s="35"/>
      <c r="AD166" s="36">
        <v>164.56</v>
      </c>
      <c r="AE166" s="35"/>
      <c r="AF166" s="36">
        <v>-5.82</v>
      </c>
      <c r="AG166" s="35"/>
      <c r="AH166" s="36">
        <f t="shared" si="16"/>
        <v>5816.8</v>
      </c>
      <c r="AI166" s="37">
        <f t="shared" si="17"/>
        <v>8.6037006689985022E-5</v>
      </c>
      <c r="AJ166" s="38"/>
    </row>
    <row r="167" spans="2:36" outlineLevel="1">
      <c r="B167" s="31" t="s">
        <v>56</v>
      </c>
      <c r="D167" s="32">
        <v>55135</v>
      </c>
      <c r="E167" s="32" t="s">
        <v>132</v>
      </c>
      <c r="F167" s="33"/>
      <c r="G167" s="29"/>
      <c r="H167" s="34"/>
      <c r="I167" s="35"/>
      <c r="J167" s="36">
        <v>0</v>
      </c>
      <c r="K167" s="35"/>
      <c r="L167" s="36">
        <v>22.42</v>
      </c>
      <c r="M167" s="35"/>
      <c r="N167" s="36">
        <v>0</v>
      </c>
      <c r="O167" s="35"/>
      <c r="P167" s="36">
        <v>627.64</v>
      </c>
      <c r="Q167" s="35"/>
      <c r="R167" s="36">
        <v>0</v>
      </c>
      <c r="S167" s="35"/>
      <c r="T167" s="36">
        <v>0</v>
      </c>
      <c r="U167" s="35"/>
      <c r="V167" s="36">
        <v>3015.16</v>
      </c>
      <c r="W167" s="35"/>
      <c r="X167" s="36">
        <v>0</v>
      </c>
      <c r="Y167" s="35"/>
      <c r="Z167" s="36">
        <v>1500</v>
      </c>
      <c r="AA167" s="35"/>
      <c r="AB167" s="36">
        <v>3748.25</v>
      </c>
      <c r="AC167" s="35"/>
      <c r="AD167" s="36">
        <v>285.39999999999998</v>
      </c>
      <c r="AE167" s="35"/>
      <c r="AF167" s="36">
        <v>0</v>
      </c>
      <c r="AG167" s="35"/>
      <c r="AH167" s="36">
        <f t="shared" si="16"/>
        <v>9198.869999999999</v>
      </c>
      <c r="AI167" s="37">
        <f t="shared" si="17"/>
        <v>1.3606162146374338E-4</v>
      </c>
      <c r="AJ167" s="38"/>
    </row>
    <row r="168" spans="2:36" outlineLevel="1">
      <c r="B168" s="31" t="s">
        <v>56</v>
      </c>
      <c r="D168" s="32">
        <v>55146</v>
      </c>
      <c r="E168" s="32" t="s">
        <v>137</v>
      </c>
      <c r="F168" s="33"/>
      <c r="G168" s="29"/>
      <c r="H168" s="34"/>
      <c r="I168" s="35"/>
      <c r="J168" s="36">
        <v>381.72</v>
      </c>
      <c r="K168" s="35"/>
      <c r="L168" s="36">
        <v>381.72</v>
      </c>
      <c r="M168" s="35"/>
      <c r="N168" s="36">
        <v>381.72</v>
      </c>
      <c r="O168" s="35"/>
      <c r="P168" s="36">
        <v>376.4</v>
      </c>
      <c r="Q168" s="35"/>
      <c r="R168" s="36">
        <v>376.4</v>
      </c>
      <c r="S168" s="35"/>
      <c r="T168" s="36">
        <v>515.87</v>
      </c>
      <c r="U168" s="35"/>
      <c r="V168" s="36">
        <v>752.8</v>
      </c>
      <c r="W168" s="35"/>
      <c r="X168" s="36">
        <v>376.4</v>
      </c>
      <c r="Y168" s="35"/>
      <c r="Z168" s="36">
        <v>752.8</v>
      </c>
      <c r="AA168" s="35"/>
      <c r="AB168" s="36">
        <v>756.4</v>
      </c>
      <c r="AC168" s="35"/>
      <c r="AD168" s="36">
        <v>749.2</v>
      </c>
      <c r="AE168" s="35"/>
      <c r="AF168" s="36">
        <v>376.4</v>
      </c>
      <c r="AG168" s="35"/>
      <c r="AH168" s="36">
        <f t="shared" si="16"/>
        <v>6177.83</v>
      </c>
      <c r="AI168" s="37">
        <f t="shared" si="17"/>
        <v>9.1377045977099125E-5</v>
      </c>
      <c r="AJ168" s="38"/>
    </row>
    <row r="169" spans="2:36" outlineLevel="1">
      <c r="B169" s="31" t="s">
        <v>56</v>
      </c>
      <c r="D169" s="32">
        <v>55150</v>
      </c>
      <c r="E169" s="32" t="s">
        <v>139</v>
      </c>
      <c r="F169" s="33"/>
      <c r="G169" s="29"/>
      <c r="H169" s="34"/>
      <c r="I169" s="35"/>
      <c r="J169" s="36">
        <v>770.88</v>
      </c>
      <c r="K169" s="35"/>
      <c r="L169" s="36">
        <v>824.78</v>
      </c>
      <c r="M169" s="35"/>
      <c r="N169" s="36">
        <v>924.89</v>
      </c>
      <c r="O169" s="35"/>
      <c r="P169" s="36">
        <v>910.78</v>
      </c>
      <c r="Q169" s="35"/>
      <c r="R169" s="36">
        <v>880.45</v>
      </c>
      <c r="S169" s="35"/>
      <c r="T169" s="36">
        <v>647.23</v>
      </c>
      <c r="U169" s="35"/>
      <c r="V169" s="36">
        <v>799.16</v>
      </c>
      <c r="W169" s="35"/>
      <c r="X169" s="36">
        <v>697.78</v>
      </c>
      <c r="Y169" s="35"/>
      <c r="Z169" s="36">
        <v>637.34</v>
      </c>
      <c r="AA169" s="35"/>
      <c r="AB169" s="36">
        <v>640.67999999999995</v>
      </c>
      <c r="AC169" s="35"/>
      <c r="AD169" s="36">
        <v>744.29</v>
      </c>
      <c r="AE169" s="35"/>
      <c r="AF169" s="36">
        <v>663.94</v>
      </c>
      <c r="AG169" s="35"/>
      <c r="AH169" s="36">
        <f t="shared" si="16"/>
        <v>9142.1999999999989</v>
      </c>
      <c r="AI169" s="37">
        <f t="shared" si="17"/>
        <v>1.3522340849972167E-4</v>
      </c>
      <c r="AJ169" s="38"/>
    </row>
    <row r="170" spans="2:36" s="34" customFormat="1" ht="5.0999999999999996" customHeight="1" outlineLevel="1">
      <c r="B170" s="27" t="s">
        <v>47</v>
      </c>
      <c r="D170" s="33"/>
      <c r="E170" s="33"/>
      <c r="F170" s="33"/>
      <c r="G170" s="33"/>
      <c r="J170" s="68"/>
      <c r="K170" s="66"/>
      <c r="L170" s="68"/>
      <c r="M170" s="66"/>
      <c r="N170" s="68"/>
      <c r="O170" s="66"/>
      <c r="P170" s="68"/>
      <c r="Q170" s="66"/>
      <c r="R170" s="68"/>
      <c r="S170" s="66"/>
      <c r="T170" s="68"/>
      <c r="U170" s="66"/>
      <c r="V170" s="68"/>
      <c r="W170" s="66"/>
      <c r="X170" s="68"/>
      <c r="Y170" s="66"/>
      <c r="Z170" s="68"/>
      <c r="AA170" s="66"/>
      <c r="AB170" s="68"/>
      <c r="AC170" s="66"/>
      <c r="AD170" s="68"/>
      <c r="AE170" s="66"/>
      <c r="AF170" s="68"/>
      <c r="AG170" s="66"/>
      <c r="AH170" s="68"/>
      <c r="AI170" s="62"/>
      <c r="AJ170" s="43"/>
    </row>
    <row r="171" spans="2:36" s="34" customFormat="1" ht="15">
      <c r="B171" s="27"/>
      <c r="F171" s="33" t="s">
        <v>149</v>
      </c>
      <c r="J171" s="65">
        <f>SUM(J154:J170)</f>
        <v>61104.13</v>
      </c>
      <c r="K171" s="66"/>
      <c r="L171" s="65">
        <f>SUM(L154:L170)</f>
        <v>57018.55</v>
      </c>
      <c r="M171" s="66"/>
      <c r="N171" s="65">
        <f>SUM(N154:N170)</f>
        <v>48410.87</v>
      </c>
      <c r="O171" s="66"/>
      <c r="P171" s="65">
        <f>SUM(P154:P170)</f>
        <v>52149.999999999993</v>
      </c>
      <c r="Q171" s="66"/>
      <c r="R171" s="65">
        <f>SUM(R154:R170)</f>
        <v>52654.569999999992</v>
      </c>
      <c r="S171" s="66"/>
      <c r="T171" s="65">
        <f>SUM(T154:T170)</f>
        <v>63521.650000000009</v>
      </c>
      <c r="U171" s="66"/>
      <c r="V171" s="65">
        <f>SUM(V154:V170)</f>
        <v>60486.290000000008</v>
      </c>
      <c r="W171" s="66"/>
      <c r="X171" s="65">
        <f>SUM(X154:X170)</f>
        <v>66473.13</v>
      </c>
      <c r="Y171" s="66"/>
      <c r="Z171" s="65">
        <f>SUM(Z154:Z170)</f>
        <v>60495.590000000004</v>
      </c>
      <c r="AA171" s="66"/>
      <c r="AB171" s="65">
        <f>SUM(AB154:AB170)</f>
        <v>69143.51999999999</v>
      </c>
      <c r="AC171" s="66"/>
      <c r="AD171" s="65">
        <f>SUM(AD154:AD170)</f>
        <v>64643.55999999999</v>
      </c>
      <c r="AE171" s="66"/>
      <c r="AF171" s="65">
        <f>SUM(AF154:AF170)</f>
        <v>55935.479999999996</v>
      </c>
      <c r="AG171" s="66"/>
      <c r="AH171" s="65">
        <f>SUM(AH154:AH170)</f>
        <v>712037.34000000008</v>
      </c>
      <c r="AI171" s="37">
        <f>IF(AH$60=0,0,AH171/AH$60)</f>
        <v>1.0531832173205052E-2</v>
      </c>
      <c r="AJ171" s="43"/>
    </row>
    <row r="172" spans="2:36" s="34" customFormat="1" ht="15" outlineLevel="1">
      <c r="B172" s="27"/>
      <c r="J172" s="67"/>
      <c r="K172" s="66"/>
      <c r="L172" s="67"/>
      <c r="M172" s="66"/>
      <c r="N172" s="67"/>
      <c r="O172" s="66"/>
      <c r="P172" s="67"/>
      <c r="Q172" s="66"/>
      <c r="R172" s="67"/>
      <c r="S172" s="66"/>
      <c r="T172" s="67"/>
      <c r="U172" s="66"/>
      <c r="V172" s="67"/>
      <c r="W172" s="66"/>
      <c r="X172" s="67"/>
      <c r="Y172" s="66"/>
      <c r="Z172" s="67"/>
      <c r="AA172" s="66"/>
      <c r="AB172" s="67"/>
      <c r="AC172" s="66"/>
      <c r="AD172" s="67"/>
      <c r="AE172" s="66"/>
      <c r="AF172" s="67"/>
      <c r="AG172" s="66"/>
      <c r="AH172" s="67"/>
      <c r="AI172" s="62"/>
      <c r="AJ172" s="43"/>
    </row>
    <row r="173" spans="2:36" s="34" customFormat="1" ht="15" outlineLevel="1">
      <c r="B173" s="27" t="s">
        <v>47</v>
      </c>
      <c r="J173" s="67"/>
      <c r="K173" s="66"/>
      <c r="L173" s="67"/>
      <c r="M173" s="66"/>
      <c r="N173" s="67"/>
      <c r="O173" s="66"/>
      <c r="P173" s="67"/>
      <c r="Q173" s="66"/>
      <c r="R173" s="67"/>
      <c r="S173" s="66"/>
      <c r="T173" s="67"/>
      <c r="U173" s="66"/>
      <c r="V173" s="67"/>
      <c r="W173" s="66"/>
      <c r="X173" s="67"/>
      <c r="Y173" s="66"/>
      <c r="Z173" s="67"/>
      <c r="AA173" s="66"/>
      <c r="AB173" s="67"/>
      <c r="AC173" s="66"/>
      <c r="AD173" s="67"/>
      <c r="AE173" s="66"/>
      <c r="AF173" s="67"/>
      <c r="AG173" s="66"/>
      <c r="AH173" s="67"/>
      <c r="AI173" s="62"/>
      <c r="AJ173" s="43"/>
    </row>
    <row r="174" spans="2:36" outlineLevel="1">
      <c r="B174" s="31" t="s">
        <v>150</v>
      </c>
      <c r="D174" s="32">
        <v>56010</v>
      </c>
      <c r="E174" s="32" t="s">
        <v>129</v>
      </c>
      <c r="F174" s="33"/>
      <c r="G174" s="29"/>
      <c r="H174" s="34"/>
      <c r="I174" s="35"/>
      <c r="J174" s="36">
        <v>31959.8</v>
      </c>
      <c r="K174" s="35"/>
      <c r="L174" s="36">
        <v>36704.9</v>
      </c>
      <c r="M174" s="35"/>
      <c r="N174" s="36">
        <v>43818.89</v>
      </c>
      <c r="O174" s="35"/>
      <c r="P174" s="36">
        <v>38406.379999999997</v>
      </c>
      <c r="Q174" s="35"/>
      <c r="R174" s="36">
        <v>34145.07</v>
      </c>
      <c r="S174" s="35"/>
      <c r="T174" s="36">
        <v>14385.12</v>
      </c>
      <c r="U174" s="35"/>
      <c r="V174" s="36">
        <v>19877.25</v>
      </c>
      <c r="W174" s="35"/>
      <c r="X174" s="36">
        <v>28153.48</v>
      </c>
      <c r="Y174" s="35"/>
      <c r="Z174" s="36">
        <v>27448.15</v>
      </c>
      <c r="AA174" s="35"/>
      <c r="AB174" s="36">
        <v>30435.74</v>
      </c>
      <c r="AC174" s="35"/>
      <c r="AD174" s="36">
        <v>28546.47</v>
      </c>
      <c r="AE174" s="35"/>
      <c r="AF174" s="36">
        <v>32502.95</v>
      </c>
      <c r="AG174" s="35"/>
      <c r="AH174" s="36">
        <f t="shared" ref="AH174:AH189" si="18">AF174+AD174+AB174+Z174+X174+V174+T174+R174+P174+N174+L174+J174</f>
        <v>366384.2</v>
      </c>
      <c r="AI174" s="37">
        <f t="shared" ref="AI174:AI189" si="19">IF(AH$60=0,0,AH174/AH$60)</f>
        <v>5.4192339201115406E-3</v>
      </c>
      <c r="AJ174" s="38"/>
    </row>
    <row r="175" spans="2:36" outlineLevel="1">
      <c r="B175" s="31" t="s">
        <v>56</v>
      </c>
      <c r="D175" s="32">
        <v>56020</v>
      </c>
      <c r="E175" s="32" t="s">
        <v>109</v>
      </c>
      <c r="F175" s="33"/>
      <c r="G175" s="29"/>
      <c r="H175" s="34"/>
      <c r="I175" s="35"/>
      <c r="J175" s="36">
        <v>9150.2000000000007</v>
      </c>
      <c r="K175" s="35"/>
      <c r="L175" s="36">
        <v>9681.2800000000007</v>
      </c>
      <c r="M175" s="35"/>
      <c r="N175" s="36">
        <v>9646.3799999999992</v>
      </c>
      <c r="O175" s="35"/>
      <c r="P175" s="36">
        <v>8139.71</v>
      </c>
      <c r="Q175" s="35"/>
      <c r="R175" s="36">
        <v>8536.49</v>
      </c>
      <c r="S175" s="35"/>
      <c r="T175" s="36">
        <v>9620.64</v>
      </c>
      <c r="U175" s="35"/>
      <c r="V175" s="36">
        <v>8196.41</v>
      </c>
      <c r="W175" s="35"/>
      <c r="X175" s="36">
        <v>10446.879999999999</v>
      </c>
      <c r="Y175" s="35"/>
      <c r="Z175" s="36">
        <v>9339.9</v>
      </c>
      <c r="AA175" s="35"/>
      <c r="AB175" s="36">
        <v>9765.08</v>
      </c>
      <c r="AC175" s="35"/>
      <c r="AD175" s="36">
        <v>9341.4</v>
      </c>
      <c r="AE175" s="35"/>
      <c r="AF175" s="36">
        <v>9358.2800000000007</v>
      </c>
      <c r="AG175" s="35"/>
      <c r="AH175" s="36">
        <f t="shared" si="18"/>
        <v>111222.65000000001</v>
      </c>
      <c r="AI175" s="37">
        <f t="shared" si="19"/>
        <v>1.6451079428771598E-3</v>
      </c>
      <c r="AJ175" s="38"/>
    </row>
    <row r="176" spans="2:36" outlineLevel="1">
      <c r="B176" s="31" t="s">
        <v>56</v>
      </c>
      <c r="D176" s="32">
        <v>56025</v>
      </c>
      <c r="E176" s="32" t="s">
        <v>110</v>
      </c>
      <c r="F176" s="33"/>
      <c r="G176" s="29"/>
      <c r="H176" s="34"/>
      <c r="I176" s="35"/>
      <c r="J176" s="36">
        <v>646.83000000000004</v>
      </c>
      <c r="K176" s="35"/>
      <c r="L176" s="36">
        <v>470.88</v>
      </c>
      <c r="M176" s="35"/>
      <c r="N176" s="36">
        <v>543.27</v>
      </c>
      <c r="O176" s="35"/>
      <c r="P176" s="36">
        <v>995.85</v>
      </c>
      <c r="Q176" s="35"/>
      <c r="R176" s="36">
        <v>227.1</v>
      </c>
      <c r="S176" s="35"/>
      <c r="T176" s="36">
        <v>645.5</v>
      </c>
      <c r="U176" s="35"/>
      <c r="V176" s="36">
        <v>1268.1300000000001</v>
      </c>
      <c r="W176" s="35"/>
      <c r="X176" s="36">
        <v>763.73</v>
      </c>
      <c r="Y176" s="35"/>
      <c r="Z176" s="36">
        <v>998.88</v>
      </c>
      <c r="AA176" s="35"/>
      <c r="AB176" s="36">
        <v>906.46</v>
      </c>
      <c r="AC176" s="35"/>
      <c r="AD176" s="36">
        <v>826.03</v>
      </c>
      <c r="AE176" s="35"/>
      <c r="AF176" s="36">
        <v>1548.3</v>
      </c>
      <c r="AG176" s="35"/>
      <c r="AH176" s="36">
        <f t="shared" si="18"/>
        <v>9840.9599999999991</v>
      </c>
      <c r="AI176" s="37">
        <f t="shared" si="19"/>
        <v>1.4555885389834185E-4</v>
      </c>
      <c r="AJ176" s="38"/>
    </row>
    <row r="177" spans="2:36" outlineLevel="1">
      <c r="B177" s="31" t="s">
        <v>56</v>
      </c>
      <c r="D177" s="32">
        <v>56035</v>
      </c>
      <c r="E177" s="32" t="s">
        <v>111</v>
      </c>
      <c r="F177" s="33"/>
      <c r="G177" s="29"/>
      <c r="H177" s="34"/>
      <c r="I177" s="35"/>
      <c r="J177" s="36">
        <v>0</v>
      </c>
      <c r="K177" s="35"/>
      <c r="L177" s="36">
        <v>0</v>
      </c>
      <c r="M177" s="35"/>
      <c r="N177" s="36">
        <v>0</v>
      </c>
      <c r="O177" s="35"/>
      <c r="P177" s="36">
        <v>0</v>
      </c>
      <c r="Q177" s="35"/>
      <c r="R177" s="36">
        <v>0</v>
      </c>
      <c r="S177" s="35"/>
      <c r="T177" s="36">
        <v>0</v>
      </c>
      <c r="U177" s="35"/>
      <c r="V177" s="36">
        <v>0</v>
      </c>
      <c r="W177" s="35"/>
      <c r="X177" s="36">
        <v>0</v>
      </c>
      <c r="Y177" s="35"/>
      <c r="Z177" s="36">
        <v>0</v>
      </c>
      <c r="AA177" s="35"/>
      <c r="AB177" s="36">
        <v>0</v>
      </c>
      <c r="AC177" s="35"/>
      <c r="AD177" s="36">
        <v>0</v>
      </c>
      <c r="AE177" s="35"/>
      <c r="AF177" s="36">
        <v>0</v>
      </c>
      <c r="AG177" s="35"/>
      <c r="AH177" s="36">
        <f t="shared" si="18"/>
        <v>0</v>
      </c>
      <c r="AI177" s="37">
        <f t="shared" si="19"/>
        <v>0</v>
      </c>
      <c r="AJ177" s="38"/>
    </row>
    <row r="178" spans="2:36" outlineLevel="1">
      <c r="B178" s="31" t="s">
        <v>56</v>
      </c>
      <c r="D178" s="32">
        <v>56036</v>
      </c>
      <c r="E178" s="32" t="s">
        <v>112</v>
      </c>
      <c r="F178" s="33"/>
      <c r="G178" s="29"/>
      <c r="H178" s="34"/>
      <c r="I178" s="35"/>
      <c r="J178" s="36">
        <v>0</v>
      </c>
      <c r="K178" s="35"/>
      <c r="L178" s="36">
        <v>0</v>
      </c>
      <c r="M178" s="35"/>
      <c r="N178" s="36">
        <v>0</v>
      </c>
      <c r="O178" s="35"/>
      <c r="P178" s="36">
        <v>0</v>
      </c>
      <c r="Q178" s="35"/>
      <c r="R178" s="36">
        <v>0</v>
      </c>
      <c r="S178" s="35"/>
      <c r="T178" s="36">
        <v>-37.119999999999997</v>
      </c>
      <c r="U178" s="35"/>
      <c r="V178" s="36">
        <v>821.92</v>
      </c>
      <c r="W178" s="35"/>
      <c r="X178" s="36">
        <v>0</v>
      </c>
      <c r="Y178" s="35"/>
      <c r="Z178" s="36">
        <v>0</v>
      </c>
      <c r="AA178" s="35"/>
      <c r="AB178" s="36">
        <v>0</v>
      </c>
      <c r="AC178" s="35"/>
      <c r="AD178" s="36">
        <v>0</v>
      </c>
      <c r="AE178" s="35"/>
      <c r="AF178" s="36">
        <v>0</v>
      </c>
      <c r="AG178" s="35"/>
      <c r="AH178" s="36">
        <f t="shared" si="18"/>
        <v>784.8</v>
      </c>
      <c r="AI178" s="37">
        <f t="shared" si="19"/>
        <v>1.1608073657388983E-5</v>
      </c>
      <c r="AJ178" s="38"/>
    </row>
    <row r="179" spans="2:36" outlineLevel="1">
      <c r="B179" s="31" t="s">
        <v>56</v>
      </c>
      <c r="D179" s="32">
        <v>56050</v>
      </c>
      <c r="E179" s="32" t="s">
        <v>114</v>
      </c>
      <c r="F179" s="33"/>
      <c r="G179" s="29"/>
      <c r="H179" s="34"/>
      <c r="I179" s="35"/>
      <c r="J179" s="36">
        <v>2811.73</v>
      </c>
      <c r="K179" s="35"/>
      <c r="L179" s="36">
        <v>3237.56</v>
      </c>
      <c r="M179" s="35"/>
      <c r="N179" s="36">
        <v>4064.79</v>
      </c>
      <c r="O179" s="35"/>
      <c r="P179" s="36">
        <v>4849.18</v>
      </c>
      <c r="Q179" s="35"/>
      <c r="R179" s="36">
        <v>3259.12</v>
      </c>
      <c r="S179" s="35"/>
      <c r="T179" s="36">
        <v>1909.44</v>
      </c>
      <c r="U179" s="35"/>
      <c r="V179" s="36">
        <v>2819.34</v>
      </c>
      <c r="W179" s="35"/>
      <c r="X179" s="36">
        <v>3466.57</v>
      </c>
      <c r="Y179" s="35"/>
      <c r="Z179" s="36">
        <v>3160.89</v>
      </c>
      <c r="AA179" s="35"/>
      <c r="AB179" s="36">
        <v>3388.44</v>
      </c>
      <c r="AC179" s="35"/>
      <c r="AD179" s="36">
        <v>6389.01</v>
      </c>
      <c r="AE179" s="35"/>
      <c r="AF179" s="36">
        <v>490.53</v>
      </c>
      <c r="AG179" s="35"/>
      <c r="AH179" s="36">
        <f t="shared" si="18"/>
        <v>39846.6</v>
      </c>
      <c r="AI179" s="37">
        <f t="shared" si="19"/>
        <v>5.893759783339907E-4</v>
      </c>
      <c r="AJ179" s="38"/>
    </row>
    <row r="180" spans="2:36" outlineLevel="1">
      <c r="B180" s="31" t="s">
        <v>56</v>
      </c>
      <c r="D180" s="32">
        <v>56060</v>
      </c>
      <c r="E180" s="32" t="s">
        <v>115</v>
      </c>
      <c r="F180" s="33"/>
      <c r="G180" s="29"/>
      <c r="H180" s="34"/>
      <c r="I180" s="35"/>
      <c r="J180" s="36">
        <v>7453.86</v>
      </c>
      <c r="K180" s="35"/>
      <c r="L180" s="36">
        <v>5439.55</v>
      </c>
      <c r="M180" s="35"/>
      <c r="N180" s="36">
        <v>7706.78</v>
      </c>
      <c r="O180" s="35"/>
      <c r="P180" s="36">
        <v>7450.81</v>
      </c>
      <c r="Q180" s="35"/>
      <c r="R180" s="36">
        <v>8767.69</v>
      </c>
      <c r="S180" s="35"/>
      <c r="T180" s="36">
        <v>5964.78</v>
      </c>
      <c r="U180" s="35"/>
      <c r="V180" s="36">
        <v>7637.81</v>
      </c>
      <c r="W180" s="35"/>
      <c r="X180" s="36">
        <v>6046.19</v>
      </c>
      <c r="Y180" s="35"/>
      <c r="Z180" s="36">
        <v>6620.8</v>
      </c>
      <c r="AA180" s="35"/>
      <c r="AB180" s="36">
        <v>7529.42</v>
      </c>
      <c r="AC180" s="35"/>
      <c r="AD180" s="36">
        <v>7529.42</v>
      </c>
      <c r="AE180" s="35"/>
      <c r="AF180" s="36">
        <v>7530.22</v>
      </c>
      <c r="AG180" s="35"/>
      <c r="AH180" s="36">
        <f t="shared" si="18"/>
        <v>85677.33</v>
      </c>
      <c r="AI180" s="37">
        <f t="shared" si="19"/>
        <v>1.2672639620392749E-3</v>
      </c>
      <c r="AJ180" s="38"/>
    </row>
    <row r="181" spans="2:36" outlineLevel="1">
      <c r="B181" s="31" t="s">
        <v>56</v>
      </c>
      <c r="D181" s="32">
        <v>56065</v>
      </c>
      <c r="E181" s="32" t="s">
        <v>116</v>
      </c>
      <c r="F181" s="33"/>
      <c r="G181" s="29"/>
      <c r="H181" s="34"/>
      <c r="I181" s="35"/>
      <c r="J181" s="36">
        <v>2310.04</v>
      </c>
      <c r="K181" s="35"/>
      <c r="L181" s="36">
        <v>4176.2700000000004</v>
      </c>
      <c r="M181" s="35"/>
      <c r="N181" s="36">
        <v>3126.93</v>
      </c>
      <c r="O181" s="35"/>
      <c r="P181" s="36">
        <v>3237.79</v>
      </c>
      <c r="Q181" s="35"/>
      <c r="R181" s="36">
        <v>2081.1799999999998</v>
      </c>
      <c r="S181" s="35"/>
      <c r="T181" s="36">
        <v>-4449.95</v>
      </c>
      <c r="U181" s="35"/>
      <c r="V181" s="36">
        <v>1997.18</v>
      </c>
      <c r="W181" s="35"/>
      <c r="X181" s="36">
        <v>2588.58</v>
      </c>
      <c r="Y181" s="35"/>
      <c r="Z181" s="36">
        <v>3722.43</v>
      </c>
      <c r="AA181" s="35"/>
      <c r="AB181" s="36">
        <v>2471.33</v>
      </c>
      <c r="AC181" s="35"/>
      <c r="AD181" s="36">
        <v>3104.64</v>
      </c>
      <c r="AE181" s="35"/>
      <c r="AF181" s="36">
        <v>2588.38</v>
      </c>
      <c r="AG181" s="35"/>
      <c r="AH181" s="36">
        <f t="shared" si="18"/>
        <v>26954.800000000003</v>
      </c>
      <c r="AI181" s="37">
        <f t="shared" si="19"/>
        <v>3.9869177347118836E-4</v>
      </c>
      <c r="AJ181" s="38"/>
    </row>
    <row r="182" spans="2:36" outlineLevel="1">
      <c r="B182" s="31" t="s">
        <v>56</v>
      </c>
      <c r="D182" s="32">
        <v>56070</v>
      </c>
      <c r="E182" s="32" t="s">
        <v>117</v>
      </c>
      <c r="F182" s="33"/>
      <c r="G182" s="29"/>
      <c r="H182" s="34"/>
      <c r="I182" s="35"/>
      <c r="J182" s="36">
        <v>0</v>
      </c>
      <c r="K182" s="35"/>
      <c r="L182" s="36">
        <v>0</v>
      </c>
      <c r="M182" s="35"/>
      <c r="N182" s="36">
        <v>0</v>
      </c>
      <c r="O182" s="35"/>
      <c r="P182" s="36">
        <v>1185.24</v>
      </c>
      <c r="Q182" s="35"/>
      <c r="R182" s="36">
        <v>-488.04</v>
      </c>
      <c r="S182" s="35"/>
      <c r="T182" s="36">
        <v>0</v>
      </c>
      <c r="U182" s="35"/>
      <c r="V182" s="36">
        <v>0</v>
      </c>
      <c r="W182" s="35"/>
      <c r="X182" s="36">
        <v>540.20000000000005</v>
      </c>
      <c r="Y182" s="35"/>
      <c r="Z182" s="36">
        <v>6161.73</v>
      </c>
      <c r="AA182" s="35"/>
      <c r="AB182" s="36">
        <v>-62.24</v>
      </c>
      <c r="AC182" s="35"/>
      <c r="AD182" s="36">
        <v>230.8</v>
      </c>
      <c r="AE182" s="35"/>
      <c r="AF182" s="36">
        <v>5.76</v>
      </c>
      <c r="AG182" s="35"/>
      <c r="AH182" s="36">
        <f t="shared" si="18"/>
        <v>7573.4499999999989</v>
      </c>
      <c r="AI182" s="37">
        <f t="shared" si="19"/>
        <v>1.1201983363984785E-4</v>
      </c>
      <c r="AJ182" s="38"/>
    </row>
    <row r="183" spans="2:36" outlineLevel="1">
      <c r="B183" s="31" t="s">
        <v>56</v>
      </c>
      <c r="D183" s="32">
        <v>56086</v>
      </c>
      <c r="E183" s="32" t="s">
        <v>118</v>
      </c>
      <c r="F183" s="33"/>
      <c r="G183" s="29"/>
      <c r="H183" s="34"/>
      <c r="I183" s="35"/>
      <c r="J183" s="36">
        <v>0</v>
      </c>
      <c r="K183" s="35"/>
      <c r="L183" s="36">
        <v>0</v>
      </c>
      <c r="M183" s="35"/>
      <c r="N183" s="36">
        <v>0</v>
      </c>
      <c r="O183" s="35"/>
      <c r="P183" s="36">
        <v>0</v>
      </c>
      <c r="Q183" s="35"/>
      <c r="R183" s="36">
        <v>2030</v>
      </c>
      <c r="S183" s="35"/>
      <c r="T183" s="36">
        <v>0</v>
      </c>
      <c r="U183" s="35"/>
      <c r="V183" s="36">
        <v>0</v>
      </c>
      <c r="W183" s="35"/>
      <c r="X183" s="36">
        <v>0</v>
      </c>
      <c r="Y183" s="35"/>
      <c r="Z183" s="36">
        <v>0</v>
      </c>
      <c r="AA183" s="35"/>
      <c r="AB183" s="36">
        <v>0</v>
      </c>
      <c r="AC183" s="35"/>
      <c r="AD183" s="36">
        <v>0</v>
      </c>
      <c r="AE183" s="35"/>
      <c r="AF183" s="36">
        <v>0</v>
      </c>
      <c r="AG183" s="35"/>
      <c r="AH183" s="36">
        <f t="shared" si="18"/>
        <v>2030</v>
      </c>
      <c r="AI183" s="37">
        <f t="shared" si="19"/>
        <v>3.0025980535804838E-5</v>
      </c>
      <c r="AJ183" s="38"/>
    </row>
    <row r="184" spans="2:36" outlineLevel="1">
      <c r="B184" s="31" t="s">
        <v>56</v>
      </c>
      <c r="D184" s="32">
        <v>56090</v>
      </c>
      <c r="E184" s="32" t="s">
        <v>120</v>
      </c>
      <c r="F184" s="33"/>
      <c r="G184" s="29"/>
      <c r="H184" s="34"/>
      <c r="I184" s="35"/>
      <c r="J184" s="36">
        <v>556.04</v>
      </c>
      <c r="K184" s="35"/>
      <c r="L184" s="36">
        <v>150</v>
      </c>
      <c r="M184" s="35"/>
      <c r="N184" s="36">
        <v>150</v>
      </c>
      <c r="O184" s="35"/>
      <c r="P184" s="36">
        <v>497.5</v>
      </c>
      <c r="Q184" s="35"/>
      <c r="R184" s="36">
        <v>0</v>
      </c>
      <c r="S184" s="35"/>
      <c r="T184" s="36">
        <v>0</v>
      </c>
      <c r="U184" s="35"/>
      <c r="V184" s="36">
        <v>0</v>
      </c>
      <c r="W184" s="35"/>
      <c r="X184" s="36">
        <v>0</v>
      </c>
      <c r="Y184" s="35"/>
      <c r="Z184" s="36">
        <v>117.06</v>
      </c>
      <c r="AA184" s="35"/>
      <c r="AB184" s="36">
        <v>0</v>
      </c>
      <c r="AC184" s="35"/>
      <c r="AD184" s="36">
        <v>205.86</v>
      </c>
      <c r="AE184" s="35"/>
      <c r="AF184" s="36">
        <v>0</v>
      </c>
      <c r="AG184" s="35"/>
      <c r="AH184" s="36">
        <f t="shared" si="18"/>
        <v>1676.46</v>
      </c>
      <c r="AI184" s="37">
        <f t="shared" si="19"/>
        <v>2.4796726763081469E-5</v>
      </c>
      <c r="AJ184" s="38"/>
    </row>
    <row r="185" spans="2:36" outlineLevel="1">
      <c r="B185" s="31" t="s">
        <v>56</v>
      </c>
      <c r="D185" s="32">
        <v>56115</v>
      </c>
      <c r="E185" s="32" t="s">
        <v>121</v>
      </c>
      <c r="F185" s="33"/>
      <c r="G185" s="29"/>
      <c r="H185" s="34"/>
      <c r="I185" s="35"/>
      <c r="J185" s="36">
        <v>908.43</v>
      </c>
      <c r="K185" s="35"/>
      <c r="L185" s="36">
        <v>1292.58</v>
      </c>
      <c r="M185" s="35"/>
      <c r="N185" s="36">
        <v>917.23</v>
      </c>
      <c r="O185" s="35"/>
      <c r="P185" s="36">
        <v>970.2</v>
      </c>
      <c r="Q185" s="35"/>
      <c r="R185" s="36">
        <v>976.89</v>
      </c>
      <c r="S185" s="35"/>
      <c r="T185" s="36">
        <v>44.55</v>
      </c>
      <c r="U185" s="35"/>
      <c r="V185" s="36">
        <v>626.25</v>
      </c>
      <c r="W185" s="35"/>
      <c r="X185" s="36">
        <v>653.20000000000005</v>
      </c>
      <c r="Y185" s="35"/>
      <c r="Z185" s="36">
        <v>368.72</v>
      </c>
      <c r="AA185" s="35"/>
      <c r="AB185" s="36">
        <v>537.4</v>
      </c>
      <c r="AC185" s="35"/>
      <c r="AD185" s="36">
        <v>530.71</v>
      </c>
      <c r="AE185" s="35"/>
      <c r="AF185" s="36">
        <v>520.41</v>
      </c>
      <c r="AG185" s="35"/>
      <c r="AH185" s="36">
        <f t="shared" si="18"/>
        <v>8346.57</v>
      </c>
      <c r="AI185" s="37">
        <f t="shared" si="19"/>
        <v>1.2345514697573035E-4</v>
      </c>
      <c r="AJ185" s="38"/>
    </row>
    <row r="186" spans="2:36" outlineLevel="1">
      <c r="B186" s="31" t="s">
        <v>56</v>
      </c>
      <c r="D186" s="32">
        <v>56125</v>
      </c>
      <c r="E186" s="32" t="s">
        <v>131</v>
      </c>
      <c r="F186" s="33"/>
      <c r="G186" s="29"/>
      <c r="H186" s="34"/>
      <c r="I186" s="35"/>
      <c r="J186" s="36">
        <v>5105.5</v>
      </c>
      <c r="K186" s="35"/>
      <c r="L186" s="36">
        <v>727.25</v>
      </c>
      <c r="M186" s="35"/>
      <c r="N186" s="36">
        <v>2811.84</v>
      </c>
      <c r="O186" s="35"/>
      <c r="P186" s="36">
        <v>2539.11</v>
      </c>
      <c r="Q186" s="35"/>
      <c r="R186" s="36">
        <v>4214.51</v>
      </c>
      <c r="S186" s="35"/>
      <c r="T186" s="36">
        <v>-42.52</v>
      </c>
      <c r="U186" s="35"/>
      <c r="V186" s="36">
        <v>3334.87</v>
      </c>
      <c r="W186" s="35"/>
      <c r="X186" s="36">
        <v>1374.25</v>
      </c>
      <c r="Y186" s="35"/>
      <c r="Z186" s="36">
        <v>3771.68</v>
      </c>
      <c r="AA186" s="35"/>
      <c r="AB186" s="36">
        <v>6528.13</v>
      </c>
      <c r="AC186" s="35"/>
      <c r="AD186" s="36">
        <v>3548.81</v>
      </c>
      <c r="AE186" s="35"/>
      <c r="AF186" s="36">
        <v>301.74</v>
      </c>
      <c r="AG186" s="35"/>
      <c r="AH186" s="36">
        <f t="shared" si="18"/>
        <v>34215.17</v>
      </c>
      <c r="AI186" s="37">
        <f t="shared" si="19"/>
        <v>5.0608080219175053E-4</v>
      </c>
      <c r="AJ186" s="38"/>
    </row>
    <row r="187" spans="2:36" outlineLevel="1">
      <c r="B187" s="31" t="s">
        <v>56</v>
      </c>
      <c r="D187" s="32">
        <v>56165</v>
      </c>
      <c r="E187" s="32" t="s">
        <v>140</v>
      </c>
      <c r="F187" s="33"/>
      <c r="G187" s="29"/>
      <c r="H187" s="34"/>
      <c r="I187" s="35"/>
      <c r="J187" s="36">
        <v>1135.2</v>
      </c>
      <c r="K187" s="35"/>
      <c r="L187" s="36">
        <v>1131.3499999999999</v>
      </c>
      <c r="M187" s="35"/>
      <c r="N187" s="36">
        <v>1130.8499999999999</v>
      </c>
      <c r="O187" s="35"/>
      <c r="P187" s="36">
        <v>1130.72</v>
      </c>
      <c r="Q187" s="35"/>
      <c r="R187" s="36">
        <v>1130.72</v>
      </c>
      <c r="S187" s="35"/>
      <c r="T187" s="36">
        <v>1130.72</v>
      </c>
      <c r="U187" s="35"/>
      <c r="V187" s="36">
        <v>1131.1099999999999</v>
      </c>
      <c r="W187" s="35"/>
      <c r="X187" s="36">
        <v>1131.98</v>
      </c>
      <c r="Y187" s="35"/>
      <c r="Z187" s="36">
        <v>1131.98</v>
      </c>
      <c r="AA187" s="35"/>
      <c r="AB187" s="36">
        <v>1131.54</v>
      </c>
      <c r="AC187" s="35"/>
      <c r="AD187" s="36">
        <v>825.61</v>
      </c>
      <c r="AE187" s="35"/>
      <c r="AF187" s="36">
        <v>825.61</v>
      </c>
      <c r="AG187" s="35"/>
      <c r="AH187" s="36">
        <f t="shared" si="18"/>
        <v>12967.390000000001</v>
      </c>
      <c r="AI187" s="37">
        <f t="shared" si="19"/>
        <v>1.9180226588186717E-4</v>
      </c>
      <c r="AJ187" s="38"/>
    </row>
    <row r="188" spans="2:36" outlineLevel="1">
      <c r="B188" s="31" t="s">
        <v>56</v>
      </c>
      <c r="D188" s="32">
        <v>56201</v>
      </c>
      <c r="E188" s="32" t="s">
        <v>151</v>
      </c>
      <c r="F188" s="33"/>
      <c r="G188" s="29"/>
      <c r="H188" s="34"/>
      <c r="I188" s="35"/>
      <c r="J188" s="36">
        <v>0</v>
      </c>
      <c r="K188" s="35"/>
      <c r="L188" s="36">
        <v>184.45</v>
      </c>
      <c r="M188" s="35"/>
      <c r="N188" s="36">
        <v>105.78</v>
      </c>
      <c r="O188" s="35"/>
      <c r="P188" s="36">
        <v>240</v>
      </c>
      <c r="Q188" s="35"/>
      <c r="R188" s="36">
        <v>0</v>
      </c>
      <c r="S188" s="35"/>
      <c r="T188" s="36">
        <v>0</v>
      </c>
      <c r="U188" s="35"/>
      <c r="V188" s="36">
        <v>0</v>
      </c>
      <c r="W188" s="35"/>
      <c r="X188" s="36">
        <v>0</v>
      </c>
      <c r="Y188" s="35"/>
      <c r="Z188" s="36">
        <v>0</v>
      </c>
      <c r="AA188" s="35"/>
      <c r="AB188" s="36">
        <v>0</v>
      </c>
      <c r="AC188" s="35"/>
      <c r="AD188" s="36">
        <v>0</v>
      </c>
      <c r="AE188" s="35"/>
      <c r="AF188" s="36">
        <v>0</v>
      </c>
      <c r="AG188" s="35"/>
      <c r="AH188" s="36">
        <f t="shared" si="18"/>
        <v>530.23</v>
      </c>
      <c r="AI188" s="37">
        <f t="shared" si="19"/>
        <v>7.8426973692117248E-6</v>
      </c>
      <c r="AJ188" s="38"/>
    </row>
    <row r="189" spans="2:36" outlineLevel="1">
      <c r="B189" s="31" t="s">
        <v>56</v>
      </c>
      <c r="D189" s="32">
        <v>56210</v>
      </c>
      <c r="E189" s="32" t="s">
        <v>144</v>
      </c>
      <c r="F189" s="33"/>
      <c r="G189" s="29"/>
      <c r="H189" s="34"/>
      <c r="I189" s="35"/>
      <c r="J189" s="36">
        <v>829.92</v>
      </c>
      <c r="K189" s="35"/>
      <c r="L189" s="36">
        <v>1248.58</v>
      </c>
      <c r="M189" s="35"/>
      <c r="N189" s="36">
        <v>1329.72</v>
      </c>
      <c r="O189" s="35"/>
      <c r="P189" s="36">
        <v>1312.18</v>
      </c>
      <c r="Q189" s="35"/>
      <c r="R189" s="36">
        <v>976.64</v>
      </c>
      <c r="S189" s="35"/>
      <c r="T189" s="36">
        <v>2502.7199999999998</v>
      </c>
      <c r="U189" s="35"/>
      <c r="V189" s="36">
        <v>361.29</v>
      </c>
      <c r="W189" s="35"/>
      <c r="X189" s="36">
        <v>28.23</v>
      </c>
      <c r="Y189" s="35"/>
      <c r="Z189" s="36">
        <v>0</v>
      </c>
      <c r="AA189" s="35"/>
      <c r="AB189" s="36">
        <v>311.70999999999998</v>
      </c>
      <c r="AC189" s="35"/>
      <c r="AD189" s="36">
        <v>35.01</v>
      </c>
      <c r="AE189" s="35"/>
      <c r="AF189" s="36">
        <v>0</v>
      </c>
      <c r="AG189" s="35"/>
      <c r="AH189" s="36">
        <f t="shared" si="18"/>
        <v>8936</v>
      </c>
      <c r="AI189" s="37">
        <f t="shared" si="19"/>
        <v>1.321734788512079E-4</v>
      </c>
      <c r="AJ189" s="38"/>
    </row>
    <row r="190" spans="2:36" s="34" customFormat="1" ht="5.0999999999999996" customHeight="1" outlineLevel="1">
      <c r="B190" s="27" t="s">
        <v>47</v>
      </c>
      <c r="D190" s="33"/>
      <c r="E190" s="33"/>
      <c r="F190" s="33"/>
      <c r="G190" s="33"/>
      <c r="J190" s="68"/>
      <c r="K190" s="66"/>
      <c r="L190" s="68"/>
      <c r="M190" s="66"/>
      <c r="N190" s="68"/>
      <c r="O190" s="66"/>
      <c r="P190" s="68"/>
      <c r="Q190" s="66"/>
      <c r="R190" s="68"/>
      <c r="S190" s="66"/>
      <c r="T190" s="68"/>
      <c r="U190" s="66"/>
      <c r="V190" s="68"/>
      <c r="W190" s="66"/>
      <c r="X190" s="68"/>
      <c r="Y190" s="66"/>
      <c r="Z190" s="68"/>
      <c r="AA190" s="66"/>
      <c r="AB190" s="68"/>
      <c r="AC190" s="66"/>
      <c r="AD190" s="68"/>
      <c r="AE190" s="66"/>
      <c r="AF190" s="68"/>
      <c r="AG190" s="66"/>
      <c r="AH190" s="68"/>
      <c r="AI190" s="62"/>
      <c r="AJ190" s="43"/>
    </row>
    <row r="191" spans="2:36" s="34" customFormat="1" ht="15">
      <c r="B191" s="27" t="s">
        <v>47</v>
      </c>
      <c r="F191" s="33" t="s">
        <v>152</v>
      </c>
      <c r="J191" s="65">
        <f>SUM(J173:J190)</f>
        <v>62867.55</v>
      </c>
      <c r="K191" s="66"/>
      <c r="L191" s="65">
        <f>SUM(L173:L190)</f>
        <v>64444.65</v>
      </c>
      <c r="M191" s="66"/>
      <c r="N191" s="65">
        <f>SUM(N173:N190)</f>
        <v>75352.459999999992</v>
      </c>
      <c r="O191" s="66"/>
      <c r="P191" s="65">
        <f>SUM(P173:P190)</f>
        <v>70954.669999999984</v>
      </c>
      <c r="Q191" s="66"/>
      <c r="R191" s="65">
        <f>SUM(R173:R190)</f>
        <v>65857.37000000001</v>
      </c>
      <c r="S191" s="66"/>
      <c r="T191" s="65">
        <f>SUM(T173:T190)</f>
        <v>31673.88</v>
      </c>
      <c r="U191" s="66"/>
      <c r="V191" s="65">
        <f>SUM(V173:V190)</f>
        <v>48071.560000000005</v>
      </c>
      <c r="W191" s="66"/>
      <c r="X191" s="65">
        <f>SUM(X173:X190)</f>
        <v>55193.290000000008</v>
      </c>
      <c r="Y191" s="66"/>
      <c r="Z191" s="65">
        <f>SUM(Z173:Z190)</f>
        <v>62842.22</v>
      </c>
      <c r="AA191" s="66"/>
      <c r="AB191" s="65">
        <f>SUM(AB173:AB190)</f>
        <v>62943.01</v>
      </c>
      <c r="AC191" s="66"/>
      <c r="AD191" s="65">
        <f>SUM(AD173:AD190)</f>
        <v>61113.770000000004</v>
      </c>
      <c r="AE191" s="66"/>
      <c r="AF191" s="65">
        <f>SUM(AF173:AF190)</f>
        <v>55672.180000000008</v>
      </c>
      <c r="AG191" s="66"/>
      <c r="AH191" s="65">
        <f>SUM(AH173:AH190)</f>
        <v>716986.61</v>
      </c>
      <c r="AI191" s="37">
        <f>IF(AH$60=0,0,AH191/AH$60)</f>
        <v>1.0605037436597386E-2</v>
      </c>
      <c r="AJ191" s="43"/>
    </row>
    <row r="192" spans="2:36" s="34" customFormat="1" ht="15" outlineLevel="1">
      <c r="B192" s="27"/>
      <c r="J192" s="67"/>
      <c r="K192" s="66"/>
      <c r="L192" s="67"/>
      <c r="M192" s="66"/>
      <c r="N192" s="67"/>
      <c r="O192" s="66"/>
      <c r="P192" s="67"/>
      <c r="Q192" s="66"/>
      <c r="R192" s="67"/>
      <c r="S192" s="66"/>
      <c r="T192" s="67"/>
      <c r="U192" s="66"/>
      <c r="V192" s="67"/>
      <c r="W192" s="66"/>
      <c r="X192" s="67"/>
      <c r="Y192" s="66"/>
      <c r="Z192" s="67"/>
      <c r="AA192" s="66"/>
      <c r="AB192" s="67"/>
      <c r="AC192" s="66"/>
      <c r="AD192" s="67"/>
      <c r="AE192" s="66"/>
      <c r="AF192" s="67"/>
      <c r="AG192" s="66"/>
      <c r="AH192" s="67"/>
      <c r="AI192" s="62"/>
      <c r="AJ192" s="43"/>
    </row>
    <row r="193" spans="2:36" s="34" customFormat="1" ht="15" outlineLevel="1">
      <c r="B193" s="27" t="s">
        <v>47</v>
      </c>
      <c r="J193" s="67"/>
      <c r="K193" s="66"/>
      <c r="L193" s="67"/>
      <c r="M193" s="66"/>
      <c r="N193" s="67"/>
      <c r="O193" s="66"/>
      <c r="P193" s="67"/>
      <c r="Q193" s="66"/>
      <c r="R193" s="67"/>
      <c r="S193" s="66"/>
      <c r="T193" s="67"/>
      <c r="U193" s="66"/>
      <c r="V193" s="67"/>
      <c r="W193" s="66"/>
      <c r="X193" s="67"/>
      <c r="Y193" s="66"/>
      <c r="Z193" s="67"/>
      <c r="AA193" s="66"/>
      <c r="AB193" s="67"/>
      <c r="AC193" s="66"/>
      <c r="AD193" s="67"/>
      <c r="AE193" s="66"/>
      <c r="AF193" s="67"/>
      <c r="AG193" s="66"/>
      <c r="AH193" s="67"/>
      <c r="AI193" s="62"/>
      <c r="AJ193" s="43"/>
    </row>
    <row r="194" spans="2:36" outlineLevel="1">
      <c r="B194" s="31" t="s">
        <v>153</v>
      </c>
      <c r="D194" s="32">
        <v>57125</v>
      </c>
      <c r="E194" s="32" t="s">
        <v>131</v>
      </c>
      <c r="F194" s="33"/>
      <c r="G194" s="29"/>
      <c r="H194" s="34"/>
      <c r="I194" s="35"/>
      <c r="J194" s="36">
        <v>0</v>
      </c>
      <c r="K194" s="35"/>
      <c r="L194" s="36">
        <v>0</v>
      </c>
      <c r="M194" s="35"/>
      <c r="N194" s="36">
        <v>0</v>
      </c>
      <c r="O194" s="35"/>
      <c r="P194" s="36">
        <v>0</v>
      </c>
      <c r="Q194" s="35"/>
      <c r="R194" s="36">
        <v>16.239999999999998</v>
      </c>
      <c r="S194" s="35"/>
      <c r="T194" s="36">
        <v>0</v>
      </c>
      <c r="U194" s="35"/>
      <c r="V194" s="36">
        <v>0</v>
      </c>
      <c r="W194" s="35"/>
      <c r="X194" s="36">
        <v>0</v>
      </c>
      <c r="Y194" s="35"/>
      <c r="Z194" s="36">
        <v>0</v>
      </c>
      <c r="AA194" s="35"/>
      <c r="AB194" s="36">
        <v>0</v>
      </c>
      <c r="AC194" s="35"/>
      <c r="AD194" s="36">
        <v>0</v>
      </c>
      <c r="AE194" s="35"/>
      <c r="AF194" s="36">
        <v>0</v>
      </c>
      <c r="AG194" s="35"/>
      <c r="AH194" s="36">
        <f t="shared" ref="AH194:AH208" si="20">AF194+AD194+AB194+Z194+X194+V194+T194+R194+P194+N194+L194+J194</f>
        <v>16.239999999999998</v>
      </c>
      <c r="AI194" s="37">
        <f t="shared" ref="AI194:AI208" si="21">IF(AH$60=0,0,AH194/AH$60)</f>
        <v>2.4020784428643872E-7</v>
      </c>
      <c r="AJ194" s="38"/>
    </row>
    <row r="195" spans="2:36" outlineLevel="1">
      <c r="B195" s="31" t="s">
        <v>56</v>
      </c>
      <c r="D195" s="32">
        <v>57147</v>
      </c>
      <c r="E195" s="32" t="s">
        <v>154</v>
      </c>
      <c r="F195" s="33"/>
      <c r="G195" s="29"/>
      <c r="H195" s="34"/>
      <c r="I195" s="35"/>
      <c r="J195" s="36">
        <v>17735.34</v>
      </c>
      <c r="K195" s="35"/>
      <c r="L195" s="36">
        <v>19659.09</v>
      </c>
      <c r="M195" s="35"/>
      <c r="N195" s="36">
        <v>7156.76</v>
      </c>
      <c r="O195" s="35"/>
      <c r="P195" s="36">
        <v>9467.65</v>
      </c>
      <c r="Q195" s="35"/>
      <c r="R195" s="36">
        <v>28410.99</v>
      </c>
      <c r="S195" s="35"/>
      <c r="T195" s="36">
        <v>16323.31</v>
      </c>
      <c r="U195" s="35"/>
      <c r="V195" s="36">
        <v>31954.6</v>
      </c>
      <c r="W195" s="35"/>
      <c r="X195" s="36">
        <v>15288.77</v>
      </c>
      <c r="Y195" s="35"/>
      <c r="Z195" s="36">
        <v>25453.89</v>
      </c>
      <c r="AA195" s="35"/>
      <c r="AB195" s="36">
        <v>14332.07</v>
      </c>
      <c r="AC195" s="35"/>
      <c r="AD195" s="36">
        <v>23819.4</v>
      </c>
      <c r="AE195" s="35"/>
      <c r="AF195" s="36">
        <v>12541.5</v>
      </c>
      <c r="AG195" s="35"/>
      <c r="AH195" s="36">
        <f t="shared" si="20"/>
        <v>222143.37</v>
      </c>
      <c r="AI195" s="37">
        <f t="shared" si="21"/>
        <v>3.2857500018611293E-3</v>
      </c>
      <c r="AJ195" s="38"/>
    </row>
    <row r="196" spans="2:36" outlineLevel="1">
      <c r="B196" s="31" t="s">
        <v>56</v>
      </c>
      <c r="D196" s="32">
        <v>57150</v>
      </c>
      <c r="E196" s="32" t="s">
        <v>139</v>
      </c>
      <c r="F196" s="33"/>
      <c r="G196" s="29"/>
      <c r="H196" s="34"/>
      <c r="I196" s="35"/>
      <c r="J196" s="36">
        <v>1858.39</v>
      </c>
      <c r="K196" s="35"/>
      <c r="L196" s="36">
        <v>933.64</v>
      </c>
      <c r="M196" s="35"/>
      <c r="N196" s="36">
        <v>2025.2</v>
      </c>
      <c r="O196" s="35"/>
      <c r="P196" s="36">
        <v>1057.8499999999999</v>
      </c>
      <c r="Q196" s="35"/>
      <c r="R196" s="36">
        <v>2080.0300000000002</v>
      </c>
      <c r="S196" s="35"/>
      <c r="T196" s="36">
        <v>1120.68</v>
      </c>
      <c r="U196" s="35"/>
      <c r="V196" s="36">
        <v>1960.52</v>
      </c>
      <c r="W196" s="35"/>
      <c r="X196" s="36">
        <v>1045.93</v>
      </c>
      <c r="Y196" s="35"/>
      <c r="Z196" s="36">
        <v>1762.24</v>
      </c>
      <c r="AA196" s="35"/>
      <c r="AB196" s="36">
        <v>1152.5</v>
      </c>
      <c r="AC196" s="35"/>
      <c r="AD196" s="36">
        <v>1981.53</v>
      </c>
      <c r="AE196" s="35"/>
      <c r="AF196" s="36">
        <v>1396.2</v>
      </c>
      <c r="AG196" s="35"/>
      <c r="AH196" s="36">
        <f t="shared" si="20"/>
        <v>18374.710000000003</v>
      </c>
      <c r="AI196" s="37">
        <f t="shared" si="21"/>
        <v>2.7178260335520128E-4</v>
      </c>
      <c r="AJ196" s="38"/>
    </row>
    <row r="197" spans="2:36" outlineLevel="1">
      <c r="B197" s="31" t="s">
        <v>56</v>
      </c>
      <c r="D197" s="32">
        <v>57165</v>
      </c>
      <c r="E197" s="32" t="s">
        <v>140</v>
      </c>
      <c r="F197" s="33"/>
      <c r="G197" s="29"/>
      <c r="H197" s="34"/>
      <c r="I197" s="35"/>
      <c r="J197" s="36">
        <v>190.75</v>
      </c>
      <c r="K197" s="35"/>
      <c r="L197" s="36">
        <v>190.75</v>
      </c>
      <c r="M197" s="35"/>
      <c r="N197" s="36">
        <v>1325.25</v>
      </c>
      <c r="O197" s="35"/>
      <c r="P197" s="36">
        <v>1231.2</v>
      </c>
      <c r="Q197" s="35"/>
      <c r="R197" s="36">
        <v>1379.8</v>
      </c>
      <c r="S197" s="35"/>
      <c r="T197" s="36">
        <v>2428.04</v>
      </c>
      <c r="U197" s="35"/>
      <c r="V197" s="36">
        <v>1426.44</v>
      </c>
      <c r="W197" s="35"/>
      <c r="X197" s="36">
        <v>1443.24</v>
      </c>
      <c r="Y197" s="35"/>
      <c r="Z197" s="36">
        <v>1430.16</v>
      </c>
      <c r="AA197" s="35"/>
      <c r="AB197" s="36">
        <v>1432.33</v>
      </c>
      <c r="AC197" s="35"/>
      <c r="AD197" s="36">
        <v>1432.33</v>
      </c>
      <c r="AE197" s="35"/>
      <c r="AF197" s="36">
        <v>1432.33</v>
      </c>
      <c r="AG197" s="35"/>
      <c r="AH197" s="36">
        <f t="shared" si="20"/>
        <v>15342.619999999999</v>
      </c>
      <c r="AI197" s="37">
        <f t="shared" si="21"/>
        <v>2.2693458595480297E-4</v>
      </c>
      <c r="AJ197" s="38"/>
    </row>
    <row r="198" spans="2:36" outlineLevel="1">
      <c r="B198" s="31" t="s">
        <v>56</v>
      </c>
      <c r="D198" s="32">
        <v>57170</v>
      </c>
      <c r="E198" s="32" t="s">
        <v>155</v>
      </c>
      <c r="F198" s="33"/>
      <c r="G198" s="29"/>
      <c r="H198" s="34"/>
      <c r="I198" s="35"/>
      <c r="J198" s="36">
        <v>16838.71</v>
      </c>
      <c r="K198" s="35"/>
      <c r="L198" s="36">
        <v>16838.71</v>
      </c>
      <c r="M198" s="35"/>
      <c r="N198" s="36">
        <v>19846.09</v>
      </c>
      <c r="O198" s="35"/>
      <c r="P198" s="36">
        <v>17648.650000000001</v>
      </c>
      <c r="Q198" s="35"/>
      <c r="R198" s="36">
        <v>17880.91</v>
      </c>
      <c r="S198" s="35"/>
      <c r="T198" s="36">
        <v>17726.07</v>
      </c>
      <c r="U198" s="35"/>
      <c r="V198" s="36">
        <v>18963.12</v>
      </c>
      <c r="W198" s="35"/>
      <c r="X198" s="36">
        <v>17648.64</v>
      </c>
      <c r="Y198" s="35"/>
      <c r="Z198" s="36">
        <v>17726.07</v>
      </c>
      <c r="AA198" s="35"/>
      <c r="AB198" s="36">
        <v>17726.07</v>
      </c>
      <c r="AC198" s="35"/>
      <c r="AD198" s="36">
        <v>18526.07</v>
      </c>
      <c r="AE198" s="35"/>
      <c r="AF198" s="36">
        <v>18526.07</v>
      </c>
      <c r="AG198" s="35"/>
      <c r="AH198" s="36">
        <f t="shared" si="20"/>
        <v>215895.17999999996</v>
      </c>
      <c r="AI198" s="37">
        <f t="shared" si="21"/>
        <v>3.1933322524404341E-3</v>
      </c>
      <c r="AJ198" s="38"/>
    </row>
    <row r="199" spans="2:36" outlineLevel="1">
      <c r="B199" s="31" t="s">
        <v>56</v>
      </c>
      <c r="D199" s="32">
        <v>57175</v>
      </c>
      <c r="E199" s="32" t="s">
        <v>156</v>
      </c>
      <c r="F199" s="33"/>
      <c r="G199" s="29"/>
      <c r="H199" s="34"/>
      <c r="I199" s="35"/>
      <c r="J199" s="36">
        <v>0</v>
      </c>
      <c r="K199" s="35"/>
      <c r="L199" s="36">
        <v>0</v>
      </c>
      <c r="M199" s="35"/>
      <c r="N199" s="36">
        <v>0</v>
      </c>
      <c r="O199" s="35"/>
      <c r="P199" s="36">
        <v>0</v>
      </c>
      <c r="Q199" s="35"/>
      <c r="R199" s="36">
        <v>0</v>
      </c>
      <c r="S199" s="35"/>
      <c r="T199" s="36">
        <v>0</v>
      </c>
      <c r="U199" s="35"/>
      <c r="V199" s="36">
        <v>0</v>
      </c>
      <c r="W199" s="35"/>
      <c r="X199" s="36">
        <v>0</v>
      </c>
      <c r="Y199" s="35"/>
      <c r="Z199" s="36">
        <v>982.65</v>
      </c>
      <c r="AA199" s="35"/>
      <c r="AB199" s="36">
        <v>0</v>
      </c>
      <c r="AC199" s="35"/>
      <c r="AD199" s="36">
        <v>0</v>
      </c>
      <c r="AE199" s="35"/>
      <c r="AF199" s="36">
        <v>0</v>
      </c>
      <c r="AG199" s="35"/>
      <c r="AH199" s="36">
        <f t="shared" si="20"/>
        <v>982.65</v>
      </c>
      <c r="AI199" s="37">
        <f t="shared" si="21"/>
        <v>1.4534497425373706E-5</v>
      </c>
      <c r="AJ199" s="38"/>
    </row>
    <row r="200" spans="2:36" outlineLevel="1">
      <c r="B200" s="31" t="s">
        <v>56</v>
      </c>
      <c r="D200" s="32">
        <v>57254</v>
      </c>
      <c r="E200" s="32" t="s">
        <v>157</v>
      </c>
      <c r="F200" s="33"/>
      <c r="G200" s="29"/>
      <c r="H200" s="34"/>
      <c r="I200" s="35"/>
      <c r="J200" s="36">
        <v>7111.24</v>
      </c>
      <c r="K200" s="35"/>
      <c r="L200" s="36">
        <v>7472</v>
      </c>
      <c r="M200" s="35"/>
      <c r="N200" s="36">
        <v>7622</v>
      </c>
      <c r="O200" s="35"/>
      <c r="P200" s="36">
        <v>7481</v>
      </c>
      <c r="Q200" s="35"/>
      <c r="R200" s="36">
        <v>7552</v>
      </c>
      <c r="S200" s="35"/>
      <c r="T200" s="36">
        <v>7537</v>
      </c>
      <c r="U200" s="35"/>
      <c r="V200" s="36">
        <v>7663</v>
      </c>
      <c r="W200" s="35"/>
      <c r="X200" s="36">
        <v>7618</v>
      </c>
      <c r="Y200" s="35"/>
      <c r="Z200" s="36">
        <v>7985</v>
      </c>
      <c r="AA200" s="35"/>
      <c r="AB200" s="36">
        <v>8073</v>
      </c>
      <c r="AC200" s="35"/>
      <c r="AD200" s="36">
        <v>7223</v>
      </c>
      <c r="AE200" s="35"/>
      <c r="AF200" s="36">
        <v>7687</v>
      </c>
      <c r="AG200" s="35"/>
      <c r="AH200" s="36">
        <f t="shared" si="20"/>
        <v>91024.24</v>
      </c>
      <c r="AI200" s="37">
        <f t="shared" si="21"/>
        <v>1.346350767747009E-3</v>
      </c>
      <c r="AJ200" s="38"/>
    </row>
    <row r="201" spans="2:36" outlineLevel="1">
      <c r="B201" s="31" t="s">
        <v>56</v>
      </c>
      <c r="D201" s="32">
        <v>57255</v>
      </c>
      <c r="E201" s="32" t="s">
        <v>158</v>
      </c>
      <c r="F201" s="33"/>
      <c r="G201" s="29"/>
      <c r="H201" s="34"/>
      <c r="I201" s="35"/>
      <c r="J201" s="36">
        <v>1351.3</v>
      </c>
      <c r="K201" s="35"/>
      <c r="L201" s="36">
        <v>1351.3</v>
      </c>
      <c r="M201" s="35"/>
      <c r="N201" s="36">
        <v>1351.3</v>
      </c>
      <c r="O201" s="35"/>
      <c r="P201" s="36">
        <v>1351.23</v>
      </c>
      <c r="Q201" s="35"/>
      <c r="R201" s="36">
        <v>1351.31</v>
      </c>
      <c r="S201" s="35"/>
      <c r="T201" s="36">
        <v>1351.31</v>
      </c>
      <c r="U201" s="35"/>
      <c r="V201" s="36">
        <v>1351.31</v>
      </c>
      <c r="W201" s="35"/>
      <c r="X201" s="36">
        <v>3543.23</v>
      </c>
      <c r="Y201" s="35"/>
      <c r="Z201" s="36">
        <v>1760.39</v>
      </c>
      <c r="AA201" s="35"/>
      <c r="AB201" s="36">
        <v>1760.39</v>
      </c>
      <c r="AC201" s="35"/>
      <c r="AD201" s="36">
        <v>1760.39</v>
      </c>
      <c r="AE201" s="35"/>
      <c r="AF201" s="36">
        <v>1760.71</v>
      </c>
      <c r="AG201" s="35"/>
      <c r="AH201" s="36">
        <f t="shared" si="20"/>
        <v>20044.169999999998</v>
      </c>
      <c r="AI201" s="37">
        <f t="shared" si="21"/>
        <v>2.9647579225436615E-4</v>
      </c>
      <c r="AJ201" s="38"/>
    </row>
    <row r="202" spans="2:36" outlineLevel="1">
      <c r="B202" s="31" t="s">
        <v>56</v>
      </c>
      <c r="D202" s="32">
        <v>57280</v>
      </c>
      <c r="E202" s="32" t="s">
        <v>159</v>
      </c>
      <c r="F202" s="33"/>
      <c r="G202" s="29"/>
      <c r="H202" s="34"/>
      <c r="I202" s="35"/>
      <c r="J202" s="36">
        <v>1838.81</v>
      </c>
      <c r="K202" s="35"/>
      <c r="L202" s="36">
        <v>1405.33</v>
      </c>
      <c r="M202" s="35"/>
      <c r="N202" s="36">
        <v>1405.33</v>
      </c>
      <c r="O202" s="35"/>
      <c r="P202" s="36">
        <v>1405.33</v>
      </c>
      <c r="Q202" s="35"/>
      <c r="R202" s="36">
        <v>1405.33</v>
      </c>
      <c r="S202" s="35"/>
      <c r="T202" s="36">
        <v>1527.35</v>
      </c>
      <c r="U202" s="35"/>
      <c r="V202" s="36">
        <v>1405.33</v>
      </c>
      <c r="W202" s="35"/>
      <c r="X202" s="36">
        <v>1405.34</v>
      </c>
      <c r="Y202" s="35"/>
      <c r="Z202" s="36">
        <v>1405.33</v>
      </c>
      <c r="AA202" s="35"/>
      <c r="AB202" s="36">
        <v>1397.33</v>
      </c>
      <c r="AC202" s="35"/>
      <c r="AD202" s="36">
        <v>1397.33</v>
      </c>
      <c r="AE202" s="35"/>
      <c r="AF202" s="36">
        <v>1397.34</v>
      </c>
      <c r="AG202" s="35"/>
      <c r="AH202" s="36">
        <f t="shared" si="20"/>
        <v>17395.48</v>
      </c>
      <c r="AI202" s="37">
        <f t="shared" si="21"/>
        <v>2.5729869157191252E-4</v>
      </c>
      <c r="AJ202" s="38"/>
    </row>
    <row r="203" spans="2:36" outlineLevel="1">
      <c r="B203" s="31" t="s">
        <v>56</v>
      </c>
      <c r="D203" s="32">
        <v>57324</v>
      </c>
      <c r="E203" s="32" t="s">
        <v>160</v>
      </c>
      <c r="F203" s="33"/>
      <c r="G203" s="29"/>
      <c r="H203" s="34"/>
      <c r="I203" s="35"/>
      <c r="J203" s="36">
        <v>0</v>
      </c>
      <c r="K203" s="35"/>
      <c r="L203" s="36">
        <v>0</v>
      </c>
      <c r="M203" s="35"/>
      <c r="N203" s="36">
        <v>0</v>
      </c>
      <c r="O203" s="35"/>
      <c r="P203" s="36">
        <v>0</v>
      </c>
      <c r="Q203" s="35"/>
      <c r="R203" s="36">
        <v>15</v>
      </c>
      <c r="S203" s="35"/>
      <c r="T203" s="36">
        <v>0</v>
      </c>
      <c r="U203" s="35"/>
      <c r="V203" s="36">
        <v>0</v>
      </c>
      <c r="W203" s="35"/>
      <c r="X203" s="36">
        <v>0</v>
      </c>
      <c r="Y203" s="35"/>
      <c r="Z203" s="36">
        <v>60</v>
      </c>
      <c r="AA203" s="35"/>
      <c r="AB203" s="36">
        <v>200</v>
      </c>
      <c r="AC203" s="35"/>
      <c r="AD203" s="36">
        <v>0</v>
      </c>
      <c r="AE203" s="35"/>
      <c r="AF203" s="36">
        <v>0</v>
      </c>
      <c r="AG203" s="35"/>
      <c r="AH203" s="36">
        <f t="shared" si="20"/>
        <v>275</v>
      </c>
      <c r="AI203" s="37">
        <f t="shared" si="21"/>
        <v>4.0675589395794731E-6</v>
      </c>
      <c r="AJ203" s="38"/>
    </row>
    <row r="204" spans="2:36" outlineLevel="1">
      <c r="B204" s="31" t="s">
        <v>56</v>
      </c>
      <c r="D204" s="32">
        <v>57335</v>
      </c>
      <c r="E204" s="32" t="s">
        <v>161</v>
      </c>
      <c r="F204" s="33"/>
      <c r="G204" s="29"/>
      <c r="H204" s="34"/>
      <c r="I204" s="35"/>
      <c r="J204" s="36">
        <v>0</v>
      </c>
      <c r="K204" s="35"/>
      <c r="L204" s="36">
        <v>0</v>
      </c>
      <c r="M204" s="35"/>
      <c r="N204" s="36">
        <v>0</v>
      </c>
      <c r="O204" s="35"/>
      <c r="P204" s="36">
        <v>0</v>
      </c>
      <c r="Q204" s="35"/>
      <c r="R204" s="36">
        <v>22.19</v>
      </c>
      <c r="S204" s="35"/>
      <c r="T204" s="36">
        <v>0</v>
      </c>
      <c r="U204" s="35"/>
      <c r="V204" s="36">
        <v>0</v>
      </c>
      <c r="W204" s="35"/>
      <c r="X204" s="36">
        <v>0</v>
      </c>
      <c r="Y204" s="35"/>
      <c r="Z204" s="36">
        <v>0</v>
      </c>
      <c r="AA204" s="35"/>
      <c r="AB204" s="36">
        <v>0</v>
      </c>
      <c r="AC204" s="35"/>
      <c r="AD204" s="36">
        <v>0</v>
      </c>
      <c r="AE204" s="35"/>
      <c r="AF204" s="36">
        <v>0</v>
      </c>
      <c r="AG204" s="35"/>
      <c r="AH204" s="36">
        <f t="shared" si="20"/>
        <v>22.19</v>
      </c>
      <c r="AI204" s="37">
        <f t="shared" si="21"/>
        <v>3.2821502861552188E-7</v>
      </c>
      <c r="AJ204" s="38"/>
    </row>
    <row r="205" spans="2:36" outlineLevel="1">
      <c r="B205" s="31" t="s">
        <v>56</v>
      </c>
      <c r="D205" s="32">
        <v>57345</v>
      </c>
      <c r="E205" s="32" t="s">
        <v>162</v>
      </c>
      <c r="F205" s="33"/>
      <c r="G205" s="29"/>
      <c r="H205" s="34"/>
      <c r="I205" s="35"/>
      <c r="J205" s="36">
        <v>1022.67</v>
      </c>
      <c r="K205" s="35"/>
      <c r="L205" s="36">
        <v>1293.8800000000001</v>
      </c>
      <c r="M205" s="35"/>
      <c r="N205" s="36">
        <v>1155.98</v>
      </c>
      <c r="O205" s="35"/>
      <c r="P205" s="36">
        <v>1168.52</v>
      </c>
      <c r="Q205" s="35"/>
      <c r="R205" s="36">
        <v>647.48</v>
      </c>
      <c r="S205" s="35"/>
      <c r="T205" s="36">
        <v>1333.25</v>
      </c>
      <c r="U205" s="35"/>
      <c r="V205" s="36">
        <v>1039.46</v>
      </c>
      <c r="W205" s="35"/>
      <c r="X205" s="36">
        <v>1039.46</v>
      </c>
      <c r="Y205" s="35"/>
      <c r="Z205" s="36">
        <v>1039.46</v>
      </c>
      <c r="AA205" s="35"/>
      <c r="AB205" s="36">
        <v>1039.46</v>
      </c>
      <c r="AC205" s="35"/>
      <c r="AD205" s="36">
        <v>1197.1300000000001</v>
      </c>
      <c r="AE205" s="35"/>
      <c r="AF205" s="36">
        <v>1039.46</v>
      </c>
      <c r="AG205" s="35"/>
      <c r="AH205" s="36">
        <f t="shared" si="20"/>
        <v>13016.210000000001</v>
      </c>
      <c r="AI205" s="37">
        <f t="shared" si="21"/>
        <v>1.9252436852706814E-4</v>
      </c>
      <c r="AJ205" s="38"/>
    </row>
    <row r="206" spans="2:36" outlineLevel="1">
      <c r="B206" s="31" t="s">
        <v>56</v>
      </c>
      <c r="D206" s="32">
        <v>57353</v>
      </c>
      <c r="E206" s="32" t="s">
        <v>163</v>
      </c>
      <c r="F206" s="33"/>
      <c r="G206" s="29"/>
      <c r="H206" s="34"/>
      <c r="I206" s="35"/>
      <c r="J206" s="36">
        <v>560</v>
      </c>
      <c r="K206" s="35"/>
      <c r="L206" s="36">
        <v>1662.5</v>
      </c>
      <c r="M206" s="35"/>
      <c r="N206" s="36">
        <v>0</v>
      </c>
      <c r="O206" s="35"/>
      <c r="P206" s="36">
        <v>750</v>
      </c>
      <c r="Q206" s="35"/>
      <c r="R206" s="36">
        <v>1141.25</v>
      </c>
      <c r="S206" s="35"/>
      <c r="T206" s="36">
        <v>635</v>
      </c>
      <c r="U206" s="35"/>
      <c r="V206" s="36">
        <v>-77.5</v>
      </c>
      <c r="W206" s="35"/>
      <c r="X206" s="36">
        <v>332.5</v>
      </c>
      <c r="Y206" s="35"/>
      <c r="Z206" s="36">
        <v>717</v>
      </c>
      <c r="AA206" s="35"/>
      <c r="AB206" s="36">
        <v>817.5</v>
      </c>
      <c r="AC206" s="35"/>
      <c r="AD206" s="36">
        <v>598.75</v>
      </c>
      <c r="AE206" s="35"/>
      <c r="AF206" s="36">
        <v>365</v>
      </c>
      <c r="AG206" s="35"/>
      <c r="AH206" s="36">
        <f t="shared" si="20"/>
        <v>7502</v>
      </c>
      <c r="AI206" s="37">
        <f t="shared" si="21"/>
        <v>1.1096300787172804E-4</v>
      </c>
      <c r="AJ206" s="38"/>
    </row>
    <row r="207" spans="2:36" outlineLevel="1">
      <c r="B207" s="31" t="s">
        <v>56</v>
      </c>
      <c r="D207" s="32">
        <v>57357</v>
      </c>
      <c r="E207" s="32" t="s">
        <v>164</v>
      </c>
      <c r="F207" s="33"/>
      <c r="G207" s="29"/>
      <c r="H207" s="34"/>
      <c r="I207" s="35"/>
      <c r="J207" s="36">
        <v>0</v>
      </c>
      <c r="K207" s="35"/>
      <c r="L207" s="36">
        <v>330</v>
      </c>
      <c r="M207" s="35"/>
      <c r="N207" s="36">
        <v>100</v>
      </c>
      <c r="O207" s="35"/>
      <c r="P207" s="36">
        <v>3307.26</v>
      </c>
      <c r="Q207" s="35"/>
      <c r="R207" s="36">
        <v>241.15</v>
      </c>
      <c r="S207" s="35"/>
      <c r="T207" s="36">
        <v>0</v>
      </c>
      <c r="U207" s="35"/>
      <c r="V207" s="36">
        <v>0</v>
      </c>
      <c r="W207" s="35"/>
      <c r="X207" s="36">
        <v>0</v>
      </c>
      <c r="Y207" s="35"/>
      <c r="Z207" s="36">
        <v>75</v>
      </c>
      <c r="AA207" s="35"/>
      <c r="AB207" s="36">
        <v>10</v>
      </c>
      <c r="AC207" s="35"/>
      <c r="AD207" s="36">
        <v>0</v>
      </c>
      <c r="AE207" s="35"/>
      <c r="AF207" s="36">
        <v>0</v>
      </c>
      <c r="AG207" s="35"/>
      <c r="AH207" s="36">
        <f t="shared" si="20"/>
        <v>4063.4100000000003</v>
      </c>
      <c r="AI207" s="37">
        <f t="shared" si="21"/>
        <v>6.0102398802460471E-5</v>
      </c>
      <c r="AJ207" s="38"/>
    </row>
    <row r="208" spans="2:36" outlineLevel="1">
      <c r="B208" s="31" t="s">
        <v>56</v>
      </c>
      <c r="D208" s="32">
        <v>57370</v>
      </c>
      <c r="E208" s="32" t="s">
        <v>165</v>
      </c>
      <c r="F208" s="33"/>
      <c r="G208" s="29"/>
      <c r="H208" s="34"/>
      <c r="I208" s="35"/>
      <c r="J208" s="36">
        <v>-3033.99</v>
      </c>
      <c r="K208" s="35"/>
      <c r="L208" s="36">
        <v>3876.98</v>
      </c>
      <c r="M208" s="35"/>
      <c r="N208" s="36">
        <v>3446.67</v>
      </c>
      <c r="O208" s="35"/>
      <c r="P208" s="36">
        <v>3478.34</v>
      </c>
      <c r="Q208" s="35"/>
      <c r="R208" s="36">
        <v>3388.34</v>
      </c>
      <c r="S208" s="35"/>
      <c r="T208" s="36">
        <v>3388.33</v>
      </c>
      <c r="U208" s="35"/>
      <c r="V208" s="36">
        <v>3888.33</v>
      </c>
      <c r="W208" s="35"/>
      <c r="X208" s="36">
        <v>3513.33</v>
      </c>
      <c r="Y208" s="35"/>
      <c r="Z208" s="36">
        <v>3302.66</v>
      </c>
      <c r="AA208" s="35"/>
      <c r="AB208" s="36">
        <v>3346.43</v>
      </c>
      <c r="AC208" s="35"/>
      <c r="AD208" s="36">
        <v>3346.43</v>
      </c>
      <c r="AE208" s="35"/>
      <c r="AF208" s="36">
        <v>3346.42</v>
      </c>
      <c r="AG208" s="35"/>
      <c r="AH208" s="36">
        <f t="shared" si="20"/>
        <v>35288.270000000004</v>
      </c>
      <c r="AI208" s="37">
        <f t="shared" si="21"/>
        <v>5.2195315673016056E-4</v>
      </c>
      <c r="AJ208" s="38"/>
    </row>
    <row r="209" spans="2:36" s="34" customFormat="1" ht="5.0999999999999996" customHeight="1" outlineLevel="1">
      <c r="B209" s="63" t="s">
        <v>47</v>
      </c>
      <c r="D209" s="33"/>
      <c r="E209" s="33"/>
      <c r="F209" s="33"/>
      <c r="G209" s="33"/>
      <c r="J209" s="68"/>
      <c r="K209" s="66"/>
      <c r="L209" s="68"/>
      <c r="M209" s="66"/>
      <c r="N209" s="68"/>
      <c r="O209" s="66"/>
      <c r="P209" s="68"/>
      <c r="Q209" s="66"/>
      <c r="R209" s="68"/>
      <c r="S209" s="66"/>
      <c r="T209" s="68"/>
      <c r="U209" s="66"/>
      <c r="V209" s="68"/>
      <c r="W209" s="66"/>
      <c r="X209" s="68"/>
      <c r="Y209" s="66"/>
      <c r="Z209" s="68"/>
      <c r="AA209" s="66"/>
      <c r="AB209" s="68"/>
      <c r="AC209" s="66"/>
      <c r="AD209" s="68"/>
      <c r="AE209" s="66"/>
      <c r="AF209" s="68"/>
      <c r="AG209" s="66"/>
      <c r="AH209" s="68"/>
      <c r="AI209" s="62"/>
      <c r="AJ209" s="43"/>
    </row>
    <row r="210" spans="2:36" s="34" customFormat="1" ht="15">
      <c r="B210" s="63" t="s">
        <v>47</v>
      </c>
      <c r="F210" s="33" t="s">
        <v>166</v>
      </c>
      <c r="J210" s="65">
        <f>SUM(J193:J209)</f>
        <v>45473.22</v>
      </c>
      <c r="K210" s="66"/>
      <c r="L210" s="65">
        <f>SUM(L193:L209)</f>
        <v>55014.180000000008</v>
      </c>
      <c r="M210" s="66"/>
      <c r="N210" s="65">
        <f>SUM(N193:N209)</f>
        <v>45434.580000000009</v>
      </c>
      <c r="O210" s="66"/>
      <c r="P210" s="65">
        <f>SUM(P193:P209)</f>
        <v>48347.030000000013</v>
      </c>
      <c r="Q210" s="66"/>
      <c r="R210" s="65">
        <f>SUM(R193:R209)</f>
        <v>65532.020000000004</v>
      </c>
      <c r="S210" s="66"/>
      <c r="T210" s="65">
        <f>SUM(T193:T209)</f>
        <v>53370.34</v>
      </c>
      <c r="U210" s="66"/>
      <c r="V210" s="65">
        <f>SUM(V193:V209)</f>
        <v>69574.61</v>
      </c>
      <c r="W210" s="66"/>
      <c r="X210" s="65">
        <f>SUM(X193:X209)</f>
        <v>52878.44</v>
      </c>
      <c r="Y210" s="66"/>
      <c r="Z210" s="65">
        <f>SUM(Z193:Z209)</f>
        <v>63699.850000000006</v>
      </c>
      <c r="AA210" s="66"/>
      <c r="AB210" s="65">
        <f>SUM(AB193:AB209)</f>
        <v>51287.08</v>
      </c>
      <c r="AC210" s="66"/>
      <c r="AD210" s="65">
        <f>SUM(AD193:AD209)</f>
        <v>61282.36</v>
      </c>
      <c r="AE210" s="66"/>
      <c r="AF210" s="65">
        <f>SUM(AF193:AF209)</f>
        <v>49492.029999999992</v>
      </c>
      <c r="AG210" s="66"/>
      <c r="AH210" s="65">
        <f>SUM(AH193:AH209)</f>
        <v>661385.74</v>
      </c>
      <c r="AI210" s="37">
        <f>IF(AH$60=0,0,AH210/AH$60)</f>
        <v>9.7826381063541284E-3</v>
      </c>
      <c r="AJ210" s="43"/>
    </row>
    <row r="211" spans="2:36" s="34" customFormat="1" ht="15" outlineLevel="1">
      <c r="B211" s="63"/>
      <c r="J211" s="67"/>
      <c r="K211" s="66"/>
      <c r="L211" s="67"/>
      <c r="M211" s="66"/>
      <c r="N211" s="67"/>
      <c r="O211" s="66"/>
      <c r="P211" s="67"/>
      <c r="Q211" s="66"/>
      <c r="R211" s="67"/>
      <c r="S211" s="66"/>
      <c r="T211" s="67"/>
      <c r="U211" s="66"/>
      <c r="V211" s="67"/>
      <c r="W211" s="66"/>
      <c r="X211" s="67"/>
      <c r="Y211" s="66"/>
      <c r="Z211" s="67"/>
      <c r="AA211" s="66"/>
      <c r="AB211" s="67"/>
      <c r="AC211" s="66"/>
      <c r="AD211" s="67"/>
      <c r="AE211" s="66"/>
      <c r="AF211" s="67"/>
      <c r="AG211" s="66"/>
      <c r="AH211" s="67"/>
      <c r="AI211" s="62"/>
      <c r="AJ211" s="43"/>
    </row>
    <row r="212" spans="2:36" s="34" customFormat="1" ht="15" outlineLevel="1">
      <c r="B212" s="63"/>
      <c r="D212" s="39"/>
      <c r="E212" s="39"/>
      <c r="F212" s="39"/>
      <c r="G212" s="39"/>
      <c r="H212" s="39"/>
      <c r="I212" s="39"/>
      <c r="J212" s="74"/>
      <c r="K212" s="75"/>
      <c r="L212" s="74"/>
      <c r="M212" s="75"/>
      <c r="N212" s="74"/>
      <c r="O212" s="75"/>
      <c r="P212" s="74"/>
      <c r="Q212" s="75"/>
      <c r="R212" s="74"/>
      <c r="S212" s="75"/>
      <c r="T212" s="74"/>
      <c r="U212" s="75"/>
      <c r="V212" s="74"/>
      <c r="W212" s="75"/>
      <c r="X212" s="74"/>
      <c r="Y212" s="75"/>
      <c r="Z212" s="74"/>
      <c r="AA212" s="75"/>
      <c r="AB212" s="74"/>
      <c r="AC212" s="75"/>
      <c r="AD212" s="74"/>
      <c r="AE212" s="75"/>
      <c r="AF212" s="74"/>
      <c r="AG212" s="75"/>
      <c r="AH212" s="74"/>
      <c r="AI212" s="39"/>
      <c r="AJ212" s="39"/>
    </row>
    <row r="213" spans="2:36" s="34" customFormat="1" ht="4.5" customHeight="1" outlineLevel="1">
      <c r="B213" s="63"/>
      <c r="D213" s="69"/>
      <c r="J213" s="68"/>
      <c r="K213" s="66"/>
      <c r="L213" s="68"/>
      <c r="M213" s="66"/>
      <c r="N213" s="68"/>
      <c r="O213" s="66"/>
      <c r="P213" s="68"/>
      <c r="Q213" s="66"/>
      <c r="R213" s="68"/>
      <c r="S213" s="66"/>
      <c r="T213" s="68"/>
      <c r="U213" s="66"/>
      <c r="V213" s="68"/>
      <c r="W213" s="66"/>
      <c r="X213" s="68"/>
      <c r="Y213" s="66"/>
      <c r="Z213" s="68"/>
      <c r="AA213" s="66"/>
      <c r="AB213" s="68"/>
      <c r="AC213" s="66"/>
      <c r="AD213" s="68"/>
      <c r="AE213" s="66"/>
      <c r="AF213" s="68"/>
      <c r="AG213" s="66"/>
      <c r="AH213" s="68"/>
      <c r="AI213" s="62"/>
      <c r="AJ213" s="43"/>
    </row>
    <row r="214" spans="2:36" s="34" customFormat="1" ht="15">
      <c r="B214" s="63"/>
      <c r="F214" s="34" t="s">
        <v>167</v>
      </c>
      <c r="J214" s="65">
        <f>SUM(J212:J213)</f>
        <v>0</v>
      </c>
      <c r="K214" s="66"/>
      <c r="L214" s="65">
        <f>SUM(L212:L213)</f>
        <v>0</v>
      </c>
      <c r="M214" s="66"/>
      <c r="N214" s="65">
        <f>SUM(N212:N213)</f>
        <v>0</v>
      </c>
      <c r="O214" s="66"/>
      <c r="P214" s="65">
        <f>SUM(P212:P213)</f>
        <v>0</v>
      </c>
      <c r="Q214" s="66"/>
      <c r="R214" s="65">
        <f>SUM(R212:R213)</f>
        <v>0</v>
      </c>
      <c r="S214" s="66"/>
      <c r="T214" s="65">
        <f>SUM(T212:T213)</f>
        <v>0</v>
      </c>
      <c r="U214" s="66"/>
      <c r="V214" s="65">
        <f>SUM(V212:V213)</f>
        <v>0</v>
      </c>
      <c r="W214" s="66"/>
      <c r="X214" s="65">
        <f>SUM(X212:X213)</f>
        <v>0</v>
      </c>
      <c r="Y214" s="66"/>
      <c r="Z214" s="65">
        <f>SUM(Z212:Z213)</f>
        <v>0</v>
      </c>
      <c r="AA214" s="66"/>
      <c r="AB214" s="65">
        <f>SUM(AB212:AB213)</f>
        <v>0</v>
      </c>
      <c r="AC214" s="66"/>
      <c r="AD214" s="65">
        <f>SUM(AD212:AD213)</f>
        <v>0</v>
      </c>
      <c r="AE214" s="66"/>
      <c r="AF214" s="65">
        <f>SUM(AF212:AF213)</f>
        <v>0</v>
      </c>
      <c r="AG214" s="66"/>
      <c r="AH214" s="65">
        <f>SUM(AH212:AH213)</f>
        <v>0</v>
      </c>
      <c r="AI214" s="37">
        <f>IF(AH$60=0,0,AH214/AH$60)</f>
        <v>0</v>
      </c>
      <c r="AJ214" s="43"/>
    </row>
    <row r="215" spans="2:36" s="34" customFormat="1" ht="15" outlineLevel="1">
      <c r="B215" s="63"/>
      <c r="J215" s="67"/>
      <c r="K215" s="66"/>
      <c r="L215" s="67"/>
      <c r="M215" s="66"/>
      <c r="N215" s="67"/>
      <c r="O215" s="66"/>
      <c r="P215" s="67"/>
      <c r="Q215" s="66"/>
      <c r="R215" s="67"/>
      <c r="S215" s="66"/>
      <c r="T215" s="67"/>
      <c r="U215" s="66"/>
      <c r="V215" s="67"/>
      <c r="W215" s="66"/>
      <c r="X215" s="67"/>
      <c r="Y215" s="66"/>
      <c r="Z215" s="67"/>
      <c r="AA215" s="66"/>
      <c r="AB215" s="67"/>
      <c r="AC215" s="66"/>
      <c r="AD215" s="67"/>
      <c r="AE215" s="66"/>
      <c r="AF215" s="67"/>
      <c r="AG215" s="66"/>
      <c r="AH215" s="67"/>
      <c r="AI215" s="62"/>
      <c r="AJ215" s="43"/>
    </row>
    <row r="216" spans="2:36" s="34" customFormat="1" ht="15" outlineLevel="1">
      <c r="B216" s="63"/>
      <c r="J216" s="67"/>
      <c r="K216" s="66"/>
      <c r="L216" s="67"/>
      <c r="M216" s="66"/>
      <c r="N216" s="67"/>
      <c r="O216" s="66"/>
      <c r="P216" s="67"/>
      <c r="Q216" s="66"/>
      <c r="R216" s="67"/>
      <c r="S216" s="66"/>
      <c r="T216" s="67"/>
      <c r="U216" s="66"/>
      <c r="V216" s="67"/>
      <c r="W216" s="66"/>
      <c r="X216" s="67"/>
      <c r="Y216" s="66"/>
      <c r="Z216" s="67"/>
      <c r="AA216" s="66"/>
      <c r="AB216" s="67"/>
      <c r="AC216" s="66"/>
      <c r="AD216" s="67"/>
      <c r="AE216" s="66"/>
      <c r="AF216" s="67"/>
      <c r="AG216" s="66"/>
      <c r="AH216" s="67"/>
      <c r="AI216" s="62"/>
      <c r="AJ216" s="43"/>
    </row>
    <row r="217" spans="2:36" outlineLevel="1">
      <c r="B217" s="31" t="s">
        <v>168</v>
      </c>
      <c r="D217" s="32">
        <v>59340</v>
      </c>
      <c r="E217" s="32" t="s">
        <v>169</v>
      </c>
      <c r="F217" s="33"/>
      <c r="G217" s="29"/>
      <c r="H217" s="34"/>
      <c r="I217" s="35"/>
      <c r="J217" s="36">
        <v>15579.88</v>
      </c>
      <c r="K217" s="35"/>
      <c r="L217" s="36">
        <v>15579.88</v>
      </c>
      <c r="M217" s="35"/>
      <c r="N217" s="36">
        <v>15579.88</v>
      </c>
      <c r="O217" s="35"/>
      <c r="P217" s="36">
        <v>16245.1</v>
      </c>
      <c r="Q217" s="35"/>
      <c r="R217" s="36">
        <v>16245.1</v>
      </c>
      <c r="S217" s="35"/>
      <c r="T217" s="36">
        <v>16245.1</v>
      </c>
      <c r="U217" s="35"/>
      <c r="V217" s="36">
        <v>16245.1</v>
      </c>
      <c r="W217" s="35"/>
      <c r="X217" s="36">
        <v>16245.1</v>
      </c>
      <c r="Y217" s="35"/>
      <c r="Z217" s="36">
        <v>16245.1</v>
      </c>
      <c r="AA217" s="35"/>
      <c r="AB217" s="36">
        <v>16245.1</v>
      </c>
      <c r="AC217" s="35"/>
      <c r="AD217" s="36">
        <v>16245.1</v>
      </c>
      <c r="AE217" s="35"/>
      <c r="AF217" s="36">
        <v>16245.1</v>
      </c>
      <c r="AG217" s="35"/>
      <c r="AH217" s="36">
        <f t="shared" ref="AH217:AH223" si="22">AF217+AD217+AB217+Z217+X217+V217+T217+R217+P217+N217+L217+J217</f>
        <v>192945.54000000004</v>
      </c>
      <c r="AI217" s="37">
        <f t="shared" ref="AI217:AI223" si="23">IF(AH$60=0,0,AH217/AH$60)</f>
        <v>2.8538812948326873E-3</v>
      </c>
      <c r="AJ217" s="38"/>
    </row>
    <row r="218" spans="2:36" outlineLevel="1">
      <c r="B218" s="31" t="s">
        <v>56</v>
      </c>
      <c r="D218" s="32">
        <v>59341</v>
      </c>
      <c r="E218" s="32" t="s">
        <v>170</v>
      </c>
      <c r="F218" s="33"/>
      <c r="G218" s="29"/>
      <c r="H218" s="34"/>
      <c r="I218" s="35"/>
      <c r="J218" s="36">
        <v>0</v>
      </c>
      <c r="K218" s="35"/>
      <c r="L218" s="36">
        <v>-1479.5</v>
      </c>
      <c r="M218" s="35"/>
      <c r="N218" s="36">
        <v>5250</v>
      </c>
      <c r="O218" s="35"/>
      <c r="P218" s="36">
        <v>0</v>
      </c>
      <c r="Q218" s="35"/>
      <c r="R218" s="36">
        <v>0</v>
      </c>
      <c r="S218" s="35"/>
      <c r="T218" s="36">
        <v>0</v>
      </c>
      <c r="U218" s="35"/>
      <c r="V218" s="36">
        <v>22010</v>
      </c>
      <c r="W218" s="35"/>
      <c r="X218" s="36">
        <v>6446.1</v>
      </c>
      <c r="Y218" s="35"/>
      <c r="Z218" s="36">
        <v>11218.99</v>
      </c>
      <c r="AA218" s="35"/>
      <c r="AB218" s="36">
        <v>3795.93</v>
      </c>
      <c r="AC218" s="35"/>
      <c r="AD218" s="36">
        <v>7077.44</v>
      </c>
      <c r="AE218" s="35"/>
      <c r="AF218" s="36">
        <v>2777.32</v>
      </c>
      <c r="AG218" s="35"/>
      <c r="AH218" s="36">
        <f t="shared" si="22"/>
        <v>57096.28</v>
      </c>
      <c r="AI218" s="37">
        <f t="shared" si="23"/>
        <v>8.4451812411175521E-4</v>
      </c>
      <c r="AJ218" s="38"/>
    </row>
    <row r="219" spans="2:36" outlineLevel="1">
      <c r="B219" s="31" t="s">
        <v>56</v>
      </c>
      <c r="D219" s="32">
        <v>59342</v>
      </c>
      <c r="E219" s="32" t="s">
        <v>171</v>
      </c>
      <c r="F219" s="33"/>
      <c r="G219" s="29"/>
      <c r="H219" s="34"/>
      <c r="I219" s="35"/>
      <c r="J219" s="36">
        <v>0.06</v>
      </c>
      <c r="K219" s="35"/>
      <c r="L219" s="36">
        <v>74999.649999999994</v>
      </c>
      <c r="M219" s="35"/>
      <c r="N219" s="36">
        <v>0</v>
      </c>
      <c r="O219" s="35"/>
      <c r="P219" s="36">
        <v>414293.49</v>
      </c>
      <c r="Q219" s="35"/>
      <c r="R219" s="36">
        <v>36120.69</v>
      </c>
      <c r="S219" s="35"/>
      <c r="T219" s="36">
        <v>-385550.35</v>
      </c>
      <c r="U219" s="35"/>
      <c r="V219" s="36">
        <v>0.2</v>
      </c>
      <c r="W219" s="35"/>
      <c r="X219" s="36">
        <v>-1632.68</v>
      </c>
      <c r="Y219" s="35"/>
      <c r="Z219" s="36">
        <v>16.489999999999998</v>
      </c>
      <c r="AA219" s="35"/>
      <c r="AB219" s="36">
        <v>-0.01</v>
      </c>
      <c r="AC219" s="35"/>
      <c r="AD219" s="36">
        <v>0.22</v>
      </c>
      <c r="AE219" s="35"/>
      <c r="AF219" s="36">
        <v>23000</v>
      </c>
      <c r="AG219" s="35"/>
      <c r="AH219" s="36">
        <f t="shared" si="22"/>
        <v>161247.76000000004</v>
      </c>
      <c r="AI219" s="37">
        <f t="shared" si="23"/>
        <v>2.3850355188187841E-3</v>
      </c>
      <c r="AJ219" s="38"/>
    </row>
    <row r="220" spans="2:36" outlineLevel="1">
      <c r="B220" s="31" t="s">
        <v>56</v>
      </c>
      <c r="D220" s="32">
        <v>59343</v>
      </c>
      <c r="E220" s="32" t="s">
        <v>172</v>
      </c>
      <c r="F220" s="33"/>
      <c r="G220" s="29"/>
      <c r="H220" s="34"/>
      <c r="I220" s="35"/>
      <c r="J220" s="36">
        <v>4080</v>
      </c>
      <c r="K220" s="35"/>
      <c r="L220" s="36">
        <v>3577</v>
      </c>
      <c r="M220" s="35"/>
      <c r="N220" s="36">
        <v>3168</v>
      </c>
      <c r="O220" s="35"/>
      <c r="P220" s="36">
        <v>2800</v>
      </c>
      <c r="Q220" s="35"/>
      <c r="R220" s="36">
        <v>17045</v>
      </c>
      <c r="S220" s="35"/>
      <c r="T220" s="36">
        <v>0</v>
      </c>
      <c r="U220" s="35"/>
      <c r="V220" s="36">
        <v>2800</v>
      </c>
      <c r="W220" s="35"/>
      <c r="X220" s="36">
        <v>12750</v>
      </c>
      <c r="Y220" s="35"/>
      <c r="Z220" s="36">
        <v>5390</v>
      </c>
      <c r="AA220" s="35"/>
      <c r="AB220" s="36">
        <v>22630</v>
      </c>
      <c r="AC220" s="35"/>
      <c r="AD220" s="36">
        <v>5995</v>
      </c>
      <c r="AE220" s="35"/>
      <c r="AF220" s="36">
        <v>-5797</v>
      </c>
      <c r="AG220" s="35"/>
      <c r="AH220" s="36">
        <f t="shared" si="22"/>
        <v>74438</v>
      </c>
      <c r="AI220" s="37">
        <f t="shared" si="23"/>
        <v>1.1010216448887884E-3</v>
      </c>
      <c r="AJ220" s="38"/>
    </row>
    <row r="221" spans="2:36" outlineLevel="1">
      <c r="B221" s="31" t="s">
        <v>56</v>
      </c>
      <c r="D221" s="32">
        <v>59344</v>
      </c>
      <c r="E221" s="32" t="s">
        <v>173</v>
      </c>
      <c r="F221" s="33"/>
      <c r="G221" s="29"/>
      <c r="H221" s="34"/>
      <c r="I221" s="35"/>
      <c r="J221" s="36">
        <v>0</v>
      </c>
      <c r="K221" s="35"/>
      <c r="L221" s="36">
        <v>5674.96</v>
      </c>
      <c r="M221" s="35"/>
      <c r="N221" s="36">
        <v>-233.3</v>
      </c>
      <c r="O221" s="35"/>
      <c r="P221" s="36">
        <v>-15183.1</v>
      </c>
      <c r="Q221" s="35"/>
      <c r="R221" s="36">
        <v>-22618.880000000001</v>
      </c>
      <c r="S221" s="35"/>
      <c r="T221" s="36">
        <v>12386.65</v>
      </c>
      <c r="U221" s="35"/>
      <c r="V221" s="36">
        <v>7.8</v>
      </c>
      <c r="W221" s="35"/>
      <c r="X221" s="36">
        <v>-2216.0500000000002</v>
      </c>
      <c r="Y221" s="35"/>
      <c r="Z221" s="36">
        <v>0</v>
      </c>
      <c r="AA221" s="35"/>
      <c r="AB221" s="36">
        <v>0</v>
      </c>
      <c r="AC221" s="35"/>
      <c r="AD221" s="36">
        <v>-13812.24</v>
      </c>
      <c r="AE221" s="35"/>
      <c r="AF221" s="36">
        <v>0</v>
      </c>
      <c r="AG221" s="35"/>
      <c r="AH221" s="36">
        <f t="shared" si="22"/>
        <v>-35994.160000000003</v>
      </c>
      <c r="AI221" s="37">
        <f t="shared" si="23"/>
        <v>-5.3239406283874153E-4</v>
      </c>
      <c r="AJ221" s="38"/>
    </row>
    <row r="222" spans="2:36" outlineLevel="1">
      <c r="B222" s="31" t="s">
        <v>56</v>
      </c>
      <c r="D222" s="32">
        <v>59400</v>
      </c>
      <c r="E222" s="32" t="s">
        <v>174</v>
      </c>
      <c r="F222" s="33"/>
      <c r="G222" s="29"/>
      <c r="H222" s="34"/>
      <c r="I222" s="35"/>
      <c r="J222" s="36">
        <v>-2028.16</v>
      </c>
      <c r="K222" s="35"/>
      <c r="L222" s="36">
        <v>10823.21</v>
      </c>
      <c r="M222" s="35"/>
      <c r="N222" s="36">
        <v>2000</v>
      </c>
      <c r="O222" s="35"/>
      <c r="P222" s="36">
        <v>186.69</v>
      </c>
      <c r="Q222" s="35"/>
      <c r="R222" s="36">
        <v>0</v>
      </c>
      <c r="S222" s="35"/>
      <c r="T222" s="36">
        <v>0</v>
      </c>
      <c r="U222" s="35"/>
      <c r="V222" s="36">
        <v>0</v>
      </c>
      <c r="W222" s="35"/>
      <c r="X222" s="36">
        <v>2278.5700000000002</v>
      </c>
      <c r="Y222" s="35"/>
      <c r="Z222" s="36">
        <v>0</v>
      </c>
      <c r="AA222" s="35"/>
      <c r="AB222" s="36">
        <v>0</v>
      </c>
      <c r="AC222" s="35"/>
      <c r="AD222" s="36">
        <v>0</v>
      </c>
      <c r="AE222" s="35"/>
      <c r="AF222" s="36">
        <v>0</v>
      </c>
      <c r="AG222" s="35"/>
      <c r="AH222" s="36">
        <f t="shared" si="22"/>
        <v>13260.31</v>
      </c>
      <c r="AI222" s="37">
        <f t="shared" si="23"/>
        <v>1.9613488175307303E-4</v>
      </c>
      <c r="AJ222" s="38"/>
    </row>
    <row r="223" spans="2:36" outlineLevel="1">
      <c r="B223" s="31" t="s">
        <v>56</v>
      </c>
      <c r="D223" s="32">
        <v>59500</v>
      </c>
      <c r="E223" s="32" t="s">
        <v>175</v>
      </c>
      <c r="F223" s="33"/>
      <c r="G223" s="29"/>
      <c r="H223" s="34"/>
      <c r="I223" s="35"/>
      <c r="J223" s="36">
        <v>2531.17</v>
      </c>
      <c r="K223" s="35"/>
      <c r="L223" s="36">
        <v>6161.99</v>
      </c>
      <c r="M223" s="35"/>
      <c r="N223" s="36">
        <v>2895.89</v>
      </c>
      <c r="O223" s="35"/>
      <c r="P223" s="36">
        <v>2895.89</v>
      </c>
      <c r="Q223" s="35"/>
      <c r="R223" s="36">
        <v>5905.49</v>
      </c>
      <c r="S223" s="35"/>
      <c r="T223" s="36">
        <v>3166.16</v>
      </c>
      <c r="U223" s="35"/>
      <c r="V223" s="36">
        <v>3300.39</v>
      </c>
      <c r="W223" s="35"/>
      <c r="X223" s="36">
        <v>3936.8</v>
      </c>
      <c r="Y223" s="35"/>
      <c r="Z223" s="36">
        <v>3416.1</v>
      </c>
      <c r="AA223" s="35"/>
      <c r="AB223" s="36">
        <v>3403.9</v>
      </c>
      <c r="AC223" s="35"/>
      <c r="AD223" s="36">
        <v>4422.5600000000004</v>
      </c>
      <c r="AE223" s="35"/>
      <c r="AF223" s="36">
        <v>3642.9</v>
      </c>
      <c r="AG223" s="35"/>
      <c r="AH223" s="36">
        <f t="shared" si="22"/>
        <v>45679.24</v>
      </c>
      <c r="AI223" s="37">
        <f t="shared" si="23"/>
        <v>6.7564727641889551E-4</v>
      </c>
      <c r="AJ223" s="38"/>
    </row>
    <row r="224" spans="2:36" s="34" customFormat="1" ht="5.0999999999999996" customHeight="1" outlineLevel="1">
      <c r="B224" s="63" t="s">
        <v>47</v>
      </c>
      <c r="D224" s="33"/>
      <c r="E224" s="33"/>
      <c r="F224" s="33"/>
      <c r="G224" s="33"/>
      <c r="J224" s="68"/>
      <c r="K224" s="66"/>
      <c r="L224" s="68"/>
      <c r="M224" s="66"/>
      <c r="N224" s="68"/>
      <c r="O224" s="66"/>
      <c r="P224" s="68"/>
      <c r="Q224" s="66"/>
      <c r="R224" s="68"/>
      <c r="S224" s="66"/>
      <c r="T224" s="68"/>
      <c r="U224" s="66"/>
      <c r="V224" s="68"/>
      <c r="W224" s="66"/>
      <c r="X224" s="68"/>
      <c r="Y224" s="66"/>
      <c r="Z224" s="68"/>
      <c r="AA224" s="66"/>
      <c r="AB224" s="68"/>
      <c r="AC224" s="66"/>
      <c r="AD224" s="68"/>
      <c r="AE224" s="66"/>
      <c r="AF224" s="68"/>
      <c r="AG224" s="66"/>
      <c r="AH224" s="68"/>
      <c r="AI224" s="62"/>
      <c r="AJ224" s="43"/>
    </row>
    <row r="225" spans="2:36" s="34" customFormat="1" ht="15">
      <c r="F225" s="33" t="s">
        <v>176</v>
      </c>
      <c r="J225" s="65">
        <f>SUM(J216:J224)</f>
        <v>20162.949999999997</v>
      </c>
      <c r="K225" s="66"/>
      <c r="L225" s="65">
        <f>SUM(L216:L224)</f>
        <v>115337.19000000002</v>
      </c>
      <c r="M225" s="66"/>
      <c r="N225" s="65">
        <f>SUM(N216:N224)</f>
        <v>28660.469999999998</v>
      </c>
      <c r="O225" s="66"/>
      <c r="P225" s="65">
        <f>SUM(P216:P224)</f>
        <v>421238.07</v>
      </c>
      <c r="Q225" s="66"/>
      <c r="R225" s="65">
        <f>SUM(R216:R224)</f>
        <v>52697.4</v>
      </c>
      <c r="S225" s="66"/>
      <c r="T225" s="65">
        <f>SUM(T216:T224)</f>
        <v>-353752.44</v>
      </c>
      <c r="U225" s="66"/>
      <c r="V225" s="65">
        <f>SUM(V216:V224)</f>
        <v>44363.49</v>
      </c>
      <c r="W225" s="66"/>
      <c r="X225" s="65">
        <f>SUM(X216:X224)</f>
        <v>37807.840000000011</v>
      </c>
      <c r="Y225" s="66"/>
      <c r="Z225" s="65">
        <f>SUM(Z216:Z224)</f>
        <v>36286.68</v>
      </c>
      <c r="AA225" s="66"/>
      <c r="AB225" s="65">
        <f>SUM(AB216:AB224)</f>
        <v>46074.920000000006</v>
      </c>
      <c r="AC225" s="66"/>
      <c r="AD225" s="65">
        <f>SUM(AD216:AD224)</f>
        <v>19928.080000000002</v>
      </c>
      <c r="AE225" s="66"/>
      <c r="AF225" s="65">
        <f>SUM(AF216:AF224)</f>
        <v>39868.32</v>
      </c>
      <c r="AG225" s="66"/>
      <c r="AH225" s="65">
        <f>SUM(AH216:AH224)</f>
        <v>508672.97000000003</v>
      </c>
      <c r="AI225" s="37">
        <f>IF(AH$60=0,0,AH225/AH$60)</f>
        <v>7.5238446779852418E-3</v>
      </c>
      <c r="AJ225" s="43"/>
    </row>
    <row r="226" spans="2:36" s="34" customFormat="1" ht="15" outlineLevel="1">
      <c r="B226" s="63" t="s">
        <v>47</v>
      </c>
      <c r="J226" s="67"/>
      <c r="K226" s="66"/>
      <c r="L226" s="67"/>
      <c r="M226" s="66"/>
      <c r="N226" s="67"/>
      <c r="O226" s="66"/>
      <c r="P226" s="67"/>
      <c r="Q226" s="66"/>
      <c r="R226" s="67"/>
      <c r="S226" s="66"/>
      <c r="T226" s="67"/>
      <c r="U226" s="66"/>
      <c r="V226" s="67"/>
      <c r="W226" s="66"/>
      <c r="X226" s="67"/>
      <c r="Y226" s="66"/>
      <c r="Z226" s="67"/>
      <c r="AA226" s="66"/>
      <c r="AB226" s="67"/>
      <c r="AC226" s="66"/>
      <c r="AD226" s="67"/>
      <c r="AE226" s="66"/>
      <c r="AF226" s="67"/>
      <c r="AG226" s="66"/>
      <c r="AH226" s="67"/>
      <c r="AI226" s="62"/>
      <c r="AJ226" s="43"/>
    </row>
    <row r="227" spans="2:36" outlineLevel="1">
      <c r="B227" s="31" t="s">
        <v>177</v>
      </c>
      <c r="D227" s="32">
        <v>91010</v>
      </c>
      <c r="E227" s="32" t="s">
        <v>178</v>
      </c>
      <c r="F227" s="33"/>
      <c r="G227" s="29"/>
      <c r="H227" s="34"/>
      <c r="I227" s="35"/>
      <c r="J227" s="36">
        <v>0</v>
      </c>
      <c r="K227" s="35"/>
      <c r="L227" s="36">
        <v>0</v>
      </c>
      <c r="M227" s="35"/>
      <c r="N227" s="36">
        <v>0</v>
      </c>
      <c r="O227" s="35"/>
      <c r="P227" s="36">
        <v>0</v>
      </c>
      <c r="Q227" s="35"/>
      <c r="R227" s="36">
        <v>-200</v>
      </c>
      <c r="S227" s="35"/>
      <c r="T227" s="36">
        <v>-1403.1</v>
      </c>
      <c r="U227" s="35"/>
      <c r="V227" s="36">
        <v>-541.79999999999995</v>
      </c>
      <c r="W227" s="35"/>
      <c r="X227" s="36">
        <v>0</v>
      </c>
      <c r="Y227" s="35"/>
      <c r="Z227" s="36">
        <v>0</v>
      </c>
      <c r="AA227" s="35"/>
      <c r="AB227" s="36">
        <v>0</v>
      </c>
      <c r="AC227" s="35"/>
      <c r="AD227" s="36">
        <v>0</v>
      </c>
      <c r="AE227" s="35"/>
      <c r="AF227" s="36">
        <v>0</v>
      </c>
      <c r="AG227" s="35"/>
      <c r="AH227" s="36">
        <f>AF227+AD227+AB227+Z227+X227+V227+T227+R227+P227+N227+L227+J227</f>
        <v>-2144.8999999999996</v>
      </c>
      <c r="AI227" s="37">
        <f>IF(AH$60=0,0,AH227/AH$60)</f>
        <v>-3.1725480616378224E-5</v>
      </c>
      <c r="AJ227" s="38"/>
    </row>
    <row r="228" spans="2:36" s="34" customFormat="1" ht="5.0999999999999996" customHeight="1" outlineLevel="1">
      <c r="B228" s="27" t="s">
        <v>47</v>
      </c>
      <c r="D228" s="33"/>
      <c r="E228" s="33"/>
      <c r="F228" s="33"/>
      <c r="G228" s="33"/>
      <c r="J228" s="68"/>
      <c r="K228" s="66"/>
      <c r="L228" s="68"/>
      <c r="M228" s="66"/>
      <c r="N228" s="68"/>
      <c r="O228" s="66"/>
      <c r="P228" s="68"/>
      <c r="Q228" s="66"/>
      <c r="R228" s="68"/>
      <c r="S228" s="66"/>
      <c r="T228" s="68"/>
      <c r="U228" s="66"/>
      <c r="V228" s="68"/>
      <c r="W228" s="66"/>
      <c r="X228" s="68"/>
      <c r="Y228" s="66"/>
      <c r="Z228" s="68"/>
      <c r="AA228" s="66"/>
      <c r="AB228" s="68"/>
      <c r="AC228" s="66"/>
      <c r="AD228" s="68"/>
      <c r="AE228" s="66"/>
      <c r="AF228" s="68"/>
      <c r="AG228" s="66"/>
      <c r="AH228" s="68"/>
      <c r="AI228" s="62"/>
      <c r="AJ228" s="43"/>
    </row>
    <row r="229" spans="2:36" s="34" customFormat="1" ht="15">
      <c r="B229" s="27" t="s">
        <v>47</v>
      </c>
      <c r="F229" s="32" t="s">
        <v>179</v>
      </c>
      <c r="J229" s="65">
        <f>SUM(J227:J228)</f>
        <v>0</v>
      </c>
      <c r="K229" s="66"/>
      <c r="L229" s="65">
        <f>SUM(L227:L228)</f>
        <v>0</v>
      </c>
      <c r="M229" s="66"/>
      <c r="N229" s="65">
        <f>SUM(N227:N228)</f>
        <v>0</v>
      </c>
      <c r="O229" s="66"/>
      <c r="P229" s="65">
        <f>SUM(P227:P228)</f>
        <v>0</v>
      </c>
      <c r="Q229" s="66"/>
      <c r="R229" s="65">
        <f>SUM(R227:R228)</f>
        <v>-200</v>
      </c>
      <c r="S229" s="66"/>
      <c r="T229" s="65">
        <f>SUM(T227:T228)</f>
        <v>-1403.1</v>
      </c>
      <c r="U229" s="66"/>
      <c r="V229" s="65">
        <f>SUM(V227:V228)</f>
        <v>-541.79999999999995</v>
      </c>
      <c r="W229" s="66"/>
      <c r="X229" s="65">
        <f>SUM(X227:X228)</f>
        <v>0</v>
      </c>
      <c r="Y229" s="66"/>
      <c r="Z229" s="65">
        <f>SUM(Z227:Z228)</f>
        <v>0</v>
      </c>
      <c r="AA229" s="66"/>
      <c r="AB229" s="65">
        <f>SUM(AB227:AB228)</f>
        <v>0</v>
      </c>
      <c r="AC229" s="66"/>
      <c r="AD229" s="65">
        <f>SUM(AD227:AD228)</f>
        <v>0</v>
      </c>
      <c r="AE229" s="66"/>
      <c r="AF229" s="65">
        <f>SUM(AF227:AF228)</f>
        <v>0</v>
      </c>
      <c r="AG229" s="66"/>
      <c r="AH229" s="65">
        <f>SUM(AH227:AH228)</f>
        <v>-2144.8999999999996</v>
      </c>
      <c r="AI229" s="37">
        <f>IF(AH$60=0,0,AH229/AH$60)</f>
        <v>-3.1725480616378224E-5</v>
      </c>
      <c r="AJ229" s="43"/>
    </row>
    <row r="230" spans="2:36" s="34" customFormat="1" ht="7.5" customHeight="1">
      <c r="B230" s="27"/>
      <c r="J230" s="67"/>
      <c r="K230" s="66"/>
      <c r="L230" s="67"/>
      <c r="M230" s="66"/>
      <c r="N230" s="67"/>
      <c r="O230" s="66"/>
      <c r="P230" s="67"/>
      <c r="Q230" s="66"/>
      <c r="R230" s="67"/>
      <c r="S230" s="66"/>
      <c r="T230" s="67"/>
      <c r="U230" s="66"/>
      <c r="V230" s="67"/>
      <c r="W230" s="66"/>
      <c r="X230" s="67"/>
      <c r="Y230" s="66"/>
      <c r="Z230" s="67"/>
      <c r="AA230" s="66"/>
      <c r="AB230" s="67"/>
      <c r="AC230" s="66"/>
      <c r="AD230" s="67"/>
      <c r="AE230" s="66"/>
      <c r="AF230" s="67"/>
      <c r="AG230" s="66"/>
      <c r="AH230" s="67"/>
      <c r="AI230" s="62"/>
      <c r="AJ230" s="43"/>
    </row>
    <row r="231" spans="2:36" s="34" customFormat="1" ht="15">
      <c r="B231" s="27"/>
      <c r="E231" s="73" t="s">
        <v>180</v>
      </c>
      <c r="J231" s="71">
        <f>+J113+J117+J152+J171+J191+J210+J225+J214+J229</f>
        <v>1401833.6099999996</v>
      </c>
      <c r="K231" s="66"/>
      <c r="L231" s="71">
        <f>+L113+L117+L152+L171+L191+L210+L225+L214+L229</f>
        <v>1596804.44</v>
      </c>
      <c r="M231" s="66"/>
      <c r="N231" s="71">
        <f>+N113+N117+N152+N171+N191+N210+N225+N214+N229</f>
        <v>1447922.9100000001</v>
      </c>
      <c r="O231" s="66"/>
      <c r="P231" s="71">
        <f>+P113+P117+P152+P171+P191+P210+P225+P214+P229</f>
        <v>1842008.96</v>
      </c>
      <c r="Q231" s="66"/>
      <c r="R231" s="71">
        <f>+R113+R117+R152+R171+R191+R210+R225+R214+R229</f>
        <v>1424248.4200000002</v>
      </c>
      <c r="S231" s="66"/>
      <c r="T231" s="71">
        <f>+T113+T117+T152+T171+T191+T210+T225+T214+T229</f>
        <v>1107163.67</v>
      </c>
      <c r="U231" s="66"/>
      <c r="V231" s="71">
        <f>+V113+V117+V152+V171+V191+V210+V225+V214+V229</f>
        <v>1467624.28</v>
      </c>
      <c r="W231" s="66"/>
      <c r="X231" s="71">
        <f>+X113+X117+X152+X171+X191+X210+X225+X214+X229</f>
        <v>1634920.24</v>
      </c>
      <c r="Y231" s="66"/>
      <c r="Z231" s="71">
        <f>+Z113+Z117+Z152+Z171+Z191+Z210+Z225+Z214+Z229</f>
        <v>1632088.39</v>
      </c>
      <c r="AA231" s="66"/>
      <c r="AB231" s="71">
        <f>+AB113+AB117+AB152+AB171+AB191+AB210+AB225+AB214+AB229</f>
        <v>1600922.11</v>
      </c>
      <c r="AC231" s="66"/>
      <c r="AD231" s="71">
        <f>+AD113+AD117+AD152+AD171+AD191+AD210+AD225+AD214+AD229</f>
        <v>1636296.5000000002</v>
      </c>
      <c r="AE231" s="66"/>
      <c r="AF231" s="71">
        <f>+AF113+AF117+AF152+AF171+AF191+AF210+AF225+AF214+AF229</f>
        <v>1554611.91</v>
      </c>
      <c r="AG231" s="66"/>
      <c r="AH231" s="71">
        <f>+AH113+AH117+AH152+AH171+AH191+AH210+AH225+AH214+AH229</f>
        <v>18346445.439999998</v>
      </c>
      <c r="AI231" s="37">
        <f>IF(AH$60=0,0,AH231/AH$60)</f>
        <v>0.27136453875992383</v>
      </c>
      <c r="AJ231" s="43"/>
    </row>
    <row r="232" spans="2:36" s="34" customFormat="1" ht="7.5" customHeight="1">
      <c r="B232" s="27"/>
      <c r="J232" s="67"/>
      <c r="K232" s="66"/>
      <c r="L232" s="67"/>
      <c r="M232" s="66"/>
      <c r="N232" s="67"/>
      <c r="O232" s="66"/>
      <c r="P232" s="67"/>
      <c r="Q232" s="66"/>
      <c r="R232" s="67"/>
      <c r="S232" s="66"/>
      <c r="T232" s="67"/>
      <c r="U232" s="66"/>
      <c r="V232" s="67"/>
      <c r="W232" s="66"/>
      <c r="X232" s="67"/>
      <c r="Y232" s="66"/>
      <c r="Z232" s="67"/>
      <c r="AA232" s="66"/>
      <c r="AB232" s="67"/>
      <c r="AC232" s="66"/>
      <c r="AD232" s="67"/>
      <c r="AE232" s="66"/>
      <c r="AF232" s="67"/>
      <c r="AG232" s="66"/>
      <c r="AH232" s="67"/>
      <c r="AI232" s="62"/>
      <c r="AJ232" s="43"/>
    </row>
    <row r="233" spans="2:36" s="34" customFormat="1" ht="15">
      <c r="B233" s="63" t="s">
        <v>47</v>
      </c>
      <c r="E233" s="73" t="s">
        <v>181</v>
      </c>
      <c r="J233" s="71">
        <f>J94-J231</f>
        <v>1820840.47</v>
      </c>
      <c r="K233" s="66"/>
      <c r="L233" s="71">
        <f>L94-L231</f>
        <v>1587887.75</v>
      </c>
      <c r="M233" s="66"/>
      <c r="N233" s="71">
        <f>N94-N231</f>
        <v>1788362.5300000003</v>
      </c>
      <c r="O233" s="66"/>
      <c r="P233" s="71">
        <f>P94-P231</f>
        <v>1334916.8300000005</v>
      </c>
      <c r="Q233" s="66"/>
      <c r="R233" s="71">
        <f>R94-R231</f>
        <v>1817089.5399999998</v>
      </c>
      <c r="S233" s="66"/>
      <c r="T233" s="71">
        <f>T94-T231</f>
        <v>2164049.4800000004</v>
      </c>
      <c r="U233" s="66"/>
      <c r="V233" s="71">
        <f>V94-V231</f>
        <v>1800981.32</v>
      </c>
      <c r="W233" s="66"/>
      <c r="X233" s="71">
        <f>X94-X231</f>
        <v>1576524.03</v>
      </c>
      <c r="Y233" s="66"/>
      <c r="Z233" s="71">
        <f>Z94-Z231</f>
        <v>1704689.6500000001</v>
      </c>
      <c r="AA233" s="66"/>
      <c r="AB233" s="71">
        <f>AB94-AB231</f>
        <v>1797976.3599999996</v>
      </c>
      <c r="AC233" s="66"/>
      <c r="AD233" s="71">
        <f>AD94-AD231</f>
        <v>1709710.86</v>
      </c>
      <c r="AE233" s="66"/>
      <c r="AF233" s="71">
        <f>AF94-AF231</f>
        <v>1803536.4400000006</v>
      </c>
      <c r="AG233" s="66"/>
      <c r="AH233" s="71">
        <f>AH94-AH231</f>
        <v>20906565.260000013</v>
      </c>
      <c r="AI233" s="37">
        <f>IF(AH$60=0,0,AH233/AH$60)</f>
        <v>0.30923158697896258</v>
      </c>
      <c r="AJ233" s="43"/>
    </row>
    <row r="234" spans="2:36" s="34" customFormat="1" ht="7.5" customHeight="1">
      <c r="B234" s="63" t="s">
        <v>47</v>
      </c>
      <c r="J234" s="67"/>
      <c r="K234" s="66"/>
      <c r="L234" s="67"/>
      <c r="M234" s="66"/>
      <c r="N234" s="67"/>
      <c r="O234" s="66"/>
      <c r="P234" s="67"/>
      <c r="Q234" s="66"/>
      <c r="R234" s="67"/>
      <c r="S234" s="66"/>
      <c r="T234" s="67"/>
      <c r="U234" s="66"/>
      <c r="V234" s="67"/>
      <c r="W234" s="66"/>
      <c r="X234" s="67"/>
      <c r="Y234" s="66"/>
      <c r="Z234" s="67"/>
      <c r="AA234" s="66"/>
      <c r="AB234" s="67"/>
      <c r="AC234" s="66"/>
      <c r="AD234" s="67"/>
      <c r="AE234" s="66"/>
      <c r="AF234" s="67"/>
      <c r="AG234" s="66"/>
      <c r="AH234" s="67"/>
      <c r="AI234" s="62"/>
      <c r="AJ234" s="43"/>
    </row>
    <row r="235" spans="2:36" s="34" customFormat="1" ht="15" outlineLevel="1">
      <c r="B235" s="63" t="s">
        <v>47</v>
      </c>
      <c r="J235" s="67"/>
      <c r="K235" s="66"/>
      <c r="L235" s="67"/>
      <c r="M235" s="66"/>
      <c r="N235" s="67"/>
      <c r="O235" s="66"/>
      <c r="P235" s="67"/>
      <c r="Q235" s="66"/>
      <c r="R235" s="67"/>
      <c r="S235" s="66"/>
      <c r="T235" s="67"/>
      <c r="U235" s="66"/>
      <c r="V235" s="67"/>
      <c r="W235" s="66"/>
      <c r="X235" s="67"/>
      <c r="Y235" s="66"/>
      <c r="Z235" s="67"/>
      <c r="AA235" s="66"/>
      <c r="AB235" s="67"/>
      <c r="AC235" s="66"/>
      <c r="AD235" s="67"/>
      <c r="AE235" s="66"/>
      <c r="AF235" s="67"/>
      <c r="AG235" s="66"/>
      <c r="AH235" s="67"/>
      <c r="AI235" s="62"/>
      <c r="AJ235" s="43"/>
    </row>
    <row r="236" spans="2:36" outlineLevel="1">
      <c r="B236" s="31" t="s">
        <v>182</v>
      </c>
      <c r="D236" s="32">
        <v>60010</v>
      </c>
      <c r="E236" s="32" t="s">
        <v>129</v>
      </c>
      <c r="F236" s="33"/>
      <c r="G236" s="29"/>
      <c r="H236" s="34"/>
      <c r="I236" s="35"/>
      <c r="J236" s="36">
        <v>0</v>
      </c>
      <c r="K236" s="35"/>
      <c r="L236" s="36">
        <v>0</v>
      </c>
      <c r="M236" s="35"/>
      <c r="N236" s="36">
        <v>0</v>
      </c>
      <c r="O236" s="35"/>
      <c r="P236" s="36">
        <v>0</v>
      </c>
      <c r="Q236" s="35"/>
      <c r="R236" s="36">
        <v>0</v>
      </c>
      <c r="S236" s="35"/>
      <c r="T236" s="36">
        <v>0</v>
      </c>
      <c r="U236" s="35"/>
      <c r="V236" s="36">
        <v>0</v>
      </c>
      <c r="W236" s="35"/>
      <c r="X236" s="36">
        <v>0</v>
      </c>
      <c r="Y236" s="35"/>
      <c r="Z236" s="36">
        <v>0</v>
      </c>
      <c r="AA236" s="35"/>
      <c r="AB236" s="36">
        <v>3392.32</v>
      </c>
      <c r="AC236" s="35"/>
      <c r="AD236" s="36">
        <v>3715.4</v>
      </c>
      <c r="AE236" s="35"/>
      <c r="AF236" s="36">
        <v>3069.12</v>
      </c>
      <c r="AG236" s="35"/>
      <c r="AH236" s="36">
        <f t="shared" ref="AH236:AH248" si="24">AF236+AD236+AB236+Z236+X236+V236+T236+R236+P236+N236+L236+J236</f>
        <v>10176.84</v>
      </c>
      <c r="AI236" s="37">
        <f t="shared" ref="AI236:AI248" si="25">IF(AH$60=0,0,AH236/AH$60)</f>
        <v>1.5052689643152716E-4</v>
      </c>
      <c r="AJ236" s="38"/>
    </row>
    <row r="237" spans="2:36" outlineLevel="1">
      <c r="B237" s="31" t="s">
        <v>56</v>
      </c>
      <c r="D237" s="32">
        <v>60030</v>
      </c>
      <c r="E237" s="32" t="s">
        <v>183</v>
      </c>
      <c r="F237" s="33"/>
      <c r="G237" s="29"/>
      <c r="H237" s="34"/>
      <c r="I237" s="35"/>
      <c r="J237" s="36">
        <v>0</v>
      </c>
      <c r="K237" s="35"/>
      <c r="L237" s="36">
        <v>216</v>
      </c>
      <c r="M237" s="35"/>
      <c r="N237" s="36">
        <v>0</v>
      </c>
      <c r="O237" s="35"/>
      <c r="P237" s="36">
        <v>0</v>
      </c>
      <c r="Q237" s="35"/>
      <c r="R237" s="36">
        <v>0</v>
      </c>
      <c r="S237" s="35"/>
      <c r="T237" s="36">
        <v>0</v>
      </c>
      <c r="U237" s="35"/>
      <c r="V237" s="36">
        <v>0</v>
      </c>
      <c r="W237" s="35"/>
      <c r="X237" s="36">
        <v>308.61</v>
      </c>
      <c r="Y237" s="35"/>
      <c r="Z237" s="36">
        <v>180</v>
      </c>
      <c r="AA237" s="35"/>
      <c r="AB237" s="36">
        <v>200</v>
      </c>
      <c r="AC237" s="35"/>
      <c r="AD237" s="36">
        <v>750</v>
      </c>
      <c r="AE237" s="35"/>
      <c r="AF237" s="36">
        <v>-948.16</v>
      </c>
      <c r="AG237" s="35"/>
      <c r="AH237" s="36">
        <f t="shared" si="24"/>
        <v>706.45</v>
      </c>
      <c r="AI237" s="37">
        <f t="shared" si="25"/>
        <v>1.0449189137694252E-5</v>
      </c>
      <c r="AJ237" s="38"/>
    </row>
    <row r="238" spans="2:36" outlineLevel="1">
      <c r="B238" s="31" t="s">
        <v>56</v>
      </c>
      <c r="D238" s="32">
        <v>60050</v>
      </c>
      <c r="E238" s="32" t="s">
        <v>114</v>
      </c>
      <c r="F238" s="33"/>
      <c r="G238" s="29"/>
      <c r="H238" s="34"/>
      <c r="I238" s="35"/>
      <c r="J238" s="36">
        <v>0</v>
      </c>
      <c r="K238" s="35"/>
      <c r="L238" s="36">
        <v>0</v>
      </c>
      <c r="M238" s="35"/>
      <c r="N238" s="36">
        <v>0</v>
      </c>
      <c r="O238" s="35"/>
      <c r="P238" s="36">
        <v>0</v>
      </c>
      <c r="Q238" s="35"/>
      <c r="R238" s="36">
        <v>0</v>
      </c>
      <c r="S238" s="35"/>
      <c r="T238" s="36">
        <v>0</v>
      </c>
      <c r="U238" s="35"/>
      <c r="V238" s="36">
        <v>0</v>
      </c>
      <c r="W238" s="35"/>
      <c r="X238" s="36">
        <v>41.49</v>
      </c>
      <c r="Y238" s="35"/>
      <c r="Z238" s="36">
        <v>0</v>
      </c>
      <c r="AA238" s="35"/>
      <c r="AB238" s="36">
        <v>271.58</v>
      </c>
      <c r="AC238" s="35"/>
      <c r="AD238" s="36">
        <v>297.45999999999998</v>
      </c>
      <c r="AE238" s="35"/>
      <c r="AF238" s="36">
        <v>271.62</v>
      </c>
      <c r="AG238" s="35"/>
      <c r="AH238" s="36">
        <f t="shared" si="24"/>
        <v>882.14999999999986</v>
      </c>
      <c r="AI238" s="37">
        <f t="shared" si="25"/>
        <v>1.3047989522000116E-5</v>
      </c>
      <c r="AJ238" s="38"/>
    </row>
    <row r="239" spans="2:36" outlineLevel="1">
      <c r="B239" s="31" t="s">
        <v>56</v>
      </c>
      <c r="D239" s="32">
        <v>60060</v>
      </c>
      <c r="E239" s="32" t="s">
        <v>115</v>
      </c>
      <c r="F239" s="33"/>
      <c r="G239" s="29"/>
      <c r="H239" s="34"/>
      <c r="I239" s="35"/>
      <c r="J239" s="36">
        <v>0</v>
      </c>
      <c r="K239" s="35"/>
      <c r="L239" s="36">
        <v>0</v>
      </c>
      <c r="M239" s="35"/>
      <c r="N239" s="36">
        <v>0</v>
      </c>
      <c r="O239" s="35"/>
      <c r="P239" s="36">
        <v>88.82</v>
      </c>
      <c r="Q239" s="35"/>
      <c r="R239" s="36">
        <v>0</v>
      </c>
      <c r="S239" s="35"/>
      <c r="T239" s="36">
        <v>0</v>
      </c>
      <c r="U239" s="35"/>
      <c r="V239" s="36">
        <v>0</v>
      </c>
      <c r="W239" s="35"/>
      <c r="X239" s="36">
        <v>0.16</v>
      </c>
      <c r="Y239" s="35"/>
      <c r="Z239" s="36">
        <v>0</v>
      </c>
      <c r="AA239" s="35"/>
      <c r="AB239" s="36">
        <v>805.77</v>
      </c>
      <c r="AC239" s="35"/>
      <c r="AD239" s="36">
        <v>809.38</v>
      </c>
      <c r="AE239" s="35"/>
      <c r="AF239" s="36">
        <v>809.38</v>
      </c>
      <c r="AG239" s="35"/>
      <c r="AH239" s="36">
        <f t="shared" si="24"/>
        <v>2513.5099999999998</v>
      </c>
      <c r="AI239" s="37">
        <f t="shared" si="25"/>
        <v>3.7177636618990549E-5</v>
      </c>
      <c r="AJ239" s="38"/>
    </row>
    <row r="240" spans="2:36" outlineLevel="1">
      <c r="B240" s="31" t="s">
        <v>56</v>
      </c>
      <c r="D240" s="32">
        <v>60065</v>
      </c>
      <c r="E240" s="32" t="s">
        <v>116</v>
      </c>
      <c r="F240" s="33"/>
      <c r="G240" s="29"/>
      <c r="H240" s="34"/>
      <c r="I240" s="35"/>
      <c r="J240" s="36">
        <v>0</v>
      </c>
      <c r="K240" s="35"/>
      <c r="L240" s="36">
        <v>0</v>
      </c>
      <c r="M240" s="35"/>
      <c r="N240" s="36">
        <v>0</v>
      </c>
      <c r="O240" s="35"/>
      <c r="P240" s="36">
        <v>0</v>
      </c>
      <c r="Q240" s="35"/>
      <c r="R240" s="36">
        <v>0</v>
      </c>
      <c r="S240" s="35"/>
      <c r="T240" s="36">
        <v>0</v>
      </c>
      <c r="U240" s="35"/>
      <c r="V240" s="36">
        <v>0</v>
      </c>
      <c r="W240" s="35"/>
      <c r="X240" s="36">
        <v>0</v>
      </c>
      <c r="Y240" s="35"/>
      <c r="Z240" s="36">
        <v>0</v>
      </c>
      <c r="AA240" s="35"/>
      <c r="AB240" s="36">
        <v>1217.95</v>
      </c>
      <c r="AC240" s="35"/>
      <c r="AD240" s="36">
        <v>-126.25</v>
      </c>
      <c r="AE240" s="35"/>
      <c r="AF240" s="36">
        <v>537.59</v>
      </c>
      <c r="AG240" s="35"/>
      <c r="AH240" s="36">
        <f t="shared" si="24"/>
        <v>1629.29</v>
      </c>
      <c r="AI240" s="37">
        <f t="shared" si="25"/>
        <v>2.4099029471517963E-5</v>
      </c>
      <c r="AJ240" s="38"/>
    </row>
    <row r="241" spans="2:36" outlineLevel="1">
      <c r="B241" s="31" t="s">
        <v>56</v>
      </c>
      <c r="D241" s="32">
        <v>60070</v>
      </c>
      <c r="E241" s="32" t="s">
        <v>117</v>
      </c>
      <c r="F241" s="33"/>
      <c r="G241" s="29"/>
      <c r="H241" s="34"/>
      <c r="I241" s="35"/>
      <c r="J241" s="36">
        <v>0</v>
      </c>
      <c r="K241" s="35"/>
      <c r="L241" s="36">
        <v>0</v>
      </c>
      <c r="M241" s="35"/>
      <c r="N241" s="36">
        <v>0</v>
      </c>
      <c r="O241" s="35"/>
      <c r="P241" s="36">
        <v>0</v>
      </c>
      <c r="Q241" s="35"/>
      <c r="R241" s="36">
        <v>0</v>
      </c>
      <c r="S241" s="35"/>
      <c r="T241" s="36">
        <v>0</v>
      </c>
      <c r="U241" s="35"/>
      <c r="V241" s="36">
        <v>0</v>
      </c>
      <c r="W241" s="35"/>
      <c r="X241" s="36">
        <v>0</v>
      </c>
      <c r="Y241" s="35"/>
      <c r="Z241" s="36">
        <v>0</v>
      </c>
      <c r="AA241" s="35"/>
      <c r="AB241" s="36">
        <v>0</v>
      </c>
      <c r="AC241" s="35"/>
      <c r="AD241" s="36">
        <v>0</v>
      </c>
      <c r="AE241" s="35"/>
      <c r="AF241" s="36">
        <v>0</v>
      </c>
      <c r="AG241" s="35"/>
      <c r="AH241" s="36">
        <f t="shared" si="24"/>
        <v>0</v>
      </c>
      <c r="AI241" s="37">
        <f t="shared" si="25"/>
        <v>0</v>
      </c>
      <c r="AJ241" s="38"/>
    </row>
    <row r="242" spans="2:36" outlineLevel="1">
      <c r="B242" s="31" t="s">
        <v>56</v>
      </c>
      <c r="D242" s="32">
        <v>60116</v>
      </c>
      <c r="E242" s="32" t="s">
        <v>121</v>
      </c>
      <c r="F242" s="33"/>
      <c r="G242" s="29"/>
      <c r="H242" s="34"/>
      <c r="I242" s="35"/>
      <c r="J242" s="36">
        <v>0</v>
      </c>
      <c r="K242" s="35"/>
      <c r="L242" s="36">
        <v>0</v>
      </c>
      <c r="M242" s="35"/>
      <c r="N242" s="36">
        <v>0</v>
      </c>
      <c r="O242" s="35"/>
      <c r="P242" s="36">
        <v>0</v>
      </c>
      <c r="Q242" s="35"/>
      <c r="R242" s="36">
        <v>0</v>
      </c>
      <c r="S242" s="35"/>
      <c r="T242" s="36">
        <v>0</v>
      </c>
      <c r="U242" s="35"/>
      <c r="V242" s="36">
        <v>0</v>
      </c>
      <c r="W242" s="35"/>
      <c r="X242" s="36">
        <v>9.74</v>
      </c>
      <c r="Y242" s="35"/>
      <c r="Z242" s="36">
        <v>0</v>
      </c>
      <c r="AA242" s="35"/>
      <c r="AB242" s="36">
        <v>0</v>
      </c>
      <c r="AC242" s="35"/>
      <c r="AD242" s="36">
        <v>0</v>
      </c>
      <c r="AE242" s="35"/>
      <c r="AF242" s="36">
        <v>0</v>
      </c>
      <c r="AG242" s="35"/>
      <c r="AH242" s="36">
        <f t="shared" si="24"/>
        <v>9.74</v>
      </c>
      <c r="AI242" s="37">
        <f t="shared" si="25"/>
        <v>1.4406554207819662E-7</v>
      </c>
      <c r="AJ242" s="38"/>
    </row>
    <row r="243" spans="2:36" outlineLevel="1">
      <c r="B243" s="31" t="s">
        <v>56</v>
      </c>
      <c r="D243" s="32">
        <v>60200</v>
      </c>
      <c r="E243" s="32" t="s">
        <v>184</v>
      </c>
      <c r="F243" s="33"/>
      <c r="G243" s="29"/>
      <c r="H243" s="34"/>
      <c r="I243" s="35"/>
      <c r="J243" s="36">
        <v>0</v>
      </c>
      <c r="K243" s="35"/>
      <c r="L243" s="36">
        <v>0</v>
      </c>
      <c r="M243" s="35"/>
      <c r="N243" s="36">
        <v>0</v>
      </c>
      <c r="O243" s="35"/>
      <c r="P243" s="36">
        <v>0</v>
      </c>
      <c r="Q243" s="35"/>
      <c r="R243" s="36">
        <v>0</v>
      </c>
      <c r="S243" s="35"/>
      <c r="T243" s="36">
        <v>0</v>
      </c>
      <c r="U243" s="35"/>
      <c r="V243" s="36">
        <v>0</v>
      </c>
      <c r="W243" s="35"/>
      <c r="X243" s="36">
        <v>0</v>
      </c>
      <c r="Y243" s="35"/>
      <c r="Z243" s="36">
        <v>0</v>
      </c>
      <c r="AA243" s="35"/>
      <c r="AB243" s="36">
        <v>0</v>
      </c>
      <c r="AC243" s="35"/>
      <c r="AD243" s="36">
        <v>47.78</v>
      </c>
      <c r="AE243" s="35"/>
      <c r="AF243" s="36">
        <v>-47.78</v>
      </c>
      <c r="AG243" s="35"/>
      <c r="AH243" s="36">
        <f t="shared" si="24"/>
        <v>0</v>
      </c>
      <c r="AI243" s="37">
        <f t="shared" si="25"/>
        <v>0</v>
      </c>
      <c r="AJ243" s="38"/>
    </row>
    <row r="244" spans="2:36" outlineLevel="1">
      <c r="B244" s="31" t="s">
        <v>56</v>
      </c>
      <c r="D244" s="32">
        <v>60201</v>
      </c>
      <c r="E244" s="32" t="s">
        <v>185</v>
      </c>
      <c r="F244" s="33"/>
      <c r="G244" s="29"/>
      <c r="H244" s="34"/>
      <c r="I244" s="35"/>
      <c r="J244" s="36">
        <v>0</v>
      </c>
      <c r="K244" s="35"/>
      <c r="L244" s="36">
        <v>0</v>
      </c>
      <c r="M244" s="35"/>
      <c r="N244" s="36">
        <v>0</v>
      </c>
      <c r="O244" s="35"/>
      <c r="P244" s="36">
        <v>0</v>
      </c>
      <c r="Q244" s="35"/>
      <c r="R244" s="36">
        <v>0</v>
      </c>
      <c r="S244" s="35"/>
      <c r="T244" s="36">
        <v>0</v>
      </c>
      <c r="U244" s="35"/>
      <c r="V244" s="36">
        <v>0</v>
      </c>
      <c r="W244" s="35"/>
      <c r="X244" s="36">
        <v>0</v>
      </c>
      <c r="Y244" s="35"/>
      <c r="Z244" s="36">
        <v>0</v>
      </c>
      <c r="AA244" s="35"/>
      <c r="AB244" s="36">
        <v>0</v>
      </c>
      <c r="AC244" s="35"/>
      <c r="AD244" s="36">
        <v>0</v>
      </c>
      <c r="AE244" s="35"/>
      <c r="AF244" s="36">
        <v>0</v>
      </c>
      <c r="AG244" s="35"/>
      <c r="AH244" s="36">
        <f t="shared" si="24"/>
        <v>0</v>
      </c>
      <c r="AI244" s="37">
        <f t="shared" si="25"/>
        <v>0</v>
      </c>
      <c r="AJ244" s="38"/>
    </row>
    <row r="245" spans="2:36" outlineLevel="1">
      <c r="B245" s="31" t="s">
        <v>56</v>
      </c>
      <c r="D245" s="32">
        <v>60205</v>
      </c>
      <c r="E245" s="32" t="s">
        <v>186</v>
      </c>
      <c r="F245" s="33"/>
      <c r="G245" s="29"/>
      <c r="H245" s="34"/>
      <c r="I245" s="35"/>
      <c r="J245" s="36">
        <v>0</v>
      </c>
      <c r="K245" s="35"/>
      <c r="L245" s="36">
        <v>0</v>
      </c>
      <c r="M245" s="35"/>
      <c r="N245" s="36">
        <v>27.65</v>
      </c>
      <c r="O245" s="35"/>
      <c r="P245" s="36">
        <v>0</v>
      </c>
      <c r="Q245" s="35"/>
      <c r="R245" s="36">
        <v>0</v>
      </c>
      <c r="S245" s="35"/>
      <c r="T245" s="36">
        <v>0</v>
      </c>
      <c r="U245" s="35"/>
      <c r="V245" s="36">
        <v>0</v>
      </c>
      <c r="W245" s="35"/>
      <c r="X245" s="36">
        <v>0</v>
      </c>
      <c r="Y245" s="35"/>
      <c r="Z245" s="36">
        <v>0</v>
      </c>
      <c r="AA245" s="35"/>
      <c r="AB245" s="36">
        <v>0</v>
      </c>
      <c r="AC245" s="35"/>
      <c r="AD245" s="36">
        <v>0</v>
      </c>
      <c r="AE245" s="35"/>
      <c r="AF245" s="36">
        <v>47.78</v>
      </c>
      <c r="AG245" s="35"/>
      <c r="AH245" s="36">
        <f t="shared" si="24"/>
        <v>75.430000000000007</v>
      </c>
      <c r="AI245" s="37">
        <f t="shared" si="25"/>
        <v>1.1156944393181081E-6</v>
      </c>
      <c r="AJ245" s="38"/>
    </row>
    <row r="246" spans="2:36" outlineLevel="1">
      <c r="B246" s="31" t="s">
        <v>56</v>
      </c>
      <c r="D246" s="32">
        <v>60210</v>
      </c>
      <c r="E246" s="32" t="s">
        <v>187</v>
      </c>
      <c r="F246" s="33"/>
      <c r="G246" s="29"/>
      <c r="H246" s="34"/>
      <c r="I246" s="35"/>
      <c r="J246" s="36">
        <v>0</v>
      </c>
      <c r="K246" s="35"/>
      <c r="L246" s="36">
        <v>0</v>
      </c>
      <c r="M246" s="35"/>
      <c r="N246" s="36">
        <v>0</v>
      </c>
      <c r="O246" s="35"/>
      <c r="P246" s="36">
        <v>0</v>
      </c>
      <c r="Q246" s="35"/>
      <c r="R246" s="36">
        <v>0</v>
      </c>
      <c r="S246" s="35"/>
      <c r="T246" s="36">
        <v>0</v>
      </c>
      <c r="U246" s="35"/>
      <c r="V246" s="36">
        <v>0</v>
      </c>
      <c r="W246" s="35"/>
      <c r="X246" s="36">
        <v>0</v>
      </c>
      <c r="Y246" s="35"/>
      <c r="Z246" s="36">
        <v>0</v>
      </c>
      <c r="AA246" s="35"/>
      <c r="AB246" s="36">
        <v>0</v>
      </c>
      <c r="AC246" s="35"/>
      <c r="AD246" s="36">
        <v>0</v>
      </c>
      <c r="AE246" s="35"/>
      <c r="AF246" s="36">
        <v>0</v>
      </c>
      <c r="AG246" s="35"/>
      <c r="AH246" s="36">
        <f t="shared" si="24"/>
        <v>0</v>
      </c>
      <c r="AI246" s="37">
        <f t="shared" si="25"/>
        <v>0</v>
      </c>
      <c r="AJ246" s="38"/>
    </row>
    <row r="247" spans="2:36" outlineLevel="1">
      <c r="B247" s="31" t="s">
        <v>56</v>
      </c>
      <c r="D247" s="32">
        <v>60225</v>
      </c>
      <c r="E247" s="32" t="s">
        <v>188</v>
      </c>
      <c r="F247" s="33"/>
      <c r="G247" s="29"/>
      <c r="H247" s="34"/>
      <c r="I247" s="35"/>
      <c r="J247" s="36">
        <v>51143.74</v>
      </c>
      <c r="K247" s="35"/>
      <c r="L247" s="36">
        <v>2788.3</v>
      </c>
      <c r="M247" s="35"/>
      <c r="N247" s="36">
        <v>31364.78</v>
      </c>
      <c r="O247" s="35"/>
      <c r="P247" s="36">
        <v>3241.32</v>
      </c>
      <c r="Q247" s="35"/>
      <c r="R247" s="36">
        <v>7284</v>
      </c>
      <c r="S247" s="35"/>
      <c r="T247" s="36">
        <v>4647.51</v>
      </c>
      <c r="U247" s="35"/>
      <c r="V247" s="36">
        <v>7989.91</v>
      </c>
      <c r="W247" s="35"/>
      <c r="X247" s="36">
        <v>7213.54</v>
      </c>
      <c r="Y247" s="35"/>
      <c r="Z247" s="36">
        <v>3355.7</v>
      </c>
      <c r="AA247" s="35"/>
      <c r="AB247" s="36">
        <v>12423.16</v>
      </c>
      <c r="AC247" s="35"/>
      <c r="AD247" s="36">
        <v>7720.6</v>
      </c>
      <c r="AE247" s="35"/>
      <c r="AF247" s="36">
        <v>969.67</v>
      </c>
      <c r="AG247" s="35"/>
      <c r="AH247" s="36">
        <f t="shared" si="24"/>
        <v>140142.23000000001</v>
      </c>
      <c r="AI247" s="37">
        <f t="shared" si="25"/>
        <v>2.0728610198149189E-3</v>
      </c>
      <c r="AJ247" s="38"/>
    </row>
    <row r="248" spans="2:36" outlineLevel="1">
      <c r="B248" s="31" t="s">
        <v>56</v>
      </c>
      <c r="D248" s="32">
        <v>60255</v>
      </c>
      <c r="E248" s="32" t="s">
        <v>158</v>
      </c>
      <c r="F248" s="33"/>
      <c r="G248" s="29"/>
      <c r="H248" s="34"/>
      <c r="I248" s="35"/>
      <c r="J248" s="36">
        <v>993.93</v>
      </c>
      <c r="K248" s="35"/>
      <c r="L248" s="36">
        <v>0</v>
      </c>
      <c r="M248" s="35"/>
      <c r="N248" s="36">
        <v>1059.83</v>
      </c>
      <c r="O248" s="35"/>
      <c r="P248" s="36">
        <v>813.12</v>
      </c>
      <c r="Q248" s="35"/>
      <c r="R248" s="36">
        <v>0</v>
      </c>
      <c r="S248" s="35"/>
      <c r="T248" s="36">
        <v>1896.24</v>
      </c>
      <c r="U248" s="35"/>
      <c r="V248" s="36">
        <v>1090.51</v>
      </c>
      <c r="W248" s="35"/>
      <c r="X248" s="36">
        <v>120.09</v>
      </c>
      <c r="Y248" s="35"/>
      <c r="Z248" s="36">
        <v>374.52</v>
      </c>
      <c r="AA248" s="35"/>
      <c r="AB248" s="36">
        <v>0</v>
      </c>
      <c r="AC248" s="35"/>
      <c r="AD248" s="36">
        <v>571.59</v>
      </c>
      <c r="AE248" s="35"/>
      <c r="AF248" s="36">
        <v>434.91</v>
      </c>
      <c r="AG248" s="35"/>
      <c r="AH248" s="36">
        <f t="shared" si="24"/>
        <v>7354.74</v>
      </c>
      <c r="AI248" s="37">
        <f t="shared" si="25"/>
        <v>1.0878486703739176E-4</v>
      </c>
      <c r="AJ248" s="38"/>
    </row>
    <row r="249" spans="2:36" s="34" customFormat="1" ht="5.0999999999999996" customHeight="1" outlineLevel="1">
      <c r="B249" s="27" t="s">
        <v>47</v>
      </c>
      <c r="D249" s="33"/>
      <c r="E249" s="33"/>
      <c r="F249" s="33"/>
      <c r="G249" s="33"/>
      <c r="J249" s="68"/>
      <c r="K249" s="66"/>
      <c r="L249" s="68"/>
      <c r="M249" s="66"/>
      <c r="N249" s="68"/>
      <c r="O249" s="66"/>
      <c r="P249" s="68"/>
      <c r="Q249" s="66"/>
      <c r="R249" s="68"/>
      <c r="S249" s="66"/>
      <c r="T249" s="68"/>
      <c r="U249" s="66"/>
      <c r="V249" s="68"/>
      <c r="W249" s="66"/>
      <c r="X249" s="68"/>
      <c r="Y249" s="66"/>
      <c r="Z249" s="68"/>
      <c r="AA249" s="66"/>
      <c r="AB249" s="68"/>
      <c r="AC249" s="66"/>
      <c r="AD249" s="68"/>
      <c r="AE249" s="66"/>
      <c r="AF249" s="68"/>
      <c r="AG249" s="66"/>
      <c r="AH249" s="68"/>
      <c r="AI249" s="62"/>
      <c r="AJ249" s="43"/>
    </row>
    <row r="250" spans="2:36" s="34" customFormat="1" ht="15">
      <c r="B250" s="27" t="s">
        <v>47</v>
      </c>
      <c r="F250" s="33" t="s">
        <v>189</v>
      </c>
      <c r="J250" s="65">
        <f>SUM(J235:J249)</f>
        <v>52137.67</v>
      </c>
      <c r="K250" s="66"/>
      <c r="L250" s="65">
        <f>SUM(L235:L249)</f>
        <v>3004.3</v>
      </c>
      <c r="M250" s="66"/>
      <c r="N250" s="65">
        <f>SUM(N235:N249)</f>
        <v>32452.260000000002</v>
      </c>
      <c r="O250" s="66"/>
      <c r="P250" s="65">
        <f>SUM(P235:P249)</f>
        <v>4143.26</v>
      </c>
      <c r="Q250" s="66"/>
      <c r="R250" s="65">
        <f>SUM(R235:R249)</f>
        <v>7284</v>
      </c>
      <c r="S250" s="66"/>
      <c r="T250" s="65">
        <f>SUM(T235:T249)</f>
        <v>6543.75</v>
      </c>
      <c r="U250" s="66"/>
      <c r="V250" s="65">
        <f>SUM(V235:V249)</f>
        <v>9080.42</v>
      </c>
      <c r="W250" s="66"/>
      <c r="X250" s="65">
        <f>SUM(X235:X249)</f>
        <v>7693.63</v>
      </c>
      <c r="Y250" s="66"/>
      <c r="Z250" s="65">
        <f>SUM(Z235:Z249)</f>
        <v>3910.22</v>
      </c>
      <c r="AA250" s="66"/>
      <c r="AB250" s="65">
        <f>SUM(AB235:AB249)</f>
        <v>18310.78</v>
      </c>
      <c r="AC250" s="66"/>
      <c r="AD250" s="65">
        <f>SUM(AD235:AD249)</f>
        <v>13785.96</v>
      </c>
      <c r="AE250" s="66"/>
      <c r="AF250" s="65">
        <f>SUM(AF235:AF249)</f>
        <v>5144.13</v>
      </c>
      <c r="AG250" s="66"/>
      <c r="AH250" s="65">
        <f>SUM(AH235:AH249)</f>
        <v>163490.38</v>
      </c>
      <c r="AI250" s="37">
        <f>IF(AH$60=0,0,AH250/AH$60)</f>
        <v>2.4182063880154371E-3</v>
      </c>
      <c r="AJ250" s="43"/>
    </row>
    <row r="251" spans="2:36" s="34" customFormat="1" ht="15" outlineLevel="1">
      <c r="B251" s="27"/>
      <c r="J251" s="67"/>
      <c r="K251" s="66"/>
      <c r="L251" s="67"/>
      <c r="M251" s="66"/>
      <c r="N251" s="67"/>
      <c r="O251" s="66"/>
      <c r="P251" s="67"/>
      <c r="Q251" s="66"/>
      <c r="R251" s="67"/>
      <c r="S251" s="66"/>
      <c r="T251" s="67"/>
      <c r="U251" s="66"/>
      <c r="V251" s="67"/>
      <c r="W251" s="66"/>
      <c r="X251" s="67"/>
      <c r="Y251" s="66"/>
      <c r="Z251" s="67"/>
      <c r="AA251" s="66"/>
      <c r="AB251" s="67"/>
      <c r="AC251" s="66"/>
      <c r="AD251" s="67"/>
      <c r="AE251" s="66"/>
      <c r="AF251" s="67"/>
      <c r="AG251" s="66"/>
      <c r="AH251" s="67"/>
      <c r="AI251" s="62"/>
      <c r="AJ251" s="43"/>
    </row>
    <row r="252" spans="2:36" s="34" customFormat="1" ht="15" outlineLevel="1">
      <c r="B252" s="27" t="s">
        <v>47</v>
      </c>
      <c r="J252" s="67"/>
      <c r="K252" s="66"/>
      <c r="L252" s="67"/>
      <c r="M252" s="66"/>
      <c r="N252" s="67"/>
      <c r="O252" s="66"/>
      <c r="P252" s="67"/>
      <c r="Q252" s="66"/>
      <c r="R252" s="67"/>
      <c r="S252" s="66"/>
      <c r="T252" s="67"/>
      <c r="U252" s="66"/>
      <c r="V252" s="67"/>
      <c r="W252" s="66"/>
      <c r="X252" s="67"/>
      <c r="Y252" s="66"/>
      <c r="Z252" s="67"/>
      <c r="AA252" s="66"/>
      <c r="AB252" s="67"/>
      <c r="AC252" s="66"/>
      <c r="AD252" s="67"/>
      <c r="AE252" s="66"/>
      <c r="AF252" s="67"/>
      <c r="AG252" s="66"/>
      <c r="AH252" s="67"/>
      <c r="AI252" s="62"/>
      <c r="AJ252" s="43"/>
    </row>
    <row r="253" spans="2:36" outlineLevel="1">
      <c r="B253" s="31" t="s">
        <v>190</v>
      </c>
      <c r="D253" s="32">
        <v>70010</v>
      </c>
      <c r="E253" s="32" t="s">
        <v>129</v>
      </c>
      <c r="F253" s="33"/>
      <c r="G253" s="29"/>
      <c r="H253" s="34"/>
      <c r="I253" s="35"/>
      <c r="J253" s="36">
        <v>118529.02</v>
      </c>
      <c r="K253" s="35"/>
      <c r="L253" s="36">
        <v>123059.34</v>
      </c>
      <c r="M253" s="35"/>
      <c r="N253" s="36">
        <v>120476.42</v>
      </c>
      <c r="O253" s="35"/>
      <c r="P253" s="36">
        <v>84925.19</v>
      </c>
      <c r="Q253" s="35"/>
      <c r="R253" s="36">
        <v>75120.7</v>
      </c>
      <c r="S253" s="35"/>
      <c r="T253" s="36">
        <v>107949.01</v>
      </c>
      <c r="U253" s="35"/>
      <c r="V253" s="36">
        <v>67406.28</v>
      </c>
      <c r="W253" s="35"/>
      <c r="X253" s="36">
        <v>93223.07</v>
      </c>
      <c r="Y253" s="35"/>
      <c r="Z253" s="36">
        <v>83005.070000000007</v>
      </c>
      <c r="AA253" s="35"/>
      <c r="AB253" s="36">
        <v>76611.520000000004</v>
      </c>
      <c r="AC253" s="35"/>
      <c r="AD253" s="36">
        <v>84619.53</v>
      </c>
      <c r="AE253" s="35"/>
      <c r="AF253" s="36">
        <v>126589.21</v>
      </c>
      <c r="AG253" s="35"/>
      <c r="AH253" s="36">
        <f t="shared" ref="AH253:AH297" si="26">AF253+AD253+AB253+Z253+X253+V253+T253+R253+P253+N253+L253+J253</f>
        <v>1161514.3600000001</v>
      </c>
      <c r="AI253" s="37">
        <f t="shared" ref="AI253:AI297" si="27">IF(AH$60=0,0,AH253/AH$60)</f>
        <v>1.7180102248974295E-2</v>
      </c>
      <c r="AJ253" s="38"/>
    </row>
    <row r="254" spans="2:36" outlineLevel="1">
      <c r="B254" s="31" t="s">
        <v>56</v>
      </c>
      <c r="D254" s="32">
        <v>70020</v>
      </c>
      <c r="E254" s="32" t="s">
        <v>109</v>
      </c>
      <c r="F254" s="33"/>
      <c r="G254" s="29"/>
      <c r="H254" s="34"/>
      <c r="I254" s="35"/>
      <c r="J254" s="36">
        <v>105607.97</v>
      </c>
      <c r="K254" s="35"/>
      <c r="L254" s="36">
        <v>117654.11</v>
      </c>
      <c r="M254" s="35"/>
      <c r="N254" s="36">
        <v>105223.25</v>
      </c>
      <c r="O254" s="35"/>
      <c r="P254" s="36">
        <v>113195.25</v>
      </c>
      <c r="Q254" s="35"/>
      <c r="R254" s="36">
        <v>103273.76</v>
      </c>
      <c r="S254" s="35"/>
      <c r="T254" s="36">
        <v>107858.86</v>
      </c>
      <c r="U254" s="35"/>
      <c r="V254" s="36">
        <v>102767.66</v>
      </c>
      <c r="W254" s="35"/>
      <c r="X254" s="36">
        <v>121034.6</v>
      </c>
      <c r="Y254" s="35"/>
      <c r="Z254" s="36">
        <v>112120.18</v>
      </c>
      <c r="AA254" s="35"/>
      <c r="AB254" s="36">
        <v>104306.99</v>
      </c>
      <c r="AC254" s="35"/>
      <c r="AD254" s="36">
        <v>117068.73</v>
      </c>
      <c r="AE254" s="35"/>
      <c r="AF254" s="36">
        <v>103128.04</v>
      </c>
      <c r="AG254" s="35"/>
      <c r="AH254" s="36">
        <f t="shared" si="26"/>
        <v>1313239.4000000001</v>
      </c>
      <c r="AI254" s="37">
        <f t="shared" si="27"/>
        <v>1.9424286041010853E-2</v>
      </c>
      <c r="AJ254" s="38"/>
    </row>
    <row r="255" spans="2:36" outlineLevel="1">
      <c r="B255" s="31" t="s">
        <v>56</v>
      </c>
      <c r="D255" s="32">
        <v>70025</v>
      </c>
      <c r="E255" s="32" t="s">
        <v>110</v>
      </c>
      <c r="F255" s="33"/>
      <c r="G255" s="29"/>
      <c r="H255" s="34"/>
      <c r="I255" s="35"/>
      <c r="J255" s="36">
        <v>7198.29</v>
      </c>
      <c r="K255" s="35"/>
      <c r="L255" s="36">
        <v>6100.54</v>
      </c>
      <c r="M255" s="35"/>
      <c r="N255" s="36">
        <v>7110.21</v>
      </c>
      <c r="O255" s="35"/>
      <c r="P255" s="36">
        <v>3651.48</v>
      </c>
      <c r="Q255" s="35"/>
      <c r="R255" s="36">
        <v>8372.5400000000009</v>
      </c>
      <c r="S255" s="35"/>
      <c r="T255" s="36">
        <v>8045.35</v>
      </c>
      <c r="U255" s="35"/>
      <c r="V255" s="36">
        <v>8687.6200000000008</v>
      </c>
      <c r="W255" s="35"/>
      <c r="X255" s="36">
        <v>8870.7800000000007</v>
      </c>
      <c r="Y255" s="35"/>
      <c r="Z255" s="36">
        <v>11620.36</v>
      </c>
      <c r="AA255" s="35"/>
      <c r="AB255" s="36">
        <v>8800.0300000000007</v>
      </c>
      <c r="AC255" s="35"/>
      <c r="AD255" s="36">
        <v>10796.09</v>
      </c>
      <c r="AE255" s="35"/>
      <c r="AF255" s="36">
        <v>8504.6299999999992</v>
      </c>
      <c r="AG255" s="35"/>
      <c r="AH255" s="36">
        <f t="shared" si="26"/>
        <v>97757.919999999984</v>
      </c>
      <c r="AI255" s="37">
        <f t="shared" si="27"/>
        <v>1.4459494596752542E-3</v>
      </c>
      <c r="AJ255" s="38"/>
    </row>
    <row r="256" spans="2:36" outlineLevel="1">
      <c r="B256" s="31" t="s">
        <v>56</v>
      </c>
      <c r="D256" s="32">
        <v>70036</v>
      </c>
      <c r="E256" s="32" t="s">
        <v>112</v>
      </c>
      <c r="F256" s="33"/>
      <c r="G256" s="29"/>
      <c r="H256" s="34"/>
      <c r="I256" s="35"/>
      <c r="J256" s="36">
        <v>1894.5</v>
      </c>
      <c r="K256" s="35"/>
      <c r="L256" s="36">
        <v>3369.92</v>
      </c>
      <c r="M256" s="35"/>
      <c r="N256" s="36">
        <v>2490.39</v>
      </c>
      <c r="O256" s="35"/>
      <c r="P256" s="36">
        <v>3070.02</v>
      </c>
      <c r="Q256" s="35"/>
      <c r="R256" s="36">
        <v>3435</v>
      </c>
      <c r="S256" s="35"/>
      <c r="T256" s="36">
        <v>1367.18</v>
      </c>
      <c r="U256" s="35"/>
      <c r="V256" s="36">
        <v>3177.77</v>
      </c>
      <c r="W256" s="35"/>
      <c r="X256" s="36">
        <v>9077.91</v>
      </c>
      <c r="Y256" s="35"/>
      <c r="Z256" s="36">
        <v>2721.46</v>
      </c>
      <c r="AA256" s="35"/>
      <c r="AB256" s="36">
        <v>3643.35</v>
      </c>
      <c r="AC256" s="35"/>
      <c r="AD256" s="36">
        <v>1113.8900000000001</v>
      </c>
      <c r="AE256" s="35"/>
      <c r="AF256" s="36">
        <v>1863</v>
      </c>
      <c r="AG256" s="35"/>
      <c r="AH256" s="36">
        <f t="shared" si="26"/>
        <v>37224.39</v>
      </c>
      <c r="AI256" s="37">
        <f t="shared" si="27"/>
        <v>5.5059054659960997E-4</v>
      </c>
      <c r="AJ256" s="38"/>
    </row>
    <row r="257" spans="2:36" outlineLevel="1">
      <c r="B257" s="31" t="s">
        <v>56</v>
      </c>
      <c r="D257" s="32">
        <v>70050</v>
      </c>
      <c r="E257" s="32" t="s">
        <v>114</v>
      </c>
      <c r="F257" s="33"/>
      <c r="G257" s="29"/>
      <c r="H257" s="34"/>
      <c r="I257" s="35"/>
      <c r="J257" s="36">
        <v>11026.2</v>
      </c>
      <c r="K257" s="35"/>
      <c r="L257" s="36">
        <v>10512.96</v>
      </c>
      <c r="M257" s="35"/>
      <c r="N257" s="36">
        <v>11953.61</v>
      </c>
      <c r="O257" s="35"/>
      <c r="P257" s="36">
        <v>20055.66</v>
      </c>
      <c r="Q257" s="35"/>
      <c r="R257" s="36">
        <v>15942.63</v>
      </c>
      <c r="S257" s="35"/>
      <c r="T257" s="36">
        <v>17280.490000000002</v>
      </c>
      <c r="U257" s="35"/>
      <c r="V257" s="36">
        <v>13524.22</v>
      </c>
      <c r="W257" s="35"/>
      <c r="X257" s="36">
        <v>15499.59</v>
      </c>
      <c r="Y257" s="35"/>
      <c r="Z257" s="36">
        <v>13921.67</v>
      </c>
      <c r="AA257" s="35"/>
      <c r="AB257" s="36">
        <v>13224.07</v>
      </c>
      <c r="AC257" s="35"/>
      <c r="AD257" s="36">
        <v>14161.55</v>
      </c>
      <c r="AE257" s="35"/>
      <c r="AF257" s="36">
        <v>15042.27</v>
      </c>
      <c r="AG257" s="35"/>
      <c r="AH257" s="36">
        <f t="shared" si="26"/>
        <v>172144.92</v>
      </c>
      <c r="AI257" s="37">
        <f t="shared" si="27"/>
        <v>2.5462167572697938E-3</v>
      </c>
      <c r="AJ257" s="38"/>
    </row>
    <row r="258" spans="2:36" outlineLevel="1">
      <c r="B258" s="31" t="s">
        <v>56</v>
      </c>
      <c r="D258" s="32">
        <v>70060</v>
      </c>
      <c r="E258" s="32" t="s">
        <v>115</v>
      </c>
      <c r="F258" s="33"/>
      <c r="G258" s="29"/>
      <c r="H258" s="34"/>
      <c r="I258" s="35"/>
      <c r="J258" s="36">
        <v>45116.79</v>
      </c>
      <c r="K258" s="35"/>
      <c r="L258" s="36">
        <v>42829.33</v>
      </c>
      <c r="M258" s="35"/>
      <c r="N258" s="36">
        <v>46869.120000000003</v>
      </c>
      <c r="O258" s="35"/>
      <c r="P258" s="36">
        <v>47260.160000000003</v>
      </c>
      <c r="Q258" s="35"/>
      <c r="R258" s="36">
        <v>45756.33</v>
      </c>
      <c r="S258" s="35"/>
      <c r="T258" s="36">
        <v>42333.77</v>
      </c>
      <c r="U258" s="35"/>
      <c r="V258" s="36">
        <v>44922.02</v>
      </c>
      <c r="W258" s="35"/>
      <c r="X258" s="36">
        <v>43121.15</v>
      </c>
      <c r="Y258" s="35"/>
      <c r="Z258" s="36">
        <v>45414.06</v>
      </c>
      <c r="AA258" s="35"/>
      <c r="AB258" s="36">
        <v>44545</v>
      </c>
      <c r="AC258" s="35"/>
      <c r="AD258" s="36">
        <v>45658.68</v>
      </c>
      <c r="AE258" s="35"/>
      <c r="AF258" s="36">
        <v>46875.32</v>
      </c>
      <c r="AG258" s="35"/>
      <c r="AH258" s="36">
        <f t="shared" si="26"/>
        <v>540701.73</v>
      </c>
      <c r="AI258" s="37">
        <f t="shared" si="27"/>
        <v>7.9975860200275882E-3</v>
      </c>
      <c r="AJ258" s="38"/>
    </row>
    <row r="259" spans="2:36" outlineLevel="1">
      <c r="B259" s="31" t="s">
        <v>56</v>
      </c>
      <c r="D259" s="32">
        <v>70065</v>
      </c>
      <c r="E259" s="32" t="s">
        <v>116</v>
      </c>
      <c r="F259" s="33"/>
      <c r="G259" s="29"/>
      <c r="H259" s="34"/>
      <c r="I259" s="35"/>
      <c r="J259" s="36">
        <v>17135.98</v>
      </c>
      <c r="K259" s="35"/>
      <c r="L259" s="36">
        <v>16186.1</v>
      </c>
      <c r="M259" s="35"/>
      <c r="N259" s="36">
        <v>15119.37</v>
      </c>
      <c r="O259" s="35"/>
      <c r="P259" s="36">
        <v>6835.72</v>
      </c>
      <c r="Q259" s="35"/>
      <c r="R259" s="36">
        <v>7624.07</v>
      </c>
      <c r="S259" s="35"/>
      <c r="T259" s="36">
        <v>17063.259999999998</v>
      </c>
      <c r="U259" s="35"/>
      <c r="V259" s="36">
        <v>15630.5</v>
      </c>
      <c r="W259" s="35"/>
      <c r="X259" s="36">
        <v>14210.96</v>
      </c>
      <c r="Y259" s="35"/>
      <c r="Z259" s="36">
        <v>12912.49</v>
      </c>
      <c r="AA259" s="35"/>
      <c r="AB259" s="36">
        <v>13376.87</v>
      </c>
      <c r="AC259" s="35"/>
      <c r="AD259" s="36">
        <v>13414.68</v>
      </c>
      <c r="AE259" s="35"/>
      <c r="AF259" s="36">
        <v>-14109.15</v>
      </c>
      <c r="AG259" s="35"/>
      <c r="AH259" s="36">
        <f t="shared" si="26"/>
        <v>135400.85</v>
      </c>
      <c r="AI259" s="37">
        <f t="shared" si="27"/>
        <v>2.0027306830696706E-3</v>
      </c>
      <c r="AJ259" s="38"/>
    </row>
    <row r="260" spans="2:36" outlineLevel="1">
      <c r="B260" s="31" t="s">
        <v>56</v>
      </c>
      <c r="D260" s="32">
        <v>70070</v>
      </c>
      <c r="E260" s="32" t="s">
        <v>117</v>
      </c>
      <c r="F260" s="33"/>
      <c r="G260" s="29"/>
      <c r="H260" s="34"/>
      <c r="I260" s="35"/>
      <c r="J260" s="36">
        <v>-513.49</v>
      </c>
      <c r="K260" s="35"/>
      <c r="L260" s="36">
        <v>206.1</v>
      </c>
      <c r="M260" s="35"/>
      <c r="N260" s="36">
        <v>-65.62</v>
      </c>
      <c r="O260" s="35"/>
      <c r="P260" s="36">
        <v>6123.49</v>
      </c>
      <c r="Q260" s="35"/>
      <c r="R260" s="36">
        <v>2534.79</v>
      </c>
      <c r="S260" s="35"/>
      <c r="T260" s="36">
        <v>4311.9799999999996</v>
      </c>
      <c r="U260" s="35"/>
      <c r="V260" s="36">
        <v>710.74</v>
      </c>
      <c r="W260" s="35"/>
      <c r="X260" s="36">
        <v>1233.79</v>
      </c>
      <c r="Y260" s="35"/>
      <c r="Z260" s="36">
        <v>1780.23</v>
      </c>
      <c r="AA260" s="35"/>
      <c r="AB260" s="36">
        <v>3023.27</v>
      </c>
      <c r="AC260" s="35"/>
      <c r="AD260" s="36">
        <v>4440.7</v>
      </c>
      <c r="AE260" s="35"/>
      <c r="AF260" s="36">
        <v>8752.2099999999991</v>
      </c>
      <c r="AG260" s="35"/>
      <c r="AH260" s="36">
        <f t="shared" si="26"/>
        <v>32538.19</v>
      </c>
      <c r="AI260" s="37">
        <f t="shared" si="27"/>
        <v>4.8127638404449243E-4</v>
      </c>
      <c r="AJ260" s="38"/>
    </row>
    <row r="261" spans="2:36" outlineLevel="1">
      <c r="B261" s="31" t="s">
        <v>56</v>
      </c>
      <c r="D261" s="32">
        <v>70086</v>
      </c>
      <c r="E261" s="32" t="s">
        <v>118</v>
      </c>
      <c r="F261" s="33"/>
      <c r="G261" s="29"/>
      <c r="H261" s="34"/>
      <c r="I261" s="35"/>
      <c r="J261" s="36">
        <v>262.54000000000002</v>
      </c>
      <c r="K261" s="35"/>
      <c r="L261" s="36">
        <v>310.94</v>
      </c>
      <c r="M261" s="35"/>
      <c r="N261" s="36">
        <v>616.57000000000005</v>
      </c>
      <c r="O261" s="35"/>
      <c r="P261" s="36">
        <v>427.58</v>
      </c>
      <c r="Q261" s="35"/>
      <c r="R261" s="36">
        <v>404.12</v>
      </c>
      <c r="S261" s="35"/>
      <c r="T261" s="36">
        <v>0</v>
      </c>
      <c r="U261" s="35"/>
      <c r="V261" s="36">
        <v>492.52</v>
      </c>
      <c r="W261" s="35"/>
      <c r="X261" s="36">
        <v>422.43</v>
      </c>
      <c r="Y261" s="35"/>
      <c r="Z261" s="36">
        <v>847.8</v>
      </c>
      <c r="AA261" s="35"/>
      <c r="AB261" s="36">
        <v>511.99</v>
      </c>
      <c r="AC261" s="35"/>
      <c r="AD261" s="36">
        <v>350.2</v>
      </c>
      <c r="AE261" s="35"/>
      <c r="AF261" s="36">
        <v>200.54</v>
      </c>
      <c r="AG261" s="35"/>
      <c r="AH261" s="36">
        <f t="shared" si="26"/>
        <v>4847.2299999999996</v>
      </c>
      <c r="AI261" s="37">
        <f t="shared" si="27"/>
        <v>7.1695977158901128E-5</v>
      </c>
      <c r="AJ261" s="38"/>
    </row>
    <row r="262" spans="2:36" outlineLevel="1">
      <c r="B262" s="31" t="s">
        <v>56</v>
      </c>
      <c r="D262" s="32">
        <v>70095</v>
      </c>
      <c r="E262" s="32" t="s">
        <v>191</v>
      </c>
      <c r="F262" s="33"/>
      <c r="G262" s="29"/>
      <c r="H262" s="34"/>
      <c r="I262" s="35"/>
      <c r="J262" s="36">
        <v>7235.26</v>
      </c>
      <c r="K262" s="35"/>
      <c r="L262" s="36">
        <v>8580.24</v>
      </c>
      <c r="M262" s="35"/>
      <c r="N262" s="36">
        <v>28155.46</v>
      </c>
      <c r="O262" s="35"/>
      <c r="P262" s="36">
        <v>30169.77</v>
      </c>
      <c r="Q262" s="35"/>
      <c r="R262" s="36">
        <v>1575.92</v>
      </c>
      <c r="S262" s="35"/>
      <c r="T262" s="36">
        <v>4471.32</v>
      </c>
      <c r="U262" s="35"/>
      <c r="V262" s="36">
        <v>6289.37</v>
      </c>
      <c r="W262" s="35"/>
      <c r="X262" s="36">
        <v>3675.09</v>
      </c>
      <c r="Y262" s="35"/>
      <c r="Z262" s="36">
        <v>1929.11</v>
      </c>
      <c r="AA262" s="35"/>
      <c r="AB262" s="36">
        <v>3756.06</v>
      </c>
      <c r="AC262" s="35"/>
      <c r="AD262" s="36">
        <v>29236.36</v>
      </c>
      <c r="AE262" s="35"/>
      <c r="AF262" s="36">
        <v>9687.67</v>
      </c>
      <c r="AG262" s="35"/>
      <c r="AH262" s="36">
        <f t="shared" si="26"/>
        <v>134761.63</v>
      </c>
      <c r="AI262" s="37">
        <f t="shared" si="27"/>
        <v>1.9932759011592775E-3</v>
      </c>
      <c r="AJ262" s="38"/>
    </row>
    <row r="263" spans="2:36" outlineLevel="1">
      <c r="B263" s="31" t="s">
        <v>56</v>
      </c>
      <c r="D263" s="32">
        <v>70105</v>
      </c>
      <c r="E263" s="32" t="s">
        <v>192</v>
      </c>
      <c r="F263" s="33"/>
      <c r="G263" s="29"/>
      <c r="H263" s="34"/>
      <c r="I263" s="35"/>
      <c r="J263" s="36">
        <v>3985.57</v>
      </c>
      <c r="K263" s="35"/>
      <c r="L263" s="36">
        <v>278.77</v>
      </c>
      <c r="M263" s="35"/>
      <c r="N263" s="36">
        <v>278.77</v>
      </c>
      <c r="O263" s="35"/>
      <c r="P263" s="36">
        <v>278.77</v>
      </c>
      <c r="Q263" s="35"/>
      <c r="R263" s="36">
        <v>278.77</v>
      </c>
      <c r="S263" s="35"/>
      <c r="T263" s="36">
        <v>278.77</v>
      </c>
      <c r="U263" s="35"/>
      <c r="V263" s="36">
        <v>278.77</v>
      </c>
      <c r="W263" s="35"/>
      <c r="X263" s="36">
        <v>278.77</v>
      </c>
      <c r="Y263" s="35"/>
      <c r="Z263" s="36">
        <v>278.77999999999997</v>
      </c>
      <c r="AA263" s="35"/>
      <c r="AB263" s="36">
        <v>278.77</v>
      </c>
      <c r="AC263" s="35"/>
      <c r="AD263" s="36">
        <v>278.77</v>
      </c>
      <c r="AE263" s="35"/>
      <c r="AF263" s="36">
        <v>278.77</v>
      </c>
      <c r="AG263" s="35"/>
      <c r="AH263" s="36">
        <f t="shared" si="26"/>
        <v>7052.05</v>
      </c>
      <c r="AI263" s="37">
        <f t="shared" si="27"/>
        <v>1.0430774189040519E-4</v>
      </c>
      <c r="AJ263" s="38"/>
    </row>
    <row r="264" spans="2:36" outlineLevel="1">
      <c r="B264" s="31" t="s">
        <v>56</v>
      </c>
      <c r="D264" s="32">
        <v>70110</v>
      </c>
      <c r="E264" s="32" t="s">
        <v>193</v>
      </c>
      <c r="F264" s="33"/>
      <c r="G264" s="29"/>
      <c r="H264" s="34"/>
      <c r="I264" s="35"/>
      <c r="J264" s="36">
        <v>4576.9799999999996</v>
      </c>
      <c r="K264" s="35"/>
      <c r="L264" s="36">
        <v>5160.5</v>
      </c>
      <c r="M264" s="35"/>
      <c r="N264" s="36">
        <v>6858.92</v>
      </c>
      <c r="O264" s="35"/>
      <c r="P264" s="36">
        <v>5680</v>
      </c>
      <c r="Q264" s="35"/>
      <c r="R264" s="36">
        <v>11342.5</v>
      </c>
      <c r="S264" s="35"/>
      <c r="T264" s="36">
        <v>10005</v>
      </c>
      <c r="U264" s="35"/>
      <c r="V264" s="36">
        <v>11791</v>
      </c>
      <c r="W264" s="35"/>
      <c r="X264" s="36">
        <v>18131.900000000001</v>
      </c>
      <c r="Y264" s="35"/>
      <c r="Z264" s="36">
        <v>7959.27</v>
      </c>
      <c r="AA264" s="35"/>
      <c r="AB264" s="36">
        <v>16599.349999999999</v>
      </c>
      <c r="AC264" s="35"/>
      <c r="AD264" s="36">
        <v>7980</v>
      </c>
      <c r="AE264" s="35"/>
      <c r="AF264" s="36">
        <v>4170</v>
      </c>
      <c r="AG264" s="35"/>
      <c r="AH264" s="36">
        <f t="shared" si="26"/>
        <v>110255.41999999998</v>
      </c>
      <c r="AI264" s="37">
        <f t="shared" si="27"/>
        <v>1.6308015245748706E-3</v>
      </c>
      <c r="AJ264" s="38"/>
    </row>
    <row r="265" spans="2:36" outlineLevel="1">
      <c r="B265" s="31" t="s">
        <v>56</v>
      </c>
      <c r="D265" s="32">
        <v>70112</v>
      </c>
      <c r="E265" s="32" t="s">
        <v>194</v>
      </c>
      <c r="F265" s="33"/>
      <c r="G265" s="29"/>
      <c r="H265" s="34"/>
      <c r="I265" s="35"/>
      <c r="J265" s="36">
        <v>6250</v>
      </c>
      <c r="K265" s="35"/>
      <c r="L265" s="36">
        <v>0</v>
      </c>
      <c r="M265" s="35"/>
      <c r="N265" s="36">
        <v>0</v>
      </c>
      <c r="O265" s="35"/>
      <c r="P265" s="36">
        <v>0</v>
      </c>
      <c r="Q265" s="35"/>
      <c r="R265" s="36">
        <v>0</v>
      </c>
      <c r="S265" s="35"/>
      <c r="T265" s="36">
        <v>0</v>
      </c>
      <c r="U265" s="35"/>
      <c r="V265" s="36">
        <v>0</v>
      </c>
      <c r="W265" s="35"/>
      <c r="X265" s="36">
        <v>0</v>
      </c>
      <c r="Y265" s="35"/>
      <c r="Z265" s="36">
        <v>0</v>
      </c>
      <c r="AA265" s="35"/>
      <c r="AB265" s="36">
        <v>0</v>
      </c>
      <c r="AC265" s="35"/>
      <c r="AD265" s="36">
        <v>0</v>
      </c>
      <c r="AE265" s="35"/>
      <c r="AF265" s="36">
        <v>0</v>
      </c>
      <c r="AG265" s="35"/>
      <c r="AH265" s="36">
        <f t="shared" si="26"/>
        <v>6250</v>
      </c>
      <c r="AI265" s="37">
        <f t="shared" si="27"/>
        <v>9.2444521354078938E-5</v>
      </c>
      <c r="AJ265" s="38"/>
    </row>
    <row r="266" spans="2:36" outlineLevel="1">
      <c r="B266" s="31" t="s">
        <v>56</v>
      </c>
      <c r="D266" s="32">
        <v>70116</v>
      </c>
      <c r="E266" s="32" t="s">
        <v>121</v>
      </c>
      <c r="F266" s="33"/>
      <c r="G266" s="29"/>
      <c r="H266" s="34"/>
      <c r="I266" s="35"/>
      <c r="J266" s="36">
        <v>3797.51</v>
      </c>
      <c r="K266" s="35"/>
      <c r="L266" s="36">
        <v>5648.64</v>
      </c>
      <c r="M266" s="35"/>
      <c r="N266" s="36">
        <v>3816.41</v>
      </c>
      <c r="O266" s="35"/>
      <c r="P266" s="36">
        <v>3467.83</v>
      </c>
      <c r="Q266" s="35"/>
      <c r="R266" s="36">
        <v>4137.12</v>
      </c>
      <c r="S266" s="35"/>
      <c r="T266" s="36">
        <v>3928.11</v>
      </c>
      <c r="U266" s="35"/>
      <c r="V266" s="36">
        <v>5096.3900000000003</v>
      </c>
      <c r="W266" s="35"/>
      <c r="X266" s="36">
        <v>8123.94</v>
      </c>
      <c r="Y266" s="35"/>
      <c r="Z266" s="36">
        <v>5362.06</v>
      </c>
      <c r="AA266" s="35"/>
      <c r="AB266" s="36">
        <v>5290.06</v>
      </c>
      <c r="AC266" s="35"/>
      <c r="AD266" s="36">
        <v>4520.92</v>
      </c>
      <c r="AE266" s="35"/>
      <c r="AF266" s="36">
        <v>9193.07</v>
      </c>
      <c r="AG266" s="35"/>
      <c r="AH266" s="36">
        <f t="shared" si="26"/>
        <v>62382.060000000005</v>
      </c>
      <c r="AI266" s="37">
        <f t="shared" si="27"/>
        <v>9.2270074844502952E-4</v>
      </c>
      <c r="AJ266" s="38"/>
    </row>
    <row r="267" spans="2:36" outlineLevel="1">
      <c r="B267" s="31" t="s">
        <v>56</v>
      </c>
      <c r="D267" s="32">
        <v>70148</v>
      </c>
      <c r="E267" s="32" t="s">
        <v>195</v>
      </c>
      <c r="F267" s="33"/>
      <c r="G267" s="29"/>
      <c r="H267" s="34"/>
      <c r="I267" s="35"/>
      <c r="J267" s="36">
        <v>13463.85</v>
      </c>
      <c r="K267" s="35"/>
      <c r="L267" s="36">
        <v>12823.53</v>
      </c>
      <c r="M267" s="35"/>
      <c r="N267" s="36">
        <v>16490.990000000002</v>
      </c>
      <c r="O267" s="35"/>
      <c r="P267" s="36">
        <v>22723.49</v>
      </c>
      <c r="Q267" s="35"/>
      <c r="R267" s="36">
        <v>34674.42</v>
      </c>
      <c r="S267" s="35"/>
      <c r="T267" s="36">
        <v>24912.73</v>
      </c>
      <c r="U267" s="35"/>
      <c r="V267" s="36">
        <v>16347.83</v>
      </c>
      <c r="W267" s="35"/>
      <c r="X267" s="36">
        <v>26086.32</v>
      </c>
      <c r="Y267" s="35"/>
      <c r="Z267" s="36">
        <v>20810.89</v>
      </c>
      <c r="AA267" s="35"/>
      <c r="AB267" s="36">
        <v>13747.95</v>
      </c>
      <c r="AC267" s="35"/>
      <c r="AD267" s="36">
        <v>11999.84</v>
      </c>
      <c r="AE267" s="35"/>
      <c r="AF267" s="36">
        <v>25948.12</v>
      </c>
      <c r="AG267" s="35"/>
      <c r="AH267" s="36">
        <f t="shared" si="26"/>
        <v>240029.95999999996</v>
      </c>
      <c r="AI267" s="37">
        <f t="shared" si="27"/>
        <v>3.5503127620541935E-3</v>
      </c>
      <c r="AJ267" s="38"/>
    </row>
    <row r="268" spans="2:36" outlineLevel="1">
      <c r="B268" s="31" t="s">
        <v>56</v>
      </c>
      <c r="D268" s="32">
        <v>70150</v>
      </c>
      <c r="E268" s="32" t="s">
        <v>139</v>
      </c>
      <c r="F268" s="33"/>
      <c r="G268" s="29"/>
      <c r="H268" s="34"/>
      <c r="I268" s="35"/>
      <c r="J268" s="36">
        <v>2053.65</v>
      </c>
      <c r="K268" s="35"/>
      <c r="L268" s="36">
        <v>2118.65</v>
      </c>
      <c r="M268" s="35"/>
      <c r="N268" s="36">
        <v>2829.83</v>
      </c>
      <c r="O268" s="35"/>
      <c r="P268" s="36">
        <v>3260.26</v>
      </c>
      <c r="Q268" s="35"/>
      <c r="R268" s="36">
        <v>3065.46</v>
      </c>
      <c r="S268" s="35"/>
      <c r="T268" s="36">
        <v>2764.53</v>
      </c>
      <c r="U268" s="35"/>
      <c r="V268" s="36">
        <v>2265.06</v>
      </c>
      <c r="W268" s="35"/>
      <c r="X268" s="36">
        <v>2535.98</v>
      </c>
      <c r="Y268" s="35"/>
      <c r="Z268" s="36">
        <v>2223.9899999999998</v>
      </c>
      <c r="AA268" s="35"/>
      <c r="AB268" s="36">
        <v>2124.2600000000002</v>
      </c>
      <c r="AC268" s="35"/>
      <c r="AD268" s="36">
        <v>2180.87</v>
      </c>
      <c r="AE268" s="35"/>
      <c r="AF268" s="36">
        <v>2374.5300000000002</v>
      </c>
      <c r="AG268" s="35"/>
      <c r="AH268" s="36">
        <f t="shared" si="26"/>
        <v>29797.07</v>
      </c>
      <c r="AI268" s="37">
        <f t="shared" si="27"/>
        <v>4.4073213982463759E-4</v>
      </c>
      <c r="AJ268" s="38"/>
    </row>
    <row r="269" spans="2:36" outlineLevel="1">
      <c r="B269" s="31" t="s">
        <v>56</v>
      </c>
      <c r="D269" s="32">
        <v>70165</v>
      </c>
      <c r="E269" s="32" t="s">
        <v>140</v>
      </c>
      <c r="F269" s="33"/>
      <c r="G269" s="29"/>
      <c r="H269" s="34"/>
      <c r="I269" s="35"/>
      <c r="J269" s="36">
        <v>4921.01</v>
      </c>
      <c r="K269" s="35"/>
      <c r="L269" s="36">
        <v>4736.63</v>
      </c>
      <c r="M269" s="35"/>
      <c r="N269" s="36">
        <v>5353.89</v>
      </c>
      <c r="O269" s="35"/>
      <c r="P269" s="36">
        <v>4543.45</v>
      </c>
      <c r="Q269" s="35"/>
      <c r="R269" s="36">
        <v>5117.03</v>
      </c>
      <c r="S269" s="35"/>
      <c r="T269" s="36">
        <v>4846.93</v>
      </c>
      <c r="U269" s="35"/>
      <c r="V269" s="36">
        <v>4970.1099999999997</v>
      </c>
      <c r="W269" s="35"/>
      <c r="X269" s="36">
        <v>4935.18</v>
      </c>
      <c r="Y269" s="35"/>
      <c r="Z269" s="36">
        <v>4980.22</v>
      </c>
      <c r="AA269" s="35"/>
      <c r="AB269" s="36">
        <v>5335.79</v>
      </c>
      <c r="AC269" s="35"/>
      <c r="AD269" s="36">
        <v>4982.92</v>
      </c>
      <c r="AE269" s="35"/>
      <c r="AF269" s="36">
        <v>5270.61</v>
      </c>
      <c r="AG269" s="35"/>
      <c r="AH269" s="36">
        <f t="shared" si="26"/>
        <v>59993.77</v>
      </c>
      <c r="AI269" s="37">
        <f t="shared" si="27"/>
        <v>8.8737525630027206E-4</v>
      </c>
      <c r="AJ269" s="38"/>
    </row>
    <row r="270" spans="2:36" outlineLevel="1">
      <c r="B270" s="31" t="s">
        <v>56</v>
      </c>
      <c r="D270" s="32">
        <v>70167</v>
      </c>
      <c r="E270" s="32" t="s">
        <v>196</v>
      </c>
      <c r="F270" s="33"/>
      <c r="G270" s="29"/>
      <c r="H270" s="34"/>
      <c r="I270" s="35"/>
      <c r="J270" s="36">
        <v>2895.61</v>
      </c>
      <c r="K270" s="35"/>
      <c r="L270" s="36">
        <v>3144.58</v>
      </c>
      <c r="M270" s="35"/>
      <c r="N270" s="36">
        <v>1990.05</v>
      </c>
      <c r="O270" s="35"/>
      <c r="P270" s="36">
        <v>1488.15</v>
      </c>
      <c r="Q270" s="35"/>
      <c r="R270" s="36">
        <v>1848.97</v>
      </c>
      <c r="S270" s="35"/>
      <c r="T270" s="36">
        <v>1820.87</v>
      </c>
      <c r="U270" s="35"/>
      <c r="V270" s="36">
        <v>1664.83</v>
      </c>
      <c r="W270" s="35"/>
      <c r="X270" s="36">
        <v>1971.29</v>
      </c>
      <c r="Y270" s="35"/>
      <c r="Z270" s="36">
        <v>1788.4</v>
      </c>
      <c r="AA270" s="35"/>
      <c r="AB270" s="36">
        <v>1887.79</v>
      </c>
      <c r="AC270" s="35"/>
      <c r="AD270" s="36">
        <v>1823.49</v>
      </c>
      <c r="AE270" s="35"/>
      <c r="AF270" s="36">
        <v>2143.42</v>
      </c>
      <c r="AG270" s="35"/>
      <c r="AH270" s="36">
        <f t="shared" si="26"/>
        <v>24467.449999999997</v>
      </c>
      <c r="AI270" s="37">
        <f t="shared" si="27"/>
        <v>3.6190107264077738E-4</v>
      </c>
      <c r="AJ270" s="38"/>
    </row>
    <row r="271" spans="2:36" outlineLevel="1">
      <c r="B271" s="31" t="s">
        <v>56</v>
      </c>
      <c r="D271" s="32">
        <v>70171</v>
      </c>
      <c r="E271" s="32" t="s">
        <v>197</v>
      </c>
      <c r="F271" s="33"/>
      <c r="G271" s="29"/>
      <c r="H271" s="34"/>
      <c r="I271" s="35"/>
      <c r="J271" s="36">
        <v>0</v>
      </c>
      <c r="K271" s="35"/>
      <c r="L271" s="36">
        <v>0</v>
      </c>
      <c r="M271" s="35"/>
      <c r="N271" s="36">
        <v>0</v>
      </c>
      <c r="O271" s="35"/>
      <c r="P271" s="36">
        <v>0</v>
      </c>
      <c r="Q271" s="35"/>
      <c r="R271" s="36">
        <v>0</v>
      </c>
      <c r="S271" s="35"/>
      <c r="T271" s="36">
        <v>4122.46</v>
      </c>
      <c r="U271" s="35"/>
      <c r="V271" s="36">
        <v>0</v>
      </c>
      <c r="W271" s="35"/>
      <c r="X271" s="36">
        <v>0</v>
      </c>
      <c r="Y271" s="35"/>
      <c r="Z271" s="36">
        <v>0</v>
      </c>
      <c r="AA271" s="35"/>
      <c r="AB271" s="36">
        <v>0</v>
      </c>
      <c r="AC271" s="35"/>
      <c r="AD271" s="36">
        <v>0</v>
      </c>
      <c r="AE271" s="35"/>
      <c r="AF271" s="36">
        <v>0</v>
      </c>
      <c r="AG271" s="35"/>
      <c r="AH271" s="36">
        <f t="shared" si="26"/>
        <v>4122.46</v>
      </c>
      <c r="AI271" s="37">
        <f t="shared" si="27"/>
        <v>6.0975814640213805E-5</v>
      </c>
      <c r="AJ271" s="38"/>
    </row>
    <row r="272" spans="2:36" outlineLevel="1">
      <c r="B272" s="31" t="s">
        <v>56</v>
      </c>
      <c r="D272" s="32">
        <v>70175</v>
      </c>
      <c r="E272" s="32" t="s">
        <v>141</v>
      </c>
      <c r="F272" s="33"/>
      <c r="G272" s="29"/>
      <c r="H272" s="34"/>
      <c r="I272" s="35"/>
      <c r="J272" s="36">
        <v>0</v>
      </c>
      <c r="K272" s="35"/>
      <c r="L272" s="36">
        <v>66.61</v>
      </c>
      <c r="M272" s="35"/>
      <c r="N272" s="36">
        <v>480.3</v>
      </c>
      <c r="O272" s="35"/>
      <c r="P272" s="36">
        <v>0</v>
      </c>
      <c r="Q272" s="35"/>
      <c r="R272" s="36">
        <v>0</v>
      </c>
      <c r="S272" s="35"/>
      <c r="T272" s="36">
        <v>0</v>
      </c>
      <c r="U272" s="35"/>
      <c r="V272" s="36">
        <v>0</v>
      </c>
      <c r="W272" s="35"/>
      <c r="X272" s="36">
        <v>0</v>
      </c>
      <c r="Y272" s="35"/>
      <c r="Z272" s="36">
        <v>0</v>
      </c>
      <c r="AA272" s="35"/>
      <c r="AB272" s="36">
        <v>5509.1</v>
      </c>
      <c r="AC272" s="35"/>
      <c r="AD272" s="36">
        <v>0</v>
      </c>
      <c r="AE272" s="35"/>
      <c r="AF272" s="36">
        <v>372.01</v>
      </c>
      <c r="AG272" s="35"/>
      <c r="AH272" s="36">
        <f t="shared" si="26"/>
        <v>6428.02</v>
      </c>
      <c r="AI272" s="37">
        <f t="shared" si="27"/>
        <v>9.5077637144711446E-5</v>
      </c>
      <c r="AJ272" s="38"/>
    </row>
    <row r="273" spans="2:36" outlineLevel="1">
      <c r="B273" s="31" t="s">
        <v>56</v>
      </c>
      <c r="D273" s="32">
        <v>70185</v>
      </c>
      <c r="E273" s="32" t="s">
        <v>198</v>
      </c>
      <c r="F273" s="33"/>
      <c r="G273" s="29"/>
      <c r="H273" s="34"/>
      <c r="I273" s="35"/>
      <c r="J273" s="36">
        <v>1674.9</v>
      </c>
      <c r="K273" s="35"/>
      <c r="L273" s="36">
        <v>3299.83</v>
      </c>
      <c r="M273" s="35"/>
      <c r="N273" s="36">
        <v>2253.9499999999998</v>
      </c>
      <c r="O273" s="35"/>
      <c r="P273" s="36">
        <v>2978.75</v>
      </c>
      <c r="Q273" s="35"/>
      <c r="R273" s="36">
        <v>1899.8</v>
      </c>
      <c r="S273" s="35"/>
      <c r="T273" s="36">
        <v>2615.37</v>
      </c>
      <c r="U273" s="35"/>
      <c r="V273" s="36">
        <v>1834.08</v>
      </c>
      <c r="W273" s="35"/>
      <c r="X273" s="36">
        <v>2890.41</v>
      </c>
      <c r="Y273" s="35"/>
      <c r="Z273" s="36">
        <v>2861.79</v>
      </c>
      <c r="AA273" s="35"/>
      <c r="AB273" s="36">
        <v>2477.7600000000002</v>
      </c>
      <c r="AC273" s="35"/>
      <c r="AD273" s="36">
        <v>2805.58</v>
      </c>
      <c r="AE273" s="35"/>
      <c r="AF273" s="36">
        <v>2795.48</v>
      </c>
      <c r="AG273" s="35"/>
      <c r="AH273" s="36">
        <f t="shared" si="26"/>
        <v>30387.700000000004</v>
      </c>
      <c r="AI273" s="37">
        <f t="shared" si="27"/>
        <v>4.4946822104821523E-4</v>
      </c>
      <c r="AJ273" s="38"/>
    </row>
    <row r="274" spans="2:36" outlineLevel="1">
      <c r="B274" s="31" t="s">
        <v>56</v>
      </c>
      <c r="D274" s="32">
        <v>70190</v>
      </c>
      <c r="E274" s="32" t="s">
        <v>199</v>
      </c>
      <c r="F274" s="33"/>
      <c r="G274" s="29"/>
      <c r="H274" s="34"/>
      <c r="I274" s="35"/>
      <c r="J274" s="36">
        <v>0</v>
      </c>
      <c r="K274" s="35"/>
      <c r="L274" s="36">
        <v>130</v>
      </c>
      <c r="M274" s="35"/>
      <c r="N274" s="36">
        <v>1090</v>
      </c>
      <c r="O274" s="35"/>
      <c r="P274" s="36">
        <v>0</v>
      </c>
      <c r="Q274" s="35"/>
      <c r="R274" s="36">
        <v>0</v>
      </c>
      <c r="S274" s="35"/>
      <c r="T274" s="36">
        <v>194</v>
      </c>
      <c r="U274" s="35"/>
      <c r="V274" s="36">
        <v>0</v>
      </c>
      <c r="W274" s="35"/>
      <c r="X274" s="36">
        <v>0</v>
      </c>
      <c r="Y274" s="35"/>
      <c r="Z274" s="36">
        <v>2125</v>
      </c>
      <c r="AA274" s="35"/>
      <c r="AB274" s="36">
        <v>701.48</v>
      </c>
      <c r="AC274" s="35"/>
      <c r="AD274" s="36">
        <v>736.4</v>
      </c>
      <c r="AE274" s="35"/>
      <c r="AF274" s="36">
        <v>655</v>
      </c>
      <c r="AG274" s="35"/>
      <c r="AH274" s="36">
        <f t="shared" si="26"/>
        <v>5631.88</v>
      </c>
      <c r="AI274" s="37">
        <f t="shared" si="27"/>
        <v>8.3301832147777613E-5</v>
      </c>
      <c r="AJ274" s="38"/>
    </row>
    <row r="275" spans="2:36" outlineLevel="1">
      <c r="B275" s="31" t="s">
        <v>56</v>
      </c>
      <c r="D275" s="32">
        <v>70195</v>
      </c>
      <c r="E275" s="32" t="s">
        <v>200</v>
      </c>
      <c r="F275" s="33"/>
      <c r="G275" s="29"/>
      <c r="H275" s="34"/>
      <c r="I275" s="35"/>
      <c r="J275" s="36">
        <v>3824.04</v>
      </c>
      <c r="K275" s="35"/>
      <c r="L275" s="36">
        <v>2755.54</v>
      </c>
      <c r="M275" s="35"/>
      <c r="N275" s="36">
        <v>2380.06</v>
      </c>
      <c r="O275" s="35"/>
      <c r="P275" s="36">
        <v>5244.05</v>
      </c>
      <c r="Q275" s="35"/>
      <c r="R275" s="36">
        <v>2159.42</v>
      </c>
      <c r="S275" s="35"/>
      <c r="T275" s="36">
        <v>2383.54</v>
      </c>
      <c r="U275" s="35"/>
      <c r="V275" s="36">
        <v>2432.9299999999998</v>
      </c>
      <c r="W275" s="35"/>
      <c r="X275" s="36">
        <v>4004.41</v>
      </c>
      <c r="Y275" s="35"/>
      <c r="Z275" s="36">
        <v>2521.4499999999998</v>
      </c>
      <c r="AA275" s="35"/>
      <c r="AB275" s="36">
        <v>3352.92</v>
      </c>
      <c r="AC275" s="35"/>
      <c r="AD275" s="36">
        <v>283.33</v>
      </c>
      <c r="AE275" s="35"/>
      <c r="AF275" s="36">
        <v>4038.42</v>
      </c>
      <c r="AG275" s="35"/>
      <c r="AH275" s="36">
        <f t="shared" si="26"/>
        <v>35380.11</v>
      </c>
      <c r="AI275" s="37">
        <f t="shared" si="27"/>
        <v>5.2331157350474591E-4</v>
      </c>
      <c r="AJ275" s="38"/>
    </row>
    <row r="276" spans="2:36" outlineLevel="1">
      <c r="B276" s="31" t="s">
        <v>56</v>
      </c>
      <c r="D276" s="32">
        <v>70200</v>
      </c>
      <c r="E276" s="32" t="s">
        <v>184</v>
      </c>
      <c r="F276" s="33"/>
      <c r="G276" s="29"/>
      <c r="H276" s="34"/>
      <c r="I276" s="35"/>
      <c r="J276" s="36">
        <v>416.15</v>
      </c>
      <c r="K276" s="35"/>
      <c r="L276" s="36">
        <v>-473.95</v>
      </c>
      <c r="M276" s="35"/>
      <c r="N276" s="36">
        <v>86.45</v>
      </c>
      <c r="O276" s="35"/>
      <c r="P276" s="36">
        <v>-23.45</v>
      </c>
      <c r="Q276" s="35"/>
      <c r="R276" s="36">
        <v>260.39999999999998</v>
      </c>
      <c r="S276" s="35"/>
      <c r="T276" s="36">
        <v>1155.21</v>
      </c>
      <c r="U276" s="35"/>
      <c r="V276" s="36">
        <v>588</v>
      </c>
      <c r="W276" s="35"/>
      <c r="X276" s="36">
        <v>751.31</v>
      </c>
      <c r="Y276" s="35"/>
      <c r="Z276" s="36">
        <v>-751.31</v>
      </c>
      <c r="AA276" s="35"/>
      <c r="AB276" s="36">
        <v>536.6</v>
      </c>
      <c r="AC276" s="35"/>
      <c r="AD276" s="36">
        <v>0</v>
      </c>
      <c r="AE276" s="35"/>
      <c r="AF276" s="36">
        <v>1243.3</v>
      </c>
      <c r="AG276" s="35"/>
      <c r="AH276" s="36">
        <f t="shared" si="26"/>
        <v>3788.7100000000005</v>
      </c>
      <c r="AI276" s="37">
        <f t="shared" si="27"/>
        <v>5.6039277199905997E-5</v>
      </c>
      <c r="AJ276" s="38"/>
    </row>
    <row r="277" spans="2:36" outlineLevel="1">
      <c r="B277" s="31" t="s">
        <v>56</v>
      </c>
      <c r="D277" s="32">
        <v>70201</v>
      </c>
      <c r="E277" s="32" t="s">
        <v>185</v>
      </c>
      <c r="F277" s="33"/>
      <c r="G277" s="29"/>
      <c r="H277" s="34"/>
      <c r="I277" s="35"/>
      <c r="J277" s="36">
        <v>2989.06</v>
      </c>
      <c r="K277" s="35"/>
      <c r="L277" s="36">
        <v>1627.17</v>
      </c>
      <c r="M277" s="35"/>
      <c r="N277" s="36">
        <v>2463.75</v>
      </c>
      <c r="O277" s="35"/>
      <c r="P277" s="36">
        <v>1856.41</v>
      </c>
      <c r="Q277" s="35"/>
      <c r="R277" s="36">
        <v>1670.87</v>
      </c>
      <c r="S277" s="35"/>
      <c r="T277" s="36">
        <v>2060.98</v>
      </c>
      <c r="U277" s="35"/>
      <c r="V277" s="36">
        <v>1110.3900000000001</v>
      </c>
      <c r="W277" s="35"/>
      <c r="X277" s="36">
        <v>2316.0100000000002</v>
      </c>
      <c r="Y277" s="35"/>
      <c r="Z277" s="36">
        <v>1948.23</v>
      </c>
      <c r="AA277" s="35"/>
      <c r="AB277" s="36">
        <v>4630.8900000000003</v>
      </c>
      <c r="AC277" s="35"/>
      <c r="AD277" s="36">
        <v>1038.7</v>
      </c>
      <c r="AE277" s="35"/>
      <c r="AF277" s="36">
        <v>2858.6</v>
      </c>
      <c r="AG277" s="35"/>
      <c r="AH277" s="36">
        <f t="shared" si="26"/>
        <v>26571.06</v>
      </c>
      <c r="AI277" s="37">
        <f t="shared" si="27"/>
        <v>3.9301582777128205E-4</v>
      </c>
      <c r="AJ277" s="38"/>
    </row>
    <row r="278" spans="2:36" outlineLevel="1">
      <c r="B278" s="31" t="s">
        <v>56</v>
      </c>
      <c r="D278" s="32">
        <v>70202</v>
      </c>
      <c r="E278" s="32" t="s">
        <v>201</v>
      </c>
      <c r="F278" s="33"/>
      <c r="G278" s="29"/>
      <c r="H278" s="34"/>
      <c r="I278" s="35"/>
      <c r="J278" s="36">
        <v>2374.9699999999998</v>
      </c>
      <c r="K278" s="35"/>
      <c r="L278" s="36">
        <v>-138.25</v>
      </c>
      <c r="M278" s="35"/>
      <c r="N278" s="36">
        <v>627.67999999999995</v>
      </c>
      <c r="O278" s="35"/>
      <c r="P278" s="36">
        <v>857.6</v>
      </c>
      <c r="Q278" s="35"/>
      <c r="R278" s="36">
        <v>9529.99</v>
      </c>
      <c r="S278" s="35"/>
      <c r="T278" s="36">
        <v>259.45</v>
      </c>
      <c r="U278" s="35"/>
      <c r="V278" s="36">
        <v>-7.81</v>
      </c>
      <c r="W278" s="35"/>
      <c r="X278" s="36">
        <v>5649.03</v>
      </c>
      <c r="Y278" s="35"/>
      <c r="Z278" s="36">
        <v>2505.06</v>
      </c>
      <c r="AA278" s="35"/>
      <c r="AB278" s="36">
        <v>65708.81</v>
      </c>
      <c r="AC278" s="35"/>
      <c r="AD278" s="36">
        <v>2398.75</v>
      </c>
      <c r="AE278" s="35"/>
      <c r="AF278" s="36">
        <v>4539.6499999999996</v>
      </c>
      <c r="AG278" s="35"/>
      <c r="AH278" s="36">
        <f t="shared" si="26"/>
        <v>94304.93</v>
      </c>
      <c r="AI278" s="37">
        <f t="shared" si="27"/>
        <v>1.3948758584287871E-3</v>
      </c>
      <c r="AJ278" s="38"/>
    </row>
    <row r="279" spans="2:36" outlineLevel="1">
      <c r="B279" s="31" t="s">
        <v>56</v>
      </c>
      <c r="D279" s="32">
        <v>70203</v>
      </c>
      <c r="E279" s="32" t="s">
        <v>202</v>
      </c>
      <c r="F279" s="33"/>
      <c r="G279" s="29"/>
      <c r="H279" s="34"/>
      <c r="I279" s="35"/>
      <c r="J279" s="36">
        <v>0</v>
      </c>
      <c r="K279" s="35"/>
      <c r="L279" s="36">
        <v>0</v>
      </c>
      <c r="M279" s="35"/>
      <c r="N279" s="36">
        <v>802.23</v>
      </c>
      <c r="O279" s="35"/>
      <c r="P279" s="36">
        <v>1382.96</v>
      </c>
      <c r="Q279" s="35"/>
      <c r="R279" s="36">
        <v>-550</v>
      </c>
      <c r="S279" s="35"/>
      <c r="T279" s="36">
        <v>0</v>
      </c>
      <c r="U279" s="35"/>
      <c r="V279" s="36">
        <v>0</v>
      </c>
      <c r="W279" s="35"/>
      <c r="X279" s="36">
        <v>120.99</v>
      </c>
      <c r="Y279" s="35"/>
      <c r="Z279" s="36">
        <v>1151.2</v>
      </c>
      <c r="AA279" s="35"/>
      <c r="AB279" s="36">
        <v>1254.6300000000001</v>
      </c>
      <c r="AC279" s="35"/>
      <c r="AD279" s="36">
        <v>0</v>
      </c>
      <c r="AE279" s="35"/>
      <c r="AF279" s="36">
        <v>574.41</v>
      </c>
      <c r="AG279" s="35"/>
      <c r="AH279" s="36">
        <f t="shared" si="26"/>
        <v>4736.42</v>
      </c>
      <c r="AI279" s="37">
        <f t="shared" si="27"/>
        <v>7.0056972773101852E-5</v>
      </c>
      <c r="AJ279" s="38"/>
    </row>
    <row r="280" spans="2:36" outlineLevel="1">
      <c r="B280" s="31" t="s">
        <v>56</v>
      </c>
      <c r="D280" s="32">
        <v>70204</v>
      </c>
      <c r="E280" s="32" t="s">
        <v>203</v>
      </c>
      <c r="F280" s="33"/>
      <c r="G280" s="29"/>
      <c r="H280" s="34"/>
      <c r="I280" s="35"/>
      <c r="J280" s="36">
        <v>0</v>
      </c>
      <c r="K280" s="35"/>
      <c r="L280" s="36">
        <v>0</v>
      </c>
      <c r="M280" s="35"/>
      <c r="N280" s="36">
        <v>0</v>
      </c>
      <c r="O280" s="35"/>
      <c r="P280" s="36">
        <v>0</v>
      </c>
      <c r="Q280" s="35"/>
      <c r="R280" s="36">
        <v>0</v>
      </c>
      <c r="S280" s="35"/>
      <c r="T280" s="36">
        <v>70</v>
      </c>
      <c r="U280" s="35"/>
      <c r="V280" s="36">
        <v>0</v>
      </c>
      <c r="W280" s="35"/>
      <c r="X280" s="36">
        <v>82.18</v>
      </c>
      <c r="Y280" s="35"/>
      <c r="Z280" s="36">
        <v>27.09</v>
      </c>
      <c r="AA280" s="35"/>
      <c r="AB280" s="36">
        <v>0</v>
      </c>
      <c r="AC280" s="35"/>
      <c r="AD280" s="36">
        <v>0</v>
      </c>
      <c r="AE280" s="35"/>
      <c r="AF280" s="36">
        <v>0</v>
      </c>
      <c r="AG280" s="35"/>
      <c r="AH280" s="36">
        <f t="shared" si="26"/>
        <v>179.27</v>
      </c>
      <c r="AI280" s="37">
        <f t="shared" si="27"/>
        <v>2.6516046949033171E-6</v>
      </c>
      <c r="AJ280" s="38"/>
    </row>
    <row r="281" spans="2:36" outlineLevel="1">
      <c r="B281" s="31" t="s">
        <v>56</v>
      </c>
      <c r="D281" s="32">
        <v>70205</v>
      </c>
      <c r="E281" s="32" t="s">
        <v>186</v>
      </c>
      <c r="F281" s="33"/>
      <c r="G281" s="29"/>
      <c r="H281" s="34"/>
      <c r="I281" s="35"/>
      <c r="J281" s="36">
        <v>1161.08</v>
      </c>
      <c r="K281" s="35"/>
      <c r="L281" s="36">
        <v>-179.55</v>
      </c>
      <c r="M281" s="35"/>
      <c r="N281" s="36">
        <v>528.48</v>
      </c>
      <c r="O281" s="35"/>
      <c r="P281" s="36">
        <v>996.03</v>
      </c>
      <c r="Q281" s="35"/>
      <c r="R281" s="36">
        <v>902.24</v>
      </c>
      <c r="S281" s="35"/>
      <c r="T281" s="36">
        <v>1496.69</v>
      </c>
      <c r="U281" s="35"/>
      <c r="V281" s="36">
        <v>355.31</v>
      </c>
      <c r="W281" s="35"/>
      <c r="X281" s="36">
        <v>3350.31</v>
      </c>
      <c r="Y281" s="35"/>
      <c r="Z281" s="36">
        <v>707.98</v>
      </c>
      <c r="AA281" s="35"/>
      <c r="AB281" s="36">
        <v>1475.72</v>
      </c>
      <c r="AC281" s="35"/>
      <c r="AD281" s="36">
        <v>857.21</v>
      </c>
      <c r="AE281" s="35"/>
      <c r="AF281" s="36">
        <v>2012.64</v>
      </c>
      <c r="AG281" s="35"/>
      <c r="AH281" s="36">
        <f t="shared" si="26"/>
        <v>13664.140000000001</v>
      </c>
      <c r="AI281" s="37">
        <f t="shared" si="27"/>
        <v>2.0210798112241989E-4</v>
      </c>
      <c r="AJ281" s="38"/>
    </row>
    <row r="282" spans="2:36" outlineLevel="1">
      <c r="B282" s="31" t="s">
        <v>56</v>
      </c>
      <c r="D282" s="32">
        <v>70206</v>
      </c>
      <c r="E282" s="32" t="s">
        <v>204</v>
      </c>
      <c r="F282" s="33"/>
      <c r="G282" s="29"/>
      <c r="H282" s="34"/>
      <c r="I282" s="35"/>
      <c r="J282" s="36">
        <v>0</v>
      </c>
      <c r="K282" s="35"/>
      <c r="L282" s="36">
        <v>120</v>
      </c>
      <c r="M282" s="35"/>
      <c r="N282" s="36">
        <v>60.26</v>
      </c>
      <c r="O282" s="35"/>
      <c r="P282" s="36">
        <v>300</v>
      </c>
      <c r="Q282" s="35"/>
      <c r="R282" s="36">
        <v>-293.02</v>
      </c>
      <c r="S282" s="35"/>
      <c r="T282" s="36">
        <v>275.19</v>
      </c>
      <c r="U282" s="35"/>
      <c r="V282" s="36">
        <v>39.86</v>
      </c>
      <c r="W282" s="35"/>
      <c r="X282" s="36">
        <v>514.32000000000005</v>
      </c>
      <c r="Y282" s="35"/>
      <c r="Z282" s="36">
        <v>602.73</v>
      </c>
      <c r="AA282" s="35"/>
      <c r="AB282" s="36">
        <v>716.26</v>
      </c>
      <c r="AC282" s="35"/>
      <c r="AD282" s="36">
        <v>800</v>
      </c>
      <c r="AE282" s="35"/>
      <c r="AF282" s="36">
        <v>0</v>
      </c>
      <c r="AG282" s="35"/>
      <c r="AH282" s="36">
        <f t="shared" si="26"/>
        <v>3135.6000000000004</v>
      </c>
      <c r="AI282" s="37">
        <f t="shared" si="27"/>
        <v>4.6379046585255995E-5</v>
      </c>
      <c r="AJ282" s="38"/>
    </row>
    <row r="283" spans="2:36" outlineLevel="1">
      <c r="B283" s="31" t="s">
        <v>56</v>
      </c>
      <c r="D283" s="32">
        <v>70207</v>
      </c>
      <c r="E283" s="32" t="s">
        <v>205</v>
      </c>
      <c r="F283" s="33"/>
      <c r="G283" s="29"/>
      <c r="H283" s="34"/>
      <c r="I283" s="35"/>
      <c r="J283" s="36">
        <v>0</v>
      </c>
      <c r="K283" s="35"/>
      <c r="L283" s="36">
        <v>0</v>
      </c>
      <c r="M283" s="35"/>
      <c r="N283" s="36">
        <v>0</v>
      </c>
      <c r="O283" s="35"/>
      <c r="P283" s="36">
        <v>21.04</v>
      </c>
      <c r="Q283" s="35"/>
      <c r="R283" s="36">
        <v>21.21</v>
      </c>
      <c r="S283" s="35"/>
      <c r="T283" s="36">
        <v>0</v>
      </c>
      <c r="U283" s="35"/>
      <c r="V283" s="36">
        <v>148</v>
      </c>
      <c r="W283" s="35"/>
      <c r="X283" s="36">
        <v>30</v>
      </c>
      <c r="Y283" s="35"/>
      <c r="Z283" s="36">
        <v>57.85</v>
      </c>
      <c r="AA283" s="35"/>
      <c r="AB283" s="36">
        <v>0</v>
      </c>
      <c r="AC283" s="35"/>
      <c r="AD283" s="36">
        <v>0</v>
      </c>
      <c r="AE283" s="35"/>
      <c r="AF283" s="36">
        <v>0</v>
      </c>
      <c r="AG283" s="35"/>
      <c r="AH283" s="36">
        <f t="shared" si="26"/>
        <v>278.10000000000002</v>
      </c>
      <c r="AI283" s="37">
        <f t="shared" si="27"/>
        <v>4.1134114221710969E-6</v>
      </c>
      <c r="AJ283" s="38"/>
    </row>
    <row r="284" spans="2:36" outlineLevel="1">
      <c r="B284" s="31" t="s">
        <v>56</v>
      </c>
      <c r="D284" s="32">
        <v>70210</v>
      </c>
      <c r="E284" s="32" t="s">
        <v>187</v>
      </c>
      <c r="F284" s="33"/>
      <c r="G284" s="29"/>
      <c r="H284" s="34"/>
      <c r="I284" s="35"/>
      <c r="J284" s="36">
        <v>10019.39</v>
      </c>
      <c r="K284" s="35"/>
      <c r="L284" s="36">
        <v>8176.63</v>
      </c>
      <c r="M284" s="35"/>
      <c r="N284" s="36">
        <v>7161.86</v>
      </c>
      <c r="O284" s="35"/>
      <c r="P284" s="36">
        <v>9303.67</v>
      </c>
      <c r="Q284" s="35"/>
      <c r="R284" s="36">
        <v>7300.36</v>
      </c>
      <c r="S284" s="35"/>
      <c r="T284" s="36">
        <v>11394.96</v>
      </c>
      <c r="U284" s="35"/>
      <c r="V284" s="36">
        <v>10842.48</v>
      </c>
      <c r="W284" s="35"/>
      <c r="X284" s="36">
        <v>9300.59</v>
      </c>
      <c r="Y284" s="35"/>
      <c r="Z284" s="36">
        <v>12816.55</v>
      </c>
      <c r="AA284" s="35"/>
      <c r="AB284" s="36">
        <v>11742.46</v>
      </c>
      <c r="AC284" s="35"/>
      <c r="AD284" s="36">
        <v>9767.41</v>
      </c>
      <c r="AE284" s="35"/>
      <c r="AF284" s="36">
        <v>10434.620000000001</v>
      </c>
      <c r="AG284" s="35"/>
      <c r="AH284" s="36">
        <f t="shared" si="26"/>
        <v>118260.97999999998</v>
      </c>
      <c r="AI284" s="37">
        <f t="shared" si="27"/>
        <v>1.7492127505542882E-3</v>
      </c>
      <c r="AJ284" s="38"/>
    </row>
    <row r="285" spans="2:36" outlineLevel="1">
      <c r="B285" s="31" t="s">
        <v>56</v>
      </c>
      <c r="D285" s="32">
        <v>70214</v>
      </c>
      <c r="E285" s="32" t="s">
        <v>206</v>
      </c>
      <c r="F285" s="33"/>
      <c r="G285" s="29"/>
      <c r="H285" s="34"/>
      <c r="I285" s="35"/>
      <c r="J285" s="36">
        <v>23248.1</v>
      </c>
      <c r="K285" s="35"/>
      <c r="L285" s="36">
        <v>23638.95</v>
      </c>
      <c r="M285" s="35"/>
      <c r="N285" s="36">
        <v>23072.27</v>
      </c>
      <c r="O285" s="35"/>
      <c r="P285" s="36">
        <v>23287.82</v>
      </c>
      <c r="Q285" s="35"/>
      <c r="R285" s="36">
        <v>22754.62</v>
      </c>
      <c r="S285" s="35"/>
      <c r="T285" s="36">
        <v>23398.67</v>
      </c>
      <c r="U285" s="35"/>
      <c r="V285" s="36">
        <v>21902.12</v>
      </c>
      <c r="W285" s="35"/>
      <c r="X285" s="36">
        <v>24709.119999999999</v>
      </c>
      <c r="Y285" s="35"/>
      <c r="Z285" s="36">
        <v>25535.42</v>
      </c>
      <c r="AA285" s="35"/>
      <c r="AB285" s="36">
        <v>26110.41</v>
      </c>
      <c r="AC285" s="35"/>
      <c r="AD285" s="36">
        <v>27802.73</v>
      </c>
      <c r="AE285" s="35"/>
      <c r="AF285" s="36">
        <v>23734.720000000001</v>
      </c>
      <c r="AG285" s="35"/>
      <c r="AH285" s="36">
        <f t="shared" si="26"/>
        <v>289194.94999999995</v>
      </c>
      <c r="AI285" s="37">
        <f t="shared" si="27"/>
        <v>4.2775181969226857E-3</v>
      </c>
      <c r="AJ285" s="38"/>
    </row>
    <row r="286" spans="2:36" outlineLevel="1">
      <c r="B286" s="31" t="s">
        <v>56</v>
      </c>
      <c r="D286" s="32">
        <v>70215</v>
      </c>
      <c r="E286" s="32" t="s">
        <v>207</v>
      </c>
      <c r="F286" s="33"/>
      <c r="G286" s="29"/>
      <c r="H286" s="34"/>
      <c r="I286" s="35"/>
      <c r="J286" s="36">
        <v>0</v>
      </c>
      <c r="K286" s="35"/>
      <c r="L286" s="36">
        <v>0</v>
      </c>
      <c r="M286" s="35"/>
      <c r="N286" s="36">
        <v>0</v>
      </c>
      <c r="O286" s="35"/>
      <c r="P286" s="36">
        <v>0</v>
      </c>
      <c r="Q286" s="35"/>
      <c r="R286" s="36">
        <v>0</v>
      </c>
      <c r="S286" s="35"/>
      <c r="T286" s="36">
        <v>-0.05</v>
      </c>
      <c r="U286" s="35"/>
      <c r="V286" s="36">
        <v>0</v>
      </c>
      <c r="W286" s="35"/>
      <c r="X286" s="36">
        <v>0</v>
      </c>
      <c r="Y286" s="35"/>
      <c r="Z286" s="36">
        <v>0</v>
      </c>
      <c r="AA286" s="35"/>
      <c r="AB286" s="36">
        <v>0</v>
      </c>
      <c r="AC286" s="35"/>
      <c r="AD286" s="36">
        <v>0</v>
      </c>
      <c r="AE286" s="35"/>
      <c r="AF286" s="36">
        <v>0</v>
      </c>
      <c r="AG286" s="35"/>
      <c r="AH286" s="36">
        <f t="shared" si="26"/>
        <v>-0.05</v>
      </c>
      <c r="AI286" s="37">
        <f t="shared" si="27"/>
        <v>-7.3955617083263161E-10</v>
      </c>
      <c r="AJ286" s="38"/>
    </row>
    <row r="287" spans="2:36" outlineLevel="1">
      <c r="B287" s="31" t="s">
        <v>56</v>
      </c>
      <c r="D287" s="32">
        <v>70225</v>
      </c>
      <c r="E287" s="32" t="s">
        <v>188</v>
      </c>
      <c r="F287" s="33"/>
      <c r="G287" s="29"/>
      <c r="H287" s="34"/>
      <c r="I287" s="35"/>
      <c r="J287" s="36">
        <v>0</v>
      </c>
      <c r="K287" s="35"/>
      <c r="L287" s="36">
        <v>1400.56</v>
      </c>
      <c r="M287" s="35"/>
      <c r="N287" s="36">
        <v>7732.72</v>
      </c>
      <c r="O287" s="35"/>
      <c r="P287" s="36">
        <v>8238.4</v>
      </c>
      <c r="Q287" s="35"/>
      <c r="R287" s="36">
        <v>108.4</v>
      </c>
      <c r="S287" s="35"/>
      <c r="T287" s="36">
        <v>0</v>
      </c>
      <c r="U287" s="35"/>
      <c r="V287" s="36">
        <v>431.43</v>
      </c>
      <c r="W287" s="35"/>
      <c r="X287" s="36">
        <v>3920.56</v>
      </c>
      <c r="Y287" s="35"/>
      <c r="Z287" s="36">
        <v>766.69</v>
      </c>
      <c r="AA287" s="35"/>
      <c r="AB287" s="36">
        <v>1355</v>
      </c>
      <c r="AC287" s="35"/>
      <c r="AD287" s="36">
        <v>893.65</v>
      </c>
      <c r="AE287" s="35"/>
      <c r="AF287" s="36">
        <v>1420.04</v>
      </c>
      <c r="AG287" s="35"/>
      <c r="AH287" s="36">
        <f t="shared" si="26"/>
        <v>26267.45</v>
      </c>
      <c r="AI287" s="37">
        <f t="shared" si="27"/>
        <v>3.8852509479075215E-4</v>
      </c>
      <c r="AJ287" s="38"/>
    </row>
    <row r="288" spans="2:36" outlineLevel="1">
      <c r="B288" s="31" t="s">
        <v>56</v>
      </c>
      <c r="D288" s="32">
        <v>70231</v>
      </c>
      <c r="E288" s="32" t="s">
        <v>208</v>
      </c>
      <c r="F288" s="33"/>
      <c r="G288" s="29"/>
      <c r="H288" s="34"/>
      <c r="I288" s="35"/>
      <c r="J288" s="36">
        <v>0</v>
      </c>
      <c r="K288" s="35"/>
      <c r="L288" s="36">
        <v>0</v>
      </c>
      <c r="M288" s="35"/>
      <c r="N288" s="36">
        <v>0</v>
      </c>
      <c r="O288" s="35"/>
      <c r="P288" s="36">
        <v>0</v>
      </c>
      <c r="Q288" s="35"/>
      <c r="R288" s="36">
        <v>35</v>
      </c>
      <c r="S288" s="35"/>
      <c r="T288" s="36">
        <v>0</v>
      </c>
      <c r="U288" s="35"/>
      <c r="V288" s="36">
        <v>35</v>
      </c>
      <c r="W288" s="35"/>
      <c r="X288" s="36">
        <v>0</v>
      </c>
      <c r="Y288" s="35"/>
      <c r="Z288" s="36">
        <v>0</v>
      </c>
      <c r="AA288" s="35"/>
      <c r="AB288" s="36">
        <v>0</v>
      </c>
      <c r="AC288" s="35"/>
      <c r="AD288" s="36">
        <v>0</v>
      </c>
      <c r="AE288" s="35"/>
      <c r="AF288" s="36">
        <v>35</v>
      </c>
      <c r="AG288" s="35"/>
      <c r="AH288" s="36">
        <f t="shared" si="26"/>
        <v>105</v>
      </c>
      <c r="AI288" s="37">
        <f t="shared" si="27"/>
        <v>1.5530679587485262E-6</v>
      </c>
      <c r="AJ288" s="38"/>
    </row>
    <row r="289" spans="2:36" outlineLevel="1">
      <c r="B289" s="31" t="s">
        <v>56</v>
      </c>
      <c r="D289" s="32">
        <v>70235</v>
      </c>
      <c r="E289" s="32" t="s">
        <v>209</v>
      </c>
      <c r="F289" s="33"/>
      <c r="G289" s="29"/>
      <c r="H289" s="34"/>
      <c r="I289" s="35"/>
      <c r="J289" s="36">
        <v>-3176.82</v>
      </c>
      <c r="K289" s="35"/>
      <c r="L289" s="36">
        <v>722.5</v>
      </c>
      <c r="M289" s="35"/>
      <c r="N289" s="36">
        <v>158</v>
      </c>
      <c r="O289" s="35"/>
      <c r="P289" s="36">
        <v>0</v>
      </c>
      <c r="Q289" s="35"/>
      <c r="R289" s="36">
        <v>0</v>
      </c>
      <c r="S289" s="35"/>
      <c r="T289" s="36">
        <v>90</v>
      </c>
      <c r="U289" s="35"/>
      <c r="V289" s="36">
        <v>-90</v>
      </c>
      <c r="W289" s="35"/>
      <c r="X289" s="36">
        <v>0</v>
      </c>
      <c r="Y289" s="35"/>
      <c r="Z289" s="36">
        <v>1144.8</v>
      </c>
      <c r="AA289" s="35"/>
      <c r="AB289" s="36">
        <v>-866.5</v>
      </c>
      <c r="AC289" s="35"/>
      <c r="AD289" s="36">
        <v>801</v>
      </c>
      <c r="AE289" s="35"/>
      <c r="AF289" s="36">
        <v>144</v>
      </c>
      <c r="AG289" s="35"/>
      <c r="AH289" s="36">
        <f t="shared" si="26"/>
        <v>-1073.02</v>
      </c>
      <c r="AI289" s="37">
        <f t="shared" si="27"/>
        <v>-1.5871171248536606E-5</v>
      </c>
      <c r="AJ289" s="38"/>
    </row>
    <row r="290" spans="2:36" outlineLevel="1">
      <c r="B290" s="31" t="s">
        <v>56</v>
      </c>
      <c r="D290" s="32">
        <v>70245</v>
      </c>
      <c r="E290" s="32" t="s">
        <v>210</v>
      </c>
      <c r="F290" s="33"/>
      <c r="G290" s="29"/>
      <c r="H290" s="34"/>
      <c r="I290" s="35"/>
      <c r="J290" s="36">
        <v>725.77</v>
      </c>
      <c r="K290" s="35"/>
      <c r="L290" s="36">
        <v>826.81</v>
      </c>
      <c r="M290" s="35"/>
      <c r="N290" s="36">
        <v>773.98</v>
      </c>
      <c r="O290" s="35"/>
      <c r="P290" s="36">
        <v>773.98</v>
      </c>
      <c r="Q290" s="35"/>
      <c r="R290" s="36">
        <v>773.98</v>
      </c>
      <c r="S290" s="35"/>
      <c r="T290" s="36">
        <v>773.98</v>
      </c>
      <c r="U290" s="35"/>
      <c r="V290" s="36">
        <v>0</v>
      </c>
      <c r="W290" s="35"/>
      <c r="X290" s="36">
        <v>0</v>
      </c>
      <c r="Y290" s="35"/>
      <c r="Z290" s="36">
        <v>0</v>
      </c>
      <c r="AA290" s="35"/>
      <c r="AB290" s="36">
        <v>0</v>
      </c>
      <c r="AC290" s="35"/>
      <c r="AD290" s="36">
        <v>0</v>
      </c>
      <c r="AE290" s="35"/>
      <c r="AF290" s="36">
        <v>0</v>
      </c>
      <c r="AG290" s="35"/>
      <c r="AH290" s="36">
        <f t="shared" si="26"/>
        <v>4648.5</v>
      </c>
      <c r="AI290" s="37">
        <f t="shared" si="27"/>
        <v>6.8756537202309753E-5</v>
      </c>
      <c r="AJ290" s="38"/>
    </row>
    <row r="291" spans="2:36" outlineLevel="1">
      <c r="B291" s="31" t="s">
        <v>56</v>
      </c>
      <c r="D291" s="32">
        <v>70255</v>
      </c>
      <c r="E291" s="32" t="s">
        <v>158</v>
      </c>
      <c r="F291" s="33"/>
      <c r="G291" s="29"/>
      <c r="H291" s="34"/>
      <c r="I291" s="35"/>
      <c r="J291" s="36">
        <v>1701.25</v>
      </c>
      <c r="K291" s="35"/>
      <c r="L291" s="36">
        <v>1368.32</v>
      </c>
      <c r="M291" s="35"/>
      <c r="N291" s="36">
        <v>1510.27</v>
      </c>
      <c r="O291" s="35"/>
      <c r="P291" s="36">
        <v>1725.14</v>
      </c>
      <c r="Q291" s="35"/>
      <c r="R291" s="36">
        <v>1980.2</v>
      </c>
      <c r="S291" s="35"/>
      <c r="T291" s="36">
        <v>4340.34</v>
      </c>
      <c r="U291" s="35"/>
      <c r="V291" s="36">
        <v>2759.66</v>
      </c>
      <c r="W291" s="35"/>
      <c r="X291" s="36">
        <v>2679.91</v>
      </c>
      <c r="Y291" s="35"/>
      <c r="Z291" s="36">
        <v>1937.41</v>
      </c>
      <c r="AA291" s="35"/>
      <c r="AB291" s="36">
        <v>1788.62</v>
      </c>
      <c r="AC291" s="35"/>
      <c r="AD291" s="36">
        <v>2044.7</v>
      </c>
      <c r="AE291" s="35"/>
      <c r="AF291" s="36">
        <v>1615.4</v>
      </c>
      <c r="AG291" s="35"/>
      <c r="AH291" s="36">
        <f t="shared" si="26"/>
        <v>25451.22</v>
      </c>
      <c r="AI291" s="37">
        <f t="shared" si="27"/>
        <v>3.7645213612437777E-4</v>
      </c>
      <c r="AJ291" s="38"/>
    </row>
    <row r="292" spans="2:36" outlineLevel="1">
      <c r="B292" s="31" t="s">
        <v>56</v>
      </c>
      <c r="D292" s="32">
        <v>70275</v>
      </c>
      <c r="E292" s="32" t="s">
        <v>211</v>
      </c>
      <c r="F292" s="33"/>
      <c r="G292" s="29"/>
      <c r="H292" s="34"/>
      <c r="I292" s="35"/>
      <c r="J292" s="36">
        <v>7896.03</v>
      </c>
      <c r="K292" s="35"/>
      <c r="L292" s="36">
        <v>7896.05</v>
      </c>
      <c r="M292" s="35"/>
      <c r="N292" s="36">
        <v>7896.06</v>
      </c>
      <c r="O292" s="35"/>
      <c r="P292" s="36">
        <v>8132.92</v>
      </c>
      <c r="Q292" s="35"/>
      <c r="R292" s="36">
        <v>8132.92</v>
      </c>
      <c r="S292" s="35"/>
      <c r="T292" s="36">
        <v>8132.92</v>
      </c>
      <c r="U292" s="35"/>
      <c r="V292" s="36">
        <v>7691.6</v>
      </c>
      <c r="W292" s="35"/>
      <c r="X292" s="36">
        <v>8022.59</v>
      </c>
      <c r="Y292" s="35"/>
      <c r="Z292" s="36">
        <v>8022.58</v>
      </c>
      <c r="AA292" s="35"/>
      <c r="AB292" s="36">
        <v>8022.61</v>
      </c>
      <c r="AC292" s="35"/>
      <c r="AD292" s="36">
        <v>8022.59</v>
      </c>
      <c r="AE292" s="35"/>
      <c r="AF292" s="36">
        <v>8022.59</v>
      </c>
      <c r="AG292" s="35"/>
      <c r="AH292" s="36">
        <f t="shared" si="26"/>
        <v>95891.46</v>
      </c>
      <c r="AI292" s="37">
        <f t="shared" si="27"/>
        <v>1.4183424194630092E-3</v>
      </c>
      <c r="AJ292" s="38"/>
    </row>
    <row r="293" spans="2:36" outlineLevel="1">
      <c r="B293" s="31" t="s">
        <v>56</v>
      </c>
      <c r="D293" s="32">
        <v>70300</v>
      </c>
      <c r="E293" s="32" t="s">
        <v>212</v>
      </c>
      <c r="F293" s="33"/>
      <c r="G293" s="29"/>
      <c r="H293" s="34"/>
      <c r="I293" s="35"/>
      <c r="J293" s="36">
        <v>27834.38</v>
      </c>
      <c r="K293" s="35"/>
      <c r="L293" s="36">
        <v>27834.38</v>
      </c>
      <c r="M293" s="35"/>
      <c r="N293" s="36">
        <v>27834.38</v>
      </c>
      <c r="O293" s="35"/>
      <c r="P293" s="36">
        <v>29301.81</v>
      </c>
      <c r="Q293" s="35"/>
      <c r="R293" s="36">
        <v>29301.81</v>
      </c>
      <c r="S293" s="35"/>
      <c r="T293" s="36">
        <v>29301.81</v>
      </c>
      <c r="U293" s="35"/>
      <c r="V293" s="36">
        <v>29301.81</v>
      </c>
      <c r="W293" s="35"/>
      <c r="X293" s="36">
        <v>29301.81</v>
      </c>
      <c r="Y293" s="35"/>
      <c r="Z293" s="36">
        <v>29301.81</v>
      </c>
      <c r="AA293" s="35"/>
      <c r="AB293" s="36">
        <v>29301.81</v>
      </c>
      <c r="AC293" s="35"/>
      <c r="AD293" s="36">
        <v>29301.81</v>
      </c>
      <c r="AE293" s="35"/>
      <c r="AF293" s="36">
        <v>29301.759999999998</v>
      </c>
      <c r="AG293" s="35"/>
      <c r="AH293" s="36">
        <f t="shared" si="26"/>
        <v>347219.38</v>
      </c>
      <c r="AI293" s="37">
        <f t="shared" si="27"/>
        <v>5.1357647022336082E-3</v>
      </c>
      <c r="AJ293" s="38"/>
    </row>
    <row r="294" spans="2:36" outlineLevel="1">
      <c r="B294" s="31" t="s">
        <v>56</v>
      </c>
      <c r="D294" s="32">
        <v>70302</v>
      </c>
      <c r="E294" s="32" t="s">
        <v>213</v>
      </c>
      <c r="F294" s="33"/>
      <c r="G294" s="29"/>
      <c r="H294" s="34"/>
      <c r="I294" s="35"/>
      <c r="J294" s="36">
        <v>231.82</v>
      </c>
      <c r="K294" s="35"/>
      <c r="L294" s="36">
        <v>1139.98</v>
      </c>
      <c r="M294" s="35"/>
      <c r="N294" s="36">
        <v>729.41</v>
      </c>
      <c r="O294" s="35"/>
      <c r="P294" s="36">
        <v>446.33</v>
      </c>
      <c r="Q294" s="35"/>
      <c r="R294" s="36">
        <v>0</v>
      </c>
      <c r="S294" s="35"/>
      <c r="T294" s="36">
        <v>528.78</v>
      </c>
      <c r="U294" s="35"/>
      <c r="V294" s="36">
        <v>718.66</v>
      </c>
      <c r="W294" s="35"/>
      <c r="X294" s="36">
        <v>705.23</v>
      </c>
      <c r="Y294" s="35"/>
      <c r="Z294" s="36">
        <v>0</v>
      </c>
      <c r="AA294" s="35"/>
      <c r="AB294" s="36">
        <v>132.72</v>
      </c>
      <c r="AC294" s="35"/>
      <c r="AD294" s="36">
        <v>456.1</v>
      </c>
      <c r="AE294" s="35"/>
      <c r="AF294" s="36">
        <v>409.54</v>
      </c>
      <c r="AG294" s="35"/>
      <c r="AH294" s="36">
        <f t="shared" si="26"/>
        <v>5498.57</v>
      </c>
      <c r="AI294" s="37">
        <f t="shared" si="27"/>
        <v>8.1330027485103653E-5</v>
      </c>
      <c r="AJ294" s="38"/>
    </row>
    <row r="295" spans="2:36" outlineLevel="1">
      <c r="B295" s="31" t="s">
        <v>56</v>
      </c>
      <c r="D295" s="32">
        <v>70310</v>
      </c>
      <c r="E295" s="32" t="s">
        <v>214</v>
      </c>
      <c r="F295" s="33"/>
      <c r="G295" s="29"/>
      <c r="H295" s="34"/>
      <c r="I295" s="35"/>
      <c r="J295" s="36">
        <v>10326.469999999999</v>
      </c>
      <c r="K295" s="35"/>
      <c r="L295" s="36">
        <v>13166.94</v>
      </c>
      <c r="M295" s="35"/>
      <c r="N295" s="36">
        <v>13844.33</v>
      </c>
      <c r="O295" s="35"/>
      <c r="P295" s="36">
        <v>4387.17</v>
      </c>
      <c r="Q295" s="35"/>
      <c r="R295" s="36">
        <v>9218.3799999999992</v>
      </c>
      <c r="S295" s="35"/>
      <c r="T295" s="36">
        <v>-10276.16</v>
      </c>
      <c r="U295" s="35"/>
      <c r="V295" s="36">
        <v>-5192.46</v>
      </c>
      <c r="W295" s="35"/>
      <c r="X295" s="36">
        <v>3576.39</v>
      </c>
      <c r="Y295" s="35"/>
      <c r="Z295" s="36">
        <v>18071.91</v>
      </c>
      <c r="AA295" s="35"/>
      <c r="AB295" s="36">
        <v>13941.8</v>
      </c>
      <c r="AC295" s="35"/>
      <c r="AD295" s="36">
        <v>11135.67</v>
      </c>
      <c r="AE295" s="35"/>
      <c r="AF295" s="36">
        <v>2937.26</v>
      </c>
      <c r="AG295" s="35"/>
      <c r="AH295" s="36">
        <f t="shared" si="26"/>
        <v>85137.7</v>
      </c>
      <c r="AI295" s="37">
        <f t="shared" si="27"/>
        <v>1.2592822281099465E-3</v>
      </c>
      <c r="AJ295" s="38"/>
    </row>
    <row r="296" spans="2:36" outlineLevel="1">
      <c r="B296" s="31" t="s">
        <v>56</v>
      </c>
      <c r="D296" s="32">
        <v>70320</v>
      </c>
      <c r="E296" s="32" t="s">
        <v>215</v>
      </c>
      <c r="F296" s="33"/>
      <c r="G296" s="29"/>
      <c r="H296" s="34"/>
      <c r="I296" s="35"/>
      <c r="J296" s="36">
        <v>4204.29</v>
      </c>
      <c r="K296" s="35"/>
      <c r="L296" s="36">
        <v>5638.94</v>
      </c>
      <c r="M296" s="35"/>
      <c r="N296" s="36">
        <v>3456.74</v>
      </c>
      <c r="O296" s="35"/>
      <c r="P296" s="36">
        <v>6290.3</v>
      </c>
      <c r="Q296" s="35"/>
      <c r="R296" s="36">
        <v>4388.51</v>
      </c>
      <c r="S296" s="35"/>
      <c r="T296" s="36">
        <v>4494.5200000000004</v>
      </c>
      <c r="U296" s="35"/>
      <c r="V296" s="36">
        <v>2881.88</v>
      </c>
      <c r="W296" s="35"/>
      <c r="X296" s="36">
        <v>5276.59</v>
      </c>
      <c r="Y296" s="35"/>
      <c r="Z296" s="36">
        <v>3300.88</v>
      </c>
      <c r="AA296" s="35"/>
      <c r="AB296" s="36">
        <v>5748.98</v>
      </c>
      <c r="AC296" s="35"/>
      <c r="AD296" s="36">
        <v>3665.19</v>
      </c>
      <c r="AE296" s="35"/>
      <c r="AF296" s="36">
        <v>5288.63</v>
      </c>
      <c r="AG296" s="35"/>
      <c r="AH296" s="36">
        <f t="shared" si="26"/>
        <v>54635.450000000004</v>
      </c>
      <c r="AI296" s="37">
        <f t="shared" si="27"/>
        <v>8.08119683874354E-4</v>
      </c>
      <c r="AJ296" s="38"/>
    </row>
    <row r="297" spans="2:36" outlineLevel="1">
      <c r="B297" s="31" t="s">
        <v>56</v>
      </c>
      <c r="D297" s="32">
        <v>70345</v>
      </c>
      <c r="E297" s="32" t="s">
        <v>162</v>
      </c>
      <c r="F297" s="33"/>
      <c r="G297" s="29"/>
      <c r="H297" s="34"/>
      <c r="I297" s="35"/>
      <c r="J297" s="36">
        <v>0</v>
      </c>
      <c r="K297" s="35"/>
      <c r="L297" s="36">
        <v>374.63</v>
      </c>
      <c r="M297" s="35"/>
      <c r="N297" s="36">
        <v>150</v>
      </c>
      <c r="O297" s="35"/>
      <c r="P297" s="36">
        <v>56.45</v>
      </c>
      <c r="Q297" s="35"/>
      <c r="R297" s="36">
        <v>262.5</v>
      </c>
      <c r="S297" s="35"/>
      <c r="T297" s="36">
        <v>0</v>
      </c>
      <c r="U297" s="35"/>
      <c r="V297" s="36">
        <v>0</v>
      </c>
      <c r="W297" s="35"/>
      <c r="X297" s="36">
        <v>262.5</v>
      </c>
      <c r="Y297" s="35"/>
      <c r="Z297" s="36">
        <v>0</v>
      </c>
      <c r="AA297" s="35"/>
      <c r="AB297" s="36">
        <v>0</v>
      </c>
      <c r="AC297" s="35"/>
      <c r="AD297" s="36">
        <v>262.5</v>
      </c>
      <c r="AE297" s="35"/>
      <c r="AF297" s="36">
        <v>0</v>
      </c>
      <c r="AG297" s="35"/>
      <c r="AH297" s="36">
        <f t="shared" si="26"/>
        <v>1368.58</v>
      </c>
      <c r="AI297" s="37">
        <f t="shared" si="27"/>
        <v>2.0242835685562455E-5</v>
      </c>
      <c r="AJ297" s="38"/>
    </row>
    <row r="298" spans="2:36" s="34" customFormat="1" ht="5.0999999999999996" customHeight="1" outlineLevel="1">
      <c r="B298" s="27" t="s">
        <v>47</v>
      </c>
      <c r="D298" s="33"/>
      <c r="E298" s="33"/>
      <c r="F298" s="33"/>
      <c r="G298" s="33"/>
      <c r="J298" s="68"/>
      <c r="K298" s="66"/>
      <c r="L298" s="68"/>
      <c r="M298" s="66"/>
      <c r="N298" s="68"/>
      <c r="O298" s="66"/>
      <c r="P298" s="68"/>
      <c r="Q298" s="66"/>
      <c r="R298" s="68"/>
      <c r="S298" s="66"/>
      <c r="T298" s="68"/>
      <c r="U298" s="66"/>
      <c r="V298" s="68"/>
      <c r="W298" s="66"/>
      <c r="X298" s="68"/>
      <c r="Y298" s="66"/>
      <c r="Z298" s="68"/>
      <c r="AA298" s="66"/>
      <c r="AB298" s="68"/>
      <c r="AC298" s="66"/>
      <c r="AD298" s="68"/>
      <c r="AE298" s="66"/>
      <c r="AF298" s="68"/>
      <c r="AG298" s="66"/>
      <c r="AH298" s="68"/>
      <c r="AI298" s="62"/>
      <c r="AJ298" s="43"/>
    </row>
    <row r="299" spans="2:36" s="34" customFormat="1" ht="15">
      <c r="B299" s="27" t="s">
        <v>47</v>
      </c>
      <c r="F299" s="33" t="s">
        <v>216</v>
      </c>
      <c r="J299" s="65">
        <f>SUM(J252:J298)</f>
        <v>450888.12</v>
      </c>
      <c r="K299" s="66"/>
      <c r="L299" s="65">
        <f>SUM(L252:L298)</f>
        <v>462112.97000000003</v>
      </c>
      <c r="M299" s="66"/>
      <c r="N299" s="65">
        <f>SUM(N252:N298)</f>
        <v>480660.81999999995</v>
      </c>
      <c r="O299" s="66"/>
      <c r="P299" s="65">
        <f>SUM(P252:P298)</f>
        <v>462713.65</v>
      </c>
      <c r="Q299" s="66"/>
      <c r="R299" s="65">
        <f>SUM(R252:R298)</f>
        <v>424361.72000000003</v>
      </c>
      <c r="S299" s="66"/>
      <c r="T299" s="65">
        <f>SUM(T252:T298)</f>
        <v>446050.82000000007</v>
      </c>
      <c r="U299" s="66"/>
      <c r="V299" s="65">
        <f>SUM(V252:V298)</f>
        <v>383805.62999999989</v>
      </c>
      <c r="W299" s="66"/>
      <c r="X299" s="65">
        <f>SUM(X252:X298)</f>
        <v>479897.01000000007</v>
      </c>
      <c r="Y299" s="66"/>
      <c r="Z299" s="65">
        <f>SUM(Z252:Z298)</f>
        <v>444331.15999999986</v>
      </c>
      <c r="AA299" s="66"/>
      <c r="AB299" s="65">
        <f>SUM(AB252:AB298)</f>
        <v>500705.19999999984</v>
      </c>
      <c r="AC299" s="66"/>
      <c r="AD299" s="65">
        <f>SUM(AD252:AD298)</f>
        <v>457700.5400000001</v>
      </c>
      <c r="AE299" s="66"/>
      <c r="AF299" s="65">
        <f>SUM(AF252:AF298)</f>
        <v>458345.3299999999</v>
      </c>
      <c r="AG299" s="66"/>
      <c r="AH299" s="65">
        <f>SUM(AH252:AH298)</f>
        <v>5451572.9699999988</v>
      </c>
      <c r="AI299" s="37">
        <f>IF(AH$60=0,0,AH299/AH$60)</f>
        <v>8.0634888614157504E-2</v>
      </c>
      <c r="AJ299" s="43"/>
    </row>
    <row r="300" spans="2:36" s="34" customFormat="1" ht="15" outlineLevel="1">
      <c r="B300" s="27" t="s">
        <v>47</v>
      </c>
      <c r="J300" s="67"/>
      <c r="K300" s="66"/>
      <c r="L300" s="67"/>
      <c r="M300" s="66"/>
      <c r="N300" s="67"/>
      <c r="O300" s="66"/>
      <c r="P300" s="67"/>
      <c r="Q300" s="66"/>
      <c r="R300" s="67"/>
      <c r="S300" s="66"/>
      <c r="T300" s="67"/>
      <c r="U300" s="66"/>
      <c r="V300" s="67"/>
      <c r="W300" s="66"/>
      <c r="X300" s="67"/>
      <c r="Y300" s="66"/>
      <c r="Z300" s="67"/>
      <c r="AA300" s="66"/>
      <c r="AB300" s="67"/>
      <c r="AC300" s="66"/>
      <c r="AD300" s="67"/>
      <c r="AE300" s="66"/>
      <c r="AF300" s="67"/>
      <c r="AG300" s="66"/>
      <c r="AH300" s="67"/>
      <c r="AI300" s="62"/>
      <c r="AJ300" s="43"/>
    </row>
    <row r="301" spans="2:36" outlineLevel="1">
      <c r="B301" s="31" t="s">
        <v>217</v>
      </c>
      <c r="D301" s="32">
        <v>70149</v>
      </c>
      <c r="E301" s="32" t="s">
        <v>218</v>
      </c>
      <c r="F301" s="33"/>
      <c r="G301" s="29"/>
      <c r="H301" s="34"/>
      <c r="I301" s="35"/>
      <c r="J301" s="36">
        <v>100077.66</v>
      </c>
      <c r="K301" s="35"/>
      <c r="L301" s="36">
        <v>100012.82</v>
      </c>
      <c r="M301" s="35"/>
      <c r="N301" s="36">
        <v>96930.54</v>
      </c>
      <c r="O301" s="35"/>
      <c r="P301" s="36">
        <v>150297.43</v>
      </c>
      <c r="Q301" s="35"/>
      <c r="R301" s="36">
        <v>148888.47</v>
      </c>
      <c r="S301" s="35"/>
      <c r="T301" s="36">
        <v>155710.67000000001</v>
      </c>
      <c r="U301" s="35"/>
      <c r="V301" s="36">
        <v>154306.96</v>
      </c>
      <c r="W301" s="35"/>
      <c r="X301" s="36">
        <v>159796.56</v>
      </c>
      <c r="Y301" s="35"/>
      <c r="Z301" s="36">
        <v>161719.14000000001</v>
      </c>
      <c r="AA301" s="35"/>
      <c r="AB301" s="36">
        <v>175560.09</v>
      </c>
      <c r="AC301" s="35"/>
      <c r="AD301" s="36">
        <v>176857.65</v>
      </c>
      <c r="AE301" s="35"/>
      <c r="AF301" s="36">
        <v>175104</v>
      </c>
      <c r="AG301" s="35"/>
      <c r="AH301" s="36">
        <f>AF301+AD301+AB301+Z301+X301+V301+T301+R301+P301+N301+L301+J301</f>
        <v>1755261.9899999998</v>
      </c>
      <c r="AI301" s="37">
        <f>IF(AH$60=0,0,AH301/AH$60)</f>
        <v>2.596229672264929E-2</v>
      </c>
      <c r="AJ301" s="38"/>
    </row>
    <row r="302" spans="2:36" s="34" customFormat="1" ht="5.0999999999999996" customHeight="1" outlineLevel="1">
      <c r="B302" s="27" t="s">
        <v>47</v>
      </c>
      <c r="D302" s="33"/>
      <c r="E302" s="33"/>
      <c r="F302" s="33"/>
      <c r="G302" s="33"/>
      <c r="J302" s="68"/>
      <c r="K302" s="66"/>
      <c r="L302" s="68"/>
      <c r="M302" s="66"/>
      <c r="N302" s="68"/>
      <c r="O302" s="66"/>
      <c r="P302" s="68"/>
      <c r="Q302" s="66"/>
      <c r="R302" s="68"/>
      <c r="S302" s="66"/>
      <c r="T302" s="68"/>
      <c r="U302" s="66"/>
      <c r="V302" s="68"/>
      <c r="W302" s="66"/>
      <c r="X302" s="68"/>
      <c r="Y302" s="66"/>
      <c r="Z302" s="68"/>
      <c r="AA302" s="66"/>
      <c r="AB302" s="68"/>
      <c r="AC302" s="66"/>
      <c r="AD302" s="68"/>
      <c r="AE302" s="66"/>
      <c r="AF302" s="68"/>
      <c r="AG302" s="66"/>
      <c r="AH302" s="68"/>
      <c r="AI302" s="62"/>
      <c r="AJ302" s="43"/>
    </row>
    <row r="303" spans="2:36" s="34" customFormat="1" ht="15">
      <c r="B303" s="27" t="s">
        <v>47</v>
      </c>
      <c r="F303" s="32" t="s">
        <v>219</v>
      </c>
      <c r="J303" s="65">
        <f>SUM(J300:J302)</f>
        <v>100077.66</v>
      </c>
      <c r="K303" s="66"/>
      <c r="L303" s="65">
        <f>SUM(L300:L302)</f>
        <v>100012.82</v>
      </c>
      <c r="M303" s="66"/>
      <c r="N303" s="65">
        <f>SUM(N300:N302)</f>
        <v>96930.54</v>
      </c>
      <c r="O303" s="66"/>
      <c r="P303" s="65">
        <f>SUM(P300:P302)</f>
        <v>150297.43</v>
      </c>
      <c r="Q303" s="66"/>
      <c r="R303" s="65">
        <f>SUM(R300:R302)</f>
        <v>148888.47</v>
      </c>
      <c r="S303" s="66"/>
      <c r="T303" s="65">
        <f>SUM(T300:T302)</f>
        <v>155710.67000000001</v>
      </c>
      <c r="U303" s="66"/>
      <c r="V303" s="65">
        <f>SUM(V300:V302)</f>
        <v>154306.96</v>
      </c>
      <c r="W303" s="66"/>
      <c r="X303" s="65">
        <f>SUM(X300:X302)</f>
        <v>159796.56</v>
      </c>
      <c r="Y303" s="66"/>
      <c r="Z303" s="65">
        <f>SUM(Z300:Z302)</f>
        <v>161719.14000000001</v>
      </c>
      <c r="AA303" s="66"/>
      <c r="AB303" s="65">
        <f>SUM(AB300:AB302)</f>
        <v>175560.09</v>
      </c>
      <c r="AC303" s="66"/>
      <c r="AD303" s="65">
        <f>SUM(AD300:AD302)</f>
        <v>176857.65</v>
      </c>
      <c r="AE303" s="66"/>
      <c r="AF303" s="65">
        <f>SUM(AF300:AF302)</f>
        <v>175104</v>
      </c>
      <c r="AG303" s="66"/>
      <c r="AH303" s="65">
        <f>SUM(AH300:AH302)</f>
        <v>1755261.9899999998</v>
      </c>
      <c r="AI303" s="37">
        <f>IF(AH$60=0,0,AH303/AH$60)</f>
        <v>2.596229672264929E-2</v>
      </c>
      <c r="AJ303" s="43"/>
    </row>
    <row r="304" spans="2:36" s="34" customFormat="1" ht="7.5" customHeight="1">
      <c r="B304" s="27"/>
      <c r="J304" s="67"/>
      <c r="K304" s="66"/>
      <c r="L304" s="67"/>
      <c r="M304" s="66"/>
      <c r="N304" s="67"/>
      <c r="O304" s="66"/>
      <c r="P304" s="67"/>
      <c r="Q304" s="66"/>
      <c r="R304" s="67"/>
      <c r="S304" s="66"/>
      <c r="T304" s="67"/>
      <c r="U304" s="66"/>
      <c r="V304" s="67"/>
      <c r="W304" s="66"/>
      <c r="X304" s="67"/>
      <c r="Y304" s="66"/>
      <c r="Z304" s="67"/>
      <c r="AA304" s="66"/>
      <c r="AB304" s="67"/>
      <c r="AC304" s="66"/>
      <c r="AD304" s="67"/>
      <c r="AE304" s="66"/>
      <c r="AF304" s="67"/>
      <c r="AG304" s="66"/>
      <c r="AH304" s="67"/>
      <c r="AI304" s="62"/>
      <c r="AJ304" s="43"/>
    </row>
    <row r="305" spans="1:36" s="34" customFormat="1" ht="15">
      <c r="B305" s="27"/>
      <c r="E305" s="70" t="s">
        <v>220</v>
      </c>
      <c r="J305" s="71">
        <f>+J250+J299+J303</f>
        <v>603103.44999999995</v>
      </c>
      <c r="K305" s="66"/>
      <c r="L305" s="71">
        <f>+L250+L299+L303</f>
        <v>565130.09000000008</v>
      </c>
      <c r="M305" s="66"/>
      <c r="N305" s="71">
        <f>+N250+N299+N303</f>
        <v>610043.62</v>
      </c>
      <c r="O305" s="66"/>
      <c r="P305" s="71">
        <f>+P250+P299+P303</f>
        <v>617154.34000000008</v>
      </c>
      <c r="Q305" s="66"/>
      <c r="R305" s="71">
        <f>+R250+R299+R303</f>
        <v>580534.19000000006</v>
      </c>
      <c r="S305" s="66"/>
      <c r="T305" s="71">
        <f>+T250+T299+T303</f>
        <v>608305.24000000011</v>
      </c>
      <c r="U305" s="66"/>
      <c r="V305" s="71">
        <f>+V250+V299+V303</f>
        <v>547193.00999999989</v>
      </c>
      <c r="W305" s="66"/>
      <c r="X305" s="71">
        <f>+X250+X299+X303</f>
        <v>647387.20000000007</v>
      </c>
      <c r="Y305" s="66"/>
      <c r="Z305" s="71">
        <f>+Z250+Z299+Z303</f>
        <v>609960.51999999979</v>
      </c>
      <c r="AA305" s="66"/>
      <c r="AB305" s="71">
        <f>+AB250+AB299+AB303</f>
        <v>694576.06999999983</v>
      </c>
      <c r="AC305" s="66"/>
      <c r="AD305" s="71">
        <f>+AD250+AD299+AD303</f>
        <v>648344.15000000014</v>
      </c>
      <c r="AE305" s="66"/>
      <c r="AF305" s="71">
        <f>+AF250+AF299+AF303</f>
        <v>638593.46</v>
      </c>
      <c r="AG305" s="66"/>
      <c r="AH305" s="71">
        <f>+AH250+AH299+AH303</f>
        <v>7370325.339999998</v>
      </c>
      <c r="AI305" s="37">
        <f>IF(AH$60=0,0,AH305/AH$60)</f>
        <v>0.10901539172482223</v>
      </c>
      <c r="AJ305" s="43"/>
    </row>
    <row r="306" spans="1:36" s="34" customFormat="1" ht="7.5" customHeight="1">
      <c r="B306" s="27"/>
      <c r="J306" s="67"/>
      <c r="K306" s="66"/>
      <c r="L306" s="67"/>
      <c r="M306" s="66"/>
      <c r="N306" s="67"/>
      <c r="O306" s="66"/>
      <c r="P306" s="67"/>
      <c r="Q306" s="66"/>
      <c r="R306" s="67"/>
      <c r="S306" s="66"/>
      <c r="T306" s="67"/>
      <c r="U306" s="66"/>
      <c r="V306" s="67"/>
      <c r="W306" s="66"/>
      <c r="X306" s="67"/>
      <c r="Y306" s="66"/>
      <c r="Z306" s="67"/>
      <c r="AA306" s="66"/>
      <c r="AB306" s="67"/>
      <c r="AC306" s="66"/>
      <c r="AD306" s="67"/>
      <c r="AE306" s="66"/>
      <c r="AF306" s="67"/>
      <c r="AG306" s="66"/>
      <c r="AH306" s="67"/>
      <c r="AI306" s="62"/>
      <c r="AJ306" s="43"/>
    </row>
    <row r="307" spans="1:36" s="34" customFormat="1" ht="7.5" customHeight="1">
      <c r="B307" s="27" t="s">
        <v>47</v>
      </c>
      <c r="D307" s="76"/>
      <c r="E307" s="76"/>
      <c r="F307" s="76"/>
      <c r="G307" s="76"/>
      <c r="H307" s="76"/>
      <c r="I307" s="76"/>
      <c r="J307" s="74"/>
      <c r="K307" s="66"/>
      <c r="L307" s="74"/>
      <c r="M307" s="66"/>
      <c r="N307" s="74"/>
      <c r="O307" s="66"/>
      <c r="P307" s="74"/>
      <c r="Q307" s="66"/>
      <c r="R307" s="74"/>
      <c r="S307" s="66"/>
      <c r="T307" s="74"/>
      <c r="U307" s="66"/>
      <c r="V307" s="74"/>
      <c r="W307" s="66"/>
      <c r="X307" s="74"/>
      <c r="Y307" s="66"/>
      <c r="Z307" s="74"/>
      <c r="AA307" s="66"/>
      <c r="AB307" s="74"/>
      <c r="AC307" s="66"/>
      <c r="AD307" s="74"/>
      <c r="AE307" s="66"/>
      <c r="AF307" s="74"/>
      <c r="AG307" s="66"/>
      <c r="AH307" s="74"/>
      <c r="AI307" s="62"/>
      <c r="AJ307" s="43"/>
    </row>
    <row r="308" spans="1:36" s="34" customFormat="1" ht="15">
      <c r="B308" s="27" t="s">
        <v>47</v>
      </c>
      <c r="E308" s="77" t="s">
        <v>221</v>
      </c>
      <c r="F308" s="78"/>
      <c r="G308" s="78"/>
      <c r="H308" s="78"/>
      <c r="I308" s="78"/>
      <c r="J308" s="79">
        <f>+J233-J305</f>
        <v>1217737.02</v>
      </c>
      <c r="K308" s="80"/>
      <c r="L308" s="79">
        <f>+L233-L305</f>
        <v>1022757.6599999999</v>
      </c>
      <c r="M308" s="81"/>
      <c r="N308" s="79">
        <f>+N233-N305</f>
        <v>1178318.9100000001</v>
      </c>
      <c r="O308" s="81"/>
      <c r="P308" s="79">
        <f>+P233-P305</f>
        <v>717762.49000000046</v>
      </c>
      <c r="Q308" s="80"/>
      <c r="R308" s="79">
        <f>+R233-R305</f>
        <v>1236555.3499999996</v>
      </c>
      <c r="S308" s="81"/>
      <c r="T308" s="79">
        <f>+T233-T305</f>
        <v>1555744.2400000002</v>
      </c>
      <c r="U308" s="81"/>
      <c r="V308" s="79">
        <f>+V233-V305</f>
        <v>1253788.31</v>
      </c>
      <c r="W308" s="80"/>
      <c r="X308" s="79">
        <f>+X233-X305</f>
        <v>929136.83</v>
      </c>
      <c r="Y308" s="81"/>
      <c r="Z308" s="79">
        <f>+Z233-Z305</f>
        <v>1094729.1300000004</v>
      </c>
      <c r="AA308" s="81"/>
      <c r="AB308" s="79">
        <f>+AB233-AB305</f>
        <v>1103400.2899999998</v>
      </c>
      <c r="AC308" s="80"/>
      <c r="AD308" s="79">
        <f>+AD233-AD305</f>
        <v>1061366.71</v>
      </c>
      <c r="AE308" s="81"/>
      <c r="AF308" s="79">
        <f>+AF233-AF305</f>
        <v>1164942.9800000007</v>
      </c>
      <c r="AG308" s="81"/>
      <c r="AH308" s="79">
        <f>+AH233-AH305</f>
        <v>13536239.920000015</v>
      </c>
      <c r="AI308" s="37">
        <f>IF(AH$60=0,0,AH308/AH$60)</f>
        <v>0.20021619525414036</v>
      </c>
      <c r="AJ308" s="82"/>
    </row>
    <row r="309" spans="1:36" s="34" customFormat="1" ht="6.75" customHeight="1">
      <c r="A309" s="83"/>
      <c r="B309" s="27" t="s">
        <v>47</v>
      </c>
      <c r="C309" s="27"/>
      <c r="D309" s="84"/>
      <c r="E309" s="84"/>
      <c r="F309" s="84"/>
      <c r="G309" s="84"/>
      <c r="H309" s="84"/>
      <c r="I309" s="84"/>
      <c r="J309" s="85"/>
      <c r="K309" s="84"/>
      <c r="L309" s="85"/>
      <c r="M309" s="84"/>
      <c r="N309" s="85"/>
      <c r="O309" s="84"/>
      <c r="P309" s="85"/>
      <c r="Q309" s="84"/>
      <c r="R309" s="85"/>
      <c r="S309" s="84"/>
      <c r="T309" s="85"/>
      <c r="U309" s="84"/>
      <c r="V309" s="85"/>
      <c r="W309" s="84"/>
      <c r="X309" s="85"/>
      <c r="Y309" s="84"/>
      <c r="Z309" s="85"/>
      <c r="AA309" s="84"/>
      <c r="AB309" s="85"/>
      <c r="AC309" s="84"/>
      <c r="AD309" s="85"/>
      <c r="AE309" s="84"/>
      <c r="AF309" s="85"/>
      <c r="AG309" s="84"/>
      <c r="AH309" s="85"/>
      <c r="AI309" s="86"/>
      <c r="AJ309" s="43"/>
    </row>
    <row r="310" spans="1:36" s="34" customFormat="1" ht="15">
      <c r="A310" s="83"/>
      <c r="B310" s="27" t="s">
        <v>47</v>
      </c>
      <c r="C310" s="27"/>
      <c r="E310" s="87" t="s">
        <v>222</v>
      </c>
      <c r="F310" s="88"/>
      <c r="G310" s="88"/>
      <c r="H310" s="88"/>
      <c r="I310" s="88"/>
      <c r="J310" s="89">
        <f>J308 +J225+SUMIF($D:$D,52141,J:J)+SUMIF($D:$D,52142,J:J)+SUMIF($D:$D,52143,J:J)+SUMIF($D:$D,55142,J:J)+SUMIF($D:$D,56142,J:J)+SUMIF($D:$D,70142,J:J)</f>
        <v>1378291.87</v>
      </c>
      <c r="K310" s="88"/>
      <c r="L310" s="89">
        <f>L308 +L225+SUMIF($D:$D,52141,L:L)+SUMIF($D:$D,52142,L:L)+SUMIF($D:$D,52143,L:L)+SUMIF($D:$D,55142,L:L)+SUMIF($D:$D,56142,L:L)+SUMIF($D:$D,70142,L:L)</f>
        <v>1268638.5899999999</v>
      </c>
      <c r="M310" s="88"/>
      <c r="N310" s="89">
        <f>N308 +N225+SUMIF($D:$D,52141,N:N)+SUMIF($D:$D,52142,N:N)+SUMIF($D:$D,52143,N:N)+SUMIF($D:$D,55142,N:N)+SUMIF($D:$D,56142,N:N)+SUMIF($D:$D,70142,N:N)</f>
        <v>1345951.74</v>
      </c>
      <c r="O310" s="88"/>
      <c r="P310" s="89">
        <f>P308 +P225+SUMIF($D:$D,52141,P:P)+SUMIF($D:$D,52142,P:P)+SUMIF($D:$D,52143,P:P)+SUMIF($D:$D,55142,P:P)+SUMIF($D:$D,56142,P:P)+SUMIF($D:$D,70142,P:P)</f>
        <v>1266041.6800000004</v>
      </c>
      <c r="Q310" s="88"/>
      <c r="R310" s="89">
        <f>R308 +R225+SUMIF($D:$D,52141,R:R)+SUMIF($D:$D,52142,R:R)+SUMIF($D:$D,52143,R:R)+SUMIF($D:$D,55142,R:R)+SUMIF($D:$D,56142,R:R)+SUMIF($D:$D,70142,R:R)</f>
        <v>1417858.8099999996</v>
      </c>
      <c r="S310" s="88"/>
      <c r="T310" s="89">
        <f>T308 +T225+SUMIF($D:$D,52141,T:T)+SUMIF($D:$D,52142,T:T)+SUMIF($D:$D,52143,T:T)+SUMIF($D:$D,55142,T:T)+SUMIF($D:$D,56142,T:T)+SUMIF($D:$D,70142,T:T)</f>
        <v>1350183.34</v>
      </c>
      <c r="U310" s="88"/>
      <c r="V310" s="89">
        <f>V308 +V225+SUMIF($D:$D,52141,V:V)+SUMIF($D:$D,52142,V:V)+SUMIF($D:$D,52143,V:V)+SUMIF($D:$D,55142,V:V)+SUMIF($D:$D,56142,V:V)+SUMIF($D:$D,70142,V:V)</f>
        <v>1434580.3800000001</v>
      </c>
      <c r="W310" s="88"/>
      <c r="X310" s="89">
        <f>X308 +X225+SUMIF($D:$D,52141,X:X)+SUMIF($D:$D,52142,X:X)+SUMIF($D:$D,52143,X:X)+SUMIF($D:$D,55142,X:X)+SUMIF($D:$D,56142,X:X)+SUMIF($D:$D,70142,X:X)</f>
        <v>1128309.03</v>
      </c>
      <c r="Y310" s="88"/>
      <c r="Z310" s="89">
        <f>Z308 +Z225+SUMIF($D:$D,52141,Z:Z)+SUMIF($D:$D,52142,Z:Z)+SUMIF($D:$D,52143,Z:Z)+SUMIF($D:$D,55142,Z:Z)+SUMIF($D:$D,56142,Z:Z)+SUMIF($D:$D,70142,Z:Z)</f>
        <v>1278616.0900000003</v>
      </c>
      <c r="AA310" s="88"/>
      <c r="AB310" s="89">
        <f>AB308 +AB225+SUMIF($D:$D,52141,AB:AB)+SUMIF($D:$D,52142,AB:AB)+SUMIF($D:$D,52143,AB:AB)+SUMIF($D:$D,55142,AB:AB)+SUMIF($D:$D,56142,AB:AB)+SUMIF($D:$D,70142,AB:AB)</f>
        <v>1298991.0299999998</v>
      </c>
      <c r="AC310" s="88"/>
      <c r="AD310" s="89">
        <f>AD308 +AD225+SUMIF($D:$D,52141,AD:AD)+SUMIF($D:$D,52142,AD:AD)+SUMIF($D:$D,52143,AD:AD)+SUMIF($D:$D,55142,AD:AD)+SUMIF($D:$D,56142,AD:AD)+SUMIF($D:$D,70142,AD:AD)</f>
        <v>1255893.76</v>
      </c>
      <c r="AE310" s="88"/>
      <c r="AF310" s="89">
        <f>AF308 +AF225+SUMIF($D:$D,52141,AF:AF)+SUMIF($D:$D,52142,AF:AF)+SUMIF($D:$D,52143,AF:AF)+SUMIF($D:$D,55142,AF:AF)+SUMIF($D:$D,56142,AF:AF)+SUMIF($D:$D,70142,AF:AF)</f>
        <v>1375916.3300000008</v>
      </c>
      <c r="AG310" s="88"/>
      <c r="AH310" s="89">
        <f>AH308 +AH225+SUMIF($D:$D,52141,AH:AH)+SUMIF($D:$D,52142,AH:AH)+SUMIF($D:$D,52143,AH:AH)+SUMIF($D:$D,55142,AH:AH)+SUMIF($D:$D,56142,AH:AH)+SUMIF($D:$D,70142,AH:AH)</f>
        <v>15799272.650000015</v>
      </c>
      <c r="AI310" s="37">
        <f>IF(AH$60=0,0,AH310/AH$60)</f>
        <v>0.23368899165949469</v>
      </c>
      <c r="AJ310" s="82"/>
    </row>
    <row r="311" spans="1:36" s="34" customFormat="1" ht="6.75" customHeight="1">
      <c r="A311" s="39"/>
      <c r="B311" s="27" t="s">
        <v>47</v>
      </c>
      <c r="C311" s="27"/>
      <c r="J311" s="67"/>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67"/>
      <c r="AH311" s="67"/>
      <c r="AI311" s="86"/>
      <c r="AJ311" s="43"/>
    </row>
    <row r="312" spans="1:36" outlineLevel="1">
      <c r="B312" s="31" t="s">
        <v>223</v>
      </c>
      <c r="D312" s="32">
        <v>51260</v>
      </c>
      <c r="E312" s="32" t="s">
        <v>224</v>
      </c>
      <c r="F312" s="33"/>
      <c r="G312" s="29"/>
      <c r="H312" s="34"/>
      <c r="I312" s="35"/>
      <c r="J312" s="36">
        <v>216952.67</v>
      </c>
      <c r="K312" s="35"/>
      <c r="L312" s="36">
        <v>213977.38</v>
      </c>
      <c r="M312" s="35"/>
      <c r="N312" s="36">
        <v>216594.14</v>
      </c>
      <c r="O312" s="35"/>
      <c r="P312" s="36">
        <v>215019.21</v>
      </c>
      <c r="Q312" s="35"/>
      <c r="R312" s="36">
        <v>215019.19</v>
      </c>
      <c r="S312" s="35"/>
      <c r="T312" s="36">
        <v>214304.01</v>
      </c>
      <c r="U312" s="35"/>
      <c r="V312" s="36">
        <v>209287.96</v>
      </c>
      <c r="W312" s="35"/>
      <c r="X312" s="36">
        <v>209288.28</v>
      </c>
      <c r="Y312" s="35"/>
      <c r="Z312" s="36">
        <v>217623.91</v>
      </c>
      <c r="AA312" s="35"/>
      <c r="AB312" s="36">
        <v>216859.46</v>
      </c>
      <c r="AC312" s="35"/>
      <c r="AD312" s="36">
        <v>227602.07</v>
      </c>
      <c r="AE312" s="35"/>
      <c r="AF312" s="36">
        <v>223536.26</v>
      </c>
      <c r="AG312" s="35"/>
      <c r="AH312" s="36">
        <f t="shared" ref="AH312:AH315" si="28">AF312+AD312+AB312+Z312+X312+V312+T312+R312+P312+N312+L312+J312</f>
        <v>2596064.5399999996</v>
      </c>
      <c r="AI312" s="37">
        <f t="shared" ref="AI312:AI315" si="29">IF(AH$60=0,0,AH312/AH$60)</f>
        <v>3.8398711008735535E-2</v>
      </c>
      <c r="AJ312" s="38"/>
    </row>
    <row r="313" spans="1:36" outlineLevel="1">
      <c r="B313" s="31" t="s">
        <v>56</v>
      </c>
      <c r="D313" s="32">
        <v>54260</v>
      </c>
      <c r="E313" s="32" t="s">
        <v>224</v>
      </c>
      <c r="F313" s="33"/>
      <c r="G313" s="29"/>
      <c r="H313" s="34"/>
      <c r="I313" s="35"/>
      <c r="J313" s="36">
        <v>66698.86</v>
      </c>
      <c r="K313" s="35"/>
      <c r="L313" s="36">
        <v>67230.429999999993</v>
      </c>
      <c r="M313" s="35"/>
      <c r="N313" s="36">
        <v>67346.759999999995</v>
      </c>
      <c r="O313" s="35"/>
      <c r="P313" s="36">
        <v>66869.87</v>
      </c>
      <c r="Q313" s="35"/>
      <c r="R313" s="36">
        <v>67216.25</v>
      </c>
      <c r="S313" s="35"/>
      <c r="T313" s="36">
        <v>67244.66</v>
      </c>
      <c r="U313" s="35"/>
      <c r="V313" s="36">
        <v>69833.48</v>
      </c>
      <c r="W313" s="35"/>
      <c r="X313" s="36">
        <v>69954.81</v>
      </c>
      <c r="Y313" s="35"/>
      <c r="Z313" s="36">
        <v>71811.360000000001</v>
      </c>
      <c r="AA313" s="35"/>
      <c r="AB313" s="36">
        <v>71670.570000000007</v>
      </c>
      <c r="AC313" s="35"/>
      <c r="AD313" s="36">
        <v>70990.600000000006</v>
      </c>
      <c r="AE313" s="35"/>
      <c r="AF313" s="36">
        <v>75957.600000000006</v>
      </c>
      <c r="AG313" s="35"/>
      <c r="AH313" s="36">
        <f t="shared" si="28"/>
        <v>832825.24999999988</v>
      </c>
      <c r="AI313" s="37">
        <f t="shared" si="29"/>
        <v>1.2318421057254579E-2</v>
      </c>
      <c r="AJ313" s="38"/>
    </row>
    <row r="314" spans="1:36" outlineLevel="1">
      <c r="B314" s="31" t="s">
        <v>56</v>
      </c>
      <c r="D314" s="32">
        <v>57260</v>
      </c>
      <c r="E314" s="32" t="s">
        <v>224</v>
      </c>
      <c r="F314" s="33"/>
      <c r="G314" s="29"/>
      <c r="H314" s="34"/>
      <c r="I314" s="35"/>
      <c r="J314" s="36">
        <v>9674.19</v>
      </c>
      <c r="K314" s="35"/>
      <c r="L314" s="36">
        <v>9552.31</v>
      </c>
      <c r="M314" s="35"/>
      <c r="N314" s="36">
        <v>9552.2900000000009</v>
      </c>
      <c r="O314" s="35"/>
      <c r="P314" s="36">
        <v>9552.34</v>
      </c>
      <c r="Q314" s="35"/>
      <c r="R314" s="36">
        <v>9552.35</v>
      </c>
      <c r="S314" s="35"/>
      <c r="T314" s="36">
        <v>9552.36</v>
      </c>
      <c r="U314" s="35"/>
      <c r="V314" s="36">
        <v>9825.49</v>
      </c>
      <c r="W314" s="35"/>
      <c r="X314" s="36">
        <v>9825.61</v>
      </c>
      <c r="Y314" s="35"/>
      <c r="Z314" s="36">
        <v>9825.67</v>
      </c>
      <c r="AA314" s="35"/>
      <c r="AB314" s="36">
        <v>9825.5</v>
      </c>
      <c r="AC314" s="35"/>
      <c r="AD314" s="36">
        <v>9825.5499999999993</v>
      </c>
      <c r="AE314" s="35"/>
      <c r="AF314" s="36">
        <v>9825.65</v>
      </c>
      <c r="AG314" s="35"/>
      <c r="AH314" s="36">
        <f t="shared" si="28"/>
        <v>116389.31</v>
      </c>
      <c r="AI314" s="37">
        <f t="shared" si="29"/>
        <v>1.7215286485890422E-3</v>
      </c>
      <c r="AJ314" s="38"/>
    </row>
    <row r="315" spans="1:36" outlineLevel="1">
      <c r="B315" s="31" t="s">
        <v>56</v>
      </c>
      <c r="D315" s="32">
        <v>70260</v>
      </c>
      <c r="E315" s="32" t="s">
        <v>224</v>
      </c>
      <c r="F315" s="33"/>
      <c r="G315" s="29"/>
      <c r="H315" s="34"/>
      <c r="I315" s="35"/>
      <c r="J315" s="36">
        <v>8392.75</v>
      </c>
      <c r="K315" s="35"/>
      <c r="L315" s="36">
        <v>7111.4</v>
      </c>
      <c r="M315" s="35"/>
      <c r="N315" s="36">
        <v>7436.18</v>
      </c>
      <c r="O315" s="35"/>
      <c r="P315" s="36">
        <v>7148.5</v>
      </c>
      <c r="Q315" s="35"/>
      <c r="R315" s="36">
        <v>7182.59</v>
      </c>
      <c r="S315" s="35"/>
      <c r="T315" s="36">
        <v>7182.61</v>
      </c>
      <c r="U315" s="35"/>
      <c r="V315" s="36">
        <v>7182.55</v>
      </c>
      <c r="W315" s="35"/>
      <c r="X315" s="36">
        <v>5182.22</v>
      </c>
      <c r="Y315" s="35"/>
      <c r="Z315" s="36">
        <v>5195.82</v>
      </c>
      <c r="AA315" s="35"/>
      <c r="AB315" s="36">
        <v>5195.75</v>
      </c>
      <c r="AC315" s="35"/>
      <c r="AD315" s="36">
        <v>5202.84</v>
      </c>
      <c r="AE315" s="35"/>
      <c r="AF315" s="36">
        <v>2507.13</v>
      </c>
      <c r="AG315" s="35"/>
      <c r="AH315" s="36">
        <f t="shared" si="28"/>
        <v>74920.34</v>
      </c>
      <c r="AI315" s="37">
        <f t="shared" si="29"/>
        <v>1.1081559953575767E-3</v>
      </c>
      <c r="AJ315" s="38"/>
    </row>
    <row r="316" spans="1:36" s="34" customFormat="1" ht="5.0999999999999996" customHeight="1" outlineLevel="1">
      <c r="A316" s="39"/>
      <c r="B316" s="27" t="s">
        <v>47</v>
      </c>
      <c r="C316" s="27"/>
      <c r="D316" s="33"/>
      <c r="E316" s="33"/>
      <c r="F316" s="33"/>
      <c r="G316" s="33"/>
      <c r="J316" s="68"/>
      <c r="K316" s="67"/>
      <c r="L316" s="68"/>
      <c r="M316" s="67"/>
      <c r="N316" s="68"/>
      <c r="O316" s="67"/>
      <c r="P316" s="68"/>
      <c r="Q316" s="67"/>
      <c r="R316" s="68"/>
      <c r="S316" s="67"/>
      <c r="T316" s="68"/>
      <c r="U316" s="67"/>
      <c r="V316" s="68"/>
      <c r="W316" s="67"/>
      <c r="X316" s="68"/>
      <c r="Y316" s="67"/>
      <c r="Z316" s="68"/>
      <c r="AA316" s="67"/>
      <c r="AB316" s="68"/>
      <c r="AC316" s="67"/>
      <c r="AD316" s="68"/>
      <c r="AE316" s="67"/>
      <c r="AF316" s="68"/>
      <c r="AG316" s="67"/>
      <c r="AH316" s="68"/>
      <c r="AI316" s="86"/>
      <c r="AJ316" s="43"/>
    </row>
    <row r="317" spans="1:36" s="34" customFormat="1" ht="15">
      <c r="A317" s="39"/>
      <c r="B317" s="27" t="s">
        <v>47</v>
      </c>
      <c r="C317" s="27"/>
      <c r="F317" s="33" t="s">
        <v>224</v>
      </c>
      <c r="J317" s="65">
        <f>SUM(J312:J316)</f>
        <v>301718.47000000003</v>
      </c>
      <c r="K317" s="67"/>
      <c r="L317" s="65">
        <f>SUM(L312:L316)</f>
        <v>297871.52</v>
      </c>
      <c r="M317" s="67"/>
      <c r="N317" s="65">
        <f>SUM(N312:N316)</f>
        <v>300929.37</v>
      </c>
      <c r="O317" s="90">
        <f>IF(N$54=0,0,N317/N$54)</f>
        <v>0</v>
      </c>
      <c r="P317" s="65">
        <f>SUM(P312:P316)</f>
        <v>298589.92</v>
      </c>
      <c r="Q317" s="67"/>
      <c r="R317" s="65">
        <f>SUM(R312:R316)</f>
        <v>298970.38</v>
      </c>
      <c r="S317" s="67"/>
      <c r="T317" s="65">
        <f>SUM(T312:T316)</f>
        <v>298283.64</v>
      </c>
      <c r="U317" s="90">
        <f>IF(T$54=0,0,T317/T$54)</f>
        <v>0</v>
      </c>
      <c r="V317" s="65">
        <f>SUM(V312:V316)</f>
        <v>296129.48</v>
      </c>
      <c r="W317" s="67"/>
      <c r="X317" s="65">
        <f>SUM(X312:X316)</f>
        <v>294250.91999999993</v>
      </c>
      <c r="Y317" s="67"/>
      <c r="Z317" s="65">
        <f>SUM(Z312:Z316)</f>
        <v>304456.76</v>
      </c>
      <c r="AA317" s="90">
        <f>IF(Z$54=0,0,Z317/Z$54)</f>
        <v>0</v>
      </c>
      <c r="AB317" s="65">
        <f>SUM(AB312:AB316)</f>
        <v>303551.28000000003</v>
      </c>
      <c r="AC317" s="67"/>
      <c r="AD317" s="65">
        <f>SUM(AD312:AD316)</f>
        <v>313621.06000000006</v>
      </c>
      <c r="AE317" s="67"/>
      <c r="AF317" s="65">
        <f>SUM(AF312:AF316)</f>
        <v>311826.64</v>
      </c>
      <c r="AG317" s="90">
        <f>IF(AF$54=0,0,AF317/AF$54)</f>
        <v>0</v>
      </c>
      <c r="AH317" s="65">
        <f>SUM(J317,L317,N317,P317,R317,T317,V317,X317,Z317,AB317,AD317,AF317)</f>
        <v>3620199.4400000004</v>
      </c>
      <c r="AI317" s="37">
        <f>IF(AH$60=0,0,AH317/AH$60)</f>
        <v>5.3546816709936745E-2</v>
      </c>
      <c r="AJ317" s="43"/>
    </row>
    <row r="318" spans="1:36" s="34" customFormat="1" ht="15" outlineLevel="1">
      <c r="A318" s="39"/>
      <c r="B318" s="27" t="s">
        <v>47</v>
      </c>
      <c r="C318" s="27"/>
      <c r="F318" s="33"/>
      <c r="J318" s="67"/>
      <c r="K318" s="67"/>
      <c r="L318" s="67"/>
      <c r="M318" s="67"/>
      <c r="N318" s="67"/>
      <c r="O318" s="86"/>
      <c r="P318" s="67"/>
      <c r="Q318" s="67"/>
      <c r="R318" s="67"/>
      <c r="S318" s="67"/>
      <c r="T318" s="67"/>
      <c r="U318" s="86"/>
      <c r="V318" s="67"/>
      <c r="W318" s="67"/>
      <c r="X318" s="67"/>
      <c r="Y318" s="67"/>
      <c r="Z318" s="67"/>
      <c r="AA318" s="86"/>
      <c r="AB318" s="67"/>
      <c r="AC318" s="67"/>
      <c r="AD318" s="67"/>
      <c r="AE318" s="67"/>
      <c r="AF318" s="67"/>
      <c r="AG318" s="86"/>
      <c r="AH318" s="67"/>
      <c r="AI318" s="86"/>
      <c r="AJ318" s="43"/>
    </row>
    <row r="319" spans="1:36" outlineLevel="1">
      <c r="B319" s="31" t="s">
        <v>225</v>
      </c>
      <c r="D319" s="32"/>
      <c r="E319" s="32"/>
      <c r="F319" s="33"/>
      <c r="G319" s="29"/>
      <c r="H319" s="34"/>
      <c r="I319" s="35"/>
      <c r="J319" s="36"/>
      <c r="K319" s="35"/>
      <c r="L319" s="36"/>
      <c r="M319" s="35"/>
      <c r="N319" s="36"/>
      <c r="O319" s="35"/>
      <c r="P319" s="36"/>
      <c r="Q319" s="35"/>
      <c r="R319" s="36"/>
      <c r="S319" s="35"/>
      <c r="T319" s="36"/>
      <c r="U319" s="35"/>
      <c r="V319" s="36"/>
      <c r="W319" s="35"/>
      <c r="X319" s="36"/>
      <c r="Y319" s="35"/>
      <c r="Z319" s="36"/>
      <c r="AA319" s="35"/>
      <c r="AB319" s="36"/>
      <c r="AC319" s="35"/>
      <c r="AD319" s="36"/>
      <c r="AE319" s="35"/>
      <c r="AF319" s="36"/>
      <c r="AG319" s="35"/>
      <c r="AH319" s="36">
        <f>AF319+AD319+AB319+Z319+X319+V319+T319+R319+P319+N319+L319+J319</f>
        <v>0</v>
      </c>
      <c r="AI319" s="37">
        <f>IF(AH$60=0,0,AH319/AH$60)</f>
        <v>0</v>
      </c>
      <c r="AJ319" s="38"/>
    </row>
    <row r="320" spans="1:36" s="34" customFormat="1" ht="5.0999999999999996" customHeight="1" outlineLevel="1">
      <c r="A320" s="39"/>
      <c r="B320" s="27" t="s">
        <v>47</v>
      </c>
      <c r="C320" s="27"/>
      <c r="D320" s="33"/>
      <c r="E320" s="33"/>
      <c r="F320" s="33"/>
      <c r="G320" s="33"/>
      <c r="J320" s="68"/>
      <c r="K320" s="67"/>
      <c r="L320" s="68"/>
      <c r="M320" s="67"/>
      <c r="N320" s="68"/>
      <c r="O320" s="86"/>
      <c r="P320" s="68"/>
      <c r="Q320" s="67"/>
      <c r="R320" s="68"/>
      <c r="S320" s="67"/>
      <c r="T320" s="68"/>
      <c r="U320" s="86"/>
      <c r="V320" s="68"/>
      <c r="W320" s="67"/>
      <c r="X320" s="68"/>
      <c r="Y320" s="67"/>
      <c r="Z320" s="68"/>
      <c r="AA320" s="86"/>
      <c r="AB320" s="68"/>
      <c r="AC320" s="67"/>
      <c r="AD320" s="68"/>
      <c r="AE320" s="67"/>
      <c r="AF320" s="68"/>
      <c r="AG320" s="86"/>
      <c r="AH320" s="68"/>
      <c r="AI320" s="86"/>
      <c r="AJ320" s="43"/>
    </row>
    <row r="321" spans="1:36" s="34" customFormat="1" ht="15">
      <c r="A321" s="39"/>
      <c r="B321" s="27" t="s">
        <v>47</v>
      </c>
      <c r="C321" s="27"/>
      <c r="F321" s="32" t="s">
        <v>226</v>
      </c>
      <c r="J321" s="65">
        <f>SUM(J319:J320)</f>
        <v>0</v>
      </c>
      <c r="K321" s="67"/>
      <c r="L321" s="65">
        <f>SUM(L319:L320)</f>
        <v>0</v>
      </c>
      <c r="M321" s="67"/>
      <c r="N321" s="65">
        <f>SUM(N319:N320)</f>
        <v>0</v>
      </c>
      <c r="O321" s="90">
        <f>IF(N$54=0,0,N321/N$54)</f>
        <v>0</v>
      </c>
      <c r="P321" s="65">
        <f>SUM(P319:P320)</f>
        <v>0</v>
      </c>
      <c r="Q321" s="67"/>
      <c r="R321" s="65">
        <f>SUM(R319:R320)</f>
        <v>0</v>
      </c>
      <c r="S321" s="67"/>
      <c r="T321" s="65">
        <f>SUM(T319:T320)</f>
        <v>0</v>
      </c>
      <c r="U321" s="90">
        <f>IF(T$54=0,0,T321/T$54)</f>
        <v>0</v>
      </c>
      <c r="V321" s="65">
        <f>SUM(V319:V320)</f>
        <v>0</v>
      </c>
      <c r="W321" s="67"/>
      <c r="X321" s="65">
        <f>SUM(X319:X320)</f>
        <v>0</v>
      </c>
      <c r="Y321" s="67"/>
      <c r="Z321" s="65">
        <f>SUM(Z319:Z320)</f>
        <v>0</v>
      </c>
      <c r="AA321" s="90">
        <f>IF(Z$54=0,0,Z321/Z$54)</f>
        <v>0</v>
      </c>
      <c r="AB321" s="65">
        <f>SUM(AB319:AB320)</f>
        <v>0</v>
      </c>
      <c r="AC321" s="67"/>
      <c r="AD321" s="65">
        <f>SUM(AD319:AD320)</f>
        <v>0</v>
      </c>
      <c r="AE321" s="67"/>
      <c r="AF321" s="65">
        <f>SUM(AF319:AF320)</f>
        <v>0</v>
      </c>
      <c r="AG321" s="90">
        <f>IF(AF$54=0,0,AF321/AF$54)</f>
        <v>0</v>
      </c>
      <c r="AH321" s="65">
        <f>SUM(J321,L321,N321)</f>
        <v>0</v>
      </c>
      <c r="AI321" s="37">
        <f>IF(AH$60=0,0,AH321/AH$60)</f>
        <v>0</v>
      </c>
      <c r="AJ321" s="43"/>
    </row>
    <row r="322" spans="1:36" s="34" customFormat="1" ht="15" outlineLevel="1">
      <c r="A322" s="39"/>
      <c r="B322" s="27" t="s">
        <v>47</v>
      </c>
      <c r="C322" s="27"/>
      <c r="J322" s="67"/>
      <c r="K322" s="67"/>
      <c r="L322" s="67"/>
      <c r="M322" s="67"/>
      <c r="N322" s="67"/>
      <c r="O322" s="86"/>
      <c r="P322" s="67"/>
      <c r="Q322" s="67"/>
      <c r="R322" s="67"/>
      <c r="S322" s="67"/>
      <c r="T322" s="67"/>
      <c r="U322" s="86"/>
      <c r="V322" s="67"/>
      <c r="W322" s="67"/>
      <c r="X322" s="67"/>
      <c r="Y322" s="67"/>
      <c r="Z322" s="67"/>
      <c r="AA322" s="86"/>
      <c r="AB322" s="67"/>
      <c r="AC322" s="67"/>
      <c r="AD322" s="67"/>
      <c r="AE322" s="67"/>
      <c r="AF322" s="67"/>
      <c r="AG322" s="86"/>
      <c r="AH322" s="67"/>
      <c r="AI322" s="86"/>
      <c r="AJ322" s="43"/>
    </row>
    <row r="323" spans="1:36" outlineLevel="1">
      <c r="B323" s="31" t="s">
        <v>227</v>
      </c>
      <c r="D323" s="32"/>
      <c r="E323" s="32"/>
      <c r="F323" s="33"/>
      <c r="G323" s="29"/>
      <c r="H323" s="34"/>
      <c r="I323" s="35"/>
      <c r="J323" s="36"/>
      <c r="K323" s="35"/>
      <c r="L323" s="36"/>
      <c r="M323" s="35"/>
      <c r="N323" s="36"/>
      <c r="O323" s="35"/>
      <c r="P323" s="36"/>
      <c r="Q323" s="35"/>
      <c r="R323" s="36"/>
      <c r="S323" s="35"/>
      <c r="T323" s="36"/>
      <c r="U323" s="35"/>
      <c r="V323" s="36"/>
      <c r="W323" s="35"/>
      <c r="X323" s="36"/>
      <c r="Y323" s="35"/>
      <c r="Z323" s="36"/>
      <c r="AA323" s="35"/>
      <c r="AB323" s="36"/>
      <c r="AC323" s="35"/>
      <c r="AD323" s="36"/>
      <c r="AE323" s="35"/>
      <c r="AF323" s="36"/>
      <c r="AG323" s="35"/>
      <c r="AH323" s="36">
        <f>AF323+AD323+AB323+Z323+X323+V323+T323+R323+P323+N323+L323+J323</f>
        <v>0</v>
      </c>
      <c r="AI323" s="37">
        <f>IF(AH$60=0,0,AH323/AH$60)</f>
        <v>0</v>
      </c>
      <c r="AJ323" s="38"/>
    </row>
    <row r="324" spans="1:36" s="34" customFormat="1" ht="5.0999999999999996" customHeight="1" outlineLevel="1">
      <c r="A324" s="39"/>
      <c r="B324" s="63" t="s">
        <v>47</v>
      </c>
      <c r="C324" s="63"/>
      <c r="D324" s="33"/>
      <c r="E324" s="33"/>
      <c r="F324" s="33"/>
      <c r="G324" s="33"/>
      <c r="J324" s="68"/>
      <c r="K324" s="67"/>
      <c r="L324" s="68"/>
      <c r="M324" s="67"/>
      <c r="N324" s="68"/>
      <c r="O324" s="86"/>
      <c r="P324" s="68"/>
      <c r="Q324" s="67"/>
      <c r="R324" s="68"/>
      <c r="S324" s="67"/>
      <c r="T324" s="68"/>
      <c r="U324" s="86"/>
      <c r="V324" s="68"/>
      <c r="W324" s="67"/>
      <c r="X324" s="68"/>
      <c r="Y324" s="67"/>
      <c r="Z324" s="68"/>
      <c r="AA324" s="86"/>
      <c r="AB324" s="68"/>
      <c r="AC324" s="67"/>
      <c r="AD324" s="68"/>
      <c r="AE324" s="67"/>
      <c r="AF324" s="68"/>
      <c r="AG324" s="86"/>
      <c r="AH324" s="68"/>
      <c r="AI324" s="86"/>
      <c r="AJ324" s="43"/>
    </row>
    <row r="325" spans="1:36" s="34" customFormat="1" ht="15">
      <c r="A325" s="39"/>
      <c r="B325" s="63" t="s">
        <v>47</v>
      </c>
      <c r="C325" s="63"/>
      <c r="F325" s="33" t="s">
        <v>228</v>
      </c>
      <c r="J325" s="65">
        <f>SUM(J323:J324)</f>
        <v>0</v>
      </c>
      <c r="K325" s="67"/>
      <c r="L325" s="65">
        <f>SUM(L323:L324)</f>
        <v>0</v>
      </c>
      <c r="M325" s="67"/>
      <c r="N325" s="65">
        <f>SUM(N323:N324)</f>
        <v>0</v>
      </c>
      <c r="O325" s="90">
        <f>IF(N$54=0,0,N325/N$54)</f>
        <v>0</v>
      </c>
      <c r="P325" s="65">
        <f>SUM(P323:P324)</f>
        <v>0</v>
      </c>
      <c r="Q325" s="67"/>
      <c r="R325" s="65">
        <f>SUM(R323:R324)</f>
        <v>0</v>
      </c>
      <c r="S325" s="67"/>
      <c r="T325" s="65">
        <f>SUM(T323:T324)</f>
        <v>0</v>
      </c>
      <c r="U325" s="90">
        <f>IF(T$54=0,0,T325/T$54)</f>
        <v>0</v>
      </c>
      <c r="V325" s="65">
        <f>SUM(V323:V324)</f>
        <v>0</v>
      </c>
      <c r="W325" s="67"/>
      <c r="X325" s="65">
        <f>SUM(X323:X324)</f>
        <v>0</v>
      </c>
      <c r="Y325" s="67"/>
      <c r="Z325" s="65">
        <f>SUM(Z323:Z324)</f>
        <v>0</v>
      </c>
      <c r="AA325" s="90">
        <f>IF(Z$54=0,0,Z325/Z$54)</f>
        <v>0</v>
      </c>
      <c r="AB325" s="65">
        <f>SUM(AB323:AB324)</f>
        <v>0</v>
      </c>
      <c r="AC325" s="67"/>
      <c r="AD325" s="65">
        <f>SUM(AD323:AD324)</f>
        <v>0</v>
      </c>
      <c r="AE325" s="67"/>
      <c r="AF325" s="65">
        <f>SUM(AF323:AF324)</f>
        <v>0</v>
      </c>
      <c r="AG325" s="90">
        <f>IF(AF$54=0,0,AF325/AF$54)</f>
        <v>0</v>
      </c>
      <c r="AH325" s="65">
        <f>SUM(J325,L325,N325,P325,R325,T325,V325,X325,Z325,AB325,AD325,AF325)</f>
        <v>0</v>
      </c>
      <c r="AI325" s="37">
        <f>IF(AH$60=0,0,AH325/AH$60)</f>
        <v>0</v>
      </c>
      <c r="AJ325" s="43"/>
    </row>
    <row r="326" spans="1:36" s="34" customFormat="1" ht="6.75" customHeight="1">
      <c r="A326" s="39"/>
      <c r="B326" s="63" t="s">
        <v>47</v>
      </c>
      <c r="C326" s="63"/>
      <c r="J326" s="67"/>
      <c r="K326" s="67"/>
      <c r="L326" s="67"/>
      <c r="M326" s="67"/>
      <c r="N326" s="67"/>
      <c r="O326" s="86"/>
      <c r="P326" s="67"/>
      <c r="Q326" s="67"/>
      <c r="R326" s="67"/>
      <c r="S326" s="67"/>
      <c r="T326" s="67"/>
      <c r="U326" s="86"/>
      <c r="V326" s="67"/>
      <c r="W326" s="67"/>
      <c r="X326" s="67"/>
      <c r="Y326" s="67"/>
      <c r="Z326" s="67"/>
      <c r="AA326" s="86"/>
      <c r="AB326" s="67"/>
      <c r="AC326" s="67"/>
      <c r="AD326" s="67"/>
      <c r="AE326" s="67"/>
      <c r="AF326" s="67"/>
      <c r="AG326" s="86"/>
      <c r="AH326" s="67"/>
      <c r="AI326" s="86"/>
      <c r="AJ326" s="43"/>
    </row>
    <row r="327" spans="1:36" s="34" customFormat="1" ht="15">
      <c r="A327" s="39"/>
      <c r="B327" s="63" t="s">
        <v>47</v>
      </c>
      <c r="C327" s="63"/>
      <c r="E327" s="70" t="s">
        <v>229</v>
      </c>
      <c r="J327" s="71">
        <f>+J317+J321+J325</f>
        <v>301718.47000000003</v>
      </c>
      <c r="K327" s="67"/>
      <c r="L327" s="71">
        <f>+L317+L321+L325</f>
        <v>297871.52</v>
      </c>
      <c r="M327" s="67"/>
      <c r="N327" s="71">
        <f>+N317+N321+N325</f>
        <v>300929.37</v>
      </c>
      <c r="O327" s="90">
        <f>IF(N$54=0,0,N327/N$54)</f>
        <v>0</v>
      </c>
      <c r="P327" s="71">
        <f>+P317+P321+P325</f>
        <v>298589.92</v>
      </c>
      <c r="Q327" s="67"/>
      <c r="R327" s="71">
        <f>+R317+R321+R325</f>
        <v>298970.38</v>
      </c>
      <c r="S327" s="67"/>
      <c r="T327" s="71">
        <f>+T317+T321+T325</f>
        <v>298283.64</v>
      </c>
      <c r="U327" s="90">
        <f>IF(T$54=0,0,T327/T$54)</f>
        <v>0</v>
      </c>
      <c r="V327" s="71">
        <f>+V317+V321+V325</f>
        <v>296129.48</v>
      </c>
      <c r="W327" s="67"/>
      <c r="X327" s="71">
        <f>+X317+X321+X325</f>
        <v>294250.91999999993</v>
      </c>
      <c r="Y327" s="67"/>
      <c r="Z327" s="71">
        <f>+Z317+Z321+Z325</f>
        <v>304456.76</v>
      </c>
      <c r="AA327" s="90">
        <f>IF(Z$54=0,0,Z327/Z$54)</f>
        <v>0</v>
      </c>
      <c r="AB327" s="71">
        <f>+AB317+AB321+AB325</f>
        <v>303551.28000000003</v>
      </c>
      <c r="AC327" s="67"/>
      <c r="AD327" s="71">
        <f>+AD317+AD321+AD325</f>
        <v>313621.06000000006</v>
      </c>
      <c r="AE327" s="67"/>
      <c r="AF327" s="71">
        <f>+AF317+AF321+AF325</f>
        <v>311826.64</v>
      </c>
      <c r="AG327" s="90">
        <f>IF(AF$54=0,0,AF327/AF$54)</f>
        <v>0</v>
      </c>
      <c r="AH327" s="71">
        <f>+AH317+AH321+AH325</f>
        <v>3620199.4400000004</v>
      </c>
      <c r="AI327" s="37">
        <f>IF(AH$60=0,0,AH327/AH$60)</f>
        <v>5.3546816709936745E-2</v>
      </c>
      <c r="AJ327" s="43"/>
    </row>
    <row r="328" spans="1:36" s="34" customFormat="1" ht="6.75" customHeight="1">
      <c r="A328" s="39"/>
      <c r="B328" s="63" t="s">
        <v>47</v>
      </c>
      <c r="C328" s="63"/>
      <c r="J328" s="67"/>
      <c r="K328" s="67"/>
      <c r="L328" s="67"/>
      <c r="M328" s="67"/>
      <c r="N328" s="67"/>
      <c r="O328" s="86"/>
      <c r="P328" s="67"/>
      <c r="Q328" s="67"/>
      <c r="R328" s="67"/>
      <c r="S328" s="67"/>
      <c r="T328" s="67"/>
      <c r="U328" s="86"/>
      <c r="V328" s="67"/>
      <c r="W328" s="67"/>
      <c r="X328" s="67"/>
      <c r="Y328" s="67"/>
      <c r="Z328" s="67"/>
      <c r="AA328" s="86"/>
      <c r="AB328" s="67"/>
      <c r="AC328" s="67"/>
      <c r="AD328" s="67"/>
      <c r="AE328" s="67"/>
      <c r="AF328" s="67"/>
      <c r="AG328" s="86"/>
      <c r="AH328" s="67"/>
      <c r="AI328" s="86"/>
      <c r="AJ328" s="43"/>
    </row>
    <row r="329" spans="1:36" s="34" customFormat="1" ht="15">
      <c r="A329" s="39"/>
      <c r="B329" s="63" t="s">
        <v>47</v>
      </c>
      <c r="C329" s="63"/>
      <c r="E329" s="73" t="s">
        <v>230</v>
      </c>
      <c r="J329" s="71">
        <f>+J308-J327</f>
        <v>916018.55</v>
      </c>
      <c r="K329" s="67"/>
      <c r="L329" s="71">
        <f>+L308-L327</f>
        <v>724886.1399999999</v>
      </c>
      <c r="M329" s="67"/>
      <c r="N329" s="71">
        <f>+N308-N327</f>
        <v>877389.54000000015</v>
      </c>
      <c r="O329" s="90">
        <f>IF(N$54=0,0,N329/N$54)</f>
        <v>0</v>
      </c>
      <c r="P329" s="71">
        <f>+P308-P327</f>
        <v>419172.57000000047</v>
      </c>
      <c r="Q329" s="67"/>
      <c r="R329" s="71">
        <f>+R308-R327</f>
        <v>937584.96999999962</v>
      </c>
      <c r="S329" s="67"/>
      <c r="T329" s="71">
        <f>+T308-T327</f>
        <v>1257460.6000000001</v>
      </c>
      <c r="U329" s="90">
        <f>IF(T$54=0,0,T329/T$54)</f>
        <v>0</v>
      </c>
      <c r="V329" s="71">
        <f>+V308-V327</f>
        <v>957658.83000000007</v>
      </c>
      <c r="W329" s="67"/>
      <c r="X329" s="71">
        <f>+X308-X327</f>
        <v>634885.91</v>
      </c>
      <c r="Y329" s="67"/>
      <c r="Z329" s="71">
        <f>+Z308-Z327</f>
        <v>790272.37000000034</v>
      </c>
      <c r="AA329" s="90">
        <f>IF(Z$54=0,0,Z329/Z$54)</f>
        <v>0</v>
      </c>
      <c r="AB329" s="71">
        <f>+AB308-AB327</f>
        <v>799849.00999999978</v>
      </c>
      <c r="AC329" s="67"/>
      <c r="AD329" s="71">
        <f>+AD308-AD327</f>
        <v>747745.64999999991</v>
      </c>
      <c r="AE329" s="67"/>
      <c r="AF329" s="71">
        <f>+AF308-AF327</f>
        <v>853116.34000000067</v>
      </c>
      <c r="AG329" s="90">
        <f>IF(AF$54=0,0,AF329/AF$54)</f>
        <v>0</v>
      </c>
      <c r="AH329" s="71">
        <f>+AH308-AH327</f>
        <v>9916040.4800000153</v>
      </c>
      <c r="AI329" s="37">
        <f>IF(AH$60=0,0,AH329/AH$60)</f>
        <v>0.14666937854420362</v>
      </c>
      <c r="AJ329" s="43"/>
    </row>
    <row r="330" spans="1:36" s="34" customFormat="1" ht="6.75" customHeight="1">
      <c r="A330" s="39"/>
      <c r="B330" s="63" t="s">
        <v>47</v>
      </c>
      <c r="C330" s="63"/>
      <c r="J330" s="67"/>
      <c r="K330" s="67"/>
      <c r="L330" s="67"/>
      <c r="M330" s="67"/>
      <c r="N330" s="67"/>
      <c r="O330" s="86"/>
      <c r="P330" s="67"/>
      <c r="Q330" s="67"/>
      <c r="R330" s="67"/>
      <c r="S330" s="67"/>
      <c r="T330" s="67"/>
      <c r="U330" s="86"/>
      <c r="V330" s="67"/>
      <c r="W330" s="67"/>
      <c r="X330" s="67"/>
      <c r="Y330" s="67"/>
      <c r="Z330" s="67"/>
      <c r="AA330" s="86"/>
      <c r="AB330" s="67"/>
      <c r="AC330" s="67"/>
      <c r="AD330" s="67"/>
      <c r="AE330" s="67"/>
      <c r="AF330" s="67"/>
      <c r="AG330" s="86"/>
      <c r="AH330" s="67"/>
      <c r="AI330" s="86"/>
      <c r="AJ330" s="43"/>
    </row>
    <row r="331" spans="1:36" outlineLevel="1">
      <c r="B331" s="31" t="s">
        <v>231</v>
      </c>
      <c r="D331" s="32">
        <v>80020</v>
      </c>
      <c r="E331" s="32" t="s">
        <v>232</v>
      </c>
      <c r="F331" s="33"/>
      <c r="G331" s="29"/>
      <c r="H331" s="34"/>
      <c r="I331" s="35"/>
      <c r="J331" s="36">
        <v>1856120.99</v>
      </c>
      <c r="K331" s="35"/>
      <c r="L331" s="36">
        <v>1796246.13</v>
      </c>
      <c r="M331" s="35"/>
      <c r="N331" s="36">
        <v>1856121</v>
      </c>
      <c r="O331" s="35"/>
      <c r="P331" s="36">
        <v>1861206.25</v>
      </c>
      <c r="Q331" s="35"/>
      <c r="R331" s="36">
        <v>1681089.51</v>
      </c>
      <c r="S331" s="35"/>
      <c r="T331" s="36">
        <v>1861206.25</v>
      </c>
      <c r="U331" s="35"/>
      <c r="V331" s="36">
        <v>1801167.35</v>
      </c>
      <c r="W331" s="35"/>
      <c r="X331" s="36">
        <v>1861206.25</v>
      </c>
      <c r="Y331" s="35"/>
      <c r="Z331" s="36">
        <v>1801167.35</v>
      </c>
      <c r="AA331" s="35"/>
      <c r="AB331" s="36">
        <v>1861206.25</v>
      </c>
      <c r="AC331" s="35"/>
      <c r="AD331" s="36">
        <v>1861206.25</v>
      </c>
      <c r="AE331" s="35"/>
      <c r="AF331" s="36">
        <v>1801167.35</v>
      </c>
      <c r="AG331" s="35"/>
      <c r="AH331" s="36">
        <f>AF331+AD331+AB331+Z331+X331+V331+T331+R331+P331+N331+L331+J331</f>
        <v>21899110.929999996</v>
      </c>
      <c r="AI331" s="37">
        <f>IF(AH$60=0,0,AH331/AH$60)</f>
        <v>0.32391245248059652</v>
      </c>
      <c r="AJ331" s="38"/>
    </row>
    <row r="332" spans="1:36" s="34" customFormat="1" ht="5.0999999999999996" customHeight="1" outlineLevel="1">
      <c r="A332" s="39"/>
      <c r="B332" s="63" t="s">
        <v>47</v>
      </c>
      <c r="C332" s="63"/>
      <c r="D332" s="33"/>
      <c r="E332" s="33"/>
      <c r="F332" s="33"/>
      <c r="G332" s="33"/>
      <c r="J332" s="68"/>
      <c r="K332" s="67"/>
      <c r="L332" s="68"/>
      <c r="M332" s="67"/>
      <c r="N332" s="68"/>
      <c r="O332" s="86"/>
      <c r="P332" s="68"/>
      <c r="Q332" s="67"/>
      <c r="R332" s="68"/>
      <c r="S332" s="67"/>
      <c r="T332" s="68"/>
      <c r="U332" s="86"/>
      <c r="V332" s="68"/>
      <c r="W332" s="67"/>
      <c r="X332" s="68"/>
      <c r="Y332" s="67"/>
      <c r="Z332" s="68"/>
      <c r="AA332" s="86"/>
      <c r="AB332" s="68"/>
      <c r="AC332" s="67"/>
      <c r="AD332" s="68"/>
      <c r="AE332" s="67"/>
      <c r="AF332" s="68"/>
      <c r="AG332" s="86"/>
      <c r="AH332" s="68"/>
      <c r="AI332" s="86"/>
      <c r="AJ332" s="43"/>
    </row>
    <row r="333" spans="1:36" s="34" customFormat="1" ht="15">
      <c r="A333" s="39"/>
      <c r="B333" s="63" t="s">
        <v>47</v>
      </c>
      <c r="C333" s="63"/>
      <c r="F333" s="33" t="s">
        <v>233</v>
      </c>
      <c r="J333" s="65">
        <f>SUM(J331:J332)</f>
        <v>1856120.99</v>
      </c>
      <c r="K333" s="67"/>
      <c r="L333" s="65">
        <f>SUM(L331:L332)</f>
        <v>1796246.13</v>
      </c>
      <c r="M333" s="67"/>
      <c r="N333" s="65">
        <f>SUM(N331:N332)</f>
        <v>1856121</v>
      </c>
      <c r="O333" s="90">
        <f>IF(N$54=0,0,N333/N$54)</f>
        <v>0</v>
      </c>
      <c r="P333" s="65">
        <f>SUM(P331:P332)</f>
        <v>1861206.25</v>
      </c>
      <c r="Q333" s="67"/>
      <c r="R333" s="65">
        <f>SUM(R331:R332)</f>
        <v>1681089.51</v>
      </c>
      <c r="S333" s="67"/>
      <c r="T333" s="65">
        <f>SUM(T331:T332)</f>
        <v>1861206.25</v>
      </c>
      <c r="U333" s="90">
        <f>IF(T$54=0,0,T333/T$54)</f>
        <v>0</v>
      </c>
      <c r="V333" s="65">
        <f>SUM(V331:V332)</f>
        <v>1801167.35</v>
      </c>
      <c r="W333" s="67"/>
      <c r="X333" s="65">
        <f>SUM(X331:X332)</f>
        <v>1861206.25</v>
      </c>
      <c r="Y333" s="67"/>
      <c r="Z333" s="65">
        <f>SUM(Z331:Z332)</f>
        <v>1801167.35</v>
      </c>
      <c r="AA333" s="90">
        <f>IF(Z$54=0,0,Z333/Z$54)</f>
        <v>0</v>
      </c>
      <c r="AB333" s="65">
        <f>SUM(AB331:AB332)</f>
        <v>1861206.25</v>
      </c>
      <c r="AC333" s="67"/>
      <c r="AD333" s="65">
        <f>SUM(AD331:AD332)</f>
        <v>1861206.25</v>
      </c>
      <c r="AE333" s="67"/>
      <c r="AF333" s="65">
        <f>SUM(AF331:AF332)</f>
        <v>1801167.35</v>
      </c>
      <c r="AG333" s="90">
        <f>IF(AF$54=0,0,AF333/AF$54)</f>
        <v>0</v>
      </c>
      <c r="AH333" s="65">
        <f>SUM(AH331:AH332)</f>
        <v>21899110.929999996</v>
      </c>
      <c r="AI333" s="37">
        <f>IF(AH$60=0,0,AH333/AH$60)</f>
        <v>0.32391245248059652</v>
      </c>
      <c r="AJ333" s="43"/>
    </row>
    <row r="334" spans="1:36" s="34" customFormat="1" ht="15" outlineLevel="1">
      <c r="A334" s="39"/>
      <c r="B334" s="63" t="s">
        <v>47</v>
      </c>
      <c r="C334" s="63"/>
      <c r="J334" s="67"/>
      <c r="K334" s="67"/>
      <c r="L334" s="67"/>
      <c r="M334" s="67"/>
      <c r="N334" s="67"/>
      <c r="O334" s="86"/>
      <c r="P334" s="67"/>
      <c r="Q334" s="67"/>
      <c r="R334" s="67"/>
      <c r="S334" s="67"/>
      <c r="T334" s="67"/>
      <c r="U334" s="86"/>
      <c r="V334" s="67"/>
      <c r="W334" s="67"/>
      <c r="X334" s="67"/>
      <c r="Y334" s="67"/>
      <c r="Z334" s="67"/>
      <c r="AA334" s="86"/>
      <c r="AB334" s="67"/>
      <c r="AC334" s="67"/>
      <c r="AD334" s="67"/>
      <c r="AE334" s="67"/>
      <c r="AF334" s="67"/>
      <c r="AG334" s="86"/>
      <c r="AH334" s="67"/>
      <c r="AI334" s="86"/>
      <c r="AJ334" s="43"/>
    </row>
    <row r="335" spans="1:36" outlineLevel="1">
      <c r="B335" s="31" t="s">
        <v>234</v>
      </c>
      <c r="D335" s="32"/>
      <c r="E335" s="32"/>
      <c r="F335" s="33"/>
      <c r="G335" s="29"/>
      <c r="H335" s="34"/>
      <c r="I335" s="35"/>
      <c r="J335" s="36"/>
      <c r="K335" s="35"/>
      <c r="L335" s="36"/>
      <c r="M335" s="35"/>
      <c r="N335" s="36"/>
      <c r="O335" s="35"/>
      <c r="P335" s="36"/>
      <c r="Q335" s="35"/>
      <c r="R335" s="36"/>
      <c r="S335" s="35"/>
      <c r="T335" s="36"/>
      <c r="U335" s="35"/>
      <c r="V335" s="36"/>
      <c r="W335" s="35"/>
      <c r="X335" s="36"/>
      <c r="Y335" s="35"/>
      <c r="Z335" s="36"/>
      <c r="AA335" s="35"/>
      <c r="AB335" s="36"/>
      <c r="AC335" s="35"/>
      <c r="AD335" s="36"/>
      <c r="AE335" s="35"/>
      <c r="AF335" s="36"/>
      <c r="AG335" s="35"/>
      <c r="AH335" s="36">
        <f>AF335+AD335+AB335+Z335+X335+V335+T335+R335+P335+N335+L335+J335</f>
        <v>0</v>
      </c>
      <c r="AI335" s="37">
        <f>IF(AH$60=0,0,AH335/AH$60)</f>
        <v>0</v>
      </c>
      <c r="AJ335" s="38"/>
    </row>
    <row r="336" spans="1:36" s="34" customFormat="1" ht="5.0999999999999996" customHeight="1" outlineLevel="1">
      <c r="A336" s="39"/>
      <c r="B336" s="63" t="s">
        <v>47</v>
      </c>
      <c r="C336" s="63"/>
      <c r="D336" s="33"/>
      <c r="E336" s="33"/>
      <c r="F336" s="33"/>
      <c r="G336" s="33"/>
      <c r="J336" s="68"/>
      <c r="K336" s="67"/>
      <c r="L336" s="68"/>
      <c r="M336" s="67"/>
      <c r="N336" s="68"/>
      <c r="O336" s="86"/>
      <c r="P336" s="68"/>
      <c r="Q336" s="67"/>
      <c r="R336" s="68"/>
      <c r="S336" s="67"/>
      <c r="T336" s="68"/>
      <c r="U336" s="86"/>
      <c r="V336" s="68"/>
      <c r="W336" s="67"/>
      <c r="X336" s="68"/>
      <c r="Y336" s="67"/>
      <c r="Z336" s="68"/>
      <c r="AA336" s="86"/>
      <c r="AB336" s="68"/>
      <c r="AC336" s="67"/>
      <c r="AD336" s="68"/>
      <c r="AE336" s="67"/>
      <c r="AF336" s="68"/>
      <c r="AG336" s="86"/>
      <c r="AH336" s="68"/>
      <c r="AI336" s="86"/>
      <c r="AJ336" s="43"/>
    </row>
    <row r="337" spans="1:36" s="34" customFormat="1" ht="15">
      <c r="A337" s="39"/>
      <c r="B337" s="63" t="s">
        <v>47</v>
      </c>
      <c r="C337" s="63"/>
      <c r="F337" s="32" t="s">
        <v>235</v>
      </c>
      <c r="J337" s="65">
        <f>SUM(J335:J336)</f>
        <v>0</v>
      </c>
      <c r="K337" s="67"/>
      <c r="L337" s="65">
        <f>SUM(L335:L336)</f>
        <v>0</v>
      </c>
      <c r="M337" s="67"/>
      <c r="N337" s="65">
        <f>SUM(N335:N336)</f>
        <v>0</v>
      </c>
      <c r="O337" s="90">
        <f>IF(N$54=0,0,N337/N$54)</f>
        <v>0</v>
      </c>
      <c r="P337" s="65">
        <f>SUM(P335:P336)</f>
        <v>0</v>
      </c>
      <c r="Q337" s="67"/>
      <c r="R337" s="65">
        <f>SUM(R335:R336)</f>
        <v>0</v>
      </c>
      <c r="S337" s="67"/>
      <c r="T337" s="65">
        <f>SUM(T335:T336)</f>
        <v>0</v>
      </c>
      <c r="U337" s="90">
        <f>IF(T$54=0,0,T337/T$54)</f>
        <v>0</v>
      </c>
      <c r="V337" s="65">
        <f>SUM(V335:V336)</f>
        <v>0</v>
      </c>
      <c r="W337" s="67"/>
      <c r="X337" s="65">
        <f>SUM(X335:X336)</f>
        <v>0</v>
      </c>
      <c r="Y337" s="67"/>
      <c r="Z337" s="65">
        <f>SUM(Z335:Z336)</f>
        <v>0</v>
      </c>
      <c r="AA337" s="90">
        <f>IF(Z$54=0,0,Z337/Z$54)</f>
        <v>0</v>
      </c>
      <c r="AB337" s="65">
        <f>SUM(AB335:AB336)</f>
        <v>0</v>
      </c>
      <c r="AC337" s="67"/>
      <c r="AD337" s="65">
        <f>SUM(AD335:AD336)</f>
        <v>0</v>
      </c>
      <c r="AE337" s="67"/>
      <c r="AF337" s="65">
        <f>SUM(AF335:AF336)</f>
        <v>0</v>
      </c>
      <c r="AG337" s="90">
        <f>IF(AF$54=0,0,AF337/AF$54)</f>
        <v>0</v>
      </c>
      <c r="AH337" s="65">
        <f>SUM(AH335:AH336)</f>
        <v>0</v>
      </c>
      <c r="AI337" s="37">
        <f>IF(AH$60=0,0,AH337/AH$60)</f>
        <v>0</v>
      </c>
      <c r="AJ337" s="43"/>
    </row>
    <row r="338" spans="1:36" s="34" customFormat="1" ht="15" outlineLevel="1">
      <c r="A338" s="39"/>
      <c r="B338" s="63" t="s">
        <v>47</v>
      </c>
      <c r="C338" s="63"/>
      <c r="J338" s="67"/>
      <c r="K338" s="67"/>
      <c r="L338" s="67"/>
      <c r="M338" s="67"/>
      <c r="N338" s="67"/>
      <c r="O338" s="86"/>
      <c r="P338" s="67"/>
      <c r="Q338" s="67"/>
      <c r="R338" s="67"/>
      <c r="S338" s="67"/>
      <c r="T338" s="67"/>
      <c r="U338" s="86"/>
      <c r="V338" s="67"/>
      <c r="W338" s="67"/>
      <c r="X338" s="67"/>
      <c r="Y338" s="67"/>
      <c r="Z338" s="67"/>
      <c r="AA338" s="86"/>
      <c r="AB338" s="67"/>
      <c r="AC338" s="67"/>
      <c r="AD338" s="67"/>
      <c r="AE338" s="67"/>
      <c r="AF338" s="67"/>
      <c r="AG338" s="86"/>
      <c r="AH338" s="67"/>
      <c r="AI338" s="86"/>
      <c r="AJ338" s="43"/>
    </row>
    <row r="339" spans="1:36" outlineLevel="1">
      <c r="B339" s="31" t="s">
        <v>236</v>
      </c>
      <c r="D339" s="32"/>
      <c r="E339" s="32"/>
      <c r="F339" s="33"/>
      <c r="G339" s="29"/>
      <c r="H339" s="34"/>
      <c r="I339" s="35"/>
      <c r="J339" s="36"/>
      <c r="K339" s="35"/>
      <c r="L339" s="36"/>
      <c r="M339" s="35"/>
      <c r="N339" s="36"/>
      <c r="O339" s="35"/>
      <c r="P339" s="36"/>
      <c r="Q339" s="35"/>
      <c r="R339" s="36"/>
      <c r="S339" s="35"/>
      <c r="T339" s="36"/>
      <c r="U339" s="35"/>
      <c r="V339" s="36"/>
      <c r="W339" s="35"/>
      <c r="X339" s="36"/>
      <c r="Y339" s="35"/>
      <c r="Z339" s="36"/>
      <c r="AA339" s="35"/>
      <c r="AB339" s="36"/>
      <c r="AC339" s="35"/>
      <c r="AD339" s="36"/>
      <c r="AE339" s="35"/>
      <c r="AF339" s="36"/>
      <c r="AG339" s="35"/>
      <c r="AH339" s="36">
        <f>AF339+AD339+AB339+Z339+X339+V339+T339+R339+P339+N339+L339+J339</f>
        <v>0</v>
      </c>
      <c r="AI339" s="37">
        <f>IF(AH$60=0,0,AH339/AH$60)</f>
        <v>0</v>
      </c>
      <c r="AJ339" s="38"/>
    </row>
    <row r="340" spans="1:36" s="34" customFormat="1" ht="5.0999999999999996" customHeight="1" outlineLevel="1">
      <c r="A340" s="39"/>
      <c r="B340" s="63" t="s">
        <v>47</v>
      </c>
      <c r="C340" s="63"/>
      <c r="D340" s="33"/>
      <c r="E340" s="33"/>
      <c r="F340" s="33"/>
      <c r="G340" s="33"/>
      <c r="J340" s="68"/>
      <c r="K340" s="67"/>
      <c r="L340" s="68"/>
      <c r="M340" s="67"/>
      <c r="N340" s="68"/>
      <c r="O340" s="86"/>
      <c r="P340" s="68"/>
      <c r="Q340" s="67"/>
      <c r="R340" s="68"/>
      <c r="S340" s="67"/>
      <c r="T340" s="68"/>
      <c r="U340" s="86"/>
      <c r="V340" s="68"/>
      <c r="W340" s="67"/>
      <c r="X340" s="68"/>
      <c r="Y340" s="67"/>
      <c r="Z340" s="68"/>
      <c r="AA340" s="86"/>
      <c r="AB340" s="68"/>
      <c r="AC340" s="67"/>
      <c r="AD340" s="68"/>
      <c r="AE340" s="67"/>
      <c r="AF340" s="68"/>
      <c r="AG340" s="86"/>
      <c r="AH340" s="68"/>
      <c r="AI340" s="86"/>
      <c r="AJ340" s="43"/>
    </row>
    <row r="341" spans="1:36" s="34" customFormat="1" ht="15">
      <c r="A341" s="39"/>
      <c r="B341" s="63" t="s">
        <v>47</v>
      </c>
      <c r="C341" s="63"/>
      <c r="F341" s="33" t="s">
        <v>237</v>
      </c>
      <c r="J341" s="65">
        <f>SUM(J339:J340)</f>
        <v>0</v>
      </c>
      <c r="K341" s="67"/>
      <c r="L341" s="65">
        <f>SUM(L339:L340)</f>
        <v>0</v>
      </c>
      <c r="M341" s="67"/>
      <c r="N341" s="65">
        <f>SUM(N339:N340)</f>
        <v>0</v>
      </c>
      <c r="O341" s="90">
        <f>IF(N$54=0,0,N341/N$54)</f>
        <v>0</v>
      </c>
      <c r="P341" s="65">
        <f>SUM(P339:P340)</f>
        <v>0</v>
      </c>
      <c r="Q341" s="67"/>
      <c r="R341" s="65">
        <f>SUM(R339:R340)</f>
        <v>0</v>
      </c>
      <c r="S341" s="67"/>
      <c r="T341" s="65">
        <f>SUM(T339:T340)</f>
        <v>0</v>
      </c>
      <c r="U341" s="90">
        <f>IF(T$54=0,0,T341/T$54)</f>
        <v>0</v>
      </c>
      <c r="V341" s="65">
        <f>SUM(V339:V340)</f>
        <v>0</v>
      </c>
      <c r="W341" s="67"/>
      <c r="X341" s="65">
        <f>SUM(X339:X340)</f>
        <v>0</v>
      </c>
      <c r="Y341" s="67"/>
      <c r="Z341" s="65">
        <f>SUM(Z339:Z340)</f>
        <v>0</v>
      </c>
      <c r="AA341" s="90">
        <f>IF(Z$54=0,0,Z341/Z$54)</f>
        <v>0</v>
      </c>
      <c r="AB341" s="65">
        <f>SUM(AB339:AB340)</f>
        <v>0</v>
      </c>
      <c r="AC341" s="67"/>
      <c r="AD341" s="65">
        <f>SUM(AD339:AD340)</f>
        <v>0</v>
      </c>
      <c r="AE341" s="67"/>
      <c r="AF341" s="65">
        <f>SUM(AF339:AF340)</f>
        <v>0</v>
      </c>
      <c r="AG341" s="90">
        <f>IF(AF$54=0,0,AF341/AF$54)</f>
        <v>0</v>
      </c>
      <c r="AH341" s="65">
        <f>SUM(AH339:AH340)</f>
        <v>0</v>
      </c>
      <c r="AI341" s="37">
        <f>IF(AH$60=0,0,AH341/AH$60)</f>
        <v>0</v>
      </c>
      <c r="AJ341" s="43"/>
    </row>
    <row r="342" spans="1:36" s="34" customFormat="1" ht="6.75" customHeight="1">
      <c r="A342" s="39"/>
      <c r="B342" s="27" t="s">
        <v>47</v>
      </c>
      <c r="C342" s="27"/>
      <c r="J342" s="67"/>
      <c r="K342" s="67"/>
      <c r="L342" s="67"/>
      <c r="M342" s="67"/>
      <c r="N342" s="67"/>
      <c r="O342" s="86"/>
      <c r="P342" s="67"/>
      <c r="Q342" s="67"/>
      <c r="R342" s="67"/>
      <c r="S342" s="67"/>
      <c r="T342" s="67"/>
      <c r="U342" s="86"/>
      <c r="V342" s="67"/>
      <c r="W342" s="67"/>
      <c r="X342" s="67"/>
      <c r="Y342" s="67"/>
      <c r="Z342" s="67"/>
      <c r="AA342" s="86"/>
      <c r="AB342" s="67"/>
      <c r="AC342" s="67"/>
      <c r="AD342" s="67"/>
      <c r="AE342" s="67"/>
      <c r="AF342" s="67"/>
      <c r="AG342" s="86"/>
      <c r="AH342" s="67"/>
      <c r="AI342" s="86"/>
      <c r="AJ342" s="43"/>
    </row>
    <row r="343" spans="1:36" s="34" customFormat="1" ht="15">
      <c r="A343" s="39"/>
      <c r="B343" s="27" t="s">
        <v>47</v>
      </c>
      <c r="C343" s="27"/>
      <c r="E343" s="70" t="s">
        <v>238</v>
      </c>
      <c r="J343" s="71">
        <f>+J329-J333-J337-J341</f>
        <v>-940102.44</v>
      </c>
      <c r="K343" s="67"/>
      <c r="L343" s="71">
        <f>+L329-L333-L337-L341</f>
        <v>-1071359.99</v>
      </c>
      <c r="M343" s="67"/>
      <c r="N343" s="71">
        <f>+N329-N333-N337-N341</f>
        <v>-978731.45999999985</v>
      </c>
      <c r="O343" s="90">
        <f>IF(N$54=0,0,N343/N$54)</f>
        <v>0</v>
      </c>
      <c r="P343" s="71">
        <f>+P329-P333-P337-P341</f>
        <v>-1442033.6799999995</v>
      </c>
      <c r="Q343" s="67"/>
      <c r="R343" s="71">
        <f>+R329-R333-R337-R341</f>
        <v>-743504.54000000039</v>
      </c>
      <c r="S343" s="67"/>
      <c r="T343" s="71">
        <f>+T329-T333-T337-T341</f>
        <v>-603745.64999999991</v>
      </c>
      <c r="U343" s="90">
        <f>IF(T$54=0,0,T343/T$54)</f>
        <v>0</v>
      </c>
      <c r="V343" s="71">
        <f>+V329-V333-V337-V341</f>
        <v>-843508.52</v>
      </c>
      <c r="W343" s="67"/>
      <c r="X343" s="71">
        <f>+X329-X333-X337-X341</f>
        <v>-1226320.3399999999</v>
      </c>
      <c r="Y343" s="67"/>
      <c r="Z343" s="71">
        <f>+Z329-Z333-Z337-Z341</f>
        <v>-1010894.9799999997</v>
      </c>
      <c r="AA343" s="90">
        <f>IF(Z$54=0,0,Z343/Z$54)</f>
        <v>0</v>
      </c>
      <c r="AB343" s="71">
        <f>+AB329-AB333-AB337-AB341</f>
        <v>-1061357.2400000002</v>
      </c>
      <c r="AC343" s="67"/>
      <c r="AD343" s="71">
        <f>+AD329-AD333-AD337-AD341</f>
        <v>-1113460.6000000001</v>
      </c>
      <c r="AE343" s="67"/>
      <c r="AF343" s="71">
        <f>+AF329-AF333-AF337-AF341</f>
        <v>-948051.00999999943</v>
      </c>
      <c r="AG343" s="90">
        <f>IF(AF$54=0,0,AF343/AF$54)</f>
        <v>0</v>
      </c>
      <c r="AH343" s="71">
        <f>+AH329-AH333-AH337-AH341</f>
        <v>-11983070.449999981</v>
      </c>
      <c r="AI343" s="37">
        <f>IF(AH$60=0,0,AH343/AH$60)</f>
        <v>-0.17724307393639288</v>
      </c>
      <c r="AJ343" s="43"/>
    </row>
    <row r="344" spans="1:36" s="34" customFormat="1" ht="6.75" customHeight="1">
      <c r="A344" s="39"/>
      <c r="B344" s="27" t="s">
        <v>47</v>
      </c>
      <c r="C344" s="27"/>
      <c r="J344" s="67"/>
      <c r="K344" s="67"/>
      <c r="L344" s="67"/>
      <c r="M344" s="67"/>
      <c r="N344" s="67"/>
      <c r="O344" s="86"/>
      <c r="P344" s="67"/>
      <c r="Q344" s="67"/>
      <c r="R344" s="67"/>
      <c r="S344" s="67"/>
      <c r="T344" s="67"/>
      <c r="U344" s="86"/>
      <c r="V344" s="67"/>
      <c r="W344" s="67"/>
      <c r="X344" s="67"/>
      <c r="Y344" s="67"/>
      <c r="Z344" s="67"/>
      <c r="AA344" s="86"/>
      <c r="AB344" s="67"/>
      <c r="AC344" s="67"/>
      <c r="AD344" s="67"/>
      <c r="AE344" s="67"/>
      <c r="AF344" s="67"/>
      <c r="AG344" s="86"/>
      <c r="AH344" s="67"/>
      <c r="AI344" s="86"/>
      <c r="AJ344" s="43"/>
    </row>
    <row r="345" spans="1:36" outlineLevel="1">
      <c r="B345" s="31" t="s">
        <v>239</v>
      </c>
      <c r="D345" s="32"/>
      <c r="E345" s="32"/>
      <c r="F345" s="33"/>
      <c r="G345" s="29"/>
      <c r="H345" s="34"/>
      <c r="I345" s="35"/>
      <c r="J345" s="36"/>
      <c r="K345" s="35"/>
      <c r="L345" s="36"/>
      <c r="M345" s="35"/>
      <c r="N345" s="36"/>
      <c r="O345" s="35"/>
      <c r="P345" s="36"/>
      <c r="Q345" s="35"/>
      <c r="R345" s="36"/>
      <c r="S345" s="35"/>
      <c r="T345" s="36"/>
      <c r="U345" s="35"/>
      <c r="V345" s="36"/>
      <c r="W345" s="35"/>
      <c r="X345" s="36"/>
      <c r="Y345" s="35"/>
      <c r="Z345" s="36"/>
      <c r="AA345" s="35"/>
      <c r="AB345" s="36"/>
      <c r="AC345" s="35"/>
      <c r="AD345" s="36"/>
      <c r="AE345" s="35"/>
      <c r="AF345" s="36"/>
      <c r="AG345" s="35"/>
      <c r="AH345" s="36">
        <f>AF345+AD345+AB345+Z345+X345+V345+T345+R345+P345+N345+L345+J345</f>
        <v>0</v>
      </c>
      <c r="AI345" s="37">
        <f>IF(AH$60=0,0,AH345/AH$60)</f>
        <v>0</v>
      </c>
      <c r="AJ345" s="38"/>
    </row>
    <row r="346" spans="1:36" s="34" customFormat="1" ht="5.0999999999999996" customHeight="1" outlineLevel="1">
      <c r="A346" s="39"/>
      <c r="B346" s="63" t="s">
        <v>47</v>
      </c>
      <c r="C346" s="63"/>
      <c r="D346" s="33"/>
      <c r="E346" s="33"/>
      <c r="F346" s="33"/>
      <c r="G346" s="33"/>
      <c r="J346" s="68"/>
      <c r="K346" s="67"/>
      <c r="L346" s="68"/>
      <c r="M346" s="67"/>
      <c r="N346" s="68"/>
      <c r="O346" s="86"/>
      <c r="P346" s="68"/>
      <c r="Q346" s="67"/>
      <c r="R346" s="68"/>
      <c r="S346" s="67"/>
      <c r="T346" s="68"/>
      <c r="U346" s="86"/>
      <c r="V346" s="68"/>
      <c r="W346" s="67"/>
      <c r="X346" s="68"/>
      <c r="Y346" s="67"/>
      <c r="Z346" s="68"/>
      <c r="AA346" s="86"/>
      <c r="AB346" s="68"/>
      <c r="AC346" s="67"/>
      <c r="AD346" s="68"/>
      <c r="AE346" s="67"/>
      <c r="AF346" s="68"/>
      <c r="AG346" s="86"/>
      <c r="AH346" s="68"/>
      <c r="AI346" s="86"/>
      <c r="AJ346" s="43"/>
    </row>
    <row r="347" spans="1:36" s="34" customFormat="1" ht="15">
      <c r="A347" s="39"/>
      <c r="B347" s="63" t="s">
        <v>47</v>
      </c>
      <c r="C347" s="63"/>
      <c r="F347" s="32" t="s">
        <v>240</v>
      </c>
      <c r="J347" s="65">
        <f>SUM(J345:J346)</f>
        <v>0</v>
      </c>
      <c r="K347" s="67"/>
      <c r="L347" s="65">
        <f>SUM(L345:L346)</f>
        <v>0</v>
      </c>
      <c r="M347" s="67"/>
      <c r="N347" s="65">
        <f>SUM(N345:N346)</f>
        <v>0</v>
      </c>
      <c r="O347" s="90">
        <f>IF(N$54=0,0,N347/N$54)</f>
        <v>0</v>
      </c>
      <c r="P347" s="65">
        <f>SUM(P345:P346)</f>
        <v>0</v>
      </c>
      <c r="Q347" s="67"/>
      <c r="R347" s="65">
        <f>SUM(R345:R346)</f>
        <v>0</v>
      </c>
      <c r="S347" s="67"/>
      <c r="T347" s="65">
        <f>SUM(T345:T346)</f>
        <v>0</v>
      </c>
      <c r="U347" s="90">
        <f>IF(T$54=0,0,T347/T$54)</f>
        <v>0</v>
      </c>
      <c r="V347" s="65">
        <f>SUM(V345:V346)</f>
        <v>0</v>
      </c>
      <c r="W347" s="67"/>
      <c r="X347" s="65">
        <f>SUM(X345:X346)</f>
        <v>0</v>
      </c>
      <c r="Y347" s="67"/>
      <c r="Z347" s="65">
        <f>SUM(Z345:Z346)</f>
        <v>0</v>
      </c>
      <c r="AA347" s="90">
        <f>IF(Z$54=0,0,Z347/Z$54)</f>
        <v>0</v>
      </c>
      <c r="AB347" s="65">
        <f>SUM(AB345:AB346)</f>
        <v>0</v>
      </c>
      <c r="AC347" s="67"/>
      <c r="AD347" s="65">
        <f>SUM(AD345:AD346)</f>
        <v>0</v>
      </c>
      <c r="AE347" s="67"/>
      <c r="AF347" s="65">
        <f>SUM(AF345:AF346)</f>
        <v>0</v>
      </c>
      <c r="AG347" s="90">
        <f>IF(AF$54=0,0,AF347/AF$54)</f>
        <v>0</v>
      </c>
      <c r="AH347" s="65">
        <f>SUM(AH345:AH346)</f>
        <v>0</v>
      </c>
      <c r="AI347" s="37">
        <f>IF(AH$60=0,0,AH347/AH$60)</f>
        <v>0</v>
      </c>
      <c r="AJ347" s="43"/>
    </row>
    <row r="348" spans="1:36" s="34" customFormat="1" ht="6.75" customHeight="1">
      <c r="A348" s="39"/>
      <c r="B348" s="27" t="s">
        <v>47</v>
      </c>
      <c r="C348" s="27"/>
      <c r="J348" s="67"/>
      <c r="K348" s="67"/>
      <c r="L348" s="67"/>
      <c r="M348" s="67"/>
      <c r="N348" s="67"/>
      <c r="O348" s="86"/>
      <c r="P348" s="67"/>
      <c r="Q348" s="67"/>
      <c r="R348" s="67"/>
      <c r="S348" s="67"/>
      <c r="T348" s="67"/>
      <c r="U348" s="86"/>
      <c r="V348" s="67"/>
      <c r="W348" s="67"/>
      <c r="X348" s="67"/>
      <c r="Y348" s="67"/>
      <c r="Z348" s="67"/>
      <c r="AA348" s="86"/>
      <c r="AB348" s="67"/>
      <c r="AC348" s="67"/>
      <c r="AD348" s="67"/>
      <c r="AE348" s="67"/>
      <c r="AF348" s="67"/>
      <c r="AG348" s="86"/>
      <c r="AH348" s="67"/>
      <c r="AI348" s="86"/>
      <c r="AJ348" s="43"/>
    </row>
    <row r="349" spans="1:36" s="34" customFormat="1" ht="15">
      <c r="A349" s="39"/>
      <c r="B349" s="63" t="s">
        <v>47</v>
      </c>
      <c r="C349" s="63"/>
      <c r="E349" s="70" t="s">
        <v>241</v>
      </c>
      <c r="J349" s="71">
        <f>+J343-J347</f>
        <v>-940102.44</v>
      </c>
      <c r="K349" s="67"/>
      <c r="L349" s="71">
        <f>+L343-L347</f>
        <v>-1071359.99</v>
      </c>
      <c r="M349" s="67"/>
      <c r="N349" s="71">
        <f>+N343-N347</f>
        <v>-978731.45999999985</v>
      </c>
      <c r="O349" s="90">
        <f>IF(N$54=0,0,N349/N$54)</f>
        <v>0</v>
      </c>
      <c r="P349" s="71">
        <f>+P343-P347</f>
        <v>-1442033.6799999995</v>
      </c>
      <c r="Q349" s="67"/>
      <c r="R349" s="71">
        <f>+R343-R347</f>
        <v>-743504.54000000039</v>
      </c>
      <c r="S349" s="67"/>
      <c r="T349" s="71">
        <f>+T343-T347</f>
        <v>-603745.64999999991</v>
      </c>
      <c r="U349" s="90">
        <f>IF(T$54=0,0,T349/T$54)</f>
        <v>0</v>
      </c>
      <c r="V349" s="71">
        <f>+V343-V347</f>
        <v>-843508.52</v>
      </c>
      <c r="W349" s="67"/>
      <c r="X349" s="71">
        <f>+X343-X347</f>
        <v>-1226320.3399999999</v>
      </c>
      <c r="Y349" s="67"/>
      <c r="Z349" s="71">
        <f>+Z343-Z347</f>
        <v>-1010894.9799999997</v>
      </c>
      <c r="AA349" s="90">
        <f>IF(Z$54=0,0,Z349/Z$54)</f>
        <v>0</v>
      </c>
      <c r="AB349" s="71">
        <f>+AB343-AB347</f>
        <v>-1061357.2400000002</v>
      </c>
      <c r="AC349" s="67"/>
      <c r="AD349" s="71">
        <f>+AD343-AD347</f>
        <v>-1113460.6000000001</v>
      </c>
      <c r="AE349" s="67"/>
      <c r="AF349" s="71">
        <f>+AF343-AF347</f>
        <v>-948051.00999999943</v>
      </c>
      <c r="AG349" s="90">
        <f>IF(AF$54=0,0,AF349/AF$54)</f>
        <v>0</v>
      </c>
      <c r="AH349" s="71">
        <f>+AH343-AH347</f>
        <v>-11983070.449999981</v>
      </c>
      <c r="AI349" s="37">
        <f>IF(AH$60=0,0,AH349/AH$60)</f>
        <v>-0.17724307393639288</v>
      </c>
      <c r="AJ349" s="43"/>
    </row>
    <row r="350" spans="1:36" ht="6.75" customHeight="1">
      <c r="A350" s="39"/>
      <c r="B350" s="27" t="s">
        <v>47</v>
      </c>
      <c r="J350" s="30"/>
      <c r="K350" s="30"/>
      <c r="L350" s="30"/>
      <c r="M350" s="30"/>
      <c r="N350" s="30"/>
      <c r="O350" s="86"/>
      <c r="P350" s="30"/>
      <c r="Q350" s="30"/>
      <c r="R350" s="30"/>
      <c r="S350" s="30"/>
      <c r="T350" s="30"/>
      <c r="U350" s="86"/>
      <c r="V350" s="30"/>
      <c r="W350" s="30"/>
      <c r="X350" s="30"/>
      <c r="Y350" s="30"/>
      <c r="Z350" s="30"/>
      <c r="AA350" s="86"/>
      <c r="AB350" s="30"/>
      <c r="AC350" s="30"/>
      <c r="AD350" s="30"/>
      <c r="AE350" s="30"/>
      <c r="AF350" s="30"/>
      <c r="AG350" s="86"/>
      <c r="AH350" s="30"/>
      <c r="AI350" s="86"/>
      <c r="AJ350" s="43"/>
    </row>
    <row r="351" spans="1:36" outlineLevel="1">
      <c r="B351" s="31" t="s">
        <v>242</v>
      </c>
      <c r="D351" s="32"/>
      <c r="E351" s="32"/>
      <c r="F351" s="33"/>
      <c r="G351" s="29"/>
      <c r="H351" s="34"/>
      <c r="I351" s="35"/>
      <c r="J351" s="36"/>
      <c r="K351" s="35"/>
      <c r="L351" s="36"/>
      <c r="M351" s="35"/>
      <c r="N351" s="36"/>
      <c r="O351" s="35"/>
      <c r="P351" s="36"/>
      <c r="Q351" s="35"/>
      <c r="R351" s="36"/>
      <c r="S351" s="35"/>
      <c r="T351" s="36"/>
      <c r="U351" s="35"/>
      <c r="V351" s="36"/>
      <c r="W351" s="35"/>
      <c r="X351" s="36"/>
      <c r="Y351" s="35"/>
      <c r="Z351" s="36"/>
      <c r="AA351" s="35"/>
      <c r="AB351" s="36"/>
      <c r="AC351" s="35"/>
      <c r="AD351" s="36"/>
      <c r="AE351" s="35"/>
      <c r="AF351" s="36"/>
      <c r="AG351" s="35"/>
      <c r="AH351" s="36">
        <f>AF351+AD351+AB351+Z351+X351+V351+T351+R351+P351+N351+L351+J351</f>
        <v>0</v>
      </c>
      <c r="AI351" s="37">
        <f>IF(AH$60=0,0,AH351/AH$60)</f>
        <v>0</v>
      </c>
      <c r="AJ351" s="38"/>
    </row>
    <row r="352" spans="1:36" s="34" customFormat="1" ht="5.0999999999999996" customHeight="1" outlineLevel="1">
      <c r="A352" s="39"/>
      <c r="B352" s="63" t="s">
        <v>47</v>
      </c>
      <c r="C352" s="63"/>
      <c r="D352" s="33"/>
      <c r="E352" s="33"/>
      <c r="F352" s="33"/>
      <c r="G352" s="33"/>
      <c r="J352" s="68"/>
      <c r="K352" s="67"/>
      <c r="L352" s="68"/>
      <c r="M352" s="67"/>
      <c r="N352" s="68"/>
      <c r="O352" s="86"/>
      <c r="P352" s="68"/>
      <c r="Q352" s="67"/>
      <c r="R352" s="68"/>
      <c r="S352" s="67"/>
      <c r="T352" s="68"/>
      <c r="U352" s="86"/>
      <c r="V352" s="68"/>
      <c r="W352" s="67"/>
      <c r="X352" s="68"/>
      <c r="Y352" s="67"/>
      <c r="Z352" s="68"/>
      <c r="AA352" s="86"/>
      <c r="AB352" s="68"/>
      <c r="AC352" s="67"/>
      <c r="AD352" s="68"/>
      <c r="AE352" s="67"/>
      <c r="AF352" s="68"/>
      <c r="AG352" s="86"/>
      <c r="AH352" s="68"/>
      <c r="AI352" s="86"/>
      <c r="AJ352" s="43"/>
    </row>
    <row r="353" spans="1:36" s="34" customFormat="1" ht="15">
      <c r="A353" s="27"/>
      <c r="B353" s="63"/>
      <c r="C353" s="63"/>
      <c r="F353" s="32" t="s">
        <v>243</v>
      </c>
      <c r="J353" s="65">
        <f>SUM(J351:J352)</f>
        <v>0</v>
      </c>
      <c r="K353" s="67"/>
      <c r="L353" s="65">
        <f>SUM(L351:L352)</f>
        <v>0</v>
      </c>
      <c r="M353" s="67"/>
      <c r="N353" s="65">
        <f>SUM(N351:N352)</f>
        <v>0</v>
      </c>
      <c r="O353" s="90">
        <f>IF(N$54=0,0,N353/N$54)</f>
        <v>0</v>
      </c>
      <c r="P353" s="65">
        <f>SUM(P351:P352)</f>
        <v>0</v>
      </c>
      <c r="Q353" s="67"/>
      <c r="R353" s="65">
        <f>SUM(R351:R352)</f>
        <v>0</v>
      </c>
      <c r="S353" s="67"/>
      <c r="T353" s="65">
        <f>SUM(T351:T352)</f>
        <v>0</v>
      </c>
      <c r="U353" s="90">
        <f>IF(T$54=0,0,T353/T$54)</f>
        <v>0</v>
      </c>
      <c r="V353" s="65">
        <f>SUM(V351:V352)</f>
        <v>0</v>
      </c>
      <c r="W353" s="67"/>
      <c r="X353" s="65">
        <f>SUM(X351:X352)</f>
        <v>0</v>
      </c>
      <c r="Y353" s="67"/>
      <c r="Z353" s="65">
        <f>SUM(Z351:Z352)</f>
        <v>0</v>
      </c>
      <c r="AA353" s="90">
        <f>IF(Z$54=0,0,Z353/Z$54)</f>
        <v>0</v>
      </c>
      <c r="AB353" s="65">
        <f>SUM(AB351:AB352)</f>
        <v>0</v>
      </c>
      <c r="AC353" s="67"/>
      <c r="AD353" s="65">
        <f>SUM(AD351:AD352)</f>
        <v>0</v>
      </c>
      <c r="AE353" s="67"/>
      <c r="AF353" s="65">
        <f>SUM(AF351:AF352)</f>
        <v>0</v>
      </c>
      <c r="AG353" s="90">
        <f>IF(AF$54=0,0,AF353/AF$54)</f>
        <v>0</v>
      </c>
      <c r="AH353" s="65">
        <f>SUM(AH351:AH352)</f>
        <v>0</v>
      </c>
      <c r="AI353" s="37">
        <f>IF(AH$60=0,0,AH353/AH$60)</f>
        <v>0</v>
      </c>
      <c r="AJ353" s="43"/>
    </row>
    <row r="354" spans="1:36" s="34" customFormat="1" ht="6.75" customHeight="1">
      <c r="A354" s="27"/>
      <c r="B354" s="63"/>
      <c r="C354" s="63"/>
      <c r="J354" s="67"/>
      <c r="K354" s="67"/>
      <c r="L354" s="67"/>
      <c r="M354" s="67"/>
      <c r="N354" s="67"/>
      <c r="O354" s="86"/>
      <c r="P354" s="67"/>
      <c r="Q354" s="67"/>
      <c r="R354" s="67"/>
      <c r="S354" s="67"/>
      <c r="T354" s="67"/>
      <c r="U354" s="86"/>
      <c r="V354" s="67"/>
      <c r="W354" s="67"/>
      <c r="X354" s="67"/>
      <c r="Y354" s="67"/>
      <c r="Z354" s="67"/>
      <c r="AA354" s="86"/>
      <c r="AB354" s="67"/>
      <c r="AC354" s="67"/>
      <c r="AD354" s="67"/>
      <c r="AE354" s="67"/>
      <c r="AF354" s="67"/>
      <c r="AG354" s="86"/>
      <c r="AH354" s="67"/>
      <c r="AI354" s="86"/>
      <c r="AJ354" s="43"/>
    </row>
    <row r="355" spans="1:36" s="34" customFormat="1" ht="15">
      <c r="A355" s="27"/>
      <c r="B355" s="27"/>
      <c r="C355" s="27"/>
      <c r="E355" s="70" t="s">
        <v>244</v>
      </c>
      <c r="J355" s="71">
        <f>+J349-J353</f>
        <v>-940102.44</v>
      </c>
      <c r="K355" s="67"/>
      <c r="L355" s="71">
        <f>+L349-L353</f>
        <v>-1071359.99</v>
      </c>
      <c r="M355" s="67"/>
      <c r="N355" s="71">
        <f>+N349-N353</f>
        <v>-978731.45999999985</v>
      </c>
      <c r="O355" s="90">
        <f>IF(N$54=0,0,N355/N$54)</f>
        <v>0</v>
      </c>
      <c r="P355" s="71">
        <f>+P349-P353</f>
        <v>-1442033.6799999995</v>
      </c>
      <c r="Q355" s="67"/>
      <c r="R355" s="71">
        <f>+R349-R353</f>
        <v>-743504.54000000039</v>
      </c>
      <c r="S355" s="67"/>
      <c r="T355" s="71">
        <f>+T349-T353</f>
        <v>-603745.64999999991</v>
      </c>
      <c r="U355" s="90">
        <f>IF(T$54=0,0,T355/T$54)</f>
        <v>0</v>
      </c>
      <c r="V355" s="71">
        <f>+V349-V353</f>
        <v>-843508.52</v>
      </c>
      <c r="W355" s="67"/>
      <c r="X355" s="71">
        <f>+X349-X353</f>
        <v>-1226320.3399999999</v>
      </c>
      <c r="Y355" s="67"/>
      <c r="Z355" s="71">
        <f>+Z349-Z353</f>
        <v>-1010894.9799999997</v>
      </c>
      <c r="AA355" s="90">
        <f>IF(Z$54=0,0,Z355/Z$54)</f>
        <v>0</v>
      </c>
      <c r="AB355" s="71">
        <f>+AB349-AB353</f>
        <v>-1061357.2400000002</v>
      </c>
      <c r="AC355" s="67"/>
      <c r="AD355" s="71">
        <f>+AD349-AD353</f>
        <v>-1113460.6000000001</v>
      </c>
      <c r="AE355" s="67"/>
      <c r="AF355" s="71">
        <f>+AF349-AF353</f>
        <v>-948051.00999999943</v>
      </c>
      <c r="AG355" s="90">
        <f>IF(AF$54=0,0,AF355/AF$54)</f>
        <v>0</v>
      </c>
      <c r="AH355" s="71">
        <f>+AH349-AH353</f>
        <v>-11983070.449999981</v>
      </c>
      <c r="AI355" s="37">
        <f>IF(AH$60=0,0,AH355/AH$60)</f>
        <v>-0.17724307393639288</v>
      </c>
      <c r="AJ355" s="43"/>
    </row>
    <row r="356" spans="1:36" s="34" customFormat="1" ht="6.75" customHeight="1">
      <c r="A356" s="27"/>
      <c r="B356" s="63"/>
      <c r="C356" s="63"/>
      <c r="J356" s="67"/>
      <c r="K356" s="67"/>
      <c r="L356" s="67"/>
      <c r="M356" s="67"/>
      <c r="N356" s="67"/>
      <c r="O356" s="86"/>
      <c r="P356" s="67"/>
      <c r="Q356" s="67"/>
      <c r="R356" s="67"/>
      <c r="S356" s="67"/>
      <c r="T356" s="67"/>
      <c r="U356" s="86"/>
      <c r="V356" s="67"/>
      <c r="W356" s="67"/>
      <c r="X356" s="67"/>
      <c r="Y356" s="67"/>
      <c r="Z356" s="67"/>
      <c r="AA356" s="86"/>
      <c r="AB356" s="67"/>
      <c r="AC356" s="67"/>
      <c r="AD356" s="67"/>
      <c r="AE356" s="67"/>
      <c r="AF356" s="67"/>
      <c r="AG356" s="86"/>
      <c r="AH356" s="67"/>
      <c r="AI356" s="86"/>
      <c r="AJ356" s="43"/>
    </row>
    <row r="357" spans="1:36" outlineLevel="1">
      <c r="B357" s="31" t="s">
        <v>245</v>
      </c>
      <c r="D357" s="32"/>
      <c r="E357" s="32"/>
      <c r="F357" s="33"/>
      <c r="G357" s="29"/>
      <c r="H357" s="34"/>
      <c r="I357" s="35"/>
      <c r="J357" s="36"/>
      <c r="K357" s="35"/>
      <c r="L357" s="36"/>
      <c r="M357" s="35"/>
      <c r="N357" s="36"/>
      <c r="O357" s="35"/>
      <c r="P357" s="36"/>
      <c r="Q357" s="35"/>
      <c r="R357" s="36"/>
      <c r="S357" s="35"/>
      <c r="T357" s="36"/>
      <c r="U357" s="35"/>
      <c r="V357" s="36"/>
      <c r="W357" s="35"/>
      <c r="X357" s="36"/>
      <c r="Y357" s="35"/>
      <c r="Z357" s="36"/>
      <c r="AA357" s="35"/>
      <c r="AB357" s="36"/>
      <c r="AC357" s="35"/>
      <c r="AD357" s="36"/>
      <c r="AE357" s="35"/>
      <c r="AF357" s="36"/>
      <c r="AG357" s="35"/>
      <c r="AH357" s="36">
        <f>AF357+AD357+AB357+Z357+X357+V357+T357+R357+P357+N357+L357+J357</f>
        <v>0</v>
      </c>
      <c r="AI357" s="37">
        <f>IF(AH$60=0,0,AH357/AH$60)</f>
        <v>0</v>
      </c>
      <c r="AJ357" s="38"/>
    </row>
    <row r="358" spans="1:36" s="34" customFormat="1" ht="5.0999999999999996" customHeight="1" outlineLevel="1">
      <c r="A358" s="39"/>
      <c r="B358" s="63" t="s">
        <v>47</v>
      </c>
      <c r="C358" s="63"/>
      <c r="D358" s="33"/>
      <c r="E358" s="33"/>
      <c r="F358" s="33"/>
      <c r="G358" s="33"/>
      <c r="J358" s="68"/>
      <c r="K358" s="67"/>
      <c r="L358" s="68"/>
      <c r="M358" s="67"/>
      <c r="N358" s="68"/>
      <c r="O358" s="86"/>
      <c r="P358" s="68"/>
      <c r="Q358" s="67"/>
      <c r="R358" s="68"/>
      <c r="S358" s="67"/>
      <c r="T358" s="68"/>
      <c r="U358" s="86"/>
      <c r="V358" s="68"/>
      <c r="W358" s="67"/>
      <c r="X358" s="68"/>
      <c r="Y358" s="67"/>
      <c r="Z358" s="68"/>
      <c r="AA358" s="86"/>
      <c r="AB358" s="68"/>
      <c r="AC358" s="67"/>
      <c r="AD358" s="68"/>
      <c r="AE358" s="67"/>
      <c r="AF358" s="68"/>
      <c r="AG358" s="86"/>
      <c r="AH358" s="68"/>
      <c r="AI358" s="86"/>
      <c r="AJ358" s="43"/>
    </row>
    <row r="359" spans="1:36" s="34" customFormat="1" ht="15">
      <c r="A359" s="39"/>
      <c r="B359" s="63" t="s">
        <v>47</v>
      </c>
      <c r="C359" s="63"/>
      <c r="F359" s="32" t="s">
        <v>246</v>
      </c>
      <c r="J359" s="65">
        <f>SUM(J357:J358)</f>
        <v>0</v>
      </c>
      <c r="K359" s="67"/>
      <c r="L359" s="65">
        <f>SUM(L357:L358)</f>
        <v>0</v>
      </c>
      <c r="M359" s="67"/>
      <c r="N359" s="65">
        <f>SUM(N357:N358)</f>
        <v>0</v>
      </c>
      <c r="O359" s="90">
        <f>IF(N$54=0,0,N359/N$54)</f>
        <v>0</v>
      </c>
      <c r="P359" s="65">
        <f>SUM(P357:P358)</f>
        <v>0</v>
      </c>
      <c r="Q359" s="67"/>
      <c r="R359" s="65">
        <f>SUM(R357:R358)</f>
        <v>0</v>
      </c>
      <c r="S359" s="67"/>
      <c r="T359" s="65">
        <f>SUM(T357:T358)</f>
        <v>0</v>
      </c>
      <c r="U359" s="90">
        <f>IF(T$54=0,0,T359/T$54)</f>
        <v>0</v>
      </c>
      <c r="V359" s="65">
        <f>SUM(V357:V358)</f>
        <v>0</v>
      </c>
      <c r="W359" s="67"/>
      <c r="X359" s="65">
        <f>SUM(X357:X358)</f>
        <v>0</v>
      </c>
      <c r="Y359" s="67"/>
      <c r="Z359" s="65">
        <f>SUM(Z357:Z358)</f>
        <v>0</v>
      </c>
      <c r="AA359" s="90">
        <f>IF(Z$54=0,0,Z359/Z$54)</f>
        <v>0</v>
      </c>
      <c r="AB359" s="65">
        <f>SUM(AB357:AB358)</f>
        <v>0</v>
      </c>
      <c r="AC359" s="67"/>
      <c r="AD359" s="65">
        <f>SUM(AD357:AD358)</f>
        <v>0</v>
      </c>
      <c r="AE359" s="67"/>
      <c r="AF359" s="65">
        <f>SUM(AF357:AF358)</f>
        <v>0</v>
      </c>
      <c r="AG359" s="90">
        <f>IF(AF$54=0,0,AF359/AF$54)</f>
        <v>0</v>
      </c>
      <c r="AH359" s="65">
        <f>SUM(AH357:AH358)</f>
        <v>0</v>
      </c>
      <c r="AI359" s="37">
        <f>IF(AH$60=0,0,AH359/AH$60)</f>
        <v>0</v>
      </c>
      <c r="AJ359" s="43"/>
    </row>
    <row r="360" spans="1:36" s="34" customFormat="1" ht="6.75" customHeight="1">
      <c r="A360" s="27"/>
      <c r="B360" s="63"/>
      <c r="C360" s="63"/>
      <c r="J360" s="67"/>
      <c r="K360" s="67"/>
      <c r="L360" s="67"/>
      <c r="M360" s="67"/>
      <c r="N360" s="67"/>
      <c r="O360" s="86"/>
      <c r="P360" s="67"/>
      <c r="Q360" s="67"/>
      <c r="R360" s="67"/>
      <c r="S360" s="67"/>
      <c r="T360" s="67"/>
      <c r="U360" s="86"/>
      <c r="V360" s="67"/>
      <c r="W360" s="67"/>
      <c r="X360" s="67"/>
      <c r="Y360" s="67"/>
      <c r="Z360" s="67"/>
      <c r="AA360" s="86"/>
      <c r="AB360" s="67"/>
      <c r="AC360" s="67"/>
      <c r="AD360" s="67"/>
      <c r="AE360" s="67"/>
      <c r="AF360" s="67"/>
      <c r="AG360" s="86"/>
      <c r="AH360" s="67"/>
      <c r="AI360" s="86"/>
      <c r="AJ360" s="43"/>
    </row>
    <row r="361" spans="1:36" s="34" customFormat="1" ht="15.75" thickBot="1">
      <c r="A361" s="27"/>
      <c r="B361" s="27"/>
      <c r="C361" s="27"/>
      <c r="E361" s="70" t="s">
        <v>247</v>
      </c>
      <c r="J361" s="91">
        <f>+J355-J359</f>
        <v>-940102.44</v>
      </c>
      <c r="K361" s="67"/>
      <c r="L361" s="91">
        <f>+L355-L359</f>
        <v>-1071359.99</v>
      </c>
      <c r="M361" s="67"/>
      <c r="N361" s="91">
        <f>+N355-N359</f>
        <v>-978731.45999999985</v>
      </c>
      <c r="O361" s="90">
        <f>IF(N$54=0,0,N361/N$54)</f>
        <v>0</v>
      </c>
      <c r="P361" s="91">
        <f>+P355-P359</f>
        <v>-1442033.6799999995</v>
      </c>
      <c r="Q361" s="67"/>
      <c r="R361" s="91">
        <f>+R355-R359</f>
        <v>-743504.54000000039</v>
      </c>
      <c r="S361" s="67"/>
      <c r="T361" s="91">
        <f>+T355-T359</f>
        <v>-603745.64999999991</v>
      </c>
      <c r="U361" s="90">
        <f>IF(T$54=0,0,T361/T$54)</f>
        <v>0</v>
      </c>
      <c r="V361" s="91">
        <f>+V355-V359</f>
        <v>-843508.52</v>
      </c>
      <c r="W361" s="67"/>
      <c r="X361" s="91">
        <f>+X355-X359</f>
        <v>-1226320.3399999999</v>
      </c>
      <c r="Y361" s="67"/>
      <c r="Z361" s="91">
        <f>+Z355-Z359</f>
        <v>-1010894.9799999997</v>
      </c>
      <c r="AA361" s="90">
        <f>IF(Z$54=0,0,Z361/Z$54)</f>
        <v>0</v>
      </c>
      <c r="AB361" s="91">
        <f>+AB355-AB359</f>
        <v>-1061357.2400000002</v>
      </c>
      <c r="AC361" s="67"/>
      <c r="AD361" s="91">
        <f>+AD355-AD359</f>
        <v>-1113460.6000000001</v>
      </c>
      <c r="AE361" s="67"/>
      <c r="AF361" s="91">
        <f>+AF355-AF359</f>
        <v>-948051.00999999943</v>
      </c>
      <c r="AG361" s="90">
        <f>IF(AF$54=0,0,AF361/AF$54)</f>
        <v>0</v>
      </c>
      <c r="AH361" s="91">
        <f>+AH355-AH359</f>
        <v>-11983070.449999981</v>
      </c>
      <c r="AI361" s="37">
        <f>IF(AH$60=0,0,AH361/AH$60)</f>
        <v>-0.17724307393639288</v>
      </c>
      <c r="AJ361" s="43"/>
    </row>
    <row r="362" spans="1:36" s="92" customFormat="1" ht="15.75" thickTop="1">
      <c r="A362" s="39"/>
      <c r="B362" s="63"/>
      <c r="C362" s="63"/>
      <c r="D362" s="34"/>
      <c r="E362" s="34"/>
      <c r="F362" s="32"/>
      <c r="G362" s="34"/>
      <c r="H362" s="27"/>
      <c r="I362" s="27"/>
      <c r="K362" s="27"/>
      <c r="M362" s="43"/>
      <c r="O362" s="43"/>
      <c r="Q362" s="27"/>
      <c r="S362" s="43"/>
      <c r="U362" s="43"/>
      <c r="W362" s="27"/>
      <c r="Y362" s="43"/>
      <c r="AA362" s="43"/>
      <c r="AC362" s="27"/>
      <c r="AE362" s="43"/>
      <c r="AG362" s="43"/>
      <c r="AJ362" s="27"/>
    </row>
    <row r="363" spans="1:36" customFormat="1" ht="15" outlineLevel="1">
      <c r="B363" t="s">
        <v>248</v>
      </c>
    </row>
    <row r="364" spans="1:36" ht="6" customHeight="1" outlineLevel="1">
      <c r="A364" s="39"/>
      <c r="J364" s="68"/>
      <c r="K364" s="67"/>
      <c r="L364" s="68"/>
      <c r="M364" s="67"/>
      <c r="N364" s="68"/>
      <c r="O364" s="86"/>
      <c r="P364" s="68"/>
      <c r="Q364" s="67"/>
      <c r="R364" s="68"/>
      <c r="S364" s="67"/>
      <c r="T364" s="68"/>
      <c r="U364" s="86"/>
      <c r="V364" s="68"/>
      <c r="W364" s="67"/>
      <c r="X364" s="68"/>
      <c r="Y364" s="67"/>
      <c r="Z364" s="68"/>
      <c r="AA364" s="86"/>
      <c r="AB364" s="68"/>
      <c r="AC364" s="67"/>
      <c r="AD364" s="68"/>
      <c r="AE364" s="67"/>
      <c r="AF364" s="68"/>
      <c r="AG364" s="86"/>
      <c r="AH364" s="68"/>
    </row>
    <row r="365" spans="1:36" s="30" customFormat="1">
      <c r="A365" s="93"/>
      <c r="E365" s="30" t="s">
        <v>249</v>
      </c>
      <c r="J365" s="94">
        <f>SUM(J363:J364)</f>
        <v>0</v>
      </c>
      <c r="K365" s="95"/>
      <c r="L365" s="94">
        <f>SUM(L363:L364)</f>
        <v>0</v>
      </c>
      <c r="M365" s="95"/>
      <c r="N365" s="94">
        <f>SUM(N363:N364)</f>
        <v>0</v>
      </c>
      <c r="O365" s="96"/>
      <c r="P365" s="94">
        <f>SUM(P363:P364)</f>
        <v>0</v>
      </c>
      <c r="Q365" s="95"/>
      <c r="R365" s="94">
        <f>SUM(R363:R364)</f>
        <v>0</v>
      </c>
      <c r="S365" s="95"/>
      <c r="T365" s="94">
        <f>SUM(T363:T364)</f>
        <v>0</v>
      </c>
      <c r="U365" s="96"/>
      <c r="V365" s="94">
        <f>SUM(V363:V364)</f>
        <v>0</v>
      </c>
      <c r="W365" s="95"/>
      <c r="X365" s="94">
        <f>SUM(X363:X364)</f>
        <v>0</v>
      </c>
      <c r="Y365" s="95"/>
      <c r="Z365" s="94">
        <f>SUM(Z363:Z364)</f>
        <v>0</v>
      </c>
      <c r="AA365" s="96"/>
      <c r="AB365" s="94">
        <f>SUM(AB363:AB364)</f>
        <v>0</v>
      </c>
      <c r="AC365" s="95"/>
      <c r="AD365" s="94">
        <f>SUM(AD363:AD364)</f>
        <v>0</v>
      </c>
      <c r="AE365" s="95"/>
      <c r="AF365" s="94">
        <f>SUM(AF363:AF364)</f>
        <v>0</v>
      </c>
      <c r="AG365" s="96"/>
      <c r="AH365" s="94">
        <f>SUM(AH363:AH364)</f>
        <v>0</v>
      </c>
    </row>
    <row r="366" spans="1:36">
      <c r="A366" s="39"/>
      <c r="J366" s="63"/>
      <c r="K366" s="63"/>
      <c r="L366" s="63"/>
      <c r="M366" s="63"/>
      <c r="N366" s="63"/>
      <c r="O366" s="63"/>
      <c r="P366" s="63"/>
      <c r="Q366" s="63"/>
      <c r="R366" s="63"/>
      <c r="S366" s="63"/>
      <c r="T366" s="63"/>
      <c r="U366" s="63"/>
      <c r="V366" s="63"/>
      <c r="W366" s="63"/>
      <c r="X366" s="63"/>
      <c r="Y366" s="63"/>
      <c r="Z366" s="63"/>
      <c r="AA366" s="63"/>
      <c r="AB366" s="63"/>
      <c r="AC366" s="63"/>
      <c r="AD366" s="63"/>
      <c r="AE366" s="63"/>
      <c r="AF366" s="63"/>
      <c r="AG366" s="63"/>
      <c r="AH366" s="63"/>
      <c r="AI366" s="63"/>
      <c r="AJ366" s="63"/>
    </row>
    <row r="367" spans="1:36" ht="15">
      <c r="A367" s="39"/>
      <c r="B367" s="63"/>
      <c r="C367" s="63"/>
      <c r="D367" s="33"/>
      <c r="E367" s="33"/>
      <c r="F367" s="33"/>
      <c r="G367" s="33"/>
      <c r="M367" s="43"/>
      <c r="O367" s="43"/>
      <c r="S367" s="43"/>
      <c r="U367" s="43"/>
      <c r="Y367" s="43"/>
      <c r="AA367" s="43"/>
      <c r="AE367" s="43"/>
      <c r="AG367" s="43"/>
    </row>
    <row r="368" spans="1:36" ht="15.75">
      <c r="A368" s="39"/>
      <c r="B368" s="63"/>
      <c r="C368" s="63"/>
      <c r="D368" s="34"/>
      <c r="E368" s="34"/>
      <c r="F368" s="33"/>
      <c r="G368" s="34"/>
      <c r="M368" s="43"/>
      <c r="O368" s="43"/>
      <c r="S368" s="43"/>
      <c r="U368" s="43"/>
      <c r="Y368" s="43"/>
      <c r="AA368" s="43"/>
      <c r="AE368" s="43"/>
      <c r="AF368" s="97" t="s">
        <v>250</v>
      </c>
      <c r="AG368" s="98"/>
      <c r="AH368" s="99">
        <f>SUM(J361:AF361)-AH361</f>
        <v>-1.862645149230957E-8</v>
      </c>
    </row>
    <row r="369" spans="1:36" s="92" customFormat="1" ht="15">
      <c r="A369" s="39"/>
      <c r="B369" s="63"/>
      <c r="C369" s="63"/>
      <c r="D369" s="34"/>
      <c r="E369" s="34"/>
      <c r="F369" s="34"/>
      <c r="G369" s="34"/>
      <c r="H369" s="27"/>
      <c r="I369" s="27"/>
      <c r="K369" s="27"/>
      <c r="M369" s="43"/>
      <c r="O369" s="43"/>
      <c r="Q369" s="27"/>
      <c r="S369" s="43"/>
      <c r="U369" s="43"/>
      <c r="W369" s="27"/>
      <c r="Y369" s="43"/>
      <c r="AA369" s="43"/>
      <c r="AC369" s="27"/>
      <c r="AE369" s="43"/>
      <c r="AG369" s="43"/>
      <c r="AI369" s="27"/>
      <c r="AJ369" s="27"/>
    </row>
    <row r="370" spans="1:36" s="92" customFormat="1" ht="15">
      <c r="A370" s="39"/>
      <c r="B370" s="39"/>
      <c r="C370" s="39"/>
      <c r="D370" s="39"/>
      <c r="E370" s="39"/>
      <c r="F370" s="39"/>
      <c r="G370" s="39"/>
      <c r="H370" s="27"/>
      <c r="I370" s="27"/>
      <c r="K370" s="27"/>
      <c r="M370" s="43"/>
      <c r="O370" s="43"/>
      <c r="Q370" s="27"/>
      <c r="S370" s="43"/>
      <c r="U370" s="43"/>
      <c r="V370" s="92">
        <f>V60-V361</f>
        <v>6423027.6300000008</v>
      </c>
      <c r="W370" s="92">
        <f>W60-W361</f>
        <v>0</v>
      </c>
      <c r="X370" s="92">
        <f>X60-X361</f>
        <v>7073884.6299999999</v>
      </c>
      <c r="Y370" s="43"/>
      <c r="Z370" s="92">
        <f>Z60-Z361</f>
        <v>6926477.96</v>
      </c>
      <c r="AA370" s="43"/>
      <c r="AB370" s="92">
        <f>AB60-AB361</f>
        <v>6921217.71</v>
      </c>
      <c r="AC370" s="27"/>
      <c r="AD370" s="92">
        <f>AD60-AD361</f>
        <v>7008554.2100000009</v>
      </c>
      <c r="AE370" s="43"/>
      <c r="AF370" s="92">
        <f>AF60-AF361</f>
        <v>6728651.9400000004</v>
      </c>
      <c r="AG370" s="43"/>
      <c r="AH370" s="92">
        <f>AH60-AH361</f>
        <v>79591187.280000001</v>
      </c>
      <c r="AJ370" s="27"/>
    </row>
    <row r="371" spans="1:36" s="92" customFormat="1" ht="15">
      <c r="A371" s="39"/>
      <c r="B371" s="63"/>
      <c r="C371" s="63"/>
      <c r="D371" s="33"/>
      <c r="E371" s="33"/>
      <c r="F371" s="33"/>
      <c r="G371" s="33"/>
      <c r="H371" s="27"/>
      <c r="I371" s="27"/>
      <c r="K371" s="27"/>
      <c r="M371" s="43"/>
      <c r="O371" s="43"/>
      <c r="Q371" s="27"/>
      <c r="S371" s="43"/>
      <c r="U371" s="43"/>
      <c r="V371" s="100">
        <f>V370/V60</f>
        <v>1.1511794302287102</v>
      </c>
      <c r="W371" s="100" t="e">
        <f>W370/W60</f>
        <v>#DIV/0!</v>
      </c>
      <c r="X371" s="100">
        <f>X370/X60</f>
        <v>1.2097147255135181</v>
      </c>
      <c r="Y371" s="43"/>
      <c r="Z371" s="100">
        <f>Z370/Z60</f>
        <v>1.1708867889128993</v>
      </c>
      <c r="AA371" s="43"/>
      <c r="AB371" s="100">
        <f>AB370/AB60</f>
        <v>1.1811232955859101</v>
      </c>
      <c r="AC371" s="27"/>
      <c r="AD371" s="100">
        <f>AD370/AD60</f>
        <v>1.1888792059402091</v>
      </c>
      <c r="AE371" s="43"/>
      <c r="AF371" s="100">
        <f>AF370/AF60</f>
        <v>1.164005614897204</v>
      </c>
      <c r="AG371" s="43"/>
      <c r="AH371" s="100">
        <f>AH370/AH60</f>
        <v>1.177243073936393</v>
      </c>
      <c r="AJ371" s="27"/>
    </row>
    <row r="372" spans="1:36" s="92" customFormat="1" ht="15">
      <c r="A372" s="39"/>
      <c r="B372" s="63"/>
      <c r="C372" s="63"/>
      <c r="D372" s="34"/>
      <c r="E372" s="34"/>
      <c r="F372" s="32"/>
      <c r="G372" s="34"/>
      <c r="H372" s="27"/>
      <c r="I372" s="27"/>
      <c r="K372" s="27"/>
      <c r="M372" s="43"/>
      <c r="O372" s="43"/>
      <c r="Q372" s="27"/>
      <c r="S372" s="43"/>
      <c r="U372" s="43"/>
      <c r="W372" s="27"/>
      <c r="Y372" s="43"/>
      <c r="AA372" s="43"/>
      <c r="AC372" s="27"/>
      <c r="AE372" s="43"/>
      <c r="AG372" s="43"/>
      <c r="AJ372" s="27"/>
    </row>
    <row r="373" spans="1:36" s="92" customFormat="1" ht="15">
      <c r="A373" s="39"/>
      <c r="B373" s="63"/>
      <c r="C373" s="63"/>
      <c r="D373" s="34"/>
      <c r="E373" s="34"/>
      <c r="F373" s="34"/>
      <c r="G373" s="34"/>
      <c r="H373" s="27"/>
      <c r="I373" s="27"/>
      <c r="K373" s="27"/>
      <c r="M373" s="43"/>
      <c r="O373" s="43"/>
      <c r="Q373" s="27"/>
      <c r="S373" s="43"/>
      <c r="U373" s="43"/>
      <c r="W373" s="27"/>
      <c r="Y373" s="43"/>
      <c r="AA373" s="43"/>
      <c r="AC373" s="27"/>
      <c r="AE373" s="43"/>
      <c r="AG373" s="43"/>
      <c r="AJ373" s="27"/>
    </row>
    <row r="374" spans="1:36" s="92" customFormat="1" ht="15">
      <c r="A374" s="39"/>
      <c r="B374" s="39"/>
      <c r="C374" s="39"/>
      <c r="D374" s="39"/>
      <c r="E374" s="39"/>
      <c r="F374" s="39"/>
      <c r="G374" s="39"/>
      <c r="H374" s="27"/>
      <c r="I374" s="27"/>
      <c r="K374" s="27"/>
      <c r="M374" s="43"/>
      <c r="O374" s="43"/>
      <c r="Q374" s="27"/>
      <c r="S374" s="43"/>
      <c r="U374" s="43"/>
      <c r="W374" s="27"/>
      <c r="Y374" s="43"/>
      <c r="AA374" s="43"/>
      <c r="AC374" s="27"/>
      <c r="AE374" s="43"/>
      <c r="AG374" s="43"/>
      <c r="AJ374" s="27"/>
    </row>
    <row r="375" spans="1:36" s="92" customFormat="1" ht="15">
      <c r="A375" s="39"/>
      <c r="B375" s="63"/>
      <c r="C375" s="63"/>
      <c r="D375" s="33"/>
      <c r="E375" s="33"/>
      <c r="F375" s="33"/>
      <c r="G375" s="33"/>
      <c r="H375" s="27"/>
      <c r="I375" s="27"/>
      <c r="K375" s="27"/>
      <c r="M375" s="43"/>
      <c r="O375" s="43"/>
      <c r="Q375" s="27"/>
      <c r="S375" s="43"/>
      <c r="U375" s="43"/>
      <c r="W375" s="27"/>
      <c r="Y375" s="43"/>
      <c r="AA375" s="43"/>
      <c r="AC375" s="27"/>
      <c r="AE375" s="43"/>
      <c r="AG375" s="43"/>
      <c r="AJ375" s="27"/>
    </row>
    <row r="376" spans="1:36" s="92" customFormat="1" ht="15">
      <c r="A376" s="39"/>
      <c r="B376" s="63"/>
      <c r="C376" s="63"/>
      <c r="D376" s="34"/>
      <c r="E376" s="34"/>
      <c r="F376" s="33"/>
      <c r="G376" s="34"/>
      <c r="H376" s="27"/>
      <c r="I376" s="27"/>
      <c r="K376" s="27"/>
      <c r="M376" s="43"/>
      <c r="O376" s="43"/>
      <c r="Q376" s="27"/>
      <c r="S376" s="43"/>
      <c r="U376" s="43"/>
      <c r="W376" s="27"/>
      <c r="Y376" s="43"/>
      <c r="AA376" s="43"/>
      <c r="AC376" s="27"/>
      <c r="AE376" s="43"/>
      <c r="AG376" s="43"/>
      <c r="AJ376" s="27"/>
    </row>
    <row r="377" spans="1:36" s="92" customFormat="1" ht="15">
      <c r="A377" s="39"/>
      <c r="B377" s="27"/>
      <c r="C377" s="27"/>
      <c r="D377" s="34"/>
      <c r="E377" s="34"/>
      <c r="F377" s="34"/>
      <c r="G377" s="34"/>
      <c r="H377" s="27"/>
      <c r="I377" s="27"/>
      <c r="K377" s="27"/>
      <c r="M377" s="43"/>
      <c r="O377" s="43"/>
      <c r="Q377" s="27"/>
      <c r="S377" s="43"/>
      <c r="U377" s="43"/>
      <c r="W377" s="27"/>
      <c r="Y377" s="43"/>
      <c r="AA377" s="43"/>
      <c r="AC377" s="27"/>
      <c r="AE377" s="43"/>
      <c r="AG377" s="43"/>
      <c r="AJ377" s="27"/>
    </row>
    <row r="378" spans="1:36" s="92" customFormat="1" ht="15">
      <c r="A378" s="39"/>
      <c r="B378" s="27"/>
      <c r="C378" s="27"/>
      <c r="D378" s="34"/>
      <c r="E378" s="70"/>
      <c r="F378" s="34"/>
      <c r="G378" s="34"/>
      <c r="H378" s="27"/>
      <c r="I378" s="27"/>
      <c r="K378" s="27"/>
      <c r="M378" s="43"/>
      <c r="O378" s="43"/>
      <c r="Q378" s="27"/>
      <c r="S378" s="43"/>
      <c r="U378" s="43"/>
      <c r="W378" s="27"/>
      <c r="Y378" s="43"/>
      <c r="AA378" s="43"/>
      <c r="AC378" s="27"/>
      <c r="AE378" s="43"/>
      <c r="AG378" s="43"/>
      <c r="AJ378" s="27"/>
    </row>
    <row r="379" spans="1:36" s="92" customFormat="1" ht="15">
      <c r="A379" s="39"/>
      <c r="B379" s="27"/>
      <c r="C379" s="27"/>
      <c r="D379" s="34"/>
      <c r="E379" s="34"/>
      <c r="F379" s="34"/>
      <c r="G379" s="34"/>
      <c r="H379" s="27"/>
      <c r="I379" s="27"/>
      <c r="K379" s="27"/>
      <c r="M379" s="43"/>
      <c r="O379" s="43"/>
      <c r="Q379" s="27"/>
      <c r="S379" s="43"/>
      <c r="U379" s="43"/>
      <c r="W379" s="27"/>
      <c r="Y379" s="43"/>
      <c r="AA379" s="43"/>
      <c r="AC379" s="27"/>
      <c r="AE379" s="43"/>
      <c r="AG379" s="43"/>
      <c r="AJ379" s="27"/>
    </row>
    <row r="380" spans="1:36" s="92" customFormat="1" ht="15">
      <c r="A380" s="39"/>
      <c r="B380" s="39"/>
      <c r="C380" s="39"/>
      <c r="D380" s="39"/>
      <c r="E380" s="39"/>
      <c r="F380" s="39"/>
      <c r="G380" s="39"/>
      <c r="H380" s="27"/>
      <c r="I380" s="27"/>
      <c r="K380" s="27"/>
      <c r="M380" s="43"/>
      <c r="O380" s="43"/>
      <c r="Q380" s="27"/>
      <c r="S380" s="43"/>
      <c r="U380" s="43"/>
      <c r="W380" s="27"/>
      <c r="Y380" s="43"/>
      <c r="AA380" s="43"/>
      <c r="AC380" s="27"/>
      <c r="AE380" s="43"/>
      <c r="AG380" s="43"/>
      <c r="AJ380" s="27"/>
    </row>
    <row r="381" spans="1:36" s="92" customFormat="1" ht="15">
      <c r="A381" s="39"/>
      <c r="B381" s="63"/>
      <c r="C381" s="63"/>
      <c r="D381" s="33"/>
      <c r="E381" s="33"/>
      <c r="F381" s="33"/>
      <c r="G381" s="33"/>
      <c r="H381" s="27"/>
      <c r="I381" s="27"/>
      <c r="K381" s="27"/>
      <c r="M381" s="43"/>
      <c r="O381" s="43"/>
      <c r="Q381" s="27"/>
      <c r="S381" s="43"/>
      <c r="U381" s="43"/>
      <c r="W381" s="27"/>
      <c r="Y381" s="43"/>
      <c r="AA381" s="43"/>
      <c r="AC381" s="27"/>
      <c r="AE381" s="43"/>
      <c r="AG381" s="43"/>
      <c r="AJ381" s="27"/>
    </row>
    <row r="382" spans="1:36" s="92" customFormat="1" ht="15">
      <c r="A382" s="39"/>
      <c r="B382" s="63"/>
      <c r="C382" s="63"/>
      <c r="D382" s="34"/>
      <c r="E382" s="34"/>
      <c r="F382" s="32"/>
      <c r="G382" s="34"/>
      <c r="H382" s="27"/>
      <c r="I382" s="27"/>
      <c r="K382" s="27"/>
      <c r="M382" s="43"/>
      <c r="O382" s="43"/>
      <c r="Q382" s="27"/>
      <c r="S382" s="43"/>
      <c r="U382" s="43"/>
      <c r="W382" s="27"/>
      <c r="Y382" s="43"/>
      <c r="AA382" s="43"/>
      <c r="AC382" s="27"/>
      <c r="AE382" s="43"/>
      <c r="AG382" s="43"/>
      <c r="AJ382" s="27"/>
    </row>
    <row r="383" spans="1:36" s="92" customFormat="1" ht="15">
      <c r="A383" s="39"/>
      <c r="B383" s="27"/>
      <c r="C383" s="27"/>
      <c r="D383" s="34"/>
      <c r="E383" s="34"/>
      <c r="F383" s="34"/>
      <c r="G383" s="34"/>
      <c r="H383" s="27"/>
      <c r="I383" s="27"/>
      <c r="K383" s="27"/>
      <c r="M383" s="43"/>
      <c r="O383" s="43"/>
      <c r="Q383" s="27"/>
      <c r="S383" s="43"/>
      <c r="U383" s="43"/>
      <c r="W383" s="27"/>
      <c r="Y383" s="43"/>
      <c r="AA383" s="43"/>
      <c r="AC383" s="27"/>
      <c r="AE383" s="43"/>
      <c r="AG383" s="43"/>
      <c r="AJ383" s="27"/>
    </row>
    <row r="384" spans="1:36" s="92" customFormat="1" ht="15">
      <c r="A384" s="39"/>
      <c r="B384" s="63"/>
      <c r="C384" s="63"/>
      <c r="D384" s="34"/>
      <c r="E384" s="70"/>
      <c r="F384" s="34"/>
      <c r="G384" s="34"/>
      <c r="H384" s="27"/>
      <c r="I384" s="27"/>
      <c r="K384" s="27"/>
      <c r="M384" s="43"/>
      <c r="O384" s="43"/>
      <c r="Q384" s="27"/>
      <c r="S384" s="43"/>
      <c r="U384" s="43"/>
      <c r="W384" s="27"/>
      <c r="Y384" s="43"/>
      <c r="AA384" s="43"/>
      <c r="AC384" s="27"/>
      <c r="AE384" s="43"/>
      <c r="AG384" s="43"/>
      <c r="AJ384" s="27"/>
    </row>
    <row r="385" spans="1:36" s="92" customFormat="1" ht="15">
      <c r="A385" s="39"/>
      <c r="B385" s="27"/>
      <c r="C385" s="27"/>
      <c r="D385" s="27"/>
      <c r="E385" s="27"/>
      <c r="F385" s="27"/>
      <c r="G385" s="27"/>
      <c r="H385" s="27"/>
      <c r="I385" s="27"/>
      <c r="K385" s="27"/>
      <c r="M385" s="43"/>
      <c r="O385" s="43"/>
      <c r="Q385" s="27"/>
      <c r="S385" s="43"/>
      <c r="U385" s="43"/>
      <c r="W385" s="27"/>
      <c r="Y385" s="43"/>
      <c r="AA385" s="43"/>
      <c r="AC385" s="27"/>
      <c r="AE385" s="43"/>
      <c r="AG385" s="43"/>
      <c r="AJ385" s="27"/>
    </row>
    <row r="386" spans="1:36" s="92" customFormat="1" ht="15">
      <c r="A386" s="39"/>
      <c r="B386" s="39"/>
      <c r="C386" s="39"/>
      <c r="D386" s="39"/>
      <c r="E386" s="39"/>
      <c r="F386" s="39"/>
      <c r="G386" s="39"/>
      <c r="H386" s="27"/>
      <c r="I386" s="27"/>
      <c r="K386" s="27"/>
      <c r="M386" s="43"/>
      <c r="O386" s="43"/>
      <c r="Q386" s="27"/>
      <c r="S386" s="43"/>
      <c r="U386" s="43"/>
      <c r="W386" s="27"/>
      <c r="Y386" s="43"/>
      <c r="AA386" s="43"/>
      <c r="AC386" s="27"/>
      <c r="AE386" s="43"/>
      <c r="AG386" s="43"/>
      <c r="AJ386" s="27"/>
    </row>
    <row r="387" spans="1:36" s="92" customFormat="1" ht="15">
      <c r="A387" s="39"/>
      <c r="B387" s="63"/>
      <c r="C387" s="63"/>
      <c r="D387" s="33"/>
      <c r="E387" s="33"/>
      <c r="F387" s="33"/>
      <c r="G387" s="33"/>
      <c r="H387" s="27"/>
      <c r="I387" s="27"/>
      <c r="K387" s="27"/>
      <c r="M387" s="43"/>
      <c r="O387" s="43"/>
      <c r="Q387" s="27"/>
      <c r="S387" s="43"/>
      <c r="U387" s="43"/>
      <c r="W387" s="27"/>
      <c r="Y387" s="43"/>
      <c r="AA387" s="43"/>
      <c r="AC387" s="27"/>
      <c r="AE387" s="43"/>
      <c r="AG387" s="43"/>
      <c r="AJ387" s="27"/>
    </row>
    <row r="388" spans="1:36" s="92" customFormat="1" ht="15">
      <c r="A388" s="27"/>
      <c r="B388" s="63"/>
      <c r="C388" s="63"/>
      <c r="D388" s="34"/>
      <c r="E388" s="34"/>
      <c r="F388" s="32"/>
      <c r="G388" s="34"/>
      <c r="H388" s="27"/>
      <c r="I388" s="27"/>
      <c r="K388" s="27"/>
      <c r="M388" s="43"/>
      <c r="O388" s="43"/>
      <c r="Q388" s="27"/>
      <c r="S388" s="43"/>
      <c r="U388" s="43"/>
      <c r="W388" s="27"/>
      <c r="Y388" s="43"/>
      <c r="AA388" s="43"/>
      <c r="AC388" s="27"/>
      <c r="AE388" s="43"/>
      <c r="AG388" s="43"/>
      <c r="AJ388" s="27"/>
    </row>
    <row r="389" spans="1:36" s="92" customFormat="1" ht="15">
      <c r="A389" s="27"/>
      <c r="B389" s="63"/>
      <c r="C389" s="63"/>
      <c r="D389" s="34"/>
      <c r="E389" s="34"/>
      <c r="F389" s="34"/>
      <c r="G389" s="34"/>
      <c r="H389" s="27"/>
      <c r="I389" s="27"/>
      <c r="K389" s="27"/>
      <c r="M389" s="43"/>
      <c r="O389" s="43"/>
      <c r="Q389" s="27"/>
      <c r="S389" s="43"/>
      <c r="U389" s="43"/>
      <c r="W389" s="27"/>
      <c r="Y389" s="43"/>
      <c r="AA389" s="43"/>
      <c r="AC389" s="27"/>
      <c r="AE389" s="43"/>
      <c r="AG389" s="43"/>
      <c r="AJ389" s="27"/>
    </row>
    <row r="390" spans="1:36" s="92" customFormat="1" ht="15">
      <c r="A390" s="27"/>
      <c r="B390" s="27"/>
      <c r="C390" s="27"/>
      <c r="D390" s="34"/>
      <c r="E390" s="70"/>
      <c r="F390" s="34"/>
      <c r="G390" s="34"/>
      <c r="H390" s="27"/>
      <c r="I390" s="27"/>
      <c r="K390" s="27"/>
      <c r="M390" s="43"/>
      <c r="O390" s="43"/>
      <c r="Q390" s="27"/>
      <c r="S390" s="43"/>
      <c r="U390" s="43"/>
      <c r="W390" s="27"/>
      <c r="Y390" s="43"/>
      <c r="AA390" s="43"/>
      <c r="AC390" s="27"/>
      <c r="AE390" s="43"/>
      <c r="AG390" s="43"/>
      <c r="AJ390" s="27"/>
    </row>
    <row r="391" spans="1:36" s="92" customFormat="1" ht="15">
      <c r="A391" s="27"/>
      <c r="B391" s="63"/>
      <c r="C391" s="63"/>
      <c r="D391" s="34"/>
      <c r="E391" s="34"/>
      <c r="F391" s="34"/>
      <c r="G391" s="34"/>
      <c r="H391" s="27"/>
      <c r="I391" s="27"/>
      <c r="K391" s="27"/>
      <c r="M391" s="43"/>
      <c r="O391" s="43"/>
      <c r="Q391" s="27"/>
      <c r="S391" s="43"/>
      <c r="U391" s="43"/>
      <c r="W391" s="27"/>
      <c r="Y391" s="43"/>
      <c r="AA391" s="43"/>
      <c r="AC391" s="27"/>
      <c r="AE391" s="43"/>
      <c r="AG391" s="43"/>
      <c r="AJ391" s="27"/>
    </row>
    <row r="392" spans="1:36" s="92" customFormat="1" ht="15">
      <c r="A392" s="39"/>
      <c r="B392" s="76"/>
      <c r="C392" s="39"/>
      <c r="D392" s="39"/>
      <c r="E392" s="39"/>
      <c r="F392" s="39"/>
      <c r="G392" s="39"/>
      <c r="H392" s="27"/>
      <c r="I392" s="27"/>
      <c r="K392" s="27"/>
      <c r="M392" s="43"/>
      <c r="O392" s="43"/>
      <c r="Q392" s="27"/>
      <c r="S392" s="43"/>
      <c r="U392" s="43"/>
      <c r="W392" s="27"/>
      <c r="Y392" s="43"/>
      <c r="AA392" s="43"/>
      <c r="AC392" s="27"/>
      <c r="AE392" s="43"/>
      <c r="AG392" s="43"/>
      <c r="AJ392" s="27"/>
    </row>
    <row r="393" spans="1:36" s="92" customFormat="1" ht="15">
      <c r="A393" s="39"/>
      <c r="B393" s="63"/>
      <c r="C393" s="63"/>
      <c r="D393" s="33"/>
      <c r="E393" s="33"/>
      <c r="F393" s="33"/>
      <c r="G393" s="33"/>
      <c r="H393" s="27"/>
      <c r="I393" s="27"/>
      <c r="K393" s="27"/>
      <c r="M393" s="43"/>
      <c r="O393" s="43"/>
      <c r="Q393" s="27"/>
      <c r="S393" s="43"/>
      <c r="U393" s="43"/>
      <c r="W393" s="27"/>
      <c r="Y393" s="43"/>
      <c r="AA393" s="43"/>
      <c r="AC393" s="27"/>
      <c r="AE393" s="43"/>
      <c r="AG393" s="43"/>
      <c r="AJ393" s="27"/>
    </row>
    <row r="394" spans="1:36" s="92" customFormat="1" ht="15">
      <c r="A394" s="39"/>
      <c r="B394" s="63"/>
      <c r="C394" s="63"/>
      <c r="D394" s="34"/>
      <c r="E394" s="34"/>
      <c r="F394" s="32"/>
      <c r="G394" s="34"/>
      <c r="H394" s="27"/>
      <c r="I394" s="27"/>
      <c r="K394" s="27"/>
      <c r="M394" s="43"/>
      <c r="O394" s="43"/>
      <c r="Q394" s="27"/>
      <c r="S394" s="43"/>
      <c r="U394" s="43"/>
      <c r="W394" s="27"/>
      <c r="Y394" s="43"/>
      <c r="AA394" s="43"/>
      <c r="AC394" s="27"/>
      <c r="AE394" s="43"/>
      <c r="AG394" s="43"/>
      <c r="AJ394" s="27"/>
    </row>
    <row r="395" spans="1:36" s="92" customFormat="1" ht="15">
      <c r="A395" s="27"/>
      <c r="B395" s="63"/>
      <c r="C395" s="63"/>
      <c r="D395" s="34"/>
      <c r="E395" s="34"/>
      <c r="F395" s="34"/>
      <c r="G395" s="34"/>
      <c r="H395" s="27"/>
      <c r="I395" s="27"/>
      <c r="K395" s="27"/>
      <c r="M395" s="43"/>
      <c r="O395" s="43"/>
      <c r="Q395" s="27"/>
      <c r="S395" s="43"/>
      <c r="U395" s="43"/>
      <c r="W395" s="27"/>
      <c r="Y395" s="43"/>
      <c r="AA395" s="43"/>
      <c r="AC395" s="27"/>
      <c r="AE395" s="43"/>
      <c r="AG395" s="43"/>
      <c r="AJ395" s="27"/>
    </row>
    <row r="396" spans="1:36" s="92" customFormat="1" ht="15">
      <c r="A396" s="27"/>
      <c r="B396" s="27"/>
      <c r="C396" s="27"/>
      <c r="D396" s="34"/>
      <c r="E396" s="70"/>
      <c r="F396" s="34"/>
      <c r="G396" s="34"/>
      <c r="H396" s="27"/>
      <c r="I396" s="27"/>
      <c r="K396" s="27"/>
      <c r="M396" s="43"/>
      <c r="O396" s="43"/>
      <c r="Q396" s="27"/>
      <c r="S396" s="43"/>
      <c r="U396" s="43"/>
      <c r="W396" s="27"/>
      <c r="Y396" s="43"/>
      <c r="AA396" s="43"/>
      <c r="AC396" s="27"/>
      <c r="AE396" s="43"/>
      <c r="AG396" s="43"/>
      <c r="AJ396" s="27"/>
    </row>
    <row r="397" spans="1:36" s="92" customFormat="1" ht="15">
      <c r="A397" s="27"/>
      <c r="B397" s="27"/>
      <c r="C397" s="27"/>
      <c r="D397" s="27"/>
      <c r="E397" s="27"/>
      <c r="F397" s="27"/>
      <c r="G397" s="27"/>
      <c r="H397" s="27"/>
      <c r="I397" s="27"/>
      <c r="K397" s="27"/>
      <c r="M397" s="43"/>
      <c r="O397" s="43"/>
      <c r="Q397" s="27"/>
      <c r="S397" s="43"/>
      <c r="U397" s="43"/>
      <c r="W397" s="27"/>
      <c r="Y397" s="43"/>
      <c r="AA397" s="43"/>
      <c r="AC397" s="27"/>
      <c r="AE397" s="43"/>
      <c r="AG397" s="43"/>
      <c r="AJ397" s="27"/>
    </row>
    <row r="398" spans="1:36" s="92" customFormat="1" ht="15">
      <c r="B398" s="27"/>
      <c r="D398" s="27"/>
      <c r="E398" s="27"/>
      <c r="F398" s="27"/>
      <c r="G398" s="27"/>
      <c r="H398" s="27"/>
      <c r="I398" s="27"/>
      <c r="K398" s="27"/>
      <c r="M398" s="43"/>
      <c r="O398" s="43"/>
      <c r="Q398" s="27"/>
      <c r="S398" s="43"/>
      <c r="U398" s="43"/>
      <c r="W398" s="27"/>
      <c r="Y398" s="43"/>
      <c r="AA398" s="43"/>
      <c r="AC398" s="27"/>
      <c r="AE398" s="43"/>
      <c r="AG398" s="43"/>
      <c r="AJ398" s="27"/>
    </row>
    <row r="399" spans="1:36" s="92" customFormat="1" ht="15">
      <c r="B399" s="27"/>
      <c r="D399" s="27"/>
      <c r="E399" s="27"/>
      <c r="F399" s="27"/>
      <c r="G399" s="27"/>
      <c r="H399" s="27"/>
      <c r="I399" s="27"/>
      <c r="K399" s="27"/>
      <c r="M399" s="43"/>
      <c r="O399" s="43"/>
      <c r="Q399" s="27"/>
      <c r="S399" s="43"/>
      <c r="U399" s="43"/>
      <c r="W399" s="27"/>
      <c r="Y399" s="43"/>
      <c r="AA399" s="43"/>
      <c r="AC399" s="27"/>
      <c r="AE399" s="43"/>
      <c r="AG399" s="43"/>
      <c r="AJ399" s="27"/>
    </row>
    <row r="400" spans="1:36" s="92" customFormat="1" ht="15">
      <c r="B400" s="27"/>
      <c r="D400" s="27"/>
      <c r="E400" s="27"/>
      <c r="F400" s="27"/>
      <c r="G400" s="27"/>
      <c r="H400" s="27"/>
      <c r="I400" s="27"/>
      <c r="K400" s="27"/>
      <c r="M400" s="43"/>
      <c r="O400" s="43"/>
      <c r="Q400" s="27"/>
      <c r="S400" s="43"/>
      <c r="U400" s="43"/>
      <c r="W400" s="27"/>
      <c r="Y400" s="43"/>
      <c r="AA400" s="43"/>
      <c r="AC400" s="27"/>
      <c r="AE400" s="43"/>
      <c r="AG400" s="43"/>
      <c r="AJ400" s="27"/>
    </row>
    <row r="401" spans="2:36" s="92" customFormat="1" ht="15">
      <c r="B401" s="27"/>
      <c r="D401" s="27"/>
      <c r="E401" s="27"/>
      <c r="F401" s="27"/>
      <c r="G401" s="27"/>
      <c r="H401" s="27"/>
      <c r="I401" s="27"/>
      <c r="K401" s="27"/>
      <c r="M401" s="43"/>
      <c r="O401" s="43"/>
      <c r="Q401" s="27"/>
      <c r="S401" s="43"/>
      <c r="U401" s="43"/>
      <c r="W401" s="27"/>
      <c r="Y401" s="43"/>
      <c r="AA401" s="43"/>
      <c r="AC401" s="27"/>
      <c r="AE401" s="43"/>
      <c r="AG401" s="43"/>
      <c r="AJ401" s="27"/>
    </row>
    <row r="402" spans="2:36" s="92" customFormat="1" ht="15">
      <c r="B402" s="27"/>
      <c r="D402" s="27"/>
      <c r="E402" s="27"/>
      <c r="F402" s="27"/>
      <c r="G402" s="27"/>
      <c r="H402" s="27"/>
      <c r="I402" s="27"/>
      <c r="K402" s="27"/>
      <c r="M402" s="43"/>
      <c r="O402" s="43"/>
      <c r="Q402" s="27"/>
      <c r="S402" s="43"/>
      <c r="U402" s="43"/>
      <c r="W402" s="27"/>
      <c r="Y402" s="43"/>
      <c r="AA402" s="43"/>
      <c r="AC402" s="27"/>
      <c r="AE402" s="43"/>
      <c r="AG402" s="43"/>
      <c r="AJ402" s="27"/>
    </row>
    <row r="403" spans="2:36" s="92" customFormat="1" ht="15">
      <c r="B403" s="27"/>
      <c r="D403" s="27"/>
      <c r="E403" s="27"/>
      <c r="F403" s="27"/>
      <c r="G403" s="27"/>
      <c r="H403" s="27"/>
      <c r="I403" s="27"/>
      <c r="K403" s="27"/>
      <c r="M403" s="43"/>
      <c r="O403" s="43"/>
      <c r="Q403" s="27"/>
      <c r="S403" s="43"/>
      <c r="U403" s="43"/>
      <c r="W403" s="27"/>
      <c r="Y403" s="43"/>
      <c r="AA403" s="43"/>
      <c r="AC403" s="27"/>
      <c r="AE403" s="43"/>
      <c r="AG403" s="43"/>
      <c r="AJ403" s="27"/>
    </row>
    <row r="404" spans="2:36" s="92" customFormat="1" ht="15">
      <c r="B404" s="27"/>
      <c r="D404" s="27"/>
      <c r="E404" s="27"/>
      <c r="F404" s="27"/>
      <c r="G404" s="27"/>
      <c r="H404" s="27"/>
      <c r="I404" s="27"/>
      <c r="K404" s="27"/>
      <c r="M404" s="43"/>
      <c r="O404" s="43"/>
      <c r="Q404" s="27"/>
      <c r="S404" s="43"/>
      <c r="U404" s="43"/>
      <c r="W404" s="27"/>
      <c r="Y404" s="43"/>
      <c r="AA404" s="43"/>
      <c r="AC404" s="27"/>
      <c r="AE404" s="43"/>
      <c r="AG404" s="43"/>
      <c r="AJ404" s="27"/>
    </row>
    <row r="405" spans="2:36" s="92" customFormat="1" ht="15">
      <c r="D405" s="27"/>
      <c r="E405" s="27"/>
      <c r="F405" s="27"/>
      <c r="G405" s="27"/>
      <c r="H405" s="27"/>
      <c r="I405" s="27"/>
      <c r="K405" s="27"/>
      <c r="M405" s="43"/>
      <c r="O405" s="43"/>
      <c r="Q405" s="27"/>
      <c r="S405" s="43"/>
      <c r="U405" s="43"/>
      <c r="W405" s="27"/>
      <c r="Y405" s="43"/>
      <c r="AA405" s="43"/>
      <c r="AC405" s="27"/>
      <c r="AE405" s="43"/>
      <c r="AG405" s="43"/>
      <c r="AJ405" s="27"/>
    </row>
    <row r="406" spans="2:36" s="92" customFormat="1" ht="15">
      <c r="D406" s="27"/>
      <c r="E406" s="27"/>
      <c r="F406" s="27"/>
      <c r="G406" s="27"/>
      <c r="H406" s="27"/>
      <c r="I406" s="27"/>
      <c r="K406" s="27"/>
      <c r="M406" s="43"/>
      <c r="O406" s="43"/>
      <c r="Q406" s="27"/>
      <c r="S406" s="43"/>
      <c r="U406" s="43"/>
      <c r="W406" s="27"/>
      <c r="Y406" s="43"/>
      <c r="AA406" s="43"/>
      <c r="AC406" s="27"/>
      <c r="AE406" s="43"/>
      <c r="AG406" s="43"/>
      <c r="AJ406" s="27"/>
    </row>
    <row r="407" spans="2:36" s="92" customFormat="1" ht="15">
      <c r="D407" s="27"/>
      <c r="E407" s="27"/>
      <c r="F407" s="27"/>
      <c r="G407" s="27"/>
      <c r="H407" s="27"/>
      <c r="I407" s="27"/>
      <c r="K407" s="27"/>
      <c r="M407" s="43"/>
      <c r="O407" s="43"/>
      <c r="Q407" s="27"/>
      <c r="S407" s="43"/>
      <c r="U407" s="43"/>
      <c r="W407" s="27"/>
      <c r="Y407" s="43"/>
      <c r="AA407" s="43"/>
      <c r="AC407" s="27"/>
      <c r="AE407" s="43"/>
      <c r="AG407" s="43"/>
      <c r="AJ407" s="27"/>
    </row>
    <row r="408" spans="2:36" s="92" customFormat="1" ht="15">
      <c r="D408" s="27"/>
      <c r="E408" s="27"/>
      <c r="F408" s="27"/>
      <c r="G408" s="27"/>
      <c r="H408" s="27"/>
      <c r="I408" s="27"/>
      <c r="K408" s="27"/>
      <c r="M408" s="43"/>
      <c r="O408" s="43"/>
      <c r="Q408" s="27"/>
      <c r="S408" s="43"/>
      <c r="U408" s="43"/>
      <c r="W408" s="27"/>
      <c r="Y408" s="43"/>
      <c r="AA408" s="43"/>
      <c r="AC408" s="27"/>
      <c r="AE408" s="43"/>
      <c r="AG408" s="43"/>
      <c r="AJ408" s="27"/>
    </row>
    <row r="409" spans="2:36" s="92" customFormat="1" ht="15">
      <c r="D409" s="27"/>
      <c r="E409" s="27"/>
      <c r="F409" s="27"/>
      <c r="G409" s="27"/>
      <c r="H409" s="27"/>
      <c r="I409" s="27"/>
      <c r="K409" s="27"/>
      <c r="M409" s="43"/>
      <c r="O409" s="43"/>
      <c r="Q409" s="27"/>
      <c r="S409" s="43"/>
      <c r="U409" s="43"/>
      <c r="W409" s="27"/>
      <c r="Y409" s="43"/>
      <c r="AA409" s="43"/>
      <c r="AC409" s="27"/>
      <c r="AE409" s="43"/>
      <c r="AG409" s="43"/>
      <c r="AJ409" s="27"/>
    </row>
    <row r="410" spans="2:36" s="92" customFormat="1" ht="15">
      <c r="D410" s="27"/>
      <c r="E410" s="27"/>
      <c r="F410" s="27"/>
      <c r="G410" s="27"/>
      <c r="H410" s="27"/>
      <c r="I410" s="27"/>
      <c r="K410" s="27"/>
      <c r="M410" s="43"/>
      <c r="O410" s="43"/>
      <c r="Q410" s="27"/>
      <c r="S410" s="43"/>
      <c r="U410" s="43"/>
      <c r="W410" s="27"/>
      <c r="Y410" s="43"/>
      <c r="AA410" s="43"/>
      <c r="AC410" s="27"/>
      <c r="AE410" s="43"/>
      <c r="AG410" s="43"/>
      <c r="AJ410" s="27"/>
    </row>
    <row r="411" spans="2:36" s="92" customFormat="1" ht="15">
      <c r="D411" s="27"/>
      <c r="E411" s="27"/>
      <c r="F411" s="27"/>
      <c r="G411" s="27"/>
      <c r="H411" s="27"/>
      <c r="I411" s="27"/>
      <c r="K411" s="27"/>
      <c r="M411" s="43"/>
      <c r="O411" s="43"/>
      <c r="Q411" s="27"/>
      <c r="S411" s="43"/>
      <c r="U411" s="43"/>
      <c r="W411" s="27"/>
      <c r="Y411" s="43"/>
      <c r="AA411" s="43"/>
      <c r="AC411" s="27"/>
      <c r="AE411" s="43"/>
      <c r="AG411" s="43"/>
      <c r="AJ411" s="27"/>
    </row>
    <row r="412" spans="2:36" s="92" customFormat="1" ht="15">
      <c r="D412" s="27"/>
      <c r="E412" s="27"/>
      <c r="F412" s="27"/>
      <c r="G412" s="27"/>
      <c r="H412" s="27"/>
      <c r="I412" s="27"/>
      <c r="K412" s="27"/>
      <c r="M412" s="43"/>
      <c r="O412" s="43"/>
      <c r="Q412" s="27"/>
      <c r="S412" s="43"/>
      <c r="U412" s="43"/>
      <c r="W412" s="27"/>
      <c r="Y412" s="43"/>
      <c r="AA412" s="43"/>
      <c r="AC412" s="27"/>
      <c r="AE412" s="43"/>
      <c r="AG412" s="43"/>
      <c r="AJ412" s="27"/>
    </row>
    <row r="413" spans="2:36" s="92" customFormat="1" ht="15">
      <c r="D413" s="27"/>
      <c r="E413" s="27"/>
      <c r="F413" s="27"/>
      <c r="G413" s="27"/>
      <c r="H413" s="27"/>
      <c r="I413" s="27"/>
      <c r="K413" s="27"/>
      <c r="M413" s="43"/>
      <c r="O413" s="43"/>
      <c r="Q413" s="27"/>
      <c r="S413" s="43"/>
      <c r="U413" s="43"/>
      <c r="W413" s="27"/>
      <c r="Y413" s="43"/>
      <c r="AA413" s="43"/>
      <c r="AC413" s="27"/>
      <c r="AE413" s="43"/>
      <c r="AG413" s="43"/>
      <c r="AJ413" s="27"/>
    </row>
    <row r="414" spans="2:36" s="92" customFormat="1" ht="15">
      <c r="D414" s="27"/>
      <c r="E414" s="27"/>
      <c r="F414" s="27"/>
      <c r="G414" s="27"/>
      <c r="H414" s="27"/>
      <c r="I414" s="27"/>
      <c r="K414" s="27"/>
      <c r="M414" s="43"/>
      <c r="O414" s="43"/>
      <c r="Q414" s="27"/>
      <c r="S414" s="43"/>
      <c r="U414" s="43"/>
      <c r="W414" s="27"/>
      <c r="Y414" s="43"/>
      <c r="AA414" s="43"/>
      <c r="AC414" s="27"/>
      <c r="AE414" s="43"/>
      <c r="AG414" s="43"/>
      <c r="AJ414" s="27"/>
    </row>
    <row r="415" spans="2:36" s="92" customFormat="1" ht="15">
      <c r="D415" s="27"/>
      <c r="E415" s="27"/>
      <c r="F415" s="27"/>
      <c r="G415" s="27"/>
      <c r="H415" s="27"/>
      <c r="I415" s="27"/>
      <c r="K415" s="27"/>
      <c r="M415" s="43"/>
      <c r="O415" s="43"/>
      <c r="Q415" s="27"/>
      <c r="S415" s="43"/>
      <c r="U415" s="43"/>
      <c r="W415" s="27"/>
      <c r="Y415" s="43"/>
      <c r="AA415" s="43"/>
      <c r="AC415" s="27"/>
      <c r="AE415" s="43"/>
      <c r="AG415" s="43"/>
      <c r="AJ415" s="27"/>
    </row>
    <row r="416" spans="2:36" s="92" customFormat="1" ht="15">
      <c r="D416" s="27"/>
      <c r="E416" s="27"/>
      <c r="F416" s="27"/>
      <c r="G416" s="27"/>
      <c r="H416" s="27"/>
      <c r="I416" s="27"/>
      <c r="K416" s="27"/>
      <c r="M416" s="43"/>
      <c r="O416" s="43"/>
      <c r="Q416" s="27"/>
      <c r="S416" s="43"/>
      <c r="U416" s="43"/>
      <c r="W416" s="27"/>
      <c r="Y416" s="43"/>
      <c r="AA416" s="43"/>
      <c r="AC416" s="27"/>
      <c r="AE416" s="43"/>
      <c r="AG416" s="43"/>
      <c r="AJ416" s="27"/>
    </row>
    <row r="417" spans="4:36" s="92" customFormat="1" ht="15">
      <c r="D417" s="27"/>
      <c r="E417" s="27"/>
      <c r="F417" s="27"/>
      <c r="G417" s="27"/>
      <c r="H417" s="27"/>
      <c r="I417" s="27"/>
      <c r="K417" s="27"/>
      <c r="M417" s="43"/>
      <c r="O417" s="43"/>
      <c r="Q417" s="27"/>
      <c r="S417" s="43"/>
      <c r="U417" s="43"/>
      <c r="W417" s="27"/>
      <c r="Y417" s="43"/>
      <c r="AA417" s="43"/>
      <c r="AC417" s="27"/>
      <c r="AE417" s="43"/>
      <c r="AG417" s="43"/>
      <c r="AJ417" s="27"/>
    </row>
    <row r="418" spans="4:36" s="92" customFormat="1" ht="15">
      <c r="D418" s="27"/>
      <c r="E418" s="27"/>
      <c r="F418" s="27"/>
      <c r="G418" s="27"/>
      <c r="H418" s="27"/>
      <c r="I418" s="27"/>
      <c r="K418" s="27"/>
      <c r="M418" s="43"/>
      <c r="O418" s="43"/>
      <c r="Q418" s="27"/>
      <c r="S418" s="43"/>
      <c r="U418" s="43"/>
      <c r="W418" s="27"/>
      <c r="Y418" s="43"/>
      <c r="AA418" s="43"/>
      <c r="AC418" s="27"/>
      <c r="AE418" s="43"/>
      <c r="AG418" s="43"/>
      <c r="AJ418" s="27"/>
    </row>
    <row r="419" spans="4:36" s="92" customFormat="1" ht="15">
      <c r="D419" s="27"/>
      <c r="E419" s="27"/>
      <c r="F419" s="27"/>
      <c r="G419" s="27"/>
      <c r="H419" s="27"/>
      <c r="I419" s="27"/>
      <c r="K419" s="27"/>
      <c r="M419" s="43"/>
      <c r="O419" s="43"/>
      <c r="Q419" s="27"/>
      <c r="S419" s="43"/>
      <c r="U419" s="43"/>
      <c r="W419" s="27"/>
      <c r="Y419" s="43"/>
      <c r="AA419" s="43"/>
      <c r="AC419" s="27"/>
      <c r="AE419" s="43"/>
      <c r="AG419" s="43"/>
      <c r="AJ419" s="27"/>
    </row>
    <row r="420" spans="4:36" s="92" customFormat="1" ht="15">
      <c r="D420" s="27"/>
      <c r="E420" s="27"/>
      <c r="F420" s="27"/>
      <c r="G420" s="27"/>
      <c r="H420" s="27"/>
      <c r="I420" s="27"/>
      <c r="K420" s="27"/>
      <c r="M420" s="43"/>
      <c r="O420" s="43"/>
      <c r="Q420" s="27"/>
      <c r="S420" s="43"/>
      <c r="U420" s="43"/>
      <c r="W420" s="27"/>
      <c r="Y420" s="43"/>
      <c r="AA420" s="43"/>
      <c r="AC420" s="27"/>
      <c r="AE420" s="43"/>
      <c r="AG420" s="43"/>
      <c r="AJ420" s="27"/>
    </row>
    <row r="421" spans="4:36" s="92" customFormat="1" ht="15">
      <c r="D421" s="27"/>
      <c r="E421" s="27"/>
      <c r="F421" s="27"/>
      <c r="G421" s="27"/>
      <c r="H421" s="27"/>
      <c r="I421" s="27"/>
      <c r="K421" s="27"/>
      <c r="M421" s="43"/>
      <c r="O421" s="43"/>
      <c r="Q421" s="27"/>
      <c r="S421" s="43"/>
      <c r="U421" s="43"/>
      <c r="W421" s="27"/>
      <c r="Y421" s="43"/>
      <c r="AA421" s="43"/>
      <c r="AC421" s="27"/>
      <c r="AE421" s="43"/>
      <c r="AG421" s="43"/>
      <c r="AJ421" s="27"/>
    </row>
    <row r="422" spans="4:36" s="92" customFormat="1" ht="15">
      <c r="D422" s="27"/>
      <c r="E422" s="27"/>
      <c r="F422" s="27"/>
      <c r="G422" s="27"/>
      <c r="H422" s="27"/>
      <c r="I422" s="27"/>
      <c r="K422" s="27"/>
      <c r="M422" s="43"/>
      <c r="O422" s="43"/>
      <c r="Q422" s="27"/>
      <c r="S422" s="43"/>
      <c r="U422" s="43"/>
      <c r="W422" s="27"/>
      <c r="Y422" s="43"/>
      <c r="AA422" s="43"/>
      <c r="AC422" s="27"/>
      <c r="AE422" s="43"/>
      <c r="AG422" s="43"/>
      <c r="AJ422" s="27"/>
    </row>
    <row r="423" spans="4:36" s="92" customFormat="1" ht="15">
      <c r="D423" s="27"/>
      <c r="E423" s="27"/>
      <c r="F423" s="27"/>
      <c r="G423" s="27"/>
      <c r="H423" s="27"/>
      <c r="I423" s="27"/>
      <c r="K423" s="27"/>
      <c r="M423" s="43"/>
      <c r="O423" s="43"/>
      <c r="Q423" s="27"/>
      <c r="S423" s="43"/>
      <c r="U423" s="43"/>
      <c r="W423" s="27"/>
      <c r="Y423" s="43"/>
      <c r="AA423" s="43"/>
      <c r="AC423" s="27"/>
      <c r="AE423" s="43"/>
      <c r="AG423" s="43"/>
      <c r="AJ423" s="27"/>
    </row>
    <row r="424" spans="4:36" s="92" customFormat="1" ht="15">
      <c r="D424" s="27"/>
      <c r="E424" s="27"/>
      <c r="F424" s="27"/>
      <c r="G424" s="27"/>
      <c r="H424" s="27"/>
      <c r="I424" s="27"/>
      <c r="K424" s="27"/>
      <c r="M424" s="43"/>
      <c r="O424" s="43"/>
      <c r="Q424" s="27"/>
      <c r="S424" s="43"/>
      <c r="U424" s="43"/>
      <c r="W424" s="27"/>
      <c r="Y424" s="43"/>
      <c r="AA424" s="43"/>
      <c r="AC424" s="27"/>
      <c r="AE424" s="43"/>
      <c r="AG424" s="43"/>
      <c r="AJ424" s="27"/>
    </row>
    <row r="425" spans="4:36" s="92" customFormat="1" ht="15">
      <c r="D425" s="27"/>
      <c r="E425" s="27"/>
      <c r="F425" s="27"/>
      <c r="G425" s="27"/>
      <c r="H425" s="27"/>
      <c r="I425" s="27"/>
      <c r="K425" s="27"/>
      <c r="M425" s="43"/>
      <c r="O425" s="43"/>
      <c r="Q425" s="27"/>
      <c r="S425" s="43"/>
      <c r="U425" s="43"/>
      <c r="W425" s="27"/>
      <c r="Y425" s="43"/>
      <c r="AA425" s="43"/>
      <c r="AC425" s="27"/>
      <c r="AE425" s="43"/>
      <c r="AG425" s="43"/>
      <c r="AJ425" s="27"/>
    </row>
    <row r="426" spans="4:36" s="92" customFormat="1" ht="15">
      <c r="D426" s="27"/>
      <c r="E426" s="27"/>
      <c r="F426" s="27"/>
      <c r="G426" s="27"/>
      <c r="H426" s="27"/>
      <c r="I426" s="27"/>
      <c r="K426" s="27"/>
      <c r="M426" s="43"/>
      <c r="O426" s="43"/>
      <c r="Q426" s="27"/>
      <c r="S426" s="43"/>
      <c r="U426" s="43"/>
      <c r="W426" s="27"/>
      <c r="Y426" s="43"/>
      <c r="AA426" s="43"/>
      <c r="AC426" s="27"/>
      <c r="AE426" s="43"/>
      <c r="AG426" s="43"/>
      <c r="AJ426" s="27"/>
    </row>
    <row r="427" spans="4:36" s="92" customFormat="1" ht="15">
      <c r="D427" s="27"/>
      <c r="E427" s="27"/>
      <c r="F427" s="27"/>
      <c r="G427" s="27"/>
      <c r="H427" s="27"/>
      <c r="I427" s="27"/>
      <c r="K427" s="27"/>
      <c r="M427" s="43"/>
      <c r="O427" s="43"/>
      <c r="Q427" s="27"/>
      <c r="S427" s="43"/>
      <c r="U427" s="43"/>
      <c r="W427" s="27"/>
      <c r="Y427" s="43"/>
      <c r="AA427" s="43"/>
      <c r="AC427" s="27"/>
      <c r="AE427" s="43"/>
      <c r="AG427" s="43"/>
      <c r="AJ427" s="27"/>
    </row>
    <row r="428" spans="4:36" s="92" customFormat="1" ht="15">
      <c r="D428" s="27"/>
      <c r="E428" s="27"/>
      <c r="F428" s="27"/>
      <c r="G428" s="27"/>
      <c r="H428" s="27"/>
      <c r="I428" s="27"/>
      <c r="K428" s="27"/>
      <c r="M428" s="43"/>
      <c r="O428" s="43"/>
      <c r="Q428" s="27"/>
      <c r="S428" s="43"/>
      <c r="U428" s="43"/>
      <c r="W428" s="27"/>
      <c r="Y428" s="43"/>
      <c r="AA428" s="43"/>
      <c r="AC428" s="27"/>
      <c r="AE428" s="43"/>
      <c r="AG428" s="43"/>
      <c r="AJ428" s="27"/>
    </row>
    <row r="429" spans="4:36" s="92" customFormat="1" ht="15">
      <c r="D429" s="27"/>
      <c r="E429" s="27"/>
      <c r="F429" s="27"/>
      <c r="G429" s="27"/>
      <c r="H429" s="27"/>
      <c r="I429" s="27"/>
      <c r="K429" s="27"/>
      <c r="M429" s="43"/>
      <c r="O429" s="43"/>
      <c r="Q429" s="27"/>
      <c r="S429" s="43"/>
      <c r="U429" s="43"/>
      <c r="W429" s="27"/>
      <c r="Y429" s="43"/>
      <c r="AA429" s="43"/>
      <c r="AC429" s="27"/>
      <c r="AE429" s="43"/>
      <c r="AG429" s="43"/>
      <c r="AJ429" s="27"/>
    </row>
    <row r="430" spans="4:36" s="92" customFormat="1" ht="15">
      <c r="D430" s="27"/>
      <c r="E430" s="27"/>
      <c r="F430" s="27"/>
      <c r="G430" s="27"/>
      <c r="H430" s="27"/>
      <c r="I430" s="27"/>
      <c r="K430" s="27"/>
      <c r="M430" s="43"/>
      <c r="O430" s="43"/>
      <c r="Q430" s="27"/>
      <c r="S430" s="43"/>
      <c r="U430" s="43"/>
      <c r="W430" s="27"/>
      <c r="Y430" s="43"/>
      <c r="AA430" s="43"/>
      <c r="AC430" s="27"/>
      <c r="AE430" s="43"/>
      <c r="AG430" s="43"/>
      <c r="AJ430" s="27"/>
    </row>
    <row r="431" spans="4:36" s="92" customFormat="1" ht="15">
      <c r="D431" s="27"/>
      <c r="E431" s="27"/>
      <c r="F431" s="27"/>
      <c r="G431" s="27"/>
      <c r="H431" s="27"/>
      <c r="I431" s="27"/>
      <c r="K431" s="27"/>
      <c r="M431" s="43"/>
      <c r="O431" s="43"/>
      <c r="Q431" s="27"/>
      <c r="S431" s="43"/>
      <c r="U431" s="43"/>
      <c r="W431" s="27"/>
      <c r="Y431" s="43"/>
      <c r="AA431" s="43"/>
      <c r="AC431" s="27"/>
      <c r="AE431" s="43"/>
      <c r="AG431" s="43"/>
      <c r="AJ431" s="27"/>
    </row>
    <row r="432" spans="4:36" s="92" customFormat="1" ht="15">
      <c r="D432" s="27"/>
      <c r="E432" s="27"/>
      <c r="F432" s="27"/>
      <c r="G432" s="27"/>
      <c r="H432" s="27"/>
      <c r="I432" s="27"/>
      <c r="K432" s="27"/>
      <c r="M432" s="43"/>
      <c r="O432" s="43"/>
      <c r="Q432" s="27"/>
      <c r="S432" s="43"/>
      <c r="U432" s="43"/>
      <c r="W432" s="27"/>
      <c r="Y432" s="43"/>
      <c r="AA432" s="43"/>
      <c r="AC432" s="27"/>
      <c r="AE432" s="43"/>
      <c r="AG432" s="43"/>
      <c r="AJ432" s="27"/>
    </row>
    <row r="433" spans="4:36" s="92" customFormat="1" ht="15">
      <c r="D433" s="27"/>
      <c r="E433" s="27"/>
      <c r="F433" s="27"/>
      <c r="G433" s="27"/>
      <c r="H433" s="27"/>
      <c r="I433" s="27"/>
      <c r="K433" s="27"/>
      <c r="M433" s="43"/>
      <c r="O433" s="43"/>
      <c r="Q433" s="27"/>
      <c r="S433" s="43"/>
      <c r="U433" s="43"/>
      <c r="W433" s="27"/>
      <c r="Y433" s="43"/>
      <c r="AA433" s="43"/>
      <c r="AC433" s="27"/>
      <c r="AE433" s="43"/>
      <c r="AG433" s="43"/>
      <c r="AJ433" s="27"/>
    </row>
    <row r="434" spans="4:36" s="92" customFormat="1" ht="15">
      <c r="D434" s="27"/>
      <c r="E434" s="27"/>
      <c r="F434" s="27"/>
      <c r="G434" s="27"/>
      <c r="H434" s="27"/>
      <c r="I434" s="27"/>
      <c r="K434" s="27"/>
      <c r="M434" s="43"/>
      <c r="O434" s="43"/>
      <c r="Q434" s="27"/>
      <c r="S434" s="43"/>
      <c r="U434" s="43"/>
      <c r="W434" s="27"/>
      <c r="Y434" s="43"/>
      <c r="AA434" s="43"/>
      <c r="AC434" s="27"/>
      <c r="AE434" s="43"/>
      <c r="AG434" s="43"/>
      <c r="AJ434" s="27"/>
    </row>
    <row r="435" spans="4:36" s="92" customFormat="1" ht="15">
      <c r="D435" s="27"/>
      <c r="E435" s="27"/>
      <c r="F435" s="27"/>
      <c r="G435" s="27"/>
      <c r="H435" s="27"/>
      <c r="I435" s="27"/>
      <c r="K435" s="27"/>
      <c r="M435" s="43"/>
      <c r="O435" s="43"/>
      <c r="Q435" s="27"/>
      <c r="S435" s="43"/>
      <c r="U435" s="43"/>
      <c r="W435" s="27"/>
      <c r="Y435" s="43"/>
      <c r="AA435" s="43"/>
      <c r="AC435" s="27"/>
      <c r="AE435" s="43"/>
      <c r="AG435" s="43"/>
      <c r="AJ435" s="27"/>
    </row>
    <row r="436" spans="4:36" s="92" customFormat="1" ht="15">
      <c r="D436" s="27"/>
      <c r="E436" s="27"/>
      <c r="F436" s="27"/>
      <c r="G436" s="27"/>
      <c r="H436" s="27"/>
      <c r="I436" s="27"/>
      <c r="K436" s="27"/>
      <c r="M436" s="43"/>
      <c r="O436" s="43"/>
      <c r="Q436" s="27"/>
      <c r="S436" s="43"/>
      <c r="U436" s="43"/>
      <c r="W436" s="27"/>
      <c r="Y436" s="43"/>
      <c r="AA436" s="43"/>
      <c r="AC436" s="27"/>
      <c r="AE436" s="43"/>
      <c r="AG436" s="43"/>
      <c r="AJ436" s="27"/>
    </row>
    <row r="437" spans="4:36" s="92" customFormat="1" ht="15">
      <c r="D437" s="27"/>
      <c r="E437" s="27"/>
      <c r="F437" s="27"/>
      <c r="G437" s="27"/>
      <c r="H437" s="27"/>
      <c r="I437" s="27"/>
      <c r="K437" s="27"/>
      <c r="M437" s="43"/>
      <c r="O437" s="43"/>
      <c r="Q437" s="27"/>
      <c r="S437" s="43"/>
      <c r="U437" s="43"/>
      <c r="W437" s="27"/>
      <c r="Y437" s="43"/>
      <c r="AA437" s="43"/>
      <c r="AC437" s="27"/>
      <c r="AE437" s="43"/>
      <c r="AG437" s="43"/>
      <c r="AJ437" s="27"/>
    </row>
    <row r="438" spans="4:36" s="92" customFormat="1" ht="15">
      <c r="D438" s="27"/>
      <c r="E438" s="27"/>
      <c r="F438" s="27"/>
      <c r="G438" s="27"/>
      <c r="H438" s="27"/>
      <c r="I438" s="27"/>
      <c r="K438" s="27"/>
      <c r="M438" s="43"/>
      <c r="O438" s="43"/>
      <c r="Q438" s="27"/>
      <c r="S438" s="43"/>
      <c r="U438" s="43"/>
      <c r="W438" s="27"/>
      <c r="Y438" s="43"/>
      <c r="AA438" s="43"/>
      <c r="AC438" s="27"/>
      <c r="AE438" s="43"/>
      <c r="AG438" s="43"/>
      <c r="AJ438" s="27"/>
    </row>
    <row r="439" spans="4:36" s="92" customFormat="1" ht="15">
      <c r="D439" s="27"/>
      <c r="E439" s="27"/>
      <c r="F439" s="27"/>
      <c r="G439" s="27"/>
      <c r="H439" s="27"/>
      <c r="I439" s="27"/>
      <c r="K439" s="27"/>
      <c r="M439" s="43"/>
      <c r="O439" s="43"/>
      <c r="Q439" s="27"/>
      <c r="S439" s="43"/>
      <c r="U439" s="43"/>
      <c r="W439" s="27"/>
      <c r="Y439" s="43"/>
      <c r="AA439" s="43"/>
      <c r="AC439" s="27"/>
      <c r="AE439" s="43"/>
      <c r="AG439" s="43"/>
      <c r="AJ439" s="27"/>
    </row>
    <row r="440" spans="4:36" s="92" customFormat="1" ht="15">
      <c r="D440" s="27"/>
      <c r="E440" s="27"/>
      <c r="F440" s="27"/>
      <c r="G440" s="27"/>
      <c r="H440" s="27"/>
      <c r="I440" s="27"/>
      <c r="K440" s="27"/>
      <c r="M440" s="43"/>
      <c r="O440" s="43"/>
      <c r="Q440" s="27"/>
      <c r="S440" s="43"/>
      <c r="U440" s="43"/>
      <c r="W440" s="27"/>
      <c r="Y440" s="43"/>
      <c r="AA440" s="43"/>
      <c r="AC440" s="27"/>
      <c r="AE440" s="43"/>
      <c r="AG440" s="43"/>
      <c r="AJ440" s="27"/>
    </row>
    <row r="441" spans="4:36" s="92" customFormat="1" ht="15">
      <c r="D441" s="27"/>
      <c r="E441" s="27"/>
      <c r="F441" s="27"/>
      <c r="G441" s="27"/>
      <c r="H441" s="27"/>
      <c r="I441" s="27"/>
      <c r="K441" s="27"/>
      <c r="M441" s="43"/>
      <c r="O441" s="43"/>
      <c r="Q441" s="27"/>
      <c r="S441" s="43"/>
      <c r="U441" s="43"/>
      <c r="W441" s="27"/>
      <c r="Y441" s="43"/>
      <c r="AA441" s="43"/>
      <c r="AC441" s="27"/>
      <c r="AE441" s="43"/>
      <c r="AG441" s="43"/>
      <c r="AJ441" s="27"/>
    </row>
    <row r="442" spans="4:36" s="92" customFormat="1" ht="15">
      <c r="D442" s="27"/>
      <c r="E442" s="27"/>
      <c r="F442" s="27"/>
      <c r="G442" s="27"/>
      <c r="H442" s="27"/>
      <c r="I442" s="27"/>
      <c r="K442" s="27"/>
      <c r="M442" s="43"/>
      <c r="O442" s="43"/>
      <c r="Q442" s="27"/>
      <c r="S442" s="43"/>
      <c r="U442" s="43"/>
      <c r="W442" s="27"/>
      <c r="Y442" s="43"/>
      <c r="AA442" s="43"/>
      <c r="AC442" s="27"/>
      <c r="AE442" s="43"/>
      <c r="AG442" s="43"/>
      <c r="AJ442" s="27"/>
    </row>
    <row r="443" spans="4:36" s="92" customFormat="1" ht="15">
      <c r="D443" s="27"/>
      <c r="E443" s="27"/>
      <c r="F443" s="27"/>
      <c r="G443" s="27"/>
      <c r="H443" s="27"/>
      <c r="I443" s="27"/>
      <c r="K443" s="27"/>
      <c r="M443" s="43"/>
      <c r="O443" s="43"/>
      <c r="Q443" s="27"/>
      <c r="S443" s="43"/>
      <c r="U443" s="43"/>
      <c r="W443" s="27"/>
      <c r="Y443" s="43"/>
      <c r="AA443" s="43"/>
      <c r="AC443" s="27"/>
      <c r="AE443" s="43"/>
      <c r="AG443" s="43"/>
      <c r="AJ443" s="27"/>
    </row>
    <row r="444" spans="4:36" s="92" customFormat="1" ht="15">
      <c r="D444" s="27"/>
      <c r="E444" s="27"/>
      <c r="F444" s="27"/>
      <c r="G444" s="27"/>
      <c r="H444" s="27"/>
      <c r="I444" s="27"/>
      <c r="K444" s="27"/>
      <c r="M444" s="43"/>
      <c r="O444" s="43"/>
      <c r="Q444" s="27"/>
      <c r="S444" s="43"/>
      <c r="U444" s="43"/>
      <c r="W444" s="27"/>
      <c r="Y444" s="43"/>
      <c r="AA444" s="43"/>
      <c r="AC444" s="27"/>
      <c r="AE444" s="43"/>
      <c r="AG444" s="43"/>
      <c r="AJ444" s="27"/>
    </row>
    <row r="445" spans="4:36" s="92" customFormat="1" ht="15">
      <c r="D445" s="27"/>
      <c r="E445" s="27"/>
      <c r="F445" s="27"/>
      <c r="G445" s="27"/>
      <c r="H445" s="27"/>
      <c r="I445" s="27"/>
      <c r="K445" s="27"/>
      <c r="M445" s="43"/>
      <c r="O445" s="43"/>
      <c r="Q445" s="27"/>
      <c r="S445" s="43"/>
      <c r="U445" s="43"/>
      <c r="W445" s="27"/>
      <c r="Y445" s="43"/>
      <c r="AA445" s="43"/>
      <c r="AC445" s="27"/>
      <c r="AE445" s="43"/>
      <c r="AG445" s="43"/>
      <c r="AJ445" s="27"/>
    </row>
    <row r="446" spans="4:36" s="92" customFormat="1" ht="15">
      <c r="D446" s="27"/>
      <c r="E446" s="27"/>
      <c r="F446" s="27"/>
      <c r="G446" s="27"/>
      <c r="H446" s="27"/>
      <c r="I446" s="27"/>
      <c r="K446" s="27"/>
      <c r="M446" s="43"/>
      <c r="O446" s="43"/>
      <c r="Q446" s="27"/>
      <c r="S446" s="43"/>
      <c r="U446" s="43"/>
      <c r="W446" s="27"/>
      <c r="Y446" s="43"/>
      <c r="AA446" s="43"/>
      <c r="AC446" s="27"/>
      <c r="AE446" s="43"/>
      <c r="AG446" s="43"/>
      <c r="AJ446" s="27"/>
    </row>
    <row r="447" spans="4:36" s="92" customFormat="1" ht="15">
      <c r="D447" s="27"/>
      <c r="E447" s="27"/>
      <c r="F447" s="27"/>
      <c r="G447" s="27"/>
      <c r="H447" s="27"/>
      <c r="I447" s="27"/>
      <c r="K447" s="27"/>
      <c r="M447" s="43"/>
      <c r="O447" s="43"/>
      <c r="Q447" s="27"/>
      <c r="S447" s="43"/>
      <c r="U447" s="43"/>
      <c r="W447" s="27"/>
      <c r="Y447" s="43"/>
      <c r="AA447" s="43"/>
      <c r="AC447" s="27"/>
      <c r="AE447" s="43"/>
      <c r="AG447" s="43"/>
      <c r="AJ447" s="27"/>
    </row>
    <row r="448" spans="4:36" s="92" customFormat="1" ht="15">
      <c r="D448" s="27"/>
      <c r="E448" s="27"/>
      <c r="F448" s="27"/>
      <c r="G448" s="27"/>
      <c r="H448" s="27"/>
      <c r="I448" s="27"/>
      <c r="K448" s="27"/>
      <c r="M448" s="43"/>
      <c r="O448" s="43"/>
      <c r="Q448" s="27"/>
      <c r="S448" s="43"/>
      <c r="U448" s="43"/>
      <c r="W448" s="27"/>
      <c r="Y448" s="43"/>
      <c r="AA448" s="43"/>
      <c r="AC448" s="27"/>
      <c r="AE448" s="43"/>
      <c r="AG448" s="43"/>
      <c r="AJ448" s="27"/>
    </row>
    <row r="449" spans="4:36" s="92" customFormat="1" ht="15">
      <c r="D449" s="27"/>
      <c r="E449" s="27"/>
      <c r="F449" s="27"/>
      <c r="G449" s="27"/>
      <c r="H449" s="27"/>
      <c r="I449" s="27"/>
      <c r="K449" s="27"/>
      <c r="M449" s="43"/>
      <c r="O449" s="43"/>
      <c r="Q449" s="27"/>
      <c r="S449" s="43"/>
      <c r="U449" s="43"/>
      <c r="W449" s="27"/>
      <c r="Y449" s="43"/>
      <c r="AA449" s="43"/>
      <c r="AC449" s="27"/>
      <c r="AE449" s="43"/>
      <c r="AG449" s="43"/>
      <c r="AJ449" s="27"/>
    </row>
    <row r="450" spans="4:36" s="92" customFormat="1" ht="15">
      <c r="D450" s="27"/>
      <c r="E450" s="27"/>
      <c r="F450" s="27"/>
      <c r="G450" s="27"/>
      <c r="H450" s="27"/>
      <c r="I450" s="27"/>
      <c r="K450" s="27"/>
      <c r="M450" s="43"/>
      <c r="O450" s="43"/>
      <c r="Q450" s="27"/>
      <c r="S450" s="43"/>
      <c r="U450" s="43"/>
      <c r="W450" s="27"/>
      <c r="Y450" s="43"/>
      <c r="AA450" s="43"/>
      <c r="AC450" s="27"/>
      <c r="AE450" s="43"/>
      <c r="AG450" s="43"/>
      <c r="AJ450" s="27"/>
    </row>
    <row r="451" spans="4:36" s="92" customFormat="1" ht="15">
      <c r="D451" s="27"/>
      <c r="E451" s="27"/>
      <c r="F451" s="27"/>
      <c r="G451" s="27"/>
      <c r="H451" s="27"/>
      <c r="I451" s="27"/>
      <c r="K451" s="27"/>
      <c r="M451" s="43"/>
      <c r="O451" s="43"/>
      <c r="Q451" s="27"/>
      <c r="S451" s="43"/>
      <c r="U451" s="43"/>
      <c r="W451" s="27"/>
      <c r="Y451" s="43"/>
      <c r="AA451" s="43"/>
      <c r="AC451" s="27"/>
      <c r="AE451" s="43"/>
      <c r="AG451" s="43"/>
      <c r="AJ451" s="27"/>
    </row>
    <row r="452" spans="4:36" s="92" customFormat="1" ht="15">
      <c r="D452" s="27"/>
      <c r="E452" s="27"/>
      <c r="F452" s="27"/>
      <c r="G452" s="27"/>
      <c r="H452" s="27"/>
      <c r="I452" s="27"/>
      <c r="K452" s="27"/>
      <c r="M452" s="43"/>
      <c r="O452" s="43"/>
      <c r="Q452" s="27"/>
      <c r="S452" s="43"/>
      <c r="U452" s="43"/>
      <c r="W452" s="27"/>
      <c r="Y452" s="43"/>
      <c r="AA452" s="43"/>
      <c r="AC452" s="27"/>
      <c r="AE452" s="43"/>
      <c r="AG452" s="43"/>
      <c r="AJ452" s="27"/>
    </row>
    <row r="453" spans="4:36" s="92" customFormat="1" ht="15">
      <c r="D453" s="27"/>
      <c r="E453" s="27"/>
      <c r="F453" s="27"/>
      <c r="G453" s="27"/>
      <c r="H453" s="27"/>
      <c r="I453" s="27"/>
      <c r="K453" s="27"/>
      <c r="M453" s="43"/>
      <c r="O453" s="43"/>
      <c r="Q453" s="27"/>
      <c r="S453" s="43"/>
      <c r="U453" s="43"/>
      <c r="W453" s="27"/>
      <c r="Y453" s="43"/>
      <c r="AA453" s="43"/>
      <c r="AC453" s="27"/>
      <c r="AE453" s="43"/>
      <c r="AG453" s="43"/>
      <c r="AJ453" s="27"/>
    </row>
    <row r="454" spans="4:36" s="92" customFormat="1" ht="15">
      <c r="D454" s="27"/>
      <c r="E454" s="27"/>
      <c r="F454" s="27"/>
      <c r="G454" s="27"/>
      <c r="H454" s="27"/>
      <c r="I454" s="27"/>
      <c r="K454" s="27"/>
      <c r="M454" s="43"/>
      <c r="O454" s="43"/>
      <c r="Q454" s="27"/>
      <c r="S454" s="43"/>
      <c r="U454" s="43"/>
      <c r="W454" s="27"/>
      <c r="Y454" s="43"/>
      <c r="AA454" s="43"/>
      <c r="AC454" s="27"/>
      <c r="AE454" s="43"/>
      <c r="AG454" s="43"/>
      <c r="AJ454" s="27"/>
    </row>
    <row r="455" spans="4:36" s="92" customFormat="1" ht="15">
      <c r="D455" s="27"/>
      <c r="E455" s="27"/>
      <c r="F455" s="27"/>
      <c r="G455" s="27"/>
      <c r="H455" s="27"/>
      <c r="I455" s="27"/>
      <c r="K455" s="27"/>
      <c r="M455" s="43"/>
      <c r="O455" s="43"/>
      <c r="Q455" s="27"/>
      <c r="S455" s="43"/>
      <c r="U455" s="43"/>
      <c r="W455" s="27"/>
      <c r="Y455" s="43"/>
      <c r="AA455" s="43"/>
      <c r="AC455" s="27"/>
      <c r="AE455" s="43"/>
      <c r="AG455" s="43"/>
      <c r="AJ455" s="27"/>
    </row>
    <row r="456" spans="4:36" s="92" customFormat="1" ht="15">
      <c r="D456" s="27"/>
      <c r="E456" s="27"/>
      <c r="F456" s="27"/>
      <c r="G456" s="27"/>
      <c r="H456" s="27"/>
      <c r="I456" s="27"/>
      <c r="K456" s="27"/>
      <c r="M456" s="43"/>
      <c r="O456" s="43"/>
      <c r="Q456" s="27"/>
      <c r="S456" s="43"/>
      <c r="U456" s="43"/>
      <c r="W456" s="27"/>
      <c r="Y456" s="43"/>
      <c r="AA456" s="43"/>
      <c r="AC456" s="27"/>
      <c r="AE456" s="43"/>
      <c r="AG456" s="43"/>
      <c r="AJ456" s="27"/>
    </row>
    <row r="457" spans="4:36" s="92" customFormat="1" ht="15">
      <c r="D457" s="27"/>
      <c r="E457" s="27"/>
      <c r="F457" s="27"/>
      <c r="G457" s="27"/>
      <c r="H457" s="27"/>
      <c r="I457" s="27"/>
      <c r="K457" s="27"/>
      <c r="M457" s="43"/>
      <c r="O457" s="43"/>
      <c r="Q457" s="27"/>
      <c r="S457" s="43"/>
      <c r="U457" s="43"/>
      <c r="W457" s="27"/>
      <c r="Y457" s="43"/>
      <c r="AA457" s="43"/>
      <c r="AC457" s="27"/>
      <c r="AE457" s="43"/>
      <c r="AG457" s="43"/>
      <c r="AJ457" s="27"/>
    </row>
    <row r="458" spans="4:36" s="92" customFormat="1" ht="15">
      <c r="D458" s="27"/>
      <c r="E458" s="27"/>
      <c r="F458" s="27"/>
      <c r="G458" s="27"/>
      <c r="H458" s="27"/>
      <c r="I458" s="27"/>
      <c r="K458" s="27"/>
      <c r="M458" s="43"/>
      <c r="O458" s="43"/>
      <c r="Q458" s="27"/>
      <c r="S458" s="43"/>
      <c r="U458" s="43"/>
      <c r="W458" s="27"/>
      <c r="Y458" s="43"/>
      <c r="AA458" s="43"/>
      <c r="AC458" s="27"/>
      <c r="AE458" s="43"/>
      <c r="AG458" s="43"/>
      <c r="AJ458" s="27"/>
    </row>
    <row r="459" spans="4:36" s="92" customFormat="1" ht="15">
      <c r="D459" s="27"/>
      <c r="E459" s="27"/>
      <c r="F459" s="27"/>
      <c r="G459" s="27"/>
      <c r="H459" s="27"/>
      <c r="I459" s="27"/>
      <c r="K459" s="27"/>
      <c r="M459" s="43"/>
      <c r="O459" s="43"/>
      <c r="Q459" s="27"/>
      <c r="S459" s="43"/>
      <c r="U459" s="43"/>
      <c r="W459" s="27"/>
      <c r="Y459" s="43"/>
      <c r="AA459" s="43"/>
      <c r="AC459" s="27"/>
      <c r="AE459" s="43"/>
      <c r="AG459" s="43"/>
      <c r="AJ459" s="27"/>
    </row>
    <row r="460" spans="4:36" s="92" customFormat="1" ht="15">
      <c r="D460" s="27"/>
      <c r="E460" s="27"/>
      <c r="F460" s="27"/>
      <c r="G460" s="27"/>
      <c r="H460" s="27"/>
      <c r="I460" s="27"/>
      <c r="K460" s="27"/>
      <c r="M460" s="43"/>
      <c r="O460" s="43"/>
      <c r="Q460" s="27"/>
      <c r="S460" s="43"/>
      <c r="U460" s="43"/>
      <c r="W460" s="27"/>
      <c r="Y460" s="43"/>
      <c r="AA460" s="43"/>
      <c r="AC460" s="27"/>
      <c r="AE460" s="43"/>
      <c r="AG460" s="43"/>
      <c r="AJ460" s="27"/>
    </row>
    <row r="461" spans="4:36" s="92" customFormat="1" ht="15">
      <c r="D461" s="27"/>
      <c r="E461" s="27"/>
      <c r="F461" s="27"/>
      <c r="G461" s="27"/>
      <c r="H461" s="27"/>
      <c r="I461" s="27"/>
      <c r="K461" s="27"/>
      <c r="M461" s="43"/>
      <c r="O461" s="43"/>
      <c r="Q461" s="27"/>
      <c r="S461" s="43"/>
      <c r="U461" s="43"/>
      <c r="W461" s="27"/>
      <c r="Y461" s="43"/>
      <c r="AA461" s="43"/>
      <c r="AC461" s="27"/>
      <c r="AE461" s="43"/>
      <c r="AG461" s="43"/>
      <c r="AJ461" s="27"/>
    </row>
    <row r="462" spans="4:36" s="92" customFormat="1" ht="15">
      <c r="D462" s="27"/>
      <c r="E462" s="27"/>
      <c r="F462" s="27"/>
      <c r="G462" s="27"/>
      <c r="H462" s="27"/>
      <c r="I462" s="27"/>
      <c r="K462" s="27"/>
      <c r="M462" s="43"/>
      <c r="O462" s="43"/>
      <c r="Q462" s="27"/>
      <c r="S462" s="43"/>
      <c r="U462" s="43"/>
      <c r="W462" s="27"/>
      <c r="Y462" s="43"/>
      <c r="AA462" s="43"/>
      <c r="AC462" s="27"/>
      <c r="AE462" s="43"/>
      <c r="AG462" s="43"/>
      <c r="AJ462" s="27"/>
    </row>
    <row r="463" spans="4:36" s="92" customFormat="1" ht="15">
      <c r="D463" s="27"/>
      <c r="E463" s="27"/>
      <c r="F463" s="27"/>
      <c r="G463" s="27"/>
      <c r="H463" s="27"/>
      <c r="I463" s="27"/>
      <c r="K463" s="27"/>
      <c r="M463" s="43"/>
      <c r="O463" s="43"/>
      <c r="Q463" s="27"/>
      <c r="S463" s="43"/>
      <c r="U463" s="43"/>
      <c r="W463" s="27"/>
      <c r="Y463" s="43"/>
      <c r="AA463" s="43"/>
      <c r="AC463" s="27"/>
      <c r="AE463" s="43"/>
      <c r="AG463" s="43"/>
      <c r="AJ463" s="27"/>
    </row>
    <row r="464" spans="4:36" s="92" customFormat="1" ht="15">
      <c r="D464" s="27"/>
      <c r="E464" s="27"/>
      <c r="F464" s="27"/>
      <c r="G464" s="27"/>
      <c r="H464" s="27"/>
      <c r="I464" s="27"/>
      <c r="K464" s="27"/>
      <c r="M464" s="43"/>
      <c r="O464" s="43"/>
      <c r="Q464" s="27"/>
      <c r="S464" s="43"/>
      <c r="U464" s="43"/>
      <c r="W464" s="27"/>
      <c r="Y464" s="43"/>
      <c r="AA464" s="43"/>
      <c r="AC464" s="27"/>
      <c r="AE464" s="43"/>
      <c r="AG464" s="43"/>
      <c r="AJ464" s="27"/>
    </row>
    <row r="465" spans="4:36" s="92" customFormat="1" ht="15">
      <c r="D465" s="27"/>
      <c r="E465" s="27"/>
      <c r="F465" s="27"/>
      <c r="G465" s="27"/>
      <c r="H465" s="27"/>
      <c r="I465" s="27"/>
      <c r="K465" s="27"/>
      <c r="M465" s="43"/>
      <c r="O465" s="43"/>
      <c r="Q465" s="27"/>
      <c r="S465" s="43"/>
      <c r="U465" s="43"/>
      <c r="W465" s="27"/>
      <c r="Y465" s="43"/>
      <c r="AA465" s="43"/>
      <c r="AC465" s="27"/>
      <c r="AE465" s="43"/>
      <c r="AG465" s="43"/>
      <c r="AJ465" s="27"/>
    </row>
    <row r="466" spans="4:36" s="92" customFormat="1" ht="15">
      <c r="D466" s="27"/>
      <c r="E466" s="27"/>
      <c r="F466" s="27"/>
      <c r="G466" s="27"/>
      <c r="H466" s="27"/>
      <c r="I466" s="27"/>
      <c r="K466" s="27"/>
      <c r="M466" s="43"/>
      <c r="O466" s="43"/>
      <c r="Q466" s="27"/>
      <c r="S466" s="43"/>
      <c r="U466" s="43"/>
      <c r="W466" s="27"/>
      <c r="Y466" s="43"/>
      <c r="AA466" s="43"/>
      <c r="AC466" s="27"/>
      <c r="AE466" s="43"/>
      <c r="AG466" s="43"/>
      <c r="AJ466" s="27"/>
    </row>
    <row r="467" spans="4:36" s="92" customFormat="1" ht="15">
      <c r="D467" s="27"/>
      <c r="E467" s="27"/>
      <c r="F467" s="27"/>
      <c r="G467" s="27"/>
      <c r="H467" s="27"/>
      <c r="I467" s="27"/>
      <c r="K467" s="27"/>
      <c r="M467" s="43"/>
      <c r="O467" s="43"/>
      <c r="Q467" s="27"/>
      <c r="S467" s="43"/>
      <c r="U467" s="43"/>
      <c r="W467" s="27"/>
      <c r="Y467" s="43"/>
      <c r="AA467" s="43"/>
      <c r="AC467" s="27"/>
      <c r="AE467" s="43"/>
      <c r="AG467" s="43"/>
      <c r="AJ467" s="27"/>
    </row>
    <row r="468" spans="4:36" s="92" customFormat="1" ht="15">
      <c r="D468" s="27"/>
      <c r="E468" s="27"/>
      <c r="F468" s="27"/>
      <c r="G468" s="27"/>
      <c r="H468" s="27"/>
      <c r="I468" s="27"/>
      <c r="K468" s="27"/>
      <c r="M468" s="43"/>
      <c r="O468" s="43"/>
      <c r="Q468" s="27"/>
      <c r="S468" s="43"/>
      <c r="U468" s="43"/>
      <c r="W468" s="27"/>
      <c r="Y468" s="43"/>
      <c r="AA468" s="43"/>
      <c r="AC468" s="27"/>
      <c r="AE468" s="43"/>
      <c r="AG468" s="43"/>
      <c r="AJ468" s="27"/>
    </row>
    <row r="469" spans="4:36" s="92" customFormat="1" ht="15">
      <c r="D469" s="27"/>
      <c r="E469" s="27"/>
      <c r="F469" s="27"/>
      <c r="G469" s="27"/>
      <c r="H469" s="27"/>
      <c r="I469" s="27"/>
      <c r="K469" s="27"/>
      <c r="M469" s="43"/>
      <c r="O469" s="43"/>
      <c r="Q469" s="27"/>
      <c r="S469" s="43"/>
      <c r="U469" s="43"/>
      <c r="W469" s="27"/>
      <c r="Y469" s="43"/>
      <c r="AA469" s="43"/>
      <c r="AC469" s="27"/>
      <c r="AE469" s="43"/>
      <c r="AG469" s="43"/>
      <c r="AJ469" s="27"/>
    </row>
    <row r="470" spans="4:36" s="92" customFormat="1" ht="15">
      <c r="D470" s="27"/>
      <c r="E470" s="27"/>
      <c r="F470" s="27"/>
      <c r="G470" s="27"/>
      <c r="H470" s="27"/>
      <c r="I470" s="27"/>
      <c r="K470" s="27"/>
      <c r="M470" s="43"/>
      <c r="O470" s="43"/>
      <c r="Q470" s="27"/>
      <c r="S470" s="43"/>
      <c r="U470" s="43"/>
      <c r="W470" s="27"/>
      <c r="Y470" s="43"/>
      <c r="AA470" s="43"/>
      <c r="AC470" s="27"/>
      <c r="AE470" s="43"/>
      <c r="AG470" s="43"/>
      <c r="AJ470" s="27"/>
    </row>
    <row r="471" spans="4:36" s="92" customFormat="1" ht="15">
      <c r="D471" s="27"/>
      <c r="E471" s="27"/>
      <c r="F471" s="27"/>
      <c r="G471" s="27"/>
      <c r="H471" s="27"/>
      <c r="I471" s="27"/>
      <c r="K471" s="27"/>
      <c r="M471" s="43"/>
      <c r="O471" s="43"/>
      <c r="Q471" s="27"/>
      <c r="S471" s="43"/>
      <c r="U471" s="43"/>
      <c r="W471" s="27"/>
      <c r="Y471" s="43"/>
      <c r="AA471" s="43"/>
      <c r="AC471" s="27"/>
      <c r="AE471" s="43"/>
      <c r="AG471" s="43"/>
      <c r="AJ471" s="27"/>
    </row>
    <row r="472" spans="4:36" s="92" customFormat="1" ht="15">
      <c r="D472" s="27"/>
      <c r="E472" s="27"/>
      <c r="F472" s="27"/>
      <c r="G472" s="27"/>
      <c r="H472" s="27"/>
      <c r="I472" s="27"/>
      <c r="K472" s="27"/>
      <c r="M472" s="43"/>
      <c r="O472" s="43"/>
      <c r="Q472" s="27"/>
      <c r="S472" s="43"/>
      <c r="U472" s="43"/>
      <c r="W472" s="27"/>
      <c r="Y472" s="43"/>
      <c r="AA472" s="43"/>
      <c r="AC472" s="27"/>
      <c r="AE472" s="43"/>
      <c r="AG472" s="43"/>
      <c r="AJ472" s="27"/>
    </row>
    <row r="473" spans="4:36" s="92" customFormat="1" ht="15">
      <c r="D473" s="27"/>
      <c r="E473" s="27"/>
      <c r="F473" s="27"/>
      <c r="G473" s="27"/>
      <c r="H473" s="27"/>
      <c r="I473" s="27"/>
      <c r="K473" s="27"/>
      <c r="M473" s="43"/>
      <c r="O473" s="43"/>
      <c r="Q473" s="27"/>
      <c r="S473" s="43"/>
      <c r="U473" s="43"/>
      <c r="W473" s="27"/>
      <c r="Y473" s="43"/>
      <c r="AA473" s="43"/>
      <c r="AC473" s="27"/>
      <c r="AE473" s="43"/>
      <c r="AG473" s="43"/>
      <c r="AJ473" s="27"/>
    </row>
    <row r="474" spans="4:36" s="92" customFormat="1" ht="15">
      <c r="D474" s="27"/>
      <c r="E474" s="27"/>
      <c r="F474" s="27"/>
      <c r="G474" s="27"/>
      <c r="H474" s="27"/>
      <c r="I474" s="27"/>
      <c r="K474" s="27"/>
      <c r="M474" s="43"/>
      <c r="O474" s="43"/>
      <c r="Q474" s="27"/>
      <c r="S474" s="43"/>
      <c r="U474" s="43"/>
      <c r="W474" s="27"/>
      <c r="Y474" s="43"/>
      <c r="AA474" s="43"/>
      <c r="AC474" s="27"/>
      <c r="AE474" s="43"/>
      <c r="AG474" s="43"/>
      <c r="AJ474" s="27"/>
    </row>
    <row r="475" spans="4:36" s="92" customFormat="1" ht="15">
      <c r="D475" s="27"/>
      <c r="E475" s="27"/>
      <c r="F475" s="27"/>
      <c r="G475" s="27"/>
      <c r="H475" s="27"/>
      <c r="I475" s="27"/>
      <c r="K475" s="27"/>
      <c r="M475" s="43"/>
      <c r="O475" s="43"/>
      <c r="Q475" s="27"/>
      <c r="S475" s="43"/>
      <c r="U475" s="43"/>
      <c r="W475" s="27"/>
      <c r="Y475" s="43"/>
      <c r="AA475" s="43"/>
      <c r="AC475" s="27"/>
      <c r="AE475" s="43"/>
      <c r="AG475" s="43"/>
      <c r="AJ475" s="27"/>
    </row>
    <row r="476" spans="4:36" s="92" customFormat="1" ht="15">
      <c r="D476" s="27"/>
      <c r="E476" s="27"/>
      <c r="F476" s="27"/>
      <c r="G476" s="27"/>
      <c r="H476" s="27"/>
      <c r="I476" s="27"/>
      <c r="K476" s="27"/>
      <c r="M476" s="43"/>
      <c r="O476" s="43"/>
      <c r="Q476" s="27"/>
      <c r="S476" s="43"/>
      <c r="U476" s="43"/>
      <c r="W476" s="27"/>
      <c r="Y476" s="43"/>
      <c r="AA476" s="43"/>
      <c r="AC476" s="27"/>
      <c r="AE476" s="43"/>
      <c r="AG476" s="43"/>
      <c r="AJ476" s="27"/>
    </row>
    <row r="477" spans="4:36" s="92" customFormat="1" ht="15">
      <c r="D477" s="27"/>
      <c r="E477" s="27"/>
      <c r="F477" s="27"/>
      <c r="G477" s="27"/>
      <c r="H477" s="27"/>
      <c r="I477" s="27"/>
      <c r="K477" s="27"/>
      <c r="M477" s="43"/>
      <c r="O477" s="43"/>
      <c r="Q477" s="27"/>
      <c r="S477" s="43"/>
      <c r="U477" s="43"/>
      <c r="W477" s="27"/>
      <c r="Y477" s="43"/>
      <c r="AA477" s="43"/>
      <c r="AC477" s="27"/>
      <c r="AE477" s="43"/>
      <c r="AG477" s="43"/>
      <c r="AJ477" s="27"/>
    </row>
    <row r="478" spans="4:36" s="92" customFormat="1" ht="15">
      <c r="D478" s="27"/>
      <c r="E478" s="27"/>
      <c r="F478" s="27"/>
      <c r="G478" s="27"/>
      <c r="H478" s="27"/>
      <c r="I478" s="27"/>
      <c r="K478" s="27"/>
      <c r="M478" s="43"/>
      <c r="O478" s="43"/>
      <c r="Q478" s="27"/>
      <c r="S478" s="43"/>
      <c r="U478" s="43"/>
      <c r="W478" s="27"/>
      <c r="Y478" s="43"/>
      <c r="AA478" s="43"/>
      <c r="AC478" s="27"/>
      <c r="AE478" s="43"/>
      <c r="AG478" s="43"/>
      <c r="AJ478" s="27"/>
    </row>
    <row r="479" spans="4:36" s="92" customFormat="1" ht="15">
      <c r="D479" s="27"/>
      <c r="E479" s="27"/>
      <c r="F479" s="27"/>
      <c r="G479" s="27"/>
      <c r="H479" s="27"/>
      <c r="I479" s="27"/>
      <c r="K479" s="27"/>
      <c r="M479" s="43"/>
      <c r="O479" s="43"/>
      <c r="Q479" s="27"/>
      <c r="S479" s="43"/>
      <c r="U479" s="43"/>
      <c r="W479" s="27"/>
      <c r="Y479" s="43"/>
      <c r="AA479" s="43"/>
      <c r="AC479" s="27"/>
      <c r="AE479" s="43"/>
      <c r="AG479" s="43"/>
      <c r="AJ479" s="27"/>
    </row>
    <row r="480" spans="4:36" s="92" customFormat="1" ht="15">
      <c r="D480" s="27"/>
      <c r="E480" s="27"/>
      <c r="F480" s="27"/>
      <c r="G480" s="27"/>
      <c r="H480" s="27"/>
      <c r="I480" s="27"/>
      <c r="K480" s="27"/>
      <c r="M480" s="43"/>
      <c r="O480" s="43"/>
      <c r="Q480" s="27"/>
      <c r="S480" s="43"/>
      <c r="U480" s="43"/>
      <c r="W480" s="27"/>
      <c r="Y480" s="43"/>
      <c r="AA480" s="43"/>
      <c r="AC480" s="27"/>
      <c r="AE480" s="43"/>
      <c r="AG480" s="43"/>
      <c r="AJ480" s="27"/>
    </row>
    <row r="481" spans="4:36" s="92" customFormat="1" ht="15">
      <c r="D481" s="27"/>
      <c r="E481" s="27"/>
      <c r="F481" s="27"/>
      <c r="G481" s="27"/>
      <c r="H481" s="27"/>
      <c r="I481" s="27"/>
      <c r="K481" s="27"/>
      <c r="M481" s="43"/>
      <c r="O481" s="43"/>
      <c r="Q481" s="27"/>
      <c r="S481" s="43"/>
      <c r="U481" s="43"/>
      <c r="W481" s="27"/>
      <c r="Y481" s="43"/>
      <c r="AA481" s="43"/>
      <c r="AC481" s="27"/>
      <c r="AE481" s="43"/>
      <c r="AG481" s="43"/>
      <c r="AJ481" s="27"/>
    </row>
    <row r="482" spans="4:36" s="92" customFormat="1" ht="15">
      <c r="D482" s="27"/>
      <c r="E482" s="27"/>
      <c r="F482" s="27"/>
      <c r="G482" s="27"/>
      <c r="H482" s="27"/>
      <c r="I482" s="27"/>
      <c r="K482" s="27"/>
      <c r="M482" s="43"/>
      <c r="O482" s="43"/>
      <c r="Q482" s="27"/>
      <c r="S482" s="43"/>
      <c r="U482" s="43"/>
      <c r="W482" s="27"/>
      <c r="Y482" s="43"/>
      <c r="AA482" s="43"/>
      <c r="AC482" s="27"/>
      <c r="AE482" s="43"/>
      <c r="AG482" s="43"/>
      <c r="AJ482" s="27"/>
    </row>
    <row r="483" spans="4:36" s="92" customFormat="1" ht="15">
      <c r="D483" s="27"/>
      <c r="E483" s="27"/>
      <c r="F483" s="27"/>
      <c r="G483" s="27"/>
      <c r="H483" s="27"/>
      <c r="I483" s="27"/>
      <c r="K483" s="27"/>
      <c r="M483" s="43"/>
      <c r="O483" s="43"/>
      <c r="Q483" s="27"/>
      <c r="S483" s="43"/>
      <c r="U483" s="43"/>
      <c r="W483" s="27"/>
      <c r="Y483" s="43"/>
      <c r="AA483" s="43"/>
      <c r="AC483" s="27"/>
      <c r="AE483" s="43"/>
      <c r="AG483" s="43"/>
      <c r="AJ483" s="27"/>
    </row>
    <row r="484" spans="4:36" s="92" customFormat="1" ht="15">
      <c r="D484" s="27"/>
      <c r="E484" s="27"/>
      <c r="F484" s="27"/>
      <c r="G484" s="27"/>
      <c r="H484" s="27"/>
      <c r="I484" s="27"/>
      <c r="K484" s="27"/>
      <c r="M484" s="43"/>
      <c r="O484" s="43"/>
      <c r="Q484" s="27"/>
      <c r="S484" s="43"/>
      <c r="U484" s="43"/>
      <c r="W484" s="27"/>
      <c r="Y484" s="43"/>
      <c r="AA484" s="43"/>
      <c r="AC484" s="27"/>
      <c r="AE484" s="43"/>
      <c r="AG484" s="43"/>
      <c r="AJ484" s="27"/>
    </row>
    <row r="485" spans="4:36" s="92" customFormat="1" ht="15">
      <c r="D485" s="27"/>
      <c r="E485" s="27"/>
      <c r="F485" s="27"/>
      <c r="G485" s="27"/>
      <c r="H485" s="27"/>
      <c r="I485" s="27"/>
      <c r="K485" s="27"/>
      <c r="M485" s="43"/>
      <c r="O485" s="43"/>
      <c r="Q485" s="27"/>
      <c r="S485" s="43"/>
      <c r="U485" s="43"/>
      <c r="W485" s="27"/>
      <c r="Y485" s="43"/>
      <c r="AA485" s="43"/>
      <c r="AC485" s="27"/>
      <c r="AE485" s="43"/>
      <c r="AG485" s="43"/>
      <c r="AJ485" s="27"/>
    </row>
    <row r="486" spans="4:36" s="92" customFormat="1" ht="15">
      <c r="D486" s="27"/>
      <c r="E486" s="27"/>
      <c r="F486" s="27"/>
      <c r="G486" s="27"/>
      <c r="H486" s="27"/>
      <c r="I486" s="27"/>
      <c r="K486" s="27"/>
      <c r="M486" s="43"/>
      <c r="O486" s="43"/>
      <c r="Q486" s="27"/>
      <c r="S486" s="43"/>
      <c r="U486" s="43"/>
      <c r="W486" s="27"/>
      <c r="Y486" s="43"/>
      <c r="AA486" s="43"/>
      <c r="AC486" s="27"/>
      <c r="AE486" s="43"/>
      <c r="AG486" s="43"/>
      <c r="AJ486" s="27"/>
    </row>
    <row r="487" spans="4:36" s="92" customFormat="1" ht="15">
      <c r="D487" s="27"/>
      <c r="E487" s="27"/>
      <c r="F487" s="27"/>
      <c r="G487" s="27"/>
      <c r="H487" s="27"/>
      <c r="I487" s="27"/>
      <c r="K487" s="27"/>
      <c r="M487" s="43"/>
      <c r="O487" s="43"/>
      <c r="Q487" s="27"/>
      <c r="S487" s="43"/>
      <c r="U487" s="43"/>
      <c r="W487" s="27"/>
      <c r="Y487" s="43"/>
      <c r="AA487" s="43"/>
      <c r="AC487" s="27"/>
      <c r="AE487" s="43"/>
      <c r="AG487" s="43"/>
      <c r="AJ487" s="27"/>
    </row>
    <row r="488" spans="4:36" s="92" customFormat="1" ht="15">
      <c r="D488" s="27"/>
      <c r="E488" s="27"/>
      <c r="F488" s="27"/>
      <c r="G488" s="27"/>
      <c r="H488" s="27"/>
      <c r="I488" s="27"/>
      <c r="K488" s="27"/>
      <c r="M488" s="43"/>
      <c r="O488" s="43"/>
      <c r="Q488" s="27"/>
      <c r="S488" s="43"/>
      <c r="U488" s="43"/>
      <c r="W488" s="27"/>
      <c r="Y488" s="43"/>
      <c r="AA488" s="43"/>
      <c r="AC488" s="27"/>
      <c r="AE488" s="43"/>
      <c r="AG488" s="43"/>
      <c r="AJ488" s="27"/>
    </row>
    <row r="489" spans="4:36" s="92" customFormat="1" ht="15">
      <c r="D489" s="27"/>
      <c r="E489" s="27"/>
      <c r="F489" s="27"/>
      <c r="G489" s="27"/>
      <c r="H489" s="27"/>
      <c r="I489" s="27"/>
      <c r="K489" s="27"/>
      <c r="M489" s="43"/>
      <c r="O489" s="43"/>
      <c r="Q489" s="27"/>
      <c r="S489" s="43"/>
      <c r="U489" s="43"/>
      <c r="W489" s="27"/>
      <c r="Y489" s="43"/>
      <c r="AA489" s="43"/>
      <c r="AC489" s="27"/>
      <c r="AE489" s="43"/>
      <c r="AG489" s="43"/>
      <c r="AJ489" s="27"/>
    </row>
    <row r="490" spans="4:36" s="92" customFormat="1" ht="15">
      <c r="D490" s="27"/>
      <c r="E490" s="27"/>
      <c r="F490" s="27"/>
      <c r="G490" s="27"/>
      <c r="H490" s="27"/>
      <c r="I490" s="27"/>
      <c r="K490" s="27"/>
      <c r="M490" s="43"/>
      <c r="O490" s="43"/>
      <c r="Q490" s="27"/>
      <c r="S490" s="43"/>
      <c r="U490" s="43"/>
      <c r="W490" s="27"/>
      <c r="Y490" s="43"/>
      <c r="AA490" s="43"/>
      <c r="AC490" s="27"/>
      <c r="AE490" s="43"/>
      <c r="AG490" s="43"/>
      <c r="AJ490" s="27"/>
    </row>
    <row r="491" spans="4:36" s="92" customFormat="1" ht="15">
      <c r="D491" s="27"/>
      <c r="E491" s="27"/>
      <c r="F491" s="27"/>
      <c r="G491" s="27"/>
      <c r="H491" s="27"/>
      <c r="I491" s="27"/>
      <c r="K491" s="27"/>
      <c r="M491" s="43"/>
      <c r="O491" s="43"/>
      <c r="Q491" s="27"/>
      <c r="S491" s="43"/>
      <c r="U491" s="43"/>
      <c r="W491" s="27"/>
      <c r="Y491" s="43"/>
      <c r="AA491" s="43"/>
      <c r="AC491" s="27"/>
      <c r="AE491" s="43"/>
      <c r="AG491" s="43"/>
      <c r="AJ491" s="27"/>
    </row>
    <row r="492" spans="4:36" s="92" customFormat="1" ht="15">
      <c r="D492" s="27"/>
      <c r="E492" s="27"/>
      <c r="F492" s="27"/>
      <c r="G492" s="27"/>
      <c r="H492" s="27"/>
      <c r="I492" s="27"/>
      <c r="K492" s="27"/>
      <c r="M492" s="43"/>
      <c r="O492" s="43"/>
      <c r="Q492" s="27"/>
      <c r="S492" s="43"/>
      <c r="U492" s="43"/>
      <c r="W492" s="27"/>
      <c r="Y492" s="43"/>
      <c r="AA492" s="43"/>
      <c r="AC492" s="27"/>
      <c r="AE492" s="43"/>
      <c r="AG492" s="43"/>
      <c r="AJ492" s="27"/>
    </row>
    <row r="493" spans="4:36" s="92" customFormat="1" ht="15">
      <c r="D493" s="27"/>
      <c r="E493" s="27"/>
      <c r="F493" s="27"/>
      <c r="G493" s="27"/>
      <c r="H493" s="27"/>
      <c r="I493" s="27"/>
      <c r="K493" s="27"/>
      <c r="M493" s="43"/>
      <c r="O493" s="43"/>
      <c r="Q493" s="27"/>
      <c r="S493" s="43"/>
      <c r="U493" s="43"/>
      <c r="W493" s="27"/>
      <c r="Y493" s="43"/>
      <c r="AA493" s="43"/>
      <c r="AC493" s="27"/>
      <c r="AE493" s="43"/>
      <c r="AG493" s="43"/>
      <c r="AJ493" s="27"/>
    </row>
    <row r="494" spans="4:36" s="92" customFormat="1" ht="15">
      <c r="D494" s="27"/>
      <c r="E494" s="27"/>
      <c r="F494" s="27"/>
      <c r="G494" s="27"/>
      <c r="H494" s="27"/>
      <c r="I494" s="27"/>
      <c r="K494" s="27"/>
      <c r="M494" s="43"/>
      <c r="O494" s="43"/>
      <c r="Q494" s="27"/>
      <c r="S494" s="43"/>
      <c r="U494" s="43"/>
      <c r="W494" s="27"/>
      <c r="Y494" s="43"/>
      <c r="AA494" s="43"/>
      <c r="AC494" s="27"/>
      <c r="AE494" s="43"/>
      <c r="AG494" s="43"/>
      <c r="AJ494" s="27"/>
    </row>
    <row r="495" spans="4:36" s="92" customFormat="1" ht="15">
      <c r="D495" s="27"/>
      <c r="E495" s="27"/>
      <c r="F495" s="27"/>
      <c r="G495" s="27"/>
      <c r="H495" s="27"/>
      <c r="I495" s="27"/>
      <c r="K495" s="27"/>
      <c r="M495" s="43"/>
      <c r="O495" s="43"/>
      <c r="Q495" s="27"/>
      <c r="S495" s="43"/>
      <c r="U495" s="43"/>
      <c r="W495" s="27"/>
      <c r="Y495" s="43"/>
      <c r="AA495" s="43"/>
      <c r="AC495" s="27"/>
      <c r="AE495" s="43"/>
      <c r="AG495" s="43"/>
      <c r="AJ495" s="27"/>
    </row>
    <row r="496" spans="4:36" s="92" customFormat="1" ht="15">
      <c r="D496" s="27"/>
      <c r="E496" s="27"/>
      <c r="F496" s="27"/>
      <c r="G496" s="27"/>
      <c r="H496" s="27"/>
      <c r="I496" s="27"/>
      <c r="K496" s="27"/>
      <c r="M496" s="43"/>
      <c r="O496" s="43"/>
      <c r="Q496" s="27"/>
      <c r="S496" s="43"/>
      <c r="U496" s="43"/>
      <c r="W496" s="27"/>
      <c r="Y496" s="43"/>
      <c r="AA496" s="43"/>
      <c r="AC496" s="27"/>
      <c r="AE496" s="43"/>
      <c r="AG496" s="43"/>
      <c r="AJ496" s="27"/>
    </row>
    <row r="497" spans="4:36" s="92" customFormat="1" ht="15">
      <c r="D497" s="27"/>
      <c r="E497" s="27"/>
      <c r="F497" s="27"/>
      <c r="G497" s="27"/>
      <c r="H497" s="27"/>
      <c r="I497" s="27"/>
      <c r="K497" s="27"/>
      <c r="M497" s="43"/>
      <c r="O497" s="43"/>
      <c r="Q497" s="27"/>
      <c r="S497" s="43"/>
      <c r="U497" s="43"/>
      <c r="W497" s="27"/>
      <c r="Y497" s="43"/>
      <c r="AA497" s="43"/>
      <c r="AC497" s="27"/>
      <c r="AE497" s="43"/>
      <c r="AG497" s="43"/>
      <c r="AJ497" s="27"/>
    </row>
    <row r="498" spans="4:36" s="92" customFormat="1" ht="15">
      <c r="D498" s="27"/>
      <c r="E498" s="27"/>
      <c r="F498" s="27"/>
      <c r="G498" s="27"/>
      <c r="H498" s="27"/>
      <c r="I498" s="27"/>
      <c r="K498" s="27"/>
      <c r="M498" s="43"/>
      <c r="O498" s="43"/>
      <c r="Q498" s="27"/>
      <c r="S498" s="43"/>
      <c r="U498" s="43"/>
      <c r="W498" s="27"/>
      <c r="Y498" s="43"/>
      <c r="AA498" s="43"/>
      <c r="AC498" s="27"/>
      <c r="AE498" s="43"/>
      <c r="AG498" s="43"/>
      <c r="AJ498" s="27"/>
    </row>
    <row r="499" spans="4:36" s="92" customFormat="1" ht="15">
      <c r="D499" s="27"/>
      <c r="E499" s="27"/>
      <c r="F499" s="27"/>
      <c r="G499" s="27"/>
      <c r="H499" s="27"/>
      <c r="I499" s="27"/>
      <c r="K499" s="27"/>
      <c r="M499" s="43"/>
      <c r="O499" s="43"/>
      <c r="Q499" s="27"/>
      <c r="S499" s="43"/>
      <c r="U499" s="43"/>
      <c r="W499" s="27"/>
      <c r="Y499" s="43"/>
      <c r="AA499" s="43"/>
      <c r="AC499" s="27"/>
      <c r="AE499" s="43"/>
      <c r="AG499" s="43"/>
      <c r="AJ499" s="27"/>
    </row>
    <row r="500" spans="4:36" s="92" customFormat="1" ht="15">
      <c r="D500" s="27"/>
      <c r="E500" s="27"/>
      <c r="F500" s="27"/>
      <c r="G500" s="27"/>
      <c r="H500" s="27"/>
      <c r="I500" s="27"/>
      <c r="K500" s="27"/>
      <c r="M500" s="43"/>
      <c r="O500" s="43"/>
      <c r="Q500" s="27"/>
      <c r="S500" s="43"/>
      <c r="U500" s="43"/>
      <c r="W500" s="27"/>
      <c r="Y500" s="43"/>
      <c r="AA500" s="43"/>
      <c r="AC500" s="27"/>
      <c r="AE500" s="43"/>
      <c r="AG500" s="43"/>
      <c r="AJ500" s="27"/>
    </row>
    <row r="501" spans="4:36" s="92" customFormat="1" ht="15">
      <c r="D501" s="27"/>
      <c r="E501" s="27"/>
      <c r="F501" s="27"/>
      <c r="G501" s="27"/>
      <c r="H501" s="27"/>
      <c r="I501" s="27"/>
      <c r="K501" s="27"/>
      <c r="M501" s="43"/>
      <c r="O501" s="43"/>
      <c r="Q501" s="27"/>
      <c r="S501" s="43"/>
      <c r="U501" s="43"/>
      <c r="W501" s="27"/>
      <c r="Y501" s="43"/>
      <c r="AA501" s="43"/>
      <c r="AC501" s="27"/>
      <c r="AE501" s="43"/>
      <c r="AG501" s="43"/>
      <c r="AJ501" s="27"/>
    </row>
    <row r="502" spans="4:36" s="92" customFormat="1" ht="15">
      <c r="D502" s="27"/>
      <c r="E502" s="27"/>
      <c r="F502" s="27"/>
      <c r="G502" s="27"/>
      <c r="H502" s="27"/>
      <c r="I502" s="27"/>
      <c r="K502" s="27"/>
      <c r="M502" s="43"/>
      <c r="O502" s="43"/>
      <c r="Q502" s="27"/>
      <c r="S502" s="43"/>
      <c r="U502" s="43"/>
      <c r="W502" s="27"/>
      <c r="Y502" s="43"/>
      <c r="AA502" s="43"/>
      <c r="AC502" s="27"/>
      <c r="AE502" s="43"/>
      <c r="AG502" s="43"/>
      <c r="AJ502" s="27"/>
    </row>
    <row r="503" spans="4:36" s="92" customFormat="1" ht="15">
      <c r="D503" s="27"/>
      <c r="E503" s="27"/>
      <c r="F503" s="27"/>
      <c r="G503" s="27"/>
      <c r="H503" s="27"/>
      <c r="I503" s="27"/>
      <c r="K503" s="27"/>
      <c r="M503" s="43"/>
      <c r="O503" s="43"/>
      <c r="Q503" s="27"/>
      <c r="S503" s="43"/>
      <c r="U503" s="43"/>
      <c r="W503" s="27"/>
      <c r="Y503" s="43"/>
      <c r="AA503" s="43"/>
      <c r="AC503" s="27"/>
      <c r="AE503" s="43"/>
      <c r="AG503" s="43"/>
      <c r="AJ503" s="27"/>
    </row>
    <row r="504" spans="4:36" s="92" customFormat="1" ht="15">
      <c r="D504" s="27"/>
      <c r="E504" s="27"/>
      <c r="F504" s="27"/>
      <c r="G504" s="27"/>
      <c r="H504" s="27"/>
      <c r="I504" s="27"/>
      <c r="K504" s="27"/>
      <c r="M504" s="43"/>
      <c r="O504" s="43"/>
      <c r="Q504" s="27"/>
      <c r="S504" s="43"/>
      <c r="U504" s="43"/>
      <c r="W504" s="27"/>
      <c r="Y504" s="43"/>
      <c r="AA504" s="43"/>
      <c r="AC504" s="27"/>
      <c r="AE504" s="43"/>
      <c r="AG504" s="43"/>
      <c r="AJ504" s="27"/>
    </row>
    <row r="505" spans="4:36" s="92" customFormat="1" ht="15">
      <c r="D505" s="27"/>
      <c r="E505" s="27"/>
      <c r="F505" s="27"/>
      <c r="G505" s="27"/>
      <c r="H505" s="27"/>
      <c r="I505" s="27"/>
      <c r="K505" s="27"/>
      <c r="M505" s="43"/>
      <c r="O505" s="43"/>
      <c r="Q505" s="27"/>
      <c r="S505" s="43"/>
      <c r="U505" s="43"/>
      <c r="W505" s="27"/>
      <c r="Y505" s="43"/>
      <c r="AA505" s="43"/>
      <c r="AC505" s="27"/>
      <c r="AE505" s="43"/>
      <c r="AG505" s="43"/>
      <c r="AJ505" s="27"/>
    </row>
    <row r="506" spans="4:36" s="92" customFormat="1" ht="15">
      <c r="D506" s="27"/>
      <c r="E506" s="27"/>
      <c r="F506" s="27"/>
      <c r="G506" s="27"/>
      <c r="H506" s="27"/>
      <c r="I506" s="27"/>
      <c r="K506" s="27"/>
      <c r="M506" s="43"/>
      <c r="O506" s="43"/>
      <c r="Q506" s="27"/>
      <c r="S506" s="43"/>
      <c r="U506" s="43"/>
      <c r="W506" s="27"/>
      <c r="Y506" s="43"/>
      <c r="AA506" s="43"/>
      <c r="AC506" s="27"/>
      <c r="AE506" s="43"/>
      <c r="AG506" s="43"/>
      <c r="AJ506" s="27"/>
    </row>
    <row r="507" spans="4:36" s="92" customFormat="1" ht="15">
      <c r="D507" s="27"/>
      <c r="E507" s="27"/>
      <c r="F507" s="27"/>
      <c r="G507" s="27"/>
      <c r="H507" s="27"/>
      <c r="I507" s="27"/>
      <c r="K507" s="27"/>
      <c r="M507" s="43"/>
      <c r="O507" s="43"/>
      <c r="Q507" s="27"/>
      <c r="S507" s="43"/>
      <c r="U507" s="43"/>
      <c r="W507" s="27"/>
      <c r="Y507" s="43"/>
      <c r="AA507" s="43"/>
      <c r="AC507" s="27"/>
      <c r="AE507" s="43"/>
      <c r="AG507" s="43"/>
      <c r="AJ507" s="27"/>
    </row>
    <row r="508" spans="4:36" s="92" customFormat="1" ht="15">
      <c r="D508" s="27"/>
      <c r="E508" s="27"/>
      <c r="F508" s="27"/>
      <c r="G508" s="27"/>
      <c r="H508" s="27"/>
      <c r="I508" s="27"/>
      <c r="K508" s="27"/>
      <c r="M508" s="43"/>
      <c r="O508" s="43"/>
      <c r="Q508" s="27"/>
      <c r="S508" s="43"/>
      <c r="U508" s="43"/>
      <c r="W508" s="27"/>
      <c r="Y508" s="43"/>
      <c r="AA508" s="43"/>
      <c r="AC508" s="27"/>
      <c r="AE508" s="43"/>
      <c r="AG508" s="43"/>
      <c r="AJ508" s="27"/>
    </row>
    <row r="509" spans="4:36" s="92" customFormat="1" ht="15">
      <c r="D509" s="27"/>
      <c r="E509" s="27"/>
      <c r="F509" s="27"/>
      <c r="G509" s="27"/>
      <c r="H509" s="27"/>
      <c r="I509" s="27"/>
      <c r="K509" s="27"/>
      <c r="M509" s="43"/>
      <c r="O509" s="43"/>
      <c r="Q509" s="27"/>
      <c r="S509" s="43"/>
      <c r="U509" s="43"/>
      <c r="W509" s="27"/>
      <c r="Y509" s="43"/>
      <c r="AA509" s="43"/>
      <c r="AC509" s="27"/>
      <c r="AE509" s="43"/>
      <c r="AG509" s="43"/>
      <c r="AJ509" s="27"/>
    </row>
    <row r="510" spans="4:36" s="92" customFormat="1" ht="15">
      <c r="D510" s="27"/>
      <c r="E510" s="27"/>
      <c r="F510" s="27"/>
      <c r="G510" s="27"/>
      <c r="H510" s="27"/>
      <c r="I510" s="27"/>
      <c r="K510" s="27"/>
      <c r="M510" s="43"/>
      <c r="O510" s="43"/>
      <c r="Q510" s="27"/>
      <c r="S510" s="43"/>
      <c r="U510" s="43"/>
      <c r="W510" s="27"/>
      <c r="Y510" s="43"/>
      <c r="AA510" s="43"/>
      <c r="AC510" s="27"/>
      <c r="AE510" s="43"/>
      <c r="AG510" s="43"/>
      <c r="AJ510" s="27"/>
    </row>
    <row r="511" spans="4:36" s="92" customFormat="1" ht="15">
      <c r="D511" s="27"/>
      <c r="E511" s="27"/>
      <c r="F511" s="27"/>
      <c r="G511" s="27"/>
      <c r="H511" s="27"/>
      <c r="I511" s="27"/>
      <c r="K511" s="27"/>
      <c r="M511" s="43"/>
      <c r="O511" s="43"/>
      <c r="Q511" s="27"/>
      <c r="S511" s="43"/>
      <c r="U511" s="43"/>
      <c r="W511" s="27"/>
      <c r="Y511" s="43"/>
      <c r="AA511" s="43"/>
      <c r="AC511" s="27"/>
      <c r="AE511" s="43"/>
      <c r="AG511" s="43"/>
      <c r="AJ511" s="27"/>
    </row>
    <row r="512" spans="4:36" s="92" customFormat="1" ht="15">
      <c r="D512" s="27"/>
      <c r="E512" s="27"/>
      <c r="F512" s="27"/>
      <c r="G512" s="27"/>
      <c r="H512" s="27"/>
      <c r="I512" s="27"/>
      <c r="K512" s="27"/>
      <c r="M512" s="43"/>
      <c r="O512" s="43"/>
      <c r="Q512" s="27"/>
      <c r="S512" s="43"/>
      <c r="U512" s="43"/>
      <c r="W512" s="27"/>
      <c r="Y512" s="43"/>
      <c r="AA512" s="43"/>
      <c r="AC512" s="27"/>
      <c r="AE512" s="43"/>
      <c r="AG512" s="43"/>
      <c r="AJ512" s="27"/>
    </row>
    <row r="513" spans="4:36" s="92" customFormat="1" ht="15">
      <c r="D513" s="27"/>
      <c r="E513" s="27"/>
      <c r="F513" s="27"/>
      <c r="G513" s="27"/>
      <c r="H513" s="27"/>
      <c r="I513" s="27"/>
      <c r="K513" s="27"/>
      <c r="M513" s="43"/>
      <c r="O513" s="43"/>
      <c r="Q513" s="27"/>
      <c r="S513" s="43"/>
      <c r="U513" s="43"/>
      <c r="W513" s="27"/>
      <c r="Y513" s="43"/>
      <c r="AA513" s="43"/>
      <c r="AC513" s="27"/>
      <c r="AE513" s="43"/>
      <c r="AG513" s="43"/>
      <c r="AJ513" s="27"/>
    </row>
    <row r="514" spans="4:36" s="92" customFormat="1" ht="15">
      <c r="D514" s="27"/>
      <c r="E514" s="27"/>
      <c r="F514" s="27"/>
      <c r="G514" s="27"/>
      <c r="H514" s="27"/>
      <c r="I514" s="27"/>
      <c r="K514" s="27"/>
      <c r="M514" s="43"/>
      <c r="O514" s="43"/>
      <c r="Q514" s="27"/>
      <c r="S514" s="43"/>
      <c r="U514" s="43"/>
      <c r="W514" s="27"/>
      <c r="Y514" s="43"/>
      <c r="AA514" s="43"/>
      <c r="AC514" s="27"/>
      <c r="AE514" s="43"/>
      <c r="AG514" s="43"/>
      <c r="AJ514" s="27"/>
    </row>
    <row r="515" spans="4:36" s="92" customFormat="1" ht="15">
      <c r="D515" s="27"/>
      <c r="E515" s="27"/>
      <c r="F515" s="27"/>
      <c r="G515" s="27"/>
      <c r="H515" s="27"/>
      <c r="I515" s="27"/>
      <c r="K515" s="27"/>
      <c r="M515" s="43"/>
      <c r="O515" s="43"/>
      <c r="Q515" s="27"/>
      <c r="S515" s="43"/>
      <c r="U515" s="43"/>
      <c r="W515" s="27"/>
      <c r="Y515" s="43"/>
      <c r="AA515" s="43"/>
      <c r="AC515" s="27"/>
      <c r="AE515" s="43"/>
      <c r="AG515" s="43"/>
      <c r="AJ515" s="27"/>
    </row>
    <row r="516" spans="4:36" s="92" customFormat="1" ht="15">
      <c r="D516" s="27"/>
      <c r="E516" s="27"/>
      <c r="F516" s="27"/>
      <c r="G516" s="27"/>
      <c r="H516" s="27"/>
      <c r="I516" s="27"/>
      <c r="K516" s="27"/>
      <c r="M516" s="43"/>
      <c r="O516" s="43"/>
      <c r="Q516" s="27"/>
      <c r="S516" s="43"/>
      <c r="U516" s="43"/>
      <c r="W516" s="27"/>
      <c r="Y516" s="43"/>
      <c r="AA516" s="43"/>
      <c r="AC516" s="27"/>
      <c r="AE516" s="43"/>
      <c r="AG516" s="43"/>
      <c r="AJ516" s="27"/>
    </row>
    <row r="517" spans="4:36" s="92" customFormat="1" ht="15">
      <c r="D517" s="27"/>
      <c r="E517" s="27"/>
      <c r="F517" s="27"/>
      <c r="G517" s="27"/>
      <c r="H517" s="27"/>
      <c r="I517" s="27"/>
      <c r="K517" s="27"/>
      <c r="M517" s="43"/>
      <c r="O517" s="43"/>
      <c r="Q517" s="27"/>
      <c r="S517" s="43"/>
      <c r="U517" s="43"/>
      <c r="W517" s="27"/>
      <c r="Y517" s="43"/>
      <c r="AA517" s="43"/>
      <c r="AC517" s="27"/>
      <c r="AE517" s="43"/>
      <c r="AG517" s="43"/>
      <c r="AJ517" s="27"/>
    </row>
    <row r="518" spans="4:36" s="92" customFormat="1" ht="15">
      <c r="D518" s="27"/>
      <c r="E518" s="27"/>
      <c r="F518" s="27"/>
      <c r="G518" s="27"/>
      <c r="H518" s="27"/>
      <c r="I518" s="27"/>
      <c r="K518" s="27"/>
      <c r="M518" s="43"/>
      <c r="O518" s="43"/>
      <c r="Q518" s="27"/>
      <c r="S518" s="43"/>
      <c r="U518" s="43"/>
      <c r="W518" s="27"/>
      <c r="Y518" s="43"/>
      <c r="AA518" s="43"/>
      <c r="AC518" s="27"/>
      <c r="AE518" s="43"/>
      <c r="AG518" s="43"/>
      <c r="AJ518" s="27"/>
    </row>
    <row r="519" spans="4:36" s="92" customFormat="1" ht="15">
      <c r="D519" s="27"/>
      <c r="E519" s="27"/>
      <c r="F519" s="27"/>
      <c r="G519" s="27"/>
      <c r="H519" s="27"/>
      <c r="I519" s="27"/>
      <c r="K519" s="27"/>
      <c r="M519" s="43"/>
      <c r="O519" s="43"/>
      <c r="Q519" s="27"/>
      <c r="S519" s="43"/>
      <c r="U519" s="43"/>
      <c r="W519" s="27"/>
      <c r="Y519" s="43"/>
      <c r="AA519" s="43"/>
      <c r="AC519" s="27"/>
      <c r="AE519" s="43"/>
      <c r="AG519" s="43"/>
      <c r="AJ519" s="27"/>
    </row>
    <row r="520" spans="4:36" s="92" customFormat="1" ht="15">
      <c r="D520" s="27"/>
      <c r="E520" s="27"/>
      <c r="F520" s="27"/>
      <c r="G520" s="27"/>
      <c r="H520" s="27"/>
      <c r="I520" s="27"/>
      <c r="K520" s="27"/>
      <c r="M520" s="43"/>
      <c r="O520" s="43"/>
      <c r="Q520" s="27"/>
      <c r="S520" s="43"/>
      <c r="U520" s="43"/>
      <c r="W520" s="27"/>
      <c r="Y520" s="43"/>
      <c r="AA520" s="43"/>
      <c r="AC520" s="27"/>
      <c r="AE520" s="43"/>
      <c r="AG520" s="43"/>
      <c r="AJ520" s="27"/>
    </row>
    <row r="521" spans="4:36" s="92" customFormat="1" ht="15">
      <c r="D521" s="27"/>
      <c r="E521" s="27"/>
      <c r="F521" s="27"/>
      <c r="G521" s="27"/>
      <c r="H521" s="27"/>
      <c r="I521" s="27"/>
      <c r="K521" s="27"/>
      <c r="M521" s="43"/>
      <c r="O521" s="43"/>
      <c r="Q521" s="27"/>
      <c r="S521" s="43"/>
      <c r="U521" s="43"/>
      <c r="W521" s="27"/>
      <c r="Y521" s="43"/>
      <c r="AA521" s="43"/>
      <c r="AC521" s="27"/>
      <c r="AE521" s="43"/>
      <c r="AG521" s="43"/>
      <c r="AJ521" s="27"/>
    </row>
    <row r="522" spans="4:36" s="92" customFormat="1" ht="15">
      <c r="D522" s="27"/>
      <c r="E522" s="27"/>
      <c r="F522" s="27"/>
      <c r="G522" s="27"/>
      <c r="H522" s="27"/>
      <c r="I522" s="27"/>
      <c r="K522" s="27"/>
      <c r="M522" s="43"/>
      <c r="O522" s="43"/>
      <c r="Q522" s="27"/>
      <c r="S522" s="43"/>
      <c r="U522" s="43"/>
      <c r="W522" s="27"/>
      <c r="Y522" s="43"/>
      <c r="AA522" s="43"/>
      <c r="AC522" s="27"/>
      <c r="AE522" s="43"/>
      <c r="AG522" s="43"/>
      <c r="AJ522" s="27"/>
    </row>
    <row r="523" spans="4:36" s="92" customFormat="1" ht="15">
      <c r="D523" s="27"/>
      <c r="E523" s="27"/>
      <c r="F523" s="27"/>
      <c r="G523" s="27"/>
      <c r="H523" s="27"/>
      <c r="I523" s="27"/>
      <c r="K523" s="27"/>
      <c r="M523" s="43"/>
      <c r="O523" s="43"/>
      <c r="Q523" s="27"/>
      <c r="S523" s="43"/>
      <c r="U523" s="43"/>
      <c r="W523" s="27"/>
      <c r="Y523" s="43"/>
      <c r="AA523" s="43"/>
      <c r="AC523" s="27"/>
      <c r="AE523" s="43"/>
      <c r="AG523" s="43"/>
      <c r="AJ523" s="27"/>
    </row>
    <row r="524" spans="4:36" s="92" customFormat="1" ht="15">
      <c r="D524" s="27"/>
      <c r="E524" s="27"/>
      <c r="F524" s="27"/>
      <c r="G524" s="27"/>
      <c r="H524" s="27"/>
      <c r="I524" s="27"/>
      <c r="K524" s="27"/>
      <c r="M524" s="43"/>
      <c r="O524" s="43"/>
      <c r="Q524" s="27"/>
      <c r="S524" s="43"/>
      <c r="U524" s="43"/>
      <c r="W524" s="27"/>
      <c r="Y524" s="43"/>
      <c r="AA524" s="43"/>
      <c r="AC524" s="27"/>
      <c r="AE524" s="43"/>
      <c r="AG524" s="43"/>
      <c r="AJ524" s="27"/>
    </row>
    <row r="525" spans="4:36" s="92" customFormat="1" ht="15">
      <c r="D525" s="27"/>
      <c r="E525" s="27"/>
      <c r="F525" s="27"/>
      <c r="G525" s="27"/>
      <c r="H525" s="27"/>
      <c r="I525" s="27"/>
      <c r="K525" s="27"/>
      <c r="M525" s="43"/>
      <c r="O525" s="43"/>
      <c r="Q525" s="27"/>
      <c r="S525" s="43"/>
      <c r="U525" s="43"/>
      <c r="W525" s="27"/>
      <c r="Y525" s="43"/>
      <c r="AA525" s="43"/>
      <c r="AC525" s="27"/>
      <c r="AE525" s="43"/>
      <c r="AG525" s="43"/>
      <c r="AJ525" s="27"/>
    </row>
    <row r="526" spans="4:36" s="92" customFormat="1" ht="15">
      <c r="D526" s="27"/>
      <c r="E526" s="27"/>
      <c r="F526" s="27"/>
      <c r="G526" s="27"/>
      <c r="H526" s="27"/>
      <c r="I526" s="27"/>
      <c r="K526" s="27"/>
      <c r="M526" s="43"/>
      <c r="O526" s="43"/>
      <c r="Q526" s="27"/>
      <c r="S526" s="43"/>
      <c r="U526" s="43"/>
      <c r="W526" s="27"/>
      <c r="Y526" s="43"/>
      <c r="AA526" s="43"/>
      <c r="AC526" s="27"/>
      <c r="AE526" s="43"/>
      <c r="AG526" s="43"/>
      <c r="AJ526" s="27"/>
    </row>
    <row r="527" spans="4:36" s="92" customFormat="1" ht="15">
      <c r="D527" s="27"/>
      <c r="E527" s="27"/>
      <c r="F527" s="27"/>
      <c r="G527" s="27"/>
      <c r="H527" s="27"/>
      <c r="I527" s="27"/>
      <c r="K527" s="27"/>
      <c r="M527" s="43"/>
      <c r="O527" s="43"/>
      <c r="Q527" s="27"/>
      <c r="S527" s="43"/>
      <c r="U527" s="43"/>
      <c r="W527" s="27"/>
      <c r="Y527" s="43"/>
      <c r="AA527" s="43"/>
      <c r="AC527" s="27"/>
      <c r="AE527" s="43"/>
      <c r="AG527" s="43"/>
      <c r="AJ527" s="27"/>
    </row>
    <row r="528" spans="4:36" s="92" customFormat="1" ht="15">
      <c r="D528" s="27"/>
      <c r="E528" s="27"/>
      <c r="F528" s="27"/>
      <c r="G528" s="27"/>
      <c r="H528" s="27"/>
      <c r="I528" s="27"/>
      <c r="K528" s="27"/>
      <c r="M528" s="43"/>
      <c r="O528" s="43"/>
      <c r="Q528" s="27"/>
      <c r="S528" s="43"/>
      <c r="U528" s="43"/>
      <c r="W528" s="27"/>
      <c r="Y528" s="43"/>
      <c r="AA528" s="43"/>
      <c r="AC528" s="27"/>
      <c r="AE528" s="43"/>
      <c r="AG528" s="43"/>
      <c r="AJ528" s="27"/>
    </row>
    <row r="529" spans="4:36" s="92" customFormat="1" ht="15">
      <c r="D529" s="27"/>
      <c r="E529" s="27"/>
      <c r="F529" s="27"/>
      <c r="G529" s="27"/>
      <c r="H529" s="27"/>
      <c r="I529" s="27"/>
      <c r="K529" s="27"/>
      <c r="M529" s="43"/>
      <c r="O529" s="43"/>
      <c r="Q529" s="27"/>
      <c r="S529" s="43"/>
      <c r="U529" s="43"/>
      <c r="W529" s="27"/>
      <c r="Y529" s="43"/>
      <c r="AA529" s="43"/>
      <c r="AC529" s="27"/>
      <c r="AE529" s="43"/>
      <c r="AG529" s="43"/>
      <c r="AJ529" s="27"/>
    </row>
    <row r="530" spans="4:36" s="92" customFormat="1" ht="15">
      <c r="D530" s="27"/>
      <c r="E530" s="27"/>
      <c r="F530" s="27"/>
      <c r="G530" s="27"/>
      <c r="H530" s="27"/>
      <c r="I530" s="27"/>
      <c r="K530" s="27"/>
      <c r="M530" s="43"/>
      <c r="O530" s="43"/>
      <c r="Q530" s="27"/>
      <c r="S530" s="43"/>
      <c r="U530" s="43"/>
      <c r="W530" s="27"/>
      <c r="Y530" s="43"/>
      <c r="AA530" s="43"/>
      <c r="AC530" s="27"/>
      <c r="AE530" s="43"/>
      <c r="AG530" s="43"/>
      <c r="AJ530" s="27"/>
    </row>
    <row r="531" spans="4:36" s="92" customFormat="1" ht="15">
      <c r="D531" s="27"/>
      <c r="E531" s="27"/>
      <c r="F531" s="27"/>
      <c r="G531" s="27"/>
      <c r="H531" s="27"/>
      <c r="I531" s="27"/>
      <c r="K531" s="27"/>
      <c r="M531" s="43"/>
      <c r="O531" s="43"/>
      <c r="Q531" s="27"/>
      <c r="S531" s="43"/>
      <c r="U531" s="43"/>
      <c r="W531" s="27"/>
      <c r="Y531" s="43"/>
      <c r="AA531" s="43"/>
      <c r="AC531" s="27"/>
      <c r="AE531" s="43"/>
      <c r="AG531" s="43"/>
      <c r="AJ531" s="27"/>
    </row>
    <row r="532" spans="4:36" s="92" customFormat="1" ht="15">
      <c r="D532" s="27"/>
      <c r="E532" s="27"/>
      <c r="F532" s="27"/>
      <c r="G532" s="27"/>
      <c r="H532" s="27"/>
      <c r="I532" s="27"/>
      <c r="K532" s="27"/>
      <c r="M532" s="43"/>
      <c r="O532" s="43"/>
      <c r="Q532" s="27"/>
      <c r="S532" s="43"/>
      <c r="U532" s="43"/>
      <c r="W532" s="27"/>
      <c r="Y532" s="43"/>
      <c r="AA532" s="43"/>
      <c r="AC532" s="27"/>
      <c r="AE532" s="43"/>
      <c r="AG532" s="43"/>
      <c r="AJ532" s="27"/>
    </row>
    <row r="533" spans="4:36" s="92" customFormat="1" ht="15">
      <c r="D533" s="27"/>
      <c r="E533" s="27"/>
      <c r="F533" s="27"/>
      <c r="G533" s="27"/>
      <c r="H533" s="27"/>
      <c r="I533" s="27"/>
      <c r="K533" s="27"/>
      <c r="M533" s="43"/>
      <c r="O533" s="43"/>
      <c r="Q533" s="27"/>
      <c r="S533" s="43"/>
      <c r="U533" s="43"/>
      <c r="W533" s="27"/>
      <c r="Y533" s="43"/>
      <c r="AA533" s="43"/>
      <c r="AC533" s="27"/>
      <c r="AE533" s="43"/>
      <c r="AG533" s="43"/>
      <c r="AJ533" s="27"/>
    </row>
    <row r="534" spans="4:36" s="92" customFormat="1" ht="15">
      <c r="D534" s="27"/>
      <c r="E534" s="27"/>
      <c r="F534" s="27"/>
      <c r="G534" s="27"/>
      <c r="H534" s="27"/>
      <c r="I534" s="27"/>
      <c r="K534" s="27"/>
      <c r="M534" s="43"/>
      <c r="O534" s="43"/>
      <c r="Q534" s="27"/>
      <c r="S534" s="43"/>
      <c r="U534" s="43"/>
      <c r="W534" s="27"/>
      <c r="Y534" s="43"/>
      <c r="AA534" s="43"/>
      <c r="AC534" s="27"/>
      <c r="AE534" s="43"/>
      <c r="AG534" s="43"/>
      <c r="AJ534" s="27"/>
    </row>
    <row r="535" spans="4:36" s="92" customFormat="1" ht="15">
      <c r="D535" s="27"/>
      <c r="E535" s="27"/>
      <c r="F535" s="27"/>
      <c r="G535" s="27"/>
      <c r="H535" s="27"/>
      <c r="I535" s="27"/>
      <c r="K535" s="27"/>
      <c r="M535" s="43"/>
      <c r="O535" s="43"/>
      <c r="Q535" s="27"/>
      <c r="S535" s="43"/>
      <c r="U535" s="43"/>
      <c r="W535" s="27"/>
      <c r="Y535" s="43"/>
      <c r="AA535" s="43"/>
      <c r="AC535" s="27"/>
      <c r="AE535" s="43"/>
      <c r="AG535" s="43"/>
      <c r="AJ535" s="27"/>
    </row>
    <row r="536" spans="4:36" s="92" customFormat="1" ht="15">
      <c r="D536" s="27"/>
      <c r="E536" s="27"/>
      <c r="F536" s="27"/>
      <c r="G536" s="27"/>
      <c r="H536" s="27"/>
      <c r="I536" s="27"/>
      <c r="K536" s="27"/>
      <c r="M536" s="43"/>
      <c r="O536" s="43"/>
      <c r="Q536" s="27"/>
      <c r="S536" s="43"/>
      <c r="U536" s="43"/>
      <c r="W536" s="27"/>
      <c r="Y536" s="43"/>
      <c r="AA536" s="43"/>
      <c r="AC536" s="27"/>
      <c r="AE536" s="43"/>
      <c r="AG536" s="43"/>
      <c r="AJ536" s="27"/>
    </row>
    <row r="537" spans="4:36" s="92" customFormat="1" ht="15">
      <c r="D537" s="27"/>
      <c r="E537" s="27"/>
      <c r="F537" s="27"/>
      <c r="G537" s="27"/>
      <c r="H537" s="27"/>
      <c r="I537" s="27"/>
      <c r="K537" s="27"/>
      <c r="M537" s="43"/>
      <c r="O537" s="43"/>
      <c r="Q537" s="27"/>
      <c r="S537" s="43"/>
      <c r="U537" s="43"/>
      <c r="W537" s="27"/>
      <c r="Y537" s="43"/>
      <c r="AA537" s="43"/>
      <c r="AC537" s="27"/>
      <c r="AE537" s="43"/>
      <c r="AG537" s="43"/>
      <c r="AJ537" s="27"/>
    </row>
    <row r="538" spans="4:36" s="92" customFormat="1" ht="15">
      <c r="D538" s="27"/>
      <c r="E538" s="27"/>
      <c r="F538" s="27"/>
      <c r="G538" s="27"/>
      <c r="H538" s="27"/>
      <c r="I538" s="27"/>
      <c r="K538" s="27"/>
      <c r="M538" s="43"/>
      <c r="O538" s="43"/>
      <c r="Q538" s="27"/>
      <c r="S538" s="43"/>
      <c r="U538" s="43"/>
      <c r="W538" s="27"/>
      <c r="Y538" s="43"/>
      <c r="AA538" s="43"/>
      <c r="AC538" s="27"/>
      <c r="AE538" s="43"/>
      <c r="AG538" s="43"/>
      <c r="AJ538" s="27"/>
    </row>
    <row r="539" spans="4:36" s="92" customFormat="1" ht="15">
      <c r="D539" s="27"/>
      <c r="E539" s="27"/>
      <c r="F539" s="27"/>
      <c r="G539" s="27"/>
      <c r="H539" s="27"/>
      <c r="I539" s="27"/>
      <c r="K539" s="27"/>
      <c r="M539" s="43"/>
      <c r="O539" s="43"/>
      <c r="Q539" s="27"/>
      <c r="S539" s="43"/>
      <c r="U539" s="43"/>
      <c r="W539" s="27"/>
      <c r="Y539" s="43"/>
      <c r="AA539" s="43"/>
      <c r="AC539" s="27"/>
      <c r="AE539" s="43"/>
      <c r="AG539" s="43"/>
      <c r="AJ539" s="27"/>
    </row>
    <row r="540" spans="4:36" s="92" customFormat="1" ht="15">
      <c r="D540" s="27"/>
      <c r="E540" s="27"/>
      <c r="F540" s="27"/>
      <c r="G540" s="27"/>
      <c r="H540" s="27"/>
      <c r="I540" s="27"/>
      <c r="K540" s="27"/>
      <c r="M540" s="43"/>
      <c r="O540" s="43"/>
      <c r="Q540" s="27"/>
      <c r="S540" s="43"/>
      <c r="U540" s="43"/>
      <c r="W540" s="27"/>
      <c r="Y540" s="43"/>
      <c r="AA540" s="43"/>
      <c r="AC540" s="27"/>
      <c r="AE540" s="43"/>
      <c r="AG540" s="43"/>
      <c r="AJ540" s="27"/>
    </row>
    <row r="541" spans="4:36" s="92" customFormat="1" ht="15">
      <c r="D541" s="27"/>
      <c r="E541" s="27"/>
      <c r="F541" s="27"/>
      <c r="G541" s="27"/>
      <c r="H541" s="27"/>
      <c r="I541" s="27"/>
      <c r="K541" s="27"/>
      <c r="M541" s="43"/>
      <c r="O541" s="43"/>
      <c r="Q541" s="27"/>
      <c r="S541" s="43"/>
      <c r="U541" s="43"/>
      <c r="W541" s="27"/>
      <c r="Y541" s="43"/>
      <c r="AA541" s="43"/>
      <c r="AC541" s="27"/>
      <c r="AE541" s="43"/>
      <c r="AG541" s="43"/>
      <c r="AJ541" s="27"/>
    </row>
    <row r="542" spans="4:36" s="92" customFormat="1" ht="15">
      <c r="D542" s="27"/>
      <c r="E542" s="27"/>
      <c r="F542" s="27"/>
      <c r="G542" s="27"/>
      <c r="H542" s="27"/>
      <c r="I542" s="27"/>
      <c r="K542" s="27"/>
      <c r="M542" s="43"/>
      <c r="O542" s="43"/>
      <c r="Q542" s="27"/>
      <c r="S542" s="43"/>
      <c r="U542" s="43"/>
      <c r="W542" s="27"/>
      <c r="Y542" s="43"/>
      <c r="AA542" s="43"/>
      <c r="AC542" s="27"/>
      <c r="AE542" s="43"/>
      <c r="AG542" s="43"/>
      <c r="AJ542" s="27"/>
    </row>
    <row r="543" spans="4:36" s="92" customFormat="1" ht="15">
      <c r="D543" s="27"/>
      <c r="E543" s="27"/>
      <c r="F543" s="27"/>
      <c r="G543" s="27"/>
      <c r="H543" s="27"/>
      <c r="I543" s="27"/>
      <c r="K543" s="27"/>
      <c r="M543" s="43"/>
      <c r="O543" s="43"/>
      <c r="Q543" s="27"/>
      <c r="S543" s="43"/>
      <c r="U543" s="43"/>
      <c r="W543" s="27"/>
      <c r="Y543" s="43"/>
      <c r="AA543" s="43"/>
      <c r="AC543" s="27"/>
      <c r="AE543" s="43"/>
      <c r="AG543" s="43"/>
      <c r="AJ543" s="27"/>
    </row>
    <row r="544" spans="4:36" s="92" customFormat="1" ht="15">
      <c r="D544" s="27"/>
      <c r="E544" s="27"/>
      <c r="F544" s="27"/>
      <c r="G544" s="27"/>
      <c r="H544" s="27"/>
      <c r="I544" s="27"/>
      <c r="K544" s="27"/>
      <c r="M544" s="43"/>
      <c r="O544" s="43"/>
      <c r="Q544" s="27"/>
      <c r="S544" s="43"/>
      <c r="U544" s="43"/>
      <c r="W544" s="27"/>
      <c r="Y544" s="43"/>
      <c r="AA544" s="43"/>
      <c r="AC544" s="27"/>
      <c r="AE544" s="43"/>
      <c r="AG544" s="43"/>
      <c r="AJ544" s="27"/>
    </row>
    <row r="545" spans="4:36" s="92" customFormat="1" ht="15">
      <c r="D545" s="27"/>
      <c r="E545" s="27"/>
      <c r="F545" s="27"/>
      <c r="G545" s="27"/>
      <c r="H545" s="27"/>
      <c r="I545" s="27"/>
      <c r="K545" s="27"/>
      <c r="M545" s="43"/>
      <c r="O545" s="43"/>
      <c r="Q545" s="27"/>
      <c r="S545" s="43"/>
      <c r="U545" s="43"/>
      <c r="W545" s="27"/>
      <c r="Y545" s="43"/>
      <c r="AA545" s="43"/>
      <c r="AC545" s="27"/>
      <c r="AE545" s="43"/>
      <c r="AG545" s="43"/>
      <c r="AJ545" s="27"/>
    </row>
    <row r="546" spans="4:36" s="92" customFormat="1" ht="15">
      <c r="D546" s="27"/>
      <c r="E546" s="27"/>
      <c r="F546" s="27"/>
      <c r="G546" s="27"/>
      <c r="H546" s="27"/>
      <c r="I546" s="27"/>
      <c r="K546" s="27"/>
      <c r="M546" s="43"/>
      <c r="O546" s="43"/>
      <c r="Q546" s="27"/>
      <c r="S546" s="43"/>
      <c r="U546" s="43"/>
      <c r="W546" s="27"/>
      <c r="Y546" s="43"/>
      <c r="AA546" s="43"/>
      <c r="AC546" s="27"/>
      <c r="AE546" s="43"/>
      <c r="AG546" s="43"/>
      <c r="AJ546" s="27"/>
    </row>
    <row r="547" spans="4:36" s="92" customFormat="1" ht="15">
      <c r="D547" s="27"/>
      <c r="E547" s="27"/>
      <c r="F547" s="27"/>
      <c r="G547" s="27"/>
      <c r="H547" s="27"/>
      <c r="I547" s="27"/>
      <c r="K547" s="27"/>
      <c r="M547" s="43"/>
      <c r="O547" s="43"/>
      <c r="Q547" s="27"/>
      <c r="S547" s="43"/>
      <c r="U547" s="43"/>
      <c r="W547" s="27"/>
      <c r="Y547" s="43"/>
      <c r="AA547" s="43"/>
      <c r="AC547" s="27"/>
      <c r="AE547" s="43"/>
      <c r="AG547" s="43"/>
      <c r="AJ547" s="27"/>
    </row>
    <row r="548" spans="4:36" s="92" customFormat="1" ht="15">
      <c r="D548" s="27"/>
      <c r="E548" s="27"/>
      <c r="F548" s="27"/>
      <c r="G548" s="27"/>
      <c r="H548" s="27"/>
      <c r="I548" s="27"/>
      <c r="K548" s="27"/>
      <c r="M548" s="43"/>
      <c r="O548" s="43"/>
      <c r="Q548" s="27"/>
      <c r="S548" s="43"/>
      <c r="U548" s="43"/>
      <c r="W548" s="27"/>
      <c r="Y548" s="43"/>
      <c r="AA548" s="43"/>
      <c r="AC548" s="27"/>
      <c r="AE548" s="43"/>
      <c r="AG548" s="43"/>
      <c r="AJ548" s="27"/>
    </row>
    <row r="549" spans="4:36" s="92" customFormat="1" ht="15">
      <c r="D549" s="27"/>
      <c r="E549" s="27"/>
      <c r="F549" s="27"/>
      <c r="G549" s="27"/>
      <c r="H549" s="27"/>
      <c r="I549" s="27"/>
      <c r="K549" s="27"/>
      <c r="M549" s="43"/>
      <c r="O549" s="43"/>
      <c r="Q549" s="27"/>
      <c r="S549" s="43"/>
      <c r="U549" s="43"/>
      <c r="W549" s="27"/>
      <c r="Y549" s="43"/>
      <c r="AA549" s="43"/>
      <c r="AC549" s="27"/>
      <c r="AE549" s="43"/>
      <c r="AG549" s="43"/>
      <c r="AJ549" s="27"/>
    </row>
    <row r="550" spans="4:36" s="92" customFormat="1" ht="15">
      <c r="D550" s="27"/>
      <c r="E550" s="27"/>
      <c r="F550" s="27"/>
      <c r="G550" s="27"/>
      <c r="H550" s="27"/>
      <c r="I550" s="27"/>
      <c r="K550" s="27"/>
      <c r="M550" s="43"/>
      <c r="O550" s="43"/>
      <c r="Q550" s="27"/>
      <c r="S550" s="43"/>
      <c r="U550" s="43"/>
      <c r="W550" s="27"/>
      <c r="Y550" s="43"/>
      <c r="AA550" s="43"/>
      <c r="AC550" s="27"/>
      <c r="AE550" s="43"/>
      <c r="AG550" s="43"/>
      <c r="AJ550" s="27"/>
    </row>
    <row r="551" spans="4:36" s="92" customFormat="1" ht="15">
      <c r="D551" s="27"/>
      <c r="E551" s="27"/>
      <c r="F551" s="27"/>
      <c r="G551" s="27"/>
      <c r="H551" s="27"/>
      <c r="I551" s="27"/>
      <c r="K551" s="27"/>
      <c r="M551" s="43"/>
      <c r="O551" s="43"/>
      <c r="Q551" s="27"/>
      <c r="S551" s="43"/>
      <c r="U551" s="43"/>
      <c r="W551" s="27"/>
      <c r="Y551" s="43"/>
      <c r="AA551" s="43"/>
      <c r="AC551" s="27"/>
      <c r="AE551" s="43"/>
      <c r="AG551" s="43"/>
      <c r="AJ551" s="27"/>
    </row>
    <row r="552" spans="4:36" s="92" customFormat="1" ht="15">
      <c r="D552" s="27"/>
      <c r="E552" s="27"/>
      <c r="F552" s="27"/>
      <c r="G552" s="27"/>
      <c r="H552" s="27"/>
      <c r="I552" s="27"/>
      <c r="K552" s="27"/>
      <c r="M552" s="43"/>
      <c r="O552" s="43"/>
      <c r="Q552" s="27"/>
      <c r="S552" s="43"/>
      <c r="U552" s="43"/>
      <c r="W552" s="27"/>
      <c r="Y552" s="43"/>
      <c r="AA552" s="43"/>
      <c r="AC552" s="27"/>
      <c r="AE552" s="43"/>
      <c r="AG552" s="43"/>
      <c r="AJ552" s="27"/>
    </row>
    <row r="553" spans="4:36" s="92" customFormat="1" ht="15">
      <c r="D553" s="27"/>
      <c r="E553" s="27"/>
      <c r="F553" s="27"/>
      <c r="G553" s="27"/>
      <c r="H553" s="27"/>
      <c r="I553" s="27"/>
      <c r="K553" s="27"/>
      <c r="M553" s="43"/>
      <c r="O553" s="43"/>
      <c r="Q553" s="27"/>
      <c r="S553" s="43"/>
      <c r="U553" s="43"/>
      <c r="W553" s="27"/>
      <c r="Y553" s="43"/>
      <c r="AA553" s="43"/>
      <c r="AC553" s="27"/>
      <c r="AE553" s="43"/>
      <c r="AG553" s="43"/>
      <c r="AJ553" s="27"/>
    </row>
    <row r="554" spans="4:36" s="92" customFormat="1" ht="15">
      <c r="D554" s="27"/>
      <c r="E554" s="27"/>
      <c r="F554" s="27"/>
      <c r="G554" s="27"/>
      <c r="H554" s="27"/>
      <c r="I554" s="27"/>
      <c r="K554" s="27"/>
      <c r="M554" s="43"/>
      <c r="O554" s="43"/>
      <c r="Q554" s="27"/>
      <c r="S554" s="43"/>
      <c r="U554" s="43"/>
      <c r="W554" s="27"/>
      <c r="Y554" s="43"/>
      <c r="AA554" s="43"/>
      <c r="AC554" s="27"/>
      <c r="AE554" s="43"/>
      <c r="AG554" s="43"/>
      <c r="AJ554" s="27"/>
    </row>
    <row r="555" spans="4:36" s="92" customFormat="1" ht="15">
      <c r="D555" s="27"/>
      <c r="E555" s="27"/>
      <c r="F555" s="27"/>
      <c r="G555" s="27"/>
      <c r="H555" s="27"/>
      <c r="I555" s="27"/>
      <c r="K555" s="27"/>
      <c r="M555" s="43"/>
      <c r="O555" s="43"/>
      <c r="Q555" s="27"/>
      <c r="S555" s="43"/>
      <c r="U555" s="43"/>
      <c r="W555" s="27"/>
      <c r="Y555" s="43"/>
      <c r="AA555" s="43"/>
      <c r="AC555" s="27"/>
      <c r="AE555" s="43"/>
      <c r="AG555" s="43"/>
      <c r="AJ555" s="27"/>
    </row>
    <row r="556" spans="4:36" s="92" customFormat="1" ht="15">
      <c r="D556" s="27"/>
      <c r="E556" s="27"/>
      <c r="F556" s="27"/>
      <c r="G556" s="27"/>
      <c r="H556" s="27"/>
      <c r="I556" s="27"/>
      <c r="K556" s="27"/>
      <c r="M556" s="43"/>
      <c r="O556" s="43"/>
      <c r="Q556" s="27"/>
      <c r="S556" s="43"/>
      <c r="U556" s="43"/>
      <c r="W556" s="27"/>
      <c r="Y556" s="43"/>
      <c r="AA556" s="43"/>
      <c r="AC556" s="27"/>
      <c r="AE556" s="43"/>
      <c r="AG556" s="43"/>
      <c r="AJ556" s="27"/>
    </row>
    <row r="557" spans="4:36" s="92" customFormat="1" ht="15">
      <c r="D557" s="27"/>
      <c r="E557" s="27"/>
      <c r="F557" s="27"/>
      <c r="G557" s="27"/>
      <c r="H557" s="27"/>
      <c r="I557" s="27"/>
      <c r="K557" s="27"/>
      <c r="M557" s="43"/>
      <c r="O557" s="43"/>
      <c r="Q557" s="27"/>
      <c r="S557" s="43"/>
      <c r="U557" s="43"/>
      <c r="W557" s="27"/>
      <c r="Y557" s="43"/>
      <c r="AA557" s="43"/>
      <c r="AC557" s="27"/>
      <c r="AE557" s="43"/>
      <c r="AG557" s="43"/>
      <c r="AJ557" s="27"/>
    </row>
    <row r="558" spans="4:36" s="92" customFormat="1" ht="15">
      <c r="D558" s="27"/>
      <c r="E558" s="27"/>
      <c r="F558" s="27"/>
      <c r="G558" s="27"/>
      <c r="H558" s="27"/>
      <c r="I558" s="27"/>
      <c r="K558" s="27"/>
      <c r="M558" s="43"/>
      <c r="O558" s="43"/>
      <c r="Q558" s="27"/>
      <c r="S558" s="43"/>
      <c r="U558" s="43"/>
      <c r="W558" s="27"/>
      <c r="Y558" s="43"/>
      <c r="AA558" s="43"/>
      <c r="AC558" s="27"/>
      <c r="AE558" s="43"/>
      <c r="AG558" s="43"/>
      <c r="AJ558" s="27"/>
    </row>
    <row r="559" spans="4:36" s="92" customFormat="1" ht="15">
      <c r="D559" s="27"/>
      <c r="E559" s="27"/>
      <c r="F559" s="27"/>
      <c r="G559" s="27"/>
      <c r="H559" s="27"/>
      <c r="I559" s="27"/>
      <c r="K559" s="27"/>
      <c r="M559" s="43"/>
      <c r="O559" s="43"/>
      <c r="Q559" s="27"/>
      <c r="S559" s="43"/>
      <c r="U559" s="43"/>
      <c r="W559" s="27"/>
      <c r="Y559" s="43"/>
      <c r="AA559" s="43"/>
      <c r="AC559" s="27"/>
      <c r="AE559" s="43"/>
      <c r="AG559" s="43"/>
      <c r="AJ559" s="27"/>
    </row>
    <row r="560" spans="4:36" s="92" customFormat="1" ht="15">
      <c r="D560" s="27"/>
      <c r="E560" s="27"/>
      <c r="F560" s="27"/>
      <c r="G560" s="27"/>
      <c r="H560" s="27"/>
      <c r="I560" s="27"/>
      <c r="K560" s="27"/>
      <c r="M560" s="43"/>
      <c r="O560" s="43"/>
      <c r="Q560" s="27"/>
      <c r="S560" s="43"/>
      <c r="U560" s="43"/>
      <c r="W560" s="27"/>
      <c r="Y560" s="43"/>
      <c r="AA560" s="43"/>
      <c r="AC560" s="27"/>
      <c r="AE560" s="43"/>
      <c r="AG560" s="43"/>
      <c r="AJ560" s="27"/>
    </row>
    <row r="561" spans="1:36" s="92" customFormat="1" ht="15">
      <c r="D561" s="27"/>
      <c r="E561" s="27"/>
      <c r="F561" s="27"/>
      <c r="G561" s="27"/>
      <c r="H561" s="27"/>
      <c r="I561" s="27"/>
      <c r="K561" s="27"/>
      <c r="M561" s="43"/>
      <c r="O561" s="43"/>
      <c r="Q561" s="27"/>
      <c r="S561" s="43"/>
      <c r="U561" s="43"/>
      <c r="W561" s="27"/>
      <c r="Y561" s="43"/>
      <c r="AA561" s="43"/>
      <c r="AC561" s="27"/>
      <c r="AE561" s="43"/>
      <c r="AG561" s="43"/>
      <c r="AJ561" s="27"/>
    </row>
    <row r="562" spans="1:36" s="92" customFormat="1">
      <c r="A562" s="27"/>
      <c r="C562" s="27"/>
      <c r="D562" s="27"/>
      <c r="E562" s="27"/>
      <c r="F562" s="27"/>
      <c r="G562" s="27"/>
      <c r="H562" s="27"/>
      <c r="I562" s="27"/>
      <c r="K562" s="27"/>
      <c r="M562" s="27"/>
      <c r="O562" s="27"/>
      <c r="Q562" s="27"/>
      <c r="S562" s="27"/>
      <c r="U562" s="27"/>
      <c r="W562" s="27"/>
      <c r="Y562" s="27"/>
      <c r="AA562" s="27"/>
      <c r="AC562" s="27"/>
      <c r="AE562" s="27"/>
      <c r="AG562" s="27"/>
      <c r="AI562" s="27"/>
      <c r="AJ562" s="27"/>
    </row>
    <row r="563" spans="1:36" s="92" customFormat="1">
      <c r="A563" s="27"/>
      <c r="C563" s="27"/>
      <c r="D563" s="27"/>
      <c r="E563" s="27"/>
      <c r="F563" s="27"/>
      <c r="G563" s="27"/>
      <c r="H563" s="27"/>
      <c r="I563" s="27"/>
      <c r="K563" s="27"/>
      <c r="M563" s="27"/>
      <c r="O563" s="27"/>
      <c r="Q563" s="27"/>
      <c r="S563" s="27"/>
      <c r="U563" s="27"/>
      <c r="W563" s="27"/>
      <c r="Y563" s="27"/>
      <c r="AA563" s="27"/>
      <c r="AC563" s="27"/>
      <c r="AE563" s="27"/>
      <c r="AG563" s="27"/>
      <c r="AI563" s="27"/>
      <c r="AJ563" s="27"/>
    </row>
    <row r="564" spans="1:36" s="92" customFormat="1">
      <c r="A564" s="27"/>
      <c r="C564" s="27"/>
      <c r="D564" s="27"/>
      <c r="E564" s="27"/>
      <c r="F564" s="27"/>
      <c r="G564" s="27"/>
      <c r="H564" s="27"/>
      <c r="I564" s="27"/>
      <c r="K564" s="27"/>
      <c r="M564" s="27"/>
      <c r="O564" s="27"/>
      <c r="Q564" s="27"/>
      <c r="S564" s="27"/>
      <c r="U564" s="27"/>
      <c r="W564" s="27"/>
      <c r="Y564" s="27"/>
      <c r="AA564" s="27"/>
      <c r="AC564" s="27"/>
      <c r="AE564" s="27"/>
      <c r="AG564" s="27"/>
      <c r="AI564" s="27"/>
      <c r="AJ564" s="27"/>
    </row>
    <row r="565" spans="1:36" s="92" customFormat="1">
      <c r="A565" s="27"/>
      <c r="C565" s="27"/>
      <c r="D565" s="27"/>
      <c r="E565" s="27"/>
      <c r="F565" s="27"/>
      <c r="G565" s="27"/>
      <c r="H565" s="27"/>
      <c r="I565" s="27"/>
      <c r="K565" s="27"/>
      <c r="M565" s="27"/>
      <c r="O565" s="27"/>
      <c r="Q565" s="27"/>
      <c r="S565" s="27"/>
      <c r="U565" s="27"/>
      <c r="W565" s="27"/>
      <c r="Y565" s="27"/>
      <c r="AA565" s="27"/>
      <c r="AC565" s="27"/>
      <c r="AE565" s="27"/>
      <c r="AG565" s="27"/>
      <c r="AI565" s="27"/>
      <c r="AJ565" s="27"/>
    </row>
    <row r="566" spans="1:36" s="92" customFormat="1">
      <c r="A566" s="27"/>
      <c r="C566" s="27"/>
      <c r="D566" s="27"/>
      <c r="E566" s="27"/>
      <c r="F566" s="27"/>
      <c r="G566" s="27"/>
      <c r="H566" s="27"/>
      <c r="I566" s="27"/>
      <c r="K566" s="27"/>
      <c r="M566" s="27"/>
      <c r="O566" s="27"/>
      <c r="Q566" s="27"/>
      <c r="S566" s="27"/>
      <c r="U566" s="27"/>
      <c r="W566" s="27"/>
      <c r="Y566" s="27"/>
      <c r="AA566" s="27"/>
      <c r="AC566" s="27"/>
      <c r="AE566" s="27"/>
      <c r="AG566" s="27"/>
      <c r="AI566" s="27"/>
      <c r="AJ566" s="27"/>
    </row>
    <row r="567" spans="1:36" s="92" customFormat="1">
      <c r="A567" s="27"/>
      <c r="C567" s="27"/>
      <c r="D567" s="27"/>
      <c r="E567" s="27"/>
      <c r="F567" s="27"/>
      <c r="G567" s="27"/>
      <c r="H567" s="27"/>
      <c r="I567" s="27"/>
      <c r="K567" s="27"/>
      <c r="M567" s="27"/>
      <c r="O567" s="27"/>
      <c r="Q567" s="27"/>
      <c r="S567" s="27"/>
      <c r="U567" s="27"/>
      <c r="W567" s="27"/>
      <c r="Y567" s="27"/>
      <c r="AA567" s="27"/>
      <c r="AC567" s="27"/>
      <c r="AE567" s="27"/>
      <c r="AG567" s="27"/>
      <c r="AI567" s="27"/>
      <c r="AJ567" s="27"/>
    </row>
    <row r="568" spans="1:36" s="92" customFormat="1">
      <c r="A568" s="27"/>
      <c r="C568" s="27"/>
      <c r="D568" s="27"/>
      <c r="E568" s="27"/>
      <c r="F568" s="27"/>
      <c r="G568" s="27"/>
      <c r="H568" s="27"/>
      <c r="I568" s="27"/>
      <c r="K568" s="27"/>
      <c r="M568" s="27"/>
      <c r="O568" s="27"/>
      <c r="Q568" s="27"/>
      <c r="S568" s="27"/>
      <c r="U568" s="27"/>
      <c r="W568" s="27"/>
      <c r="Y568" s="27"/>
      <c r="AA568" s="27"/>
      <c r="AC568" s="27"/>
      <c r="AE568" s="27"/>
      <c r="AG568" s="27"/>
      <c r="AI568" s="27"/>
      <c r="AJ568" s="27"/>
    </row>
    <row r="569" spans="1:36" s="92" customFormat="1">
      <c r="A569" s="27"/>
      <c r="C569" s="27"/>
      <c r="D569" s="27"/>
      <c r="E569" s="27"/>
      <c r="F569" s="27"/>
      <c r="G569" s="27"/>
      <c r="H569" s="27"/>
      <c r="I569" s="27"/>
      <c r="K569" s="27"/>
      <c r="M569" s="27"/>
      <c r="O569" s="27"/>
      <c r="Q569" s="27"/>
      <c r="S569" s="27"/>
      <c r="U569" s="27"/>
      <c r="W569" s="27"/>
      <c r="Y569" s="27"/>
      <c r="AA569" s="27"/>
      <c r="AC569" s="27"/>
      <c r="AE569" s="27"/>
      <c r="AG569" s="27"/>
      <c r="AI569" s="27"/>
      <c r="AJ569" s="27"/>
    </row>
    <row r="570" spans="1:36" s="92" customFormat="1">
      <c r="A570" s="27"/>
      <c r="C570" s="27"/>
      <c r="D570" s="27"/>
      <c r="E570" s="27"/>
      <c r="F570" s="27"/>
      <c r="G570" s="27"/>
      <c r="H570" s="27"/>
      <c r="I570" s="27"/>
      <c r="K570" s="27"/>
      <c r="M570" s="27"/>
      <c r="O570" s="27"/>
      <c r="Q570" s="27"/>
      <c r="S570" s="27"/>
      <c r="U570" s="27"/>
      <c r="W570" s="27"/>
      <c r="Y570" s="27"/>
      <c r="AA570" s="27"/>
      <c r="AC570" s="27"/>
      <c r="AE570" s="27"/>
      <c r="AG570" s="27"/>
      <c r="AI570" s="27"/>
      <c r="AJ570" s="27"/>
    </row>
    <row r="571" spans="1:36" s="92" customFormat="1">
      <c r="A571" s="27"/>
      <c r="C571" s="27"/>
      <c r="D571" s="27"/>
      <c r="E571" s="27"/>
      <c r="F571" s="27"/>
      <c r="G571" s="27"/>
      <c r="H571" s="27"/>
      <c r="I571" s="27"/>
      <c r="K571" s="27"/>
      <c r="M571" s="27"/>
      <c r="O571" s="27"/>
      <c r="Q571" s="27"/>
      <c r="S571" s="27"/>
      <c r="U571" s="27"/>
      <c r="W571" s="27"/>
      <c r="Y571" s="27"/>
      <c r="AA571" s="27"/>
      <c r="AC571" s="27"/>
      <c r="AE571" s="27"/>
      <c r="AG571" s="27"/>
      <c r="AI571" s="27"/>
      <c r="AJ571" s="27"/>
    </row>
    <row r="572" spans="1:36" s="92" customFormat="1">
      <c r="A572" s="27"/>
      <c r="C572" s="27"/>
      <c r="D572" s="27"/>
      <c r="E572" s="27"/>
      <c r="F572" s="27"/>
      <c r="G572" s="27"/>
      <c r="H572" s="27"/>
      <c r="I572" s="27"/>
      <c r="K572" s="27"/>
      <c r="M572" s="27"/>
      <c r="O572" s="27"/>
      <c r="Q572" s="27"/>
      <c r="S572" s="27"/>
      <c r="U572" s="27"/>
      <c r="W572" s="27"/>
      <c r="Y572" s="27"/>
      <c r="AA572" s="27"/>
      <c r="AC572" s="27"/>
      <c r="AE572" s="27"/>
      <c r="AG572" s="27"/>
      <c r="AI572" s="27"/>
      <c r="AJ572" s="27"/>
    </row>
    <row r="573" spans="1:36" s="92" customFormat="1">
      <c r="A573" s="27"/>
      <c r="C573" s="27"/>
      <c r="D573" s="27"/>
      <c r="E573" s="27"/>
      <c r="F573" s="27"/>
      <c r="G573" s="27"/>
      <c r="H573" s="27"/>
      <c r="I573" s="27"/>
      <c r="K573" s="27"/>
      <c r="M573" s="27"/>
      <c r="O573" s="27"/>
      <c r="Q573" s="27"/>
      <c r="S573" s="27"/>
      <c r="U573" s="27"/>
      <c r="W573" s="27"/>
      <c r="Y573" s="27"/>
      <c r="AA573" s="27"/>
      <c r="AC573" s="27"/>
      <c r="AE573" s="27"/>
      <c r="AG573" s="27"/>
      <c r="AI573" s="27"/>
      <c r="AJ573" s="27"/>
    </row>
    <row r="574" spans="1:36" s="92" customFormat="1">
      <c r="A574" s="27"/>
      <c r="C574" s="27"/>
      <c r="D574" s="27"/>
      <c r="E574" s="27"/>
      <c r="F574" s="27"/>
      <c r="G574" s="27"/>
      <c r="H574" s="27"/>
      <c r="I574" s="27"/>
      <c r="K574" s="27"/>
      <c r="M574" s="27"/>
      <c r="O574" s="27"/>
      <c r="Q574" s="27"/>
      <c r="S574" s="27"/>
      <c r="U574" s="27"/>
      <c r="W574" s="27"/>
      <c r="Y574" s="27"/>
      <c r="AA574" s="27"/>
      <c r="AC574" s="27"/>
      <c r="AE574" s="27"/>
      <c r="AG574" s="27"/>
      <c r="AI574" s="27"/>
      <c r="AJ574" s="27"/>
    </row>
    <row r="575" spans="1:36" s="92" customFormat="1">
      <c r="A575" s="27"/>
      <c r="C575" s="27"/>
      <c r="D575" s="27"/>
      <c r="E575" s="27"/>
      <c r="F575" s="27"/>
      <c r="G575" s="27"/>
      <c r="H575" s="27"/>
      <c r="I575" s="27"/>
      <c r="K575" s="27"/>
      <c r="M575" s="27"/>
      <c r="O575" s="27"/>
      <c r="Q575" s="27"/>
      <c r="S575" s="27"/>
      <c r="U575" s="27"/>
      <c r="W575" s="27"/>
      <c r="Y575" s="27"/>
      <c r="AA575" s="27"/>
      <c r="AC575" s="27"/>
      <c r="AE575" s="27"/>
      <c r="AG575" s="27"/>
      <c r="AI575" s="27"/>
      <c r="AJ575" s="27"/>
    </row>
    <row r="576" spans="1:36" s="92" customFormat="1">
      <c r="A576" s="27"/>
      <c r="C576" s="27"/>
      <c r="D576" s="27"/>
      <c r="E576" s="27"/>
      <c r="F576" s="27"/>
      <c r="G576" s="27"/>
      <c r="H576" s="27"/>
      <c r="I576" s="27"/>
      <c r="K576" s="27"/>
      <c r="M576" s="27"/>
      <c r="O576" s="27"/>
      <c r="Q576" s="27"/>
      <c r="S576" s="27"/>
      <c r="U576" s="27"/>
      <c r="W576" s="27"/>
      <c r="Y576" s="27"/>
      <c r="AA576" s="27"/>
      <c r="AC576" s="27"/>
      <c r="AE576" s="27"/>
      <c r="AG576" s="27"/>
      <c r="AI576" s="27"/>
      <c r="AJ576" s="27"/>
    </row>
    <row r="577" spans="2:2">
      <c r="B577" s="92"/>
    </row>
    <row r="578" spans="2:2">
      <c r="B578" s="92"/>
    </row>
    <row r="579" spans="2:2">
      <c r="B579" s="92"/>
    </row>
    <row r="580" spans="2:2">
      <c r="B580" s="92"/>
    </row>
    <row r="581" spans="2:2">
      <c r="B581" s="92"/>
    </row>
    <row r="582" spans="2:2">
      <c r="B582" s="92"/>
    </row>
    <row r="583" spans="2:2">
      <c r="B583" s="92"/>
    </row>
    <row r="584" spans="2:2">
      <c r="B584" s="92"/>
    </row>
    <row r="585" spans="2:2">
      <c r="B585" s="92"/>
    </row>
    <row r="586" spans="2:2">
      <c r="B586" s="92"/>
    </row>
    <row r="587" spans="2:2">
      <c r="B587" s="92"/>
    </row>
    <row r="588" spans="2:2">
      <c r="B588" s="92"/>
    </row>
    <row r="589" spans="2:2">
      <c r="B589" s="92"/>
    </row>
    <row r="590" spans="2:2">
      <c r="B590" s="92"/>
    </row>
    <row r="591" spans="2:2">
      <c r="B591" s="92"/>
    </row>
    <row r="592" spans="2:2">
      <c r="B592" s="92"/>
    </row>
    <row r="593" spans="2:2">
      <c r="B593" s="92"/>
    </row>
    <row r="594" spans="2:2">
      <c r="B594" s="92"/>
    </row>
    <row r="595" spans="2:2">
      <c r="B595" s="92"/>
    </row>
    <row r="596" spans="2:2">
      <c r="B596" s="92"/>
    </row>
  </sheetData>
  <pageMargins left="0.25" right="0.25" top="0.27" bottom="0.4" header="0.18" footer="0.25"/>
  <pageSetup scale="70" fitToHeight="0" pageOrder="overThenDown" orientation="portrait" errors="blank" r:id="rId1"/>
  <headerFooter alignWithMargins="0">
    <oddFooter>&amp;L&amp;F - &amp;A&amp;RPage &amp;P of &amp;N</oddFooter>
  </headerFooter>
  <colBreaks count="1" manualBreakCount="1">
    <brk id="21" min="5" max="36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R234"/>
  <sheetViews>
    <sheetView view="pageBreakPreview" zoomScale="85" zoomScaleNormal="100" zoomScaleSheetLayoutView="85" workbookViewId="0">
      <selection activeCell="P22" sqref="P22"/>
    </sheetView>
  </sheetViews>
  <sheetFormatPr defaultRowHeight="12.75"/>
  <cols>
    <col min="1" max="1" width="20.28515625" style="102" customWidth="1"/>
    <col min="2" max="2" width="27.5703125" style="102" bestFit="1" customWidth="1"/>
    <col min="3" max="3" width="9" style="103" customWidth="1"/>
    <col min="4" max="4" width="3.5703125" style="104" customWidth="1"/>
    <col min="5" max="5" width="13.5703125" style="104" bestFit="1" customWidth="1"/>
    <col min="6" max="6" width="3.5703125" style="104" customWidth="1"/>
    <col min="7" max="7" width="13.5703125" style="104" bestFit="1" customWidth="1"/>
    <col min="8" max="16384" width="9.140625" style="104"/>
  </cols>
  <sheetData>
    <row r="1" spans="1:18">
      <c r="A1" s="101" t="s">
        <v>251</v>
      </c>
    </row>
    <row r="2" spans="1:18">
      <c r="A2" s="101" t="s">
        <v>252</v>
      </c>
    </row>
    <row r="3" spans="1:18">
      <c r="A3" s="101" t="s">
        <v>253</v>
      </c>
    </row>
    <row r="4" spans="1:18">
      <c r="A4" s="101"/>
    </row>
    <row r="5" spans="1:18" ht="27" customHeight="1">
      <c r="A5" s="204" t="s">
        <v>254</v>
      </c>
      <c r="B5" s="204"/>
      <c r="C5" s="204"/>
      <c r="D5" s="204"/>
      <c r="E5" s="204"/>
      <c r="F5" s="204"/>
      <c r="G5" s="204"/>
    </row>
    <row r="6" spans="1:18" ht="30" customHeight="1">
      <c r="A6" s="104"/>
      <c r="B6" s="104"/>
      <c r="D6" s="105"/>
      <c r="E6" s="205" t="s">
        <v>255</v>
      </c>
      <c r="F6" s="205"/>
      <c r="G6" s="205"/>
      <c r="M6" s="204"/>
      <c r="N6" s="204"/>
      <c r="O6" s="204"/>
      <c r="P6" s="204"/>
      <c r="Q6" s="204"/>
      <c r="R6" s="204"/>
    </row>
    <row r="7" spans="1:18" ht="21" customHeight="1">
      <c r="A7" s="106" t="s">
        <v>256</v>
      </c>
      <c r="B7" s="107" t="s">
        <v>257</v>
      </c>
      <c r="C7" s="108" t="s">
        <v>258</v>
      </c>
      <c r="E7" s="109" t="s">
        <v>51</v>
      </c>
      <c r="F7" s="101"/>
      <c r="G7" s="110" t="s">
        <v>259</v>
      </c>
    </row>
    <row r="8" spans="1:18">
      <c r="A8" s="111" t="s">
        <v>260</v>
      </c>
      <c r="B8" s="112"/>
      <c r="C8" s="113"/>
      <c r="D8" s="114"/>
      <c r="E8" s="114"/>
      <c r="F8" s="114"/>
      <c r="G8" s="114"/>
    </row>
    <row r="9" spans="1:18">
      <c r="A9" s="115"/>
      <c r="B9" s="116"/>
      <c r="E9" s="117"/>
      <c r="G9" s="118"/>
    </row>
    <row r="10" spans="1:18">
      <c r="A10" s="119" t="s">
        <v>261</v>
      </c>
      <c r="B10" s="119"/>
      <c r="C10" s="120"/>
      <c r="D10" s="121"/>
      <c r="E10" s="121"/>
      <c r="F10" s="121"/>
      <c r="G10" s="121"/>
    </row>
    <row r="11" spans="1:18">
      <c r="A11" s="122" t="s">
        <v>262</v>
      </c>
      <c r="B11" s="122" t="s">
        <v>263</v>
      </c>
      <c r="C11" s="103">
        <v>7.7300000000000013</v>
      </c>
      <c r="E11" s="123">
        <v>21515.950000000004</v>
      </c>
      <c r="G11" s="124">
        <f t="shared" ref="G11:G22" si="0">+IFERROR((E11/C11)/12,0)</f>
        <v>231.95288917636913</v>
      </c>
    </row>
    <row r="12" spans="1:18">
      <c r="A12" s="122" t="s">
        <v>264</v>
      </c>
      <c r="B12" s="122" t="s">
        <v>265</v>
      </c>
      <c r="C12" s="103">
        <v>10.24</v>
      </c>
      <c r="E12" s="123">
        <v>77073.25</v>
      </c>
      <c r="G12" s="124">
        <f t="shared" si="0"/>
        <v>627.22371419270837</v>
      </c>
    </row>
    <row r="13" spans="1:18">
      <c r="A13" s="122" t="s">
        <v>266</v>
      </c>
      <c r="B13" s="122" t="s">
        <v>267</v>
      </c>
      <c r="C13" s="103">
        <v>8.84</v>
      </c>
      <c r="E13" s="123">
        <v>901835.3600000001</v>
      </c>
      <c r="G13" s="124">
        <f t="shared" si="0"/>
        <v>8501.4645550527912</v>
      </c>
    </row>
    <row r="14" spans="1:18">
      <c r="A14" s="122" t="s">
        <v>268</v>
      </c>
      <c r="B14" s="122" t="s">
        <v>269</v>
      </c>
      <c r="C14" s="103">
        <v>4.8</v>
      </c>
      <c r="E14" s="123">
        <v>77229.990000000005</v>
      </c>
      <c r="G14" s="124">
        <f t="shared" si="0"/>
        <v>1340.7984375000001</v>
      </c>
    </row>
    <row r="15" spans="1:18">
      <c r="A15" s="122" t="s">
        <v>270</v>
      </c>
      <c r="B15" s="122" t="s">
        <v>271</v>
      </c>
      <c r="C15" s="103">
        <v>13.01</v>
      </c>
      <c r="E15" s="123">
        <v>6659357.0099999998</v>
      </c>
      <c r="G15" s="124">
        <f t="shared" si="0"/>
        <v>42655.374135280552</v>
      </c>
    </row>
    <row r="16" spans="1:18">
      <c r="A16" s="122" t="s">
        <v>272</v>
      </c>
      <c r="B16" s="122" t="s">
        <v>273</v>
      </c>
      <c r="C16" s="103">
        <v>18.940000000000001</v>
      </c>
      <c r="E16" s="123">
        <v>2396517.1999999997</v>
      </c>
      <c r="G16" s="124">
        <f t="shared" si="0"/>
        <v>10544.338261175641</v>
      </c>
    </row>
    <row r="17" spans="1:7">
      <c r="A17" s="122" t="s">
        <v>274</v>
      </c>
      <c r="B17" s="122" t="s">
        <v>275</v>
      </c>
      <c r="C17" s="103">
        <v>28.07</v>
      </c>
      <c r="E17" s="123">
        <v>232291.3</v>
      </c>
      <c r="G17" s="124">
        <f t="shared" si="0"/>
        <v>689.61910699441876</v>
      </c>
    </row>
    <row r="18" spans="1:7">
      <c r="A18" s="122" t="s">
        <v>276</v>
      </c>
      <c r="B18" s="122" t="s">
        <v>277</v>
      </c>
      <c r="C18" s="103">
        <v>34.880000000000003</v>
      </c>
      <c r="E18" s="123">
        <v>51410.560000000005</v>
      </c>
      <c r="G18" s="124">
        <f t="shared" si="0"/>
        <v>122.82721712538226</v>
      </c>
    </row>
    <row r="19" spans="1:7">
      <c r="A19" s="122" t="s">
        <v>278</v>
      </c>
      <c r="B19" s="122" t="s">
        <v>279</v>
      </c>
      <c r="C19" s="103">
        <v>43.54</v>
      </c>
      <c r="E19" s="123">
        <v>8185.53</v>
      </c>
      <c r="G19" s="124">
        <f t="shared" si="0"/>
        <v>15.666685806155259</v>
      </c>
    </row>
    <row r="20" spans="1:7">
      <c r="A20" s="122" t="s">
        <v>280</v>
      </c>
      <c r="B20" s="122" t="s">
        <v>281</v>
      </c>
      <c r="C20" s="103">
        <v>52.29</v>
      </c>
      <c r="E20" s="123">
        <v>2954.38</v>
      </c>
      <c r="G20" s="124">
        <f t="shared" si="0"/>
        <v>4.7083253649518708</v>
      </c>
    </row>
    <row r="21" spans="1:7">
      <c r="A21" s="122" t="s">
        <v>282</v>
      </c>
      <c r="B21" s="122" t="s">
        <v>283</v>
      </c>
      <c r="C21" s="103">
        <v>60.590000000000011</v>
      </c>
      <c r="E21" s="123">
        <v>1711.67</v>
      </c>
      <c r="G21" s="124">
        <f t="shared" si="0"/>
        <v>2.3541701050778454</v>
      </c>
    </row>
    <row r="22" spans="1:7">
      <c r="A22" s="122" t="s">
        <v>284</v>
      </c>
      <c r="B22" s="122" t="s">
        <v>285</v>
      </c>
      <c r="C22" s="103">
        <v>66.540000000000006</v>
      </c>
      <c r="E22" s="123">
        <v>3193.92</v>
      </c>
      <c r="G22" s="124">
        <f t="shared" si="0"/>
        <v>4</v>
      </c>
    </row>
    <row r="23" spans="1:7">
      <c r="A23" s="122" t="s">
        <v>286</v>
      </c>
      <c r="B23" s="122" t="s">
        <v>287</v>
      </c>
      <c r="C23" s="103">
        <v>3.59</v>
      </c>
      <c r="E23" s="123">
        <v>472838.69000000006</v>
      </c>
    </row>
    <row r="24" spans="1:7">
      <c r="A24" s="122" t="s">
        <v>288</v>
      </c>
      <c r="B24" s="122" t="s">
        <v>289</v>
      </c>
      <c r="C24" s="103">
        <v>4.8</v>
      </c>
      <c r="E24" s="123">
        <v>19978.34</v>
      </c>
    </row>
    <row r="25" spans="1:7">
      <c r="A25" s="122" t="s">
        <v>290</v>
      </c>
      <c r="B25" s="122" t="s">
        <v>291</v>
      </c>
      <c r="C25" s="103">
        <v>4.66</v>
      </c>
      <c r="E25" s="123">
        <v>53240.5</v>
      </c>
    </row>
    <row r="26" spans="1:7">
      <c r="A26" s="122" t="s">
        <v>292</v>
      </c>
      <c r="B26" s="122" t="s">
        <v>291</v>
      </c>
      <c r="C26" s="103">
        <v>4.66</v>
      </c>
      <c r="E26" s="123">
        <v>438.04</v>
      </c>
    </row>
    <row r="27" spans="1:7">
      <c r="A27" s="122" t="s">
        <v>293</v>
      </c>
      <c r="B27" s="122" t="s">
        <v>294</v>
      </c>
      <c r="C27" s="103">
        <v>1.34</v>
      </c>
      <c r="E27" s="123">
        <v>2242.19</v>
      </c>
    </row>
    <row r="28" spans="1:7">
      <c r="A28" s="122" t="s">
        <v>295</v>
      </c>
      <c r="B28" s="122" t="s">
        <v>296</v>
      </c>
      <c r="C28" s="103">
        <v>2.6850000000000001</v>
      </c>
      <c r="E28" s="123">
        <v>1740.6399999999999</v>
      </c>
    </row>
    <row r="29" spans="1:7">
      <c r="A29" s="122" t="s">
        <v>297</v>
      </c>
      <c r="B29" s="122" t="s">
        <v>298</v>
      </c>
      <c r="C29" s="103">
        <v>4.0250000000000004</v>
      </c>
      <c r="E29" s="123">
        <v>243.54000000000002</v>
      </c>
    </row>
    <row r="30" spans="1:7">
      <c r="A30" s="122" t="s">
        <v>299</v>
      </c>
      <c r="B30" s="122" t="s">
        <v>300</v>
      </c>
      <c r="C30" s="103">
        <v>5.37</v>
      </c>
      <c r="E30" s="123">
        <v>667.22</v>
      </c>
    </row>
    <row r="31" spans="1:7">
      <c r="A31" s="122" t="s">
        <v>301</v>
      </c>
      <c r="B31" s="122" t="s">
        <v>302</v>
      </c>
      <c r="C31" s="103">
        <v>6.7099999999999991</v>
      </c>
      <c r="E31" s="123">
        <v>241.56</v>
      </c>
    </row>
    <row r="32" spans="1:7">
      <c r="A32" s="122" t="s">
        <v>303</v>
      </c>
      <c r="B32" s="122" t="s">
        <v>304</v>
      </c>
      <c r="C32" s="103">
        <v>8.0549999999999997</v>
      </c>
      <c r="E32" s="123">
        <v>96.66</v>
      </c>
    </row>
    <row r="33" spans="1:8">
      <c r="A33" s="122" t="s">
        <v>305</v>
      </c>
      <c r="B33" s="122" t="s">
        <v>306</v>
      </c>
      <c r="C33" s="103">
        <v>9.3949999999999996</v>
      </c>
      <c r="E33" s="123">
        <v>108.03999999999999</v>
      </c>
    </row>
    <row r="34" spans="1:8">
      <c r="A34" s="122" t="s">
        <v>307</v>
      </c>
      <c r="B34" s="122" t="s">
        <v>308</v>
      </c>
      <c r="C34" s="103">
        <v>7.45</v>
      </c>
      <c r="E34" s="123">
        <v>8591.4299999999985</v>
      </c>
    </row>
    <row r="35" spans="1:8">
      <c r="A35" s="122" t="s">
        <v>309</v>
      </c>
      <c r="B35" s="122" t="s">
        <v>310</v>
      </c>
      <c r="C35" s="103">
        <v>10</v>
      </c>
      <c r="E35" s="123">
        <v>32700</v>
      </c>
    </row>
    <row r="36" spans="1:8">
      <c r="A36" s="122" t="s">
        <v>311</v>
      </c>
      <c r="B36" s="122" t="s">
        <v>312</v>
      </c>
      <c r="C36" s="103">
        <v>86.88</v>
      </c>
      <c r="E36" s="123">
        <v>13216.26</v>
      </c>
    </row>
    <row r="37" spans="1:8">
      <c r="A37" s="122" t="s">
        <v>313</v>
      </c>
      <c r="B37" s="122" t="s">
        <v>314</v>
      </c>
      <c r="C37" s="103">
        <v>95.6</v>
      </c>
      <c r="E37" s="123">
        <v>584.85</v>
      </c>
    </row>
    <row r="38" spans="1:8">
      <c r="A38" s="122" t="s">
        <v>315</v>
      </c>
      <c r="B38" s="122" t="s">
        <v>316</v>
      </c>
      <c r="C38" s="103">
        <v>60.4</v>
      </c>
      <c r="E38" s="123">
        <v>1909.91</v>
      </c>
    </row>
    <row r="39" spans="1:8">
      <c r="A39" s="122" t="s">
        <v>317</v>
      </c>
      <c r="B39" s="122" t="s">
        <v>318</v>
      </c>
      <c r="C39" s="103">
        <v>10.5</v>
      </c>
      <c r="E39" s="123">
        <v>650.53</v>
      </c>
    </row>
    <row r="40" spans="1:8">
      <c r="A40" s="122" t="s">
        <v>319</v>
      </c>
      <c r="B40" s="122" t="s">
        <v>320</v>
      </c>
      <c r="C40" s="103">
        <v>16.12</v>
      </c>
      <c r="E40" s="123">
        <v>15544.64</v>
      </c>
    </row>
    <row r="41" spans="1:8">
      <c r="A41" s="122" t="s">
        <v>321</v>
      </c>
      <c r="B41" s="122" t="s">
        <v>322</v>
      </c>
      <c r="C41" s="103">
        <v>16.12</v>
      </c>
      <c r="E41" s="123">
        <v>2654.05</v>
      </c>
    </row>
    <row r="42" spans="1:8">
      <c r="A42" s="122" t="s">
        <v>323</v>
      </c>
      <c r="B42" s="122" t="s">
        <v>324</v>
      </c>
      <c r="C42" s="103">
        <v>5.75</v>
      </c>
      <c r="E42" s="123">
        <v>34.5</v>
      </c>
    </row>
    <row r="43" spans="1:8">
      <c r="A43" s="122" t="s">
        <v>325</v>
      </c>
      <c r="B43" s="122" t="s">
        <v>326</v>
      </c>
      <c r="C43" s="103">
        <v>16.12</v>
      </c>
      <c r="E43" s="123">
        <v>4384.6400000000003</v>
      </c>
    </row>
    <row r="44" spans="1:8">
      <c r="A44" s="122" t="s">
        <v>327</v>
      </c>
      <c r="B44" s="122" t="s">
        <v>328</v>
      </c>
      <c r="C44" s="103">
        <v>16.12</v>
      </c>
      <c r="E44" s="123">
        <v>10970.96</v>
      </c>
    </row>
    <row r="45" spans="1:8">
      <c r="A45" s="125"/>
      <c r="B45" s="125"/>
    </row>
    <row r="46" spans="1:8">
      <c r="A46" s="126"/>
      <c r="B46" s="127" t="s">
        <v>329</v>
      </c>
      <c r="E46" s="128">
        <f>+SUM(E11:E45)</f>
        <v>11076353.310000001</v>
      </c>
      <c r="F46" s="129"/>
      <c r="G46" s="128">
        <f>+SUM(G11:G45)</f>
        <v>64740.327497774051</v>
      </c>
      <c r="H46" s="130"/>
    </row>
    <row r="47" spans="1:8">
      <c r="A47" s="126"/>
      <c r="B47" s="126"/>
    </row>
    <row r="48" spans="1:8">
      <c r="A48" s="111" t="s">
        <v>330</v>
      </c>
      <c r="B48" s="112"/>
      <c r="C48" s="113"/>
      <c r="D48" s="114"/>
      <c r="E48" s="114"/>
      <c r="F48" s="114"/>
      <c r="G48" s="114"/>
    </row>
    <row r="49" spans="1:7">
      <c r="A49" s="115"/>
      <c r="B49" s="115"/>
    </row>
    <row r="50" spans="1:7">
      <c r="A50" s="119" t="s">
        <v>331</v>
      </c>
      <c r="B50" s="119"/>
      <c r="C50" s="120"/>
      <c r="D50" s="121"/>
      <c r="E50" s="121"/>
      <c r="F50" s="121"/>
      <c r="G50" s="121"/>
    </row>
    <row r="51" spans="1:7">
      <c r="A51" s="122" t="s">
        <v>332</v>
      </c>
      <c r="B51" s="122" t="s">
        <v>333</v>
      </c>
      <c r="C51" s="103">
        <v>73.180000000000007</v>
      </c>
      <c r="E51" s="123">
        <v>290433.82</v>
      </c>
      <c r="G51" s="124">
        <f t="shared" ref="G51:G114" si="1">+IFERROR((E51/C51)/12,0)</f>
        <v>330.72995809419695</v>
      </c>
    </row>
    <row r="52" spans="1:7">
      <c r="A52" s="122" t="s">
        <v>334</v>
      </c>
      <c r="B52" s="122" t="s">
        <v>335</v>
      </c>
      <c r="C52" s="103">
        <v>146.35</v>
      </c>
      <c r="E52" s="123">
        <v>10976.33</v>
      </c>
      <c r="G52" s="124">
        <f t="shared" si="1"/>
        <v>6.2500455528983032</v>
      </c>
    </row>
    <row r="53" spans="1:7">
      <c r="A53" s="122" t="s">
        <v>336</v>
      </c>
      <c r="B53" s="122" t="s">
        <v>337</v>
      </c>
      <c r="C53" s="103">
        <v>36.67</v>
      </c>
      <c r="E53" s="123">
        <v>314280.62</v>
      </c>
      <c r="G53" s="124">
        <f t="shared" si="1"/>
        <v>714.20920825379505</v>
      </c>
    </row>
    <row r="54" spans="1:7">
      <c r="A54" s="122" t="s">
        <v>338</v>
      </c>
      <c r="B54" s="122" t="s">
        <v>339</v>
      </c>
      <c r="C54" s="103">
        <v>98.59</v>
      </c>
      <c r="E54" s="123">
        <v>126453.20999999999</v>
      </c>
      <c r="G54" s="124">
        <f t="shared" si="1"/>
        <v>106.88474997464245</v>
      </c>
    </row>
    <row r="55" spans="1:7">
      <c r="A55" s="122" t="s">
        <v>340</v>
      </c>
      <c r="B55" s="122" t="s">
        <v>341</v>
      </c>
      <c r="C55" s="103">
        <v>197.19</v>
      </c>
      <c r="E55" s="123">
        <v>3056.45</v>
      </c>
      <c r="G55" s="124">
        <f t="shared" si="1"/>
        <v>1.2916687796879489</v>
      </c>
    </row>
    <row r="56" spans="1:7">
      <c r="A56" s="122" t="s">
        <v>342</v>
      </c>
      <c r="B56" s="122" t="s">
        <v>343</v>
      </c>
      <c r="C56" s="103">
        <v>49.41</v>
      </c>
      <c r="E56" s="123">
        <v>99548.959999999992</v>
      </c>
      <c r="G56" s="124">
        <f t="shared" si="1"/>
        <v>167.89610740066112</v>
      </c>
    </row>
    <row r="57" spans="1:7">
      <c r="A57" s="122" t="s">
        <v>344</v>
      </c>
      <c r="B57" s="122" t="s">
        <v>345</v>
      </c>
      <c r="C57" s="103">
        <v>117.17</v>
      </c>
      <c r="E57" s="123">
        <v>575026.48</v>
      </c>
      <c r="G57" s="124">
        <f t="shared" si="1"/>
        <v>408.96879178401747</v>
      </c>
    </row>
    <row r="58" spans="1:7">
      <c r="A58" s="122" t="s">
        <v>346</v>
      </c>
      <c r="B58" s="122" t="s">
        <v>347</v>
      </c>
      <c r="C58" s="103">
        <v>234.34</v>
      </c>
      <c r="E58" s="123">
        <v>142037.50999999998</v>
      </c>
      <c r="G58" s="124">
        <f t="shared" si="1"/>
        <v>50.509768569884208</v>
      </c>
    </row>
    <row r="59" spans="1:7">
      <c r="A59" s="122" t="s">
        <v>348</v>
      </c>
      <c r="B59" s="122" t="s">
        <v>349</v>
      </c>
      <c r="C59" s="103">
        <v>351.51</v>
      </c>
      <c r="E59" s="123">
        <v>24815.26</v>
      </c>
      <c r="G59" s="124">
        <f t="shared" si="1"/>
        <v>5.8830142338292886</v>
      </c>
    </row>
    <row r="60" spans="1:7">
      <c r="A60" s="122" t="s">
        <v>350</v>
      </c>
      <c r="B60" s="122" t="s">
        <v>351</v>
      </c>
      <c r="C60" s="103">
        <v>468.68</v>
      </c>
      <c r="E60" s="123">
        <v>5038.3099999999995</v>
      </c>
      <c r="G60" s="124">
        <f t="shared" si="1"/>
        <v>0.89583333333333315</v>
      </c>
    </row>
    <row r="61" spans="1:7">
      <c r="A61" s="102" t="s">
        <v>352</v>
      </c>
      <c r="B61" s="122" t="s">
        <v>353</v>
      </c>
      <c r="C61" s="103">
        <v>585.85</v>
      </c>
      <c r="E61" s="123">
        <v>937.37</v>
      </c>
      <c r="G61" s="124">
        <f t="shared" si="1"/>
        <v>0.13333475576797246</v>
      </c>
    </row>
    <row r="62" spans="1:7">
      <c r="A62" s="122" t="s">
        <v>354</v>
      </c>
      <c r="B62" s="122" t="s">
        <v>355</v>
      </c>
      <c r="C62" s="103">
        <v>58.720000000000006</v>
      </c>
      <c r="E62" s="123">
        <v>230641.67</v>
      </c>
      <c r="G62" s="124">
        <f t="shared" si="1"/>
        <v>327.31844629881925</v>
      </c>
    </row>
    <row r="63" spans="1:7">
      <c r="A63" s="122" t="s">
        <v>356</v>
      </c>
      <c r="B63" s="122" t="s">
        <v>357</v>
      </c>
      <c r="C63" s="103">
        <v>163.33000000000001</v>
      </c>
      <c r="E63" s="123">
        <v>363866.63</v>
      </c>
      <c r="G63" s="124">
        <f t="shared" si="1"/>
        <v>185.65002857201168</v>
      </c>
    </row>
    <row r="64" spans="1:7">
      <c r="A64" s="122" t="s">
        <v>358</v>
      </c>
      <c r="B64" s="122" t="s">
        <v>359</v>
      </c>
      <c r="C64" s="103">
        <v>326.66000000000003</v>
      </c>
      <c r="E64" s="123">
        <v>216689.93999999997</v>
      </c>
      <c r="G64" s="124">
        <f t="shared" si="1"/>
        <v>55.279174064776818</v>
      </c>
    </row>
    <row r="65" spans="1:7">
      <c r="A65" s="122" t="s">
        <v>360</v>
      </c>
      <c r="B65" s="122" t="s">
        <v>361</v>
      </c>
      <c r="C65" s="103">
        <v>489.98</v>
      </c>
      <c r="E65" s="123">
        <v>66351.459999999992</v>
      </c>
      <c r="G65" s="124">
        <f t="shared" si="1"/>
        <v>11.284722505680501</v>
      </c>
    </row>
    <row r="66" spans="1:7">
      <c r="A66" s="122" t="s">
        <v>362</v>
      </c>
      <c r="B66" s="122" t="s">
        <v>363</v>
      </c>
      <c r="C66" s="103">
        <v>653.30999999999995</v>
      </c>
      <c r="E66" s="123">
        <v>10942.939999999999</v>
      </c>
      <c r="G66" s="124">
        <f t="shared" si="1"/>
        <v>1.3958330144443936</v>
      </c>
    </row>
    <row r="67" spans="1:7">
      <c r="A67" s="122" t="s">
        <v>364</v>
      </c>
      <c r="B67" s="122" t="s">
        <v>365</v>
      </c>
      <c r="C67" s="103">
        <v>816.64</v>
      </c>
      <c r="E67" s="123">
        <v>4899.84</v>
      </c>
      <c r="G67" s="124">
        <f t="shared" si="1"/>
        <v>0.5</v>
      </c>
    </row>
    <row r="68" spans="1:7">
      <c r="A68" s="122" t="s">
        <v>366</v>
      </c>
      <c r="B68" s="122" t="s">
        <v>367</v>
      </c>
      <c r="C68" s="103">
        <v>81.849999999999994</v>
      </c>
      <c r="E68" s="123">
        <v>31888.17</v>
      </c>
      <c r="G68" s="124">
        <f t="shared" si="1"/>
        <v>32.466065974343316</v>
      </c>
    </row>
    <row r="69" spans="1:7">
      <c r="A69" s="122" t="s">
        <v>368</v>
      </c>
      <c r="B69" s="122" t="s">
        <v>369</v>
      </c>
      <c r="C69" s="103">
        <v>211.38999999999996</v>
      </c>
      <c r="E69" s="123">
        <v>439636.82999999996</v>
      </c>
      <c r="G69" s="124">
        <f t="shared" si="1"/>
        <v>173.31189980604572</v>
      </c>
    </row>
    <row r="70" spans="1:7">
      <c r="A70" s="122" t="s">
        <v>370</v>
      </c>
      <c r="B70" s="122" t="s">
        <v>371</v>
      </c>
      <c r="C70" s="103">
        <v>422.77999999999992</v>
      </c>
      <c r="E70" s="123">
        <v>400496.08999999997</v>
      </c>
      <c r="G70" s="124">
        <f t="shared" si="1"/>
        <v>78.940995710929258</v>
      </c>
    </row>
    <row r="71" spans="1:7">
      <c r="A71" s="122" t="s">
        <v>372</v>
      </c>
      <c r="B71" s="122" t="s">
        <v>373</v>
      </c>
      <c r="C71" s="103">
        <v>634.16999999999996</v>
      </c>
      <c r="E71" s="123">
        <v>189730.59000000003</v>
      </c>
      <c r="G71" s="124">
        <f t="shared" si="1"/>
        <v>24.931615339735405</v>
      </c>
    </row>
    <row r="72" spans="1:7">
      <c r="A72" s="122" t="s">
        <v>374</v>
      </c>
      <c r="B72" s="122" t="s">
        <v>375</v>
      </c>
      <c r="C72" s="103">
        <v>845.55999999999983</v>
      </c>
      <c r="E72" s="123">
        <v>40586.87999999999</v>
      </c>
      <c r="G72" s="124">
        <f t="shared" si="1"/>
        <v>4</v>
      </c>
    </row>
    <row r="73" spans="1:7">
      <c r="A73" s="122" t="s">
        <v>376</v>
      </c>
      <c r="B73" s="122" t="s">
        <v>377</v>
      </c>
      <c r="C73" s="103">
        <v>1056.95</v>
      </c>
      <c r="E73" s="123">
        <v>35724.909999999996</v>
      </c>
      <c r="G73" s="124">
        <f t="shared" si="1"/>
        <v>2.8166666666666664</v>
      </c>
    </row>
    <row r="74" spans="1:7">
      <c r="A74" s="122" t="s">
        <v>378</v>
      </c>
      <c r="B74" s="122" t="s">
        <v>379</v>
      </c>
      <c r="C74" s="103">
        <v>1268.3399999999999</v>
      </c>
      <c r="E74" s="123">
        <v>27903.479999999996</v>
      </c>
      <c r="G74" s="124">
        <f t="shared" si="1"/>
        <v>1.833333333333333</v>
      </c>
    </row>
    <row r="75" spans="1:7">
      <c r="A75" s="122" t="s">
        <v>380</v>
      </c>
      <c r="B75" s="122" t="s">
        <v>381</v>
      </c>
      <c r="C75" s="103">
        <v>105.94000000000001</v>
      </c>
      <c r="E75" s="123">
        <v>28497.86</v>
      </c>
      <c r="G75" s="124">
        <f t="shared" si="1"/>
        <v>22.416666666666668</v>
      </c>
    </row>
    <row r="76" spans="1:7">
      <c r="A76" s="122" t="s">
        <v>382</v>
      </c>
      <c r="B76" s="122" t="s">
        <v>383</v>
      </c>
      <c r="C76" s="103">
        <v>259.63</v>
      </c>
      <c r="E76" s="123">
        <v>15577.8</v>
      </c>
      <c r="G76" s="124">
        <f t="shared" si="1"/>
        <v>5</v>
      </c>
    </row>
    <row r="77" spans="1:7">
      <c r="A77" s="122" t="s">
        <v>384</v>
      </c>
      <c r="B77" s="122" t="s">
        <v>385</v>
      </c>
      <c r="C77" s="103">
        <v>130.11000000000001</v>
      </c>
      <c r="E77" s="123">
        <v>1496.27</v>
      </c>
      <c r="G77" s="124">
        <f t="shared" si="1"/>
        <v>0.95833653575179956</v>
      </c>
    </row>
    <row r="78" spans="1:7">
      <c r="A78" s="122" t="s">
        <v>386</v>
      </c>
      <c r="B78" s="122" t="s">
        <v>387</v>
      </c>
      <c r="C78" s="103">
        <v>307.47000000000003</v>
      </c>
      <c r="E78" s="123">
        <v>340584.57</v>
      </c>
      <c r="G78" s="124">
        <f t="shared" si="1"/>
        <v>92.308347155820073</v>
      </c>
    </row>
    <row r="79" spans="1:7">
      <c r="A79" s="122" t="s">
        <v>388</v>
      </c>
      <c r="B79" s="122" t="s">
        <v>389</v>
      </c>
      <c r="C79" s="103">
        <v>614.95000000000005</v>
      </c>
      <c r="E79" s="123">
        <v>169171.07</v>
      </c>
      <c r="G79" s="124">
        <f t="shared" si="1"/>
        <v>22.924773016776431</v>
      </c>
    </row>
    <row r="80" spans="1:7">
      <c r="A80" s="122" t="s">
        <v>390</v>
      </c>
      <c r="B80" s="122" t="s">
        <v>391</v>
      </c>
      <c r="C80" s="103">
        <v>922.41999999999985</v>
      </c>
      <c r="E80" s="123">
        <v>83869.220000000016</v>
      </c>
      <c r="G80" s="124">
        <f t="shared" si="1"/>
        <v>7.5769190462768252</v>
      </c>
    </row>
    <row r="81" spans="1:7">
      <c r="A81" s="122" t="s">
        <v>392</v>
      </c>
      <c r="B81" s="122" t="s">
        <v>393</v>
      </c>
      <c r="C81" s="103">
        <v>1537.37</v>
      </c>
      <c r="E81" s="123">
        <v>24597.919999999998</v>
      </c>
      <c r="G81" s="124">
        <f t="shared" si="1"/>
        <v>1.3333333333333333</v>
      </c>
    </row>
    <row r="82" spans="1:7">
      <c r="A82" s="122" t="s">
        <v>394</v>
      </c>
      <c r="B82" s="122" t="s">
        <v>395</v>
      </c>
      <c r="C82" s="103">
        <v>154.09</v>
      </c>
      <c r="E82" s="123">
        <v>34593.219999999994</v>
      </c>
      <c r="G82" s="124">
        <f t="shared" si="1"/>
        <v>18.708341445475586</v>
      </c>
    </row>
    <row r="83" spans="1:7">
      <c r="A83" s="122" t="s">
        <v>396</v>
      </c>
      <c r="B83" s="122" t="s">
        <v>397</v>
      </c>
      <c r="C83" s="103">
        <v>402.56</v>
      </c>
      <c r="E83" s="123">
        <v>194829.30000000002</v>
      </c>
      <c r="G83" s="124">
        <f t="shared" si="1"/>
        <v>40.331317070747225</v>
      </c>
    </row>
    <row r="84" spans="1:7">
      <c r="A84" s="122" t="s">
        <v>398</v>
      </c>
      <c r="B84" s="122" t="s">
        <v>399</v>
      </c>
      <c r="C84" s="103">
        <v>805.12</v>
      </c>
      <c r="E84" s="123">
        <v>126001.28</v>
      </c>
      <c r="G84" s="124">
        <f t="shared" si="1"/>
        <v>13.041666666666666</v>
      </c>
    </row>
    <row r="85" spans="1:7">
      <c r="A85" s="122" t="s">
        <v>400</v>
      </c>
      <c r="B85" s="122" t="s">
        <v>401</v>
      </c>
      <c r="C85" s="103">
        <v>1207.68</v>
      </c>
      <c r="E85" s="123">
        <v>57968.639999999999</v>
      </c>
      <c r="G85" s="124">
        <f t="shared" si="1"/>
        <v>4</v>
      </c>
    </row>
    <row r="86" spans="1:7">
      <c r="A86" s="122" t="s">
        <v>402</v>
      </c>
      <c r="B86" s="122" t="s">
        <v>403</v>
      </c>
      <c r="C86" s="103">
        <v>1610.24</v>
      </c>
      <c r="E86" s="123">
        <v>19322.88</v>
      </c>
      <c r="G86" s="124">
        <f t="shared" si="1"/>
        <v>1</v>
      </c>
    </row>
    <row r="87" spans="1:7">
      <c r="A87" s="122" t="s">
        <v>404</v>
      </c>
      <c r="B87" s="122" t="s">
        <v>405</v>
      </c>
      <c r="C87" s="103">
        <v>201.74</v>
      </c>
      <c r="E87" s="123">
        <v>8271.34</v>
      </c>
      <c r="G87" s="124">
        <f t="shared" si="1"/>
        <v>3.4166666666666665</v>
      </c>
    </row>
    <row r="88" spans="1:7">
      <c r="A88" s="122" t="s">
        <v>406</v>
      </c>
      <c r="B88" s="122" t="s">
        <v>407</v>
      </c>
      <c r="C88" s="103">
        <v>244.77</v>
      </c>
      <c r="E88" s="123">
        <v>2937.2400000000002</v>
      </c>
      <c r="G88" s="124">
        <f t="shared" si="1"/>
        <v>1</v>
      </c>
    </row>
    <row r="89" spans="1:7">
      <c r="A89" s="122" t="s">
        <v>408</v>
      </c>
      <c r="B89" s="122" t="s">
        <v>409</v>
      </c>
      <c r="C89" s="103">
        <v>334.75</v>
      </c>
      <c r="E89" s="123">
        <v>7364.5</v>
      </c>
      <c r="G89" s="124">
        <f t="shared" si="1"/>
        <v>1.8333333333333333</v>
      </c>
    </row>
    <row r="90" spans="1:7">
      <c r="A90" s="122" t="s">
        <v>410</v>
      </c>
      <c r="B90" s="122" t="s">
        <v>411</v>
      </c>
      <c r="C90" s="103">
        <v>435.16999999999996</v>
      </c>
      <c r="E90" s="123">
        <v>26110.199999999997</v>
      </c>
      <c r="G90" s="124">
        <f t="shared" si="1"/>
        <v>5</v>
      </c>
    </row>
    <row r="91" spans="1:7">
      <c r="A91" s="122" t="s">
        <v>412</v>
      </c>
      <c r="B91" s="122" t="s">
        <v>413</v>
      </c>
      <c r="C91" s="103">
        <v>17.899999999999999</v>
      </c>
      <c r="E91" s="123">
        <v>5540.8000000000011</v>
      </c>
      <c r="G91" s="124">
        <f t="shared" si="1"/>
        <v>25.795158286778406</v>
      </c>
    </row>
    <row r="92" spans="1:7">
      <c r="A92" s="122" t="s">
        <v>414</v>
      </c>
      <c r="B92" s="122" t="s">
        <v>415</v>
      </c>
      <c r="C92" s="103">
        <v>23.77</v>
      </c>
      <c r="E92" s="123">
        <v>1140.96</v>
      </c>
      <c r="G92" s="124">
        <f t="shared" si="1"/>
        <v>4</v>
      </c>
    </row>
    <row r="93" spans="1:7">
      <c r="A93" s="122" t="s">
        <v>416</v>
      </c>
      <c r="B93" s="122" t="s">
        <v>417</v>
      </c>
      <c r="C93" s="103">
        <v>28.059999999999995</v>
      </c>
      <c r="E93" s="123">
        <v>5668.1200000000008</v>
      </c>
      <c r="G93" s="124">
        <f t="shared" si="1"/>
        <v>16.833333333333339</v>
      </c>
    </row>
    <row r="94" spans="1:7">
      <c r="A94" s="122" t="s">
        <v>418</v>
      </c>
      <c r="B94" s="122" t="s">
        <v>419</v>
      </c>
      <c r="C94" s="103">
        <v>38.72</v>
      </c>
      <c r="E94" s="123">
        <v>1122.8800000000001</v>
      </c>
      <c r="G94" s="124">
        <f t="shared" si="1"/>
        <v>2.416666666666667</v>
      </c>
    </row>
    <row r="95" spans="1:7">
      <c r="A95" s="122" t="s">
        <v>420</v>
      </c>
      <c r="B95" s="122" t="s">
        <v>421</v>
      </c>
      <c r="C95" s="103">
        <v>57.529999999999994</v>
      </c>
      <c r="E95" s="123">
        <v>114.62</v>
      </c>
      <c r="G95" s="124">
        <f t="shared" si="1"/>
        <v>0.16602931803696624</v>
      </c>
    </row>
    <row r="96" spans="1:7">
      <c r="A96" s="122" t="s">
        <v>422</v>
      </c>
      <c r="B96" s="122" t="s">
        <v>423</v>
      </c>
      <c r="C96" s="103">
        <v>101.5</v>
      </c>
      <c r="E96" s="123">
        <v>4872</v>
      </c>
      <c r="G96" s="124">
        <f t="shared" si="1"/>
        <v>4</v>
      </c>
    </row>
    <row r="97" spans="1:7">
      <c r="A97" s="122" t="s">
        <v>424</v>
      </c>
      <c r="B97" s="122" t="s">
        <v>425</v>
      </c>
      <c r="C97" s="103">
        <v>49.82</v>
      </c>
      <c r="E97" s="123">
        <v>1494.6000000000001</v>
      </c>
      <c r="G97" s="124">
        <f t="shared" si="1"/>
        <v>2.5000000000000004</v>
      </c>
    </row>
    <row r="98" spans="1:7">
      <c r="A98" s="122" t="s">
        <v>426</v>
      </c>
      <c r="B98" s="122" t="s">
        <v>427</v>
      </c>
      <c r="C98" s="103">
        <v>60.96</v>
      </c>
      <c r="E98" s="123">
        <v>548.64</v>
      </c>
      <c r="G98" s="124">
        <f t="shared" si="1"/>
        <v>0.75</v>
      </c>
    </row>
    <row r="99" spans="1:7">
      <c r="A99" s="122" t="s">
        <v>428</v>
      </c>
      <c r="B99" s="122" t="s">
        <v>429</v>
      </c>
      <c r="C99" s="103">
        <v>72.010000000000005</v>
      </c>
      <c r="E99" s="123">
        <v>1800.25</v>
      </c>
      <c r="G99" s="124">
        <f t="shared" si="1"/>
        <v>2.0833333333333335</v>
      </c>
    </row>
    <row r="100" spans="1:7">
      <c r="A100" s="122" t="s">
        <v>430</v>
      </c>
      <c r="B100" s="122" t="s">
        <v>431</v>
      </c>
      <c r="C100" s="103">
        <v>93.97</v>
      </c>
      <c r="E100" s="123">
        <v>2139.3500000000004</v>
      </c>
      <c r="G100" s="124">
        <f t="shared" si="1"/>
        <v>1.8971923663580579</v>
      </c>
    </row>
    <row r="101" spans="1:7">
      <c r="A101" s="122" t="s">
        <v>432</v>
      </c>
      <c r="B101" s="122" t="s">
        <v>433</v>
      </c>
      <c r="C101" s="103">
        <v>16.899999999999999</v>
      </c>
      <c r="E101" s="123">
        <v>5467.15</v>
      </c>
      <c r="G101" s="124">
        <f t="shared" si="1"/>
        <v>26.958333333333332</v>
      </c>
    </row>
    <row r="102" spans="1:7">
      <c r="A102" s="122" t="s">
        <v>434</v>
      </c>
      <c r="B102" s="122" t="s">
        <v>435</v>
      </c>
      <c r="C102" s="103">
        <v>22.77</v>
      </c>
      <c r="E102" s="123">
        <v>2504.6999999999998</v>
      </c>
      <c r="G102" s="124">
        <f t="shared" si="1"/>
        <v>9.1666666666666661</v>
      </c>
    </row>
    <row r="103" spans="1:7">
      <c r="A103" s="122" t="s">
        <v>436</v>
      </c>
      <c r="B103" s="122" t="s">
        <v>437</v>
      </c>
      <c r="C103" s="103">
        <v>27.059999999999995</v>
      </c>
      <c r="E103" s="123">
        <v>31667.32</v>
      </c>
      <c r="G103" s="124">
        <f t="shared" si="1"/>
        <v>97.521926582902211</v>
      </c>
    </row>
    <row r="104" spans="1:7">
      <c r="A104" s="122" t="s">
        <v>438</v>
      </c>
      <c r="B104" s="122" t="s">
        <v>439</v>
      </c>
      <c r="C104" s="103">
        <v>37.72</v>
      </c>
      <c r="E104" s="123">
        <v>1056.1599999999999</v>
      </c>
      <c r="G104" s="124">
        <f t="shared" si="1"/>
        <v>2.333333333333333</v>
      </c>
    </row>
    <row r="105" spans="1:7">
      <c r="A105" s="122" t="s">
        <v>440</v>
      </c>
      <c r="B105" s="122" t="s">
        <v>441</v>
      </c>
      <c r="C105" s="103">
        <v>48.82</v>
      </c>
      <c r="E105" s="123">
        <v>48.82</v>
      </c>
      <c r="G105" s="124">
        <f t="shared" si="1"/>
        <v>8.3333333333333329E-2</v>
      </c>
    </row>
    <row r="106" spans="1:7">
      <c r="A106" s="122" t="s">
        <v>442</v>
      </c>
      <c r="B106" s="122" t="s">
        <v>443</v>
      </c>
      <c r="C106" s="103">
        <v>92.97</v>
      </c>
      <c r="E106" s="123">
        <v>185.94</v>
      </c>
      <c r="G106" s="124">
        <f t="shared" si="1"/>
        <v>0.16666666666666666</v>
      </c>
    </row>
    <row r="107" spans="1:7">
      <c r="A107" s="122" t="s">
        <v>444</v>
      </c>
      <c r="B107" s="122" t="s">
        <v>445</v>
      </c>
      <c r="C107" s="103">
        <v>12.28</v>
      </c>
      <c r="E107" s="123">
        <v>122169.42</v>
      </c>
      <c r="G107" s="124">
        <f t="shared" si="1"/>
        <v>829.05415309446255</v>
      </c>
    </row>
    <row r="108" spans="1:7">
      <c r="A108" s="122" t="s">
        <v>446</v>
      </c>
      <c r="B108" s="122" t="s">
        <v>273</v>
      </c>
      <c r="C108" s="103">
        <v>23.56</v>
      </c>
      <c r="E108" s="123">
        <v>20090.79</v>
      </c>
      <c r="G108" s="124">
        <f t="shared" si="1"/>
        <v>71.062500000000014</v>
      </c>
    </row>
    <row r="109" spans="1:7">
      <c r="A109" s="122" t="s">
        <v>447</v>
      </c>
      <c r="B109" s="122" t="s">
        <v>275</v>
      </c>
      <c r="C109" s="103">
        <v>35.33</v>
      </c>
      <c r="E109" s="123">
        <v>8204.4900000000016</v>
      </c>
      <c r="G109" s="124">
        <f t="shared" si="1"/>
        <v>19.35203792810643</v>
      </c>
    </row>
    <row r="110" spans="1:7">
      <c r="A110" s="122" t="s">
        <v>448</v>
      </c>
      <c r="B110" s="122" t="s">
        <v>277</v>
      </c>
      <c r="C110" s="103">
        <v>47.11</v>
      </c>
      <c r="E110" s="123">
        <v>4475.4500000000007</v>
      </c>
      <c r="G110" s="124">
        <f t="shared" si="1"/>
        <v>7.9166666666666679</v>
      </c>
    </row>
    <row r="111" spans="1:7">
      <c r="A111" s="122" t="s">
        <v>449</v>
      </c>
      <c r="B111" s="122" t="s">
        <v>279</v>
      </c>
      <c r="C111" s="103">
        <v>58.89</v>
      </c>
      <c r="E111" s="123">
        <v>1325.03</v>
      </c>
      <c r="G111" s="124">
        <f t="shared" si="1"/>
        <v>1.8750070753382013</v>
      </c>
    </row>
    <row r="112" spans="1:7">
      <c r="A112" s="122" t="s">
        <v>450</v>
      </c>
      <c r="B112" s="122" t="s">
        <v>281</v>
      </c>
      <c r="C112" s="103">
        <v>70.67</v>
      </c>
      <c r="E112" s="123">
        <v>848.04</v>
      </c>
      <c r="G112" s="124">
        <f t="shared" si="1"/>
        <v>1</v>
      </c>
    </row>
    <row r="113" spans="1:7">
      <c r="A113" s="122" t="s">
        <v>451</v>
      </c>
      <c r="B113" s="122" t="s">
        <v>285</v>
      </c>
      <c r="C113" s="103">
        <v>94.22</v>
      </c>
      <c r="E113" s="123">
        <v>1130.6400000000001</v>
      </c>
      <c r="G113" s="124">
        <f t="shared" si="1"/>
        <v>1.0000000000000002</v>
      </c>
    </row>
    <row r="114" spans="1:7">
      <c r="A114" s="122" t="s">
        <v>452</v>
      </c>
      <c r="B114" s="122" t="s">
        <v>453</v>
      </c>
      <c r="C114" s="103">
        <v>106</v>
      </c>
      <c r="E114" s="123">
        <v>1272</v>
      </c>
      <c r="G114" s="124">
        <f t="shared" si="1"/>
        <v>1</v>
      </c>
    </row>
    <row r="115" spans="1:7">
      <c r="A115" s="122" t="s">
        <v>454</v>
      </c>
      <c r="B115" s="122" t="s">
        <v>455</v>
      </c>
      <c r="C115" s="103">
        <v>3.85</v>
      </c>
      <c r="E115" s="123">
        <v>10895.34</v>
      </c>
    </row>
    <row r="116" spans="1:7">
      <c r="A116" s="122" t="s">
        <v>456</v>
      </c>
      <c r="B116" s="122" t="s">
        <v>457</v>
      </c>
      <c r="C116" s="103">
        <v>17.579999999999998</v>
      </c>
      <c r="E116" s="123">
        <v>86902.19</v>
      </c>
    </row>
    <row r="117" spans="1:7">
      <c r="A117" s="122" t="s">
        <v>458</v>
      </c>
      <c r="B117" s="122" t="s">
        <v>459</v>
      </c>
      <c r="C117" s="103">
        <v>17.579999999999998</v>
      </c>
      <c r="E117" s="123">
        <v>114.27</v>
      </c>
    </row>
    <row r="118" spans="1:7">
      <c r="A118" s="122" t="s">
        <v>460</v>
      </c>
      <c r="B118" s="122" t="s">
        <v>461</v>
      </c>
      <c r="C118" s="103">
        <v>37.67</v>
      </c>
      <c r="E118" s="123">
        <v>2184.86</v>
      </c>
    </row>
    <row r="119" spans="1:7">
      <c r="A119" s="122" t="s">
        <v>462</v>
      </c>
      <c r="B119" s="122" t="s">
        <v>463</v>
      </c>
      <c r="C119" s="103">
        <v>31.4</v>
      </c>
      <c r="E119" s="123">
        <v>20598.399999999998</v>
      </c>
    </row>
    <row r="120" spans="1:7">
      <c r="A120" s="122" t="s">
        <v>464</v>
      </c>
      <c r="B120" s="122" t="s">
        <v>465</v>
      </c>
      <c r="C120" s="103">
        <v>31.4</v>
      </c>
      <c r="E120" s="123">
        <v>188.39999999999998</v>
      </c>
    </row>
    <row r="121" spans="1:7">
      <c r="A121" s="122" t="s">
        <v>466</v>
      </c>
      <c r="B121" s="122" t="s">
        <v>467</v>
      </c>
      <c r="C121" s="103">
        <v>12.03</v>
      </c>
      <c r="E121" s="123">
        <v>150125.63999999998</v>
      </c>
    </row>
    <row r="122" spans="1:7">
      <c r="A122" s="122" t="s">
        <v>468</v>
      </c>
      <c r="B122" s="122" t="s">
        <v>469</v>
      </c>
      <c r="C122" s="103">
        <v>13.6</v>
      </c>
      <c r="E122" s="123">
        <v>44531.149999999994</v>
      </c>
    </row>
    <row r="123" spans="1:7">
      <c r="A123" s="122" t="s">
        <v>470</v>
      </c>
      <c r="B123" s="122" t="s">
        <v>471</v>
      </c>
      <c r="C123" s="103">
        <v>14.64</v>
      </c>
      <c r="E123" s="123">
        <v>138437.78</v>
      </c>
    </row>
    <row r="124" spans="1:7">
      <c r="A124" s="122" t="s">
        <v>472</v>
      </c>
      <c r="B124" s="122" t="s">
        <v>473</v>
      </c>
      <c r="C124" s="103">
        <v>15.690000000000001</v>
      </c>
      <c r="E124" s="123">
        <v>53368.829999999994</v>
      </c>
    </row>
    <row r="125" spans="1:7">
      <c r="A125" s="122" t="s">
        <v>474</v>
      </c>
      <c r="B125" s="122" t="s">
        <v>475</v>
      </c>
      <c r="C125" s="103">
        <v>16.73</v>
      </c>
      <c r="E125" s="123">
        <v>61742.69</v>
      </c>
    </row>
    <row r="126" spans="1:7">
      <c r="A126" s="122" t="s">
        <v>476</v>
      </c>
      <c r="B126" s="122" t="s">
        <v>477</v>
      </c>
      <c r="C126" s="103">
        <v>17.78</v>
      </c>
      <c r="E126" s="123">
        <v>1271.2700000000002</v>
      </c>
    </row>
    <row r="127" spans="1:7">
      <c r="A127" s="122" t="s">
        <v>478</v>
      </c>
      <c r="B127" s="122" t="s">
        <v>479</v>
      </c>
      <c r="C127" s="103">
        <v>18.82</v>
      </c>
      <c r="E127" s="123">
        <v>32093.460000000003</v>
      </c>
    </row>
    <row r="128" spans="1:7">
      <c r="A128" s="122" t="s">
        <v>480</v>
      </c>
      <c r="B128" s="122" t="s">
        <v>481</v>
      </c>
      <c r="C128" s="103">
        <v>21.96</v>
      </c>
      <c r="E128" s="123">
        <v>16364.62</v>
      </c>
    </row>
    <row r="129" spans="1:5">
      <c r="A129" s="122" t="s">
        <v>482</v>
      </c>
      <c r="B129" s="122" t="s">
        <v>483</v>
      </c>
      <c r="C129" s="103">
        <v>12.03</v>
      </c>
      <c r="E129" s="123">
        <v>36.089999999999996</v>
      </c>
    </row>
    <row r="130" spans="1:5">
      <c r="A130" s="122" t="s">
        <v>484</v>
      </c>
      <c r="B130" s="122" t="s">
        <v>485</v>
      </c>
      <c r="C130" s="103">
        <v>14.64</v>
      </c>
      <c r="E130" s="123">
        <v>58.56</v>
      </c>
    </row>
    <row r="131" spans="1:5">
      <c r="A131" s="122" t="s">
        <v>486</v>
      </c>
      <c r="B131" s="122" t="s">
        <v>487</v>
      </c>
      <c r="C131" s="103">
        <v>15.690000000000001</v>
      </c>
      <c r="E131" s="123">
        <v>94.14</v>
      </c>
    </row>
    <row r="132" spans="1:5">
      <c r="A132" s="122" t="s">
        <v>488</v>
      </c>
      <c r="B132" s="122" t="s">
        <v>489</v>
      </c>
      <c r="C132" s="103">
        <v>12.03</v>
      </c>
      <c r="E132" s="123">
        <v>1465.9899999999998</v>
      </c>
    </row>
    <row r="133" spans="1:5">
      <c r="A133" s="122" t="s">
        <v>490</v>
      </c>
      <c r="B133" s="122" t="s">
        <v>491</v>
      </c>
      <c r="C133" s="103">
        <v>13.6</v>
      </c>
      <c r="E133" s="123">
        <v>1009.79</v>
      </c>
    </row>
    <row r="134" spans="1:5">
      <c r="A134" s="122" t="s">
        <v>492</v>
      </c>
      <c r="B134" s="122" t="s">
        <v>493</v>
      </c>
      <c r="C134" s="103">
        <v>14.64</v>
      </c>
      <c r="E134" s="123">
        <v>13625.160000000002</v>
      </c>
    </row>
    <row r="135" spans="1:5">
      <c r="A135" s="122" t="s">
        <v>494</v>
      </c>
      <c r="B135" s="122" t="s">
        <v>495</v>
      </c>
      <c r="C135" s="103">
        <v>15.690000000000001</v>
      </c>
      <c r="E135" s="123">
        <v>136.5</v>
      </c>
    </row>
    <row r="136" spans="1:5">
      <c r="A136" s="122" t="s">
        <v>496</v>
      </c>
      <c r="B136" s="122" t="s">
        <v>497</v>
      </c>
      <c r="C136" s="103">
        <v>18.82</v>
      </c>
      <c r="E136" s="123">
        <v>1.88</v>
      </c>
    </row>
    <row r="137" spans="1:5">
      <c r="A137" s="122" t="s">
        <v>498</v>
      </c>
      <c r="B137" s="122" t="s">
        <v>499</v>
      </c>
      <c r="C137" s="103">
        <v>21.96</v>
      </c>
      <c r="E137" s="123">
        <v>112.73</v>
      </c>
    </row>
    <row r="138" spans="1:5">
      <c r="A138" s="122" t="s">
        <v>500</v>
      </c>
      <c r="B138" s="122" t="s">
        <v>312</v>
      </c>
      <c r="C138" s="103">
        <v>95.6</v>
      </c>
      <c r="E138" s="123">
        <v>405.45000000000005</v>
      </c>
    </row>
    <row r="139" spans="1:5">
      <c r="A139" s="122" t="s">
        <v>501</v>
      </c>
      <c r="B139" s="122" t="s">
        <v>314</v>
      </c>
      <c r="C139" s="103">
        <f>95.6+46.2</f>
        <v>141.80000000000001</v>
      </c>
      <c r="E139" s="123">
        <v>70.8</v>
      </c>
    </row>
    <row r="140" spans="1:5">
      <c r="A140" s="122" t="s">
        <v>502</v>
      </c>
      <c r="B140" s="122" t="s">
        <v>503</v>
      </c>
      <c r="C140" s="103">
        <v>31.4</v>
      </c>
      <c r="E140" s="123">
        <v>8485.9</v>
      </c>
    </row>
    <row r="141" spans="1:5">
      <c r="A141" s="122" t="s">
        <v>504</v>
      </c>
      <c r="B141" s="122" t="s">
        <v>318</v>
      </c>
      <c r="C141" s="103">
        <v>10.5</v>
      </c>
      <c r="E141" s="123">
        <v>43.9</v>
      </c>
    </row>
    <row r="142" spans="1:5">
      <c r="A142" s="122" t="s">
        <v>505</v>
      </c>
      <c r="B142" s="122" t="s">
        <v>506</v>
      </c>
      <c r="C142" s="103">
        <v>6.32</v>
      </c>
      <c r="E142" s="123">
        <v>50236.84</v>
      </c>
    </row>
    <row r="143" spans="1:5">
      <c r="A143" s="122" t="s">
        <v>507</v>
      </c>
      <c r="B143" s="122" t="s">
        <v>508</v>
      </c>
      <c r="C143" s="103">
        <v>3.17</v>
      </c>
      <c r="E143" s="123">
        <v>3100.77</v>
      </c>
    </row>
    <row r="144" spans="1:5">
      <c r="A144" s="122" t="s">
        <v>509</v>
      </c>
      <c r="B144" s="122" t="s">
        <v>510</v>
      </c>
      <c r="C144" s="103">
        <v>61.4</v>
      </c>
      <c r="E144" s="123">
        <v>307</v>
      </c>
    </row>
    <row r="145" spans="1:7">
      <c r="A145" s="122" t="s">
        <v>511</v>
      </c>
      <c r="B145" s="122" t="s">
        <v>512</v>
      </c>
      <c r="C145" s="103">
        <v>6.32</v>
      </c>
      <c r="E145" s="123">
        <v>20.439999999999998</v>
      </c>
    </row>
    <row r="146" spans="1:7">
      <c r="A146" s="122" t="s">
        <v>513</v>
      </c>
      <c r="B146" s="122" t="s">
        <v>514</v>
      </c>
      <c r="C146" s="103">
        <v>7.45</v>
      </c>
      <c r="E146" s="123">
        <v>2120.7099999999996</v>
      </c>
    </row>
    <row r="147" spans="1:7">
      <c r="A147" s="122" t="s">
        <v>515</v>
      </c>
      <c r="B147" s="122" t="s">
        <v>516</v>
      </c>
      <c r="C147" s="103">
        <v>4.54</v>
      </c>
      <c r="E147" s="123">
        <v>2519.7000000000003</v>
      </c>
    </row>
    <row r="148" spans="1:7">
      <c r="A148" s="122" t="s">
        <v>517</v>
      </c>
      <c r="B148" s="122" t="s">
        <v>518</v>
      </c>
      <c r="C148" s="103">
        <v>9.0500000000000007</v>
      </c>
      <c r="E148" s="123">
        <v>57807.74</v>
      </c>
    </row>
    <row r="149" spans="1:7">
      <c r="A149" s="122" t="s">
        <v>519</v>
      </c>
      <c r="B149" s="122" t="s">
        <v>520</v>
      </c>
      <c r="C149" s="103">
        <v>0</v>
      </c>
      <c r="E149" s="123">
        <v>-758</v>
      </c>
    </row>
    <row r="150" spans="1:7">
      <c r="A150" s="122" t="s">
        <v>521</v>
      </c>
      <c r="B150" s="122" t="s">
        <v>522</v>
      </c>
      <c r="C150" s="103">
        <v>0</v>
      </c>
      <c r="E150" s="123">
        <v>-587.90000000000009</v>
      </c>
    </row>
    <row r="151" spans="1:7">
      <c r="A151" s="122" t="s">
        <v>523</v>
      </c>
      <c r="B151" s="122" t="s">
        <v>524</v>
      </c>
      <c r="C151" s="103">
        <v>0</v>
      </c>
      <c r="E151" s="123">
        <v>-6829.6400000000012</v>
      </c>
    </row>
    <row r="152" spans="1:7">
      <c r="A152" s="125"/>
      <c r="B152" s="125"/>
    </row>
    <row r="153" spans="1:7">
      <c r="A153" s="126"/>
      <c r="B153" s="127" t="s">
        <v>525</v>
      </c>
      <c r="E153" s="128">
        <f>+SUM(E51:E152)</f>
        <v>5770348.6800000016</v>
      </c>
      <c r="F153" s="131"/>
      <c r="G153" s="128">
        <f>+SUM(G51:G152)</f>
        <v>4063.1633009423308</v>
      </c>
    </row>
    <row r="154" spans="1:7">
      <c r="A154" s="126"/>
      <c r="B154" s="127"/>
    </row>
    <row r="155" spans="1:7">
      <c r="A155" s="126"/>
      <c r="B155" s="127"/>
    </row>
    <row r="156" spans="1:7">
      <c r="A156" s="111" t="s">
        <v>526</v>
      </c>
      <c r="B156" s="112"/>
      <c r="C156" s="113"/>
      <c r="D156" s="114"/>
      <c r="E156" s="114"/>
      <c r="F156" s="114"/>
      <c r="G156" s="114"/>
    </row>
    <row r="157" spans="1:7">
      <c r="A157" s="116"/>
      <c r="B157" s="116"/>
    </row>
    <row r="158" spans="1:7">
      <c r="A158" s="122" t="s">
        <v>527</v>
      </c>
      <c r="B158" s="122" t="s">
        <v>528</v>
      </c>
      <c r="C158" s="103">
        <v>104.26000000000002</v>
      </c>
      <c r="E158" s="123">
        <v>2397.98</v>
      </c>
      <c r="G158" s="124"/>
    </row>
    <row r="159" spans="1:7">
      <c r="A159" s="122" t="s">
        <v>529</v>
      </c>
      <c r="B159" s="122" t="s">
        <v>530</v>
      </c>
      <c r="C159" s="103">
        <v>104.26000000000002</v>
      </c>
      <c r="E159" s="123">
        <v>54632.240000000005</v>
      </c>
      <c r="G159" s="124"/>
    </row>
    <row r="160" spans="1:7">
      <c r="A160" s="122" t="s">
        <v>531</v>
      </c>
      <c r="B160" s="122" t="s">
        <v>532</v>
      </c>
      <c r="C160" s="103">
        <v>108.6</v>
      </c>
      <c r="E160" s="123">
        <v>67875</v>
      </c>
      <c r="G160" s="124"/>
    </row>
    <row r="161" spans="1:7">
      <c r="A161" s="122" t="s">
        <v>533</v>
      </c>
      <c r="B161" s="122" t="s">
        <v>534</v>
      </c>
      <c r="C161" s="103">
        <v>108.6</v>
      </c>
      <c r="E161" s="123">
        <v>36055.199999999997</v>
      </c>
      <c r="G161" s="124"/>
    </row>
    <row r="162" spans="1:7">
      <c r="A162" s="122" t="s">
        <v>535</v>
      </c>
      <c r="B162" s="122" t="s">
        <v>536</v>
      </c>
      <c r="C162" s="103">
        <v>104.26000000000002</v>
      </c>
      <c r="E162" s="123">
        <v>125.27</v>
      </c>
      <c r="G162" s="124"/>
    </row>
    <row r="163" spans="1:7">
      <c r="A163" s="122" t="s">
        <v>537</v>
      </c>
      <c r="B163" s="122" t="s">
        <v>538</v>
      </c>
      <c r="C163" s="103">
        <v>108.6</v>
      </c>
      <c r="E163" s="123">
        <v>108.6</v>
      </c>
      <c r="G163" s="124"/>
    </row>
    <row r="164" spans="1:7">
      <c r="A164" s="122" t="s">
        <v>539</v>
      </c>
      <c r="B164" s="122" t="s">
        <v>540</v>
      </c>
      <c r="C164" s="103">
        <v>108.6</v>
      </c>
      <c r="E164" s="123">
        <v>108.6</v>
      </c>
      <c r="G164" s="124"/>
    </row>
    <row r="165" spans="1:7">
      <c r="A165" s="122" t="s">
        <v>541</v>
      </c>
      <c r="B165" s="122" t="s">
        <v>542</v>
      </c>
      <c r="C165" s="103">
        <v>104.26000000000002</v>
      </c>
      <c r="E165" s="123">
        <v>312.78000000000003</v>
      </c>
      <c r="G165" s="124"/>
    </row>
    <row r="166" spans="1:7">
      <c r="A166" s="122" t="s">
        <v>543</v>
      </c>
      <c r="B166" s="122" t="s">
        <v>544</v>
      </c>
      <c r="C166" s="103">
        <v>108.6</v>
      </c>
      <c r="E166" s="123">
        <v>108.6</v>
      </c>
      <c r="G166" s="124"/>
    </row>
    <row r="167" spans="1:7">
      <c r="A167" s="122" t="s">
        <v>545</v>
      </c>
      <c r="B167" s="122" t="s">
        <v>546</v>
      </c>
      <c r="C167" s="103">
        <v>108.6</v>
      </c>
      <c r="E167" s="123">
        <v>651.6</v>
      </c>
      <c r="G167" s="124"/>
    </row>
    <row r="168" spans="1:7">
      <c r="A168" s="122" t="s">
        <v>547</v>
      </c>
      <c r="B168" s="122" t="s">
        <v>548</v>
      </c>
      <c r="C168" s="103">
        <v>104.26000000000002</v>
      </c>
      <c r="E168" s="123">
        <v>208.52</v>
      </c>
      <c r="G168" s="124"/>
    </row>
    <row r="169" spans="1:7">
      <c r="A169" s="122" t="s">
        <v>549</v>
      </c>
      <c r="B169" s="122" t="s">
        <v>550</v>
      </c>
      <c r="C169" s="103">
        <v>104.26000000000002</v>
      </c>
      <c r="E169" s="123">
        <v>49940.539999999994</v>
      </c>
      <c r="G169" s="124"/>
    </row>
    <row r="170" spans="1:7">
      <c r="A170" s="122" t="s">
        <v>551</v>
      </c>
      <c r="B170" s="122" t="s">
        <v>552</v>
      </c>
      <c r="C170" s="103">
        <v>108.6</v>
      </c>
      <c r="E170" s="123">
        <v>64508.399999999994</v>
      </c>
      <c r="G170" s="124"/>
    </row>
    <row r="171" spans="1:7">
      <c r="A171" s="122" t="s">
        <v>553</v>
      </c>
      <c r="B171" s="122" t="s">
        <v>554</v>
      </c>
      <c r="C171" s="103">
        <v>108.6</v>
      </c>
      <c r="E171" s="123">
        <v>117179.4</v>
      </c>
      <c r="G171" s="124"/>
    </row>
    <row r="172" spans="1:7">
      <c r="A172" s="122" t="s">
        <v>555</v>
      </c>
      <c r="B172" s="122" t="s">
        <v>556</v>
      </c>
      <c r="C172" s="103">
        <v>104.26000000000002</v>
      </c>
      <c r="E172" s="123">
        <v>1772.42</v>
      </c>
      <c r="G172" s="124"/>
    </row>
    <row r="173" spans="1:7">
      <c r="A173" s="122" t="s">
        <v>557</v>
      </c>
      <c r="B173" s="122" t="s">
        <v>558</v>
      </c>
      <c r="C173" s="103">
        <v>104.26000000000002</v>
      </c>
      <c r="E173" s="123">
        <v>79133.340000000011</v>
      </c>
      <c r="G173" s="124"/>
    </row>
    <row r="174" spans="1:7">
      <c r="A174" s="122" t="s">
        <v>559</v>
      </c>
      <c r="B174" s="122" t="s">
        <v>560</v>
      </c>
      <c r="C174" s="103">
        <v>108.6</v>
      </c>
      <c r="E174" s="123">
        <v>61033.2</v>
      </c>
      <c r="G174" s="124"/>
    </row>
    <row r="175" spans="1:7">
      <c r="A175" s="122" t="s">
        <v>561</v>
      </c>
      <c r="B175" s="122" t="s">
        <v>562</v>
      </c>
      <c r="C175" s="103">
        <v>108.6</v>
      </c>
      <c r="E175" s="123">
        <v>51259.199999999997</v>
      </c>
      <c r="G175" s="124"/>
    </row>
    <row r="176" spans="1:7">
      <c r="A176" s="122" t="s">
        <v>563</v>
      </c>
      <c r="B176" s="122" t="s">
        <v>564</v>
      </c>
      <c r="C176" s="103">
        <v>106.43000000000002</v>
      </c>
      <c r="E176" s="123">
        <v>22137.439999999999</v>
      </c>
      <c r="G176" s="124"/>
    </row>
    <row r="177" spans="1:7">
      <c r="A177" s="122" t="s">
        <v>565</v>
      </c>
      <c r="B177" s="122" t="s">
        <v>566</v>
      </c>
      <c r="C177" s="103">
        <v>106.43000000000002</v>
      </c>
      <c r="E177" s="123">
        <v>76736.030000000013</v>
      </c>
      <c r="G177" s="124"/>
    </row>
    <row r="178" spans="1:7">
      <c r="A178" s="122" t="s">
        <v>567</v>
      </c>
      <c r="B178" s="122" t="s">
        <v>568</v>
      </c>
      <c r="C178" s="103">
        <v>119.47</v>
      </c>
      <c r="E178" s="123">
        <v>55553.549999999996</v>
      </c>
      <c r="G178" s="124"/>
    </row>
    <row r="179" spans="1:7">
      <c r="A179" s="122" t="s">
        <v>569</v>
      </c>
      <c r="B179" s="122" t="s">
        <v>570</v>
      </c>
      <c r="C179" s="103">
        <v>119.47</v>
      </c>
      <c r="E179" s="123">
        <v>43237.27</v>
      </c>
      <c r="G179" s="124"/>
    </row>
    <row r="180" spans="1:7">
      <c r="A180" s="122" t="s">
        <v>571</v>
      </c>
      <c r="B180" s="122" t="s">
        <v>572</v>
      </c>
      <c r="C180" s="103">
        <v>119.47</v>
      </c>
      <c r="E180" s="123">
        <v>25540.730000000003</v>
      </c>
      <c r="G180" s="124"/>
    </row>
    <row r="181" spans="1:7">
      <c r="A181" s="122" t="s">
        <v>573</v>
      </c>
      <c r="B181" s="122" t="s">
        <v>574</v>
      </c>
      <c r="C181" s="103">
        <v>60.3</v>
      </c>
      <c r="E181" s="123">
        <v>1071.33</v>
      </c>
      <c r="G181" s="124">
        <f t="shared" ref="G181:G191" si="2">+IFERROR((E181/C181)/12,0)</f>
        <v>1.4805555555555554</v>
      </c>
    </row>
    <row r="182" spans="1:7">
      <c r="A182" s="122" t="s">
        <v>575</v>
      </c>
      <c r="B182" s="122" t="s">
        <v>576</v>
      </c>
      <c r="C182" s="103">
        <v>60.3</v>
      </c>
      <c r="E182" s="123">
        <v>18902.039999999997</v>
      </c>
      <c r="G182" s="124">
        <f t="shared" si="2"/>
        <v>26.12222222222222</v>
      </c>
    </row>
    <row r="183" spans="1:7">
      <c r="A183" s="122" t="s">
        <v>577</v>
      </c>
      <c r="B183" s="122" t="s">
        <v>578</v>
      </c>
      <c r="C183" s="103">
        <v>60.3</v>
      </c>
      <c r="E183" s="123">
        <v>21845.69</v>
      </c>
      <c r="G183" s="124">
        <f t="shared" si="2"/>
        <v>30.190284687672747</v>
      </c>
    </row>
    <row r="184" spans="1:7">
      <c r="A184" s="122" t="s">
        <v>579</v>
      </c>
      <c r="B184" s="122" t="s">
        <v>580</v>
      </c>
      <c r="C184" s="103">
        <v>60.3</v>
      </c>
      <c r="E184" s="123">
        <v>15225.749999999998</v>
      </c>
      <c r="G184" s="124">
        <f t="shared" si="2"/>
        <v>21.041666666666664</v>
      </c>
    </row>
    <row r="185" spans="1:7">
      <c r="A185" s="122" t="s">
        <v>581</v>
      </c>
      <c r="B185" s="122" t="s">
        <v>582</v>
      </c>
      <c r="C185" s="103">
        <v>60.3</v>
      </c>
      <c r="E185" s="123">
        <v>699.48</v>
      </c>
      <c r="G185" s="124">
        <f t="shared" si="2"/>
        <v>0.96666666666666679</v>
      </c>
    </row>
    <row r="186" spans="1:7">
      <c r="A186" s="122" t="s">
        <v>583</v>
      </c>
      <c r="B186" s="122" t="s">
        <v>584</v>
      </c>
      <c r="C186" s="103">
        <v>60.3</v>
      </c>
      <c r="E186" s="123">
        <v>50421.340000000004</v>
      </c>
      <c r="G186" s="124">
        <f t="shared" si="2"/>
        <v>69.681232725262589</v>
      </c>
    </row>
    <row r="187" spans="1:7">
      <c r="A187" s="122" t="s">
        <v>585</v>
      </c>
      <c r="B187" s="122" t="s">
        <v>576</v>
      </c>
      <c r="C187" s="103">
        <v>60.3</v>
      </c>
      <c r="E187" s="123">
        <v>174.41</v>
      </c>
      <c r="G187" s="124">
        <f t="shared" si="2"/>
        <v>0.24103095632946381</v>
      </c>
    </row>
    <row r="188" spans="1:7">
      <c r="A188" s="122" t="s">
        <v>586</v>
      </c>
      <c r="B188" s="122" t="s">
        <v>578</v>
      </c>
      <c r="C188" s="103">
        <v>60.3</v>
      </c>
      <c r="E188" s="123">
        <v>94.01</v>
      </c>
      <c r="G188" s="124">
        <f t="shared" si="2"/>
        <v>0.1299198452183527</v>
      </c>
    </row>
    <row r="189" spans="1:7">
      <c r="A189" s="122" t="s">
        <v>587</v>
      </c>
      <c r="B189" s="122" t="s">
        <v>588</v>
      </c>
      <c r="C189" s="103">
        <v>60.3</v>
      </c>
      <c r="E189" s="123">
        <v>53425.319999999992</v>
      </c>
      <c r="G189" s="124">
        <f t="shared" si="2"/>
        <v>73.832669983416238</v>
      </c>
    </row>
    <row r="190" spans="1:7">
      <c r="A190" s="122" t="s">
        <v>589</v>
      </c>
      <c r="B190" s="122" t="s">
        <v>590</v>
      </c>
      <c r="C190" s="103">
        <v>60.3</v>
      </c>
      <c r="E190" s="123">
        <v>45936.59</v>
      </c>
      <c r="G190" s="124">
        <f t="shared" si="2"/>
        <v>63.483402432283022</v>
      </c>
    </row>
    <row r="191" spans="1:7">
      <c r="A191" s="122" t="s">
        <v>591</v>
      </c>
      <c r="B191" s="122" t="s">
        <v>580</v>
      </c>
      <c r="C191" s="103">
        <v>60.3</v>
      </c>
      <c r="E191" s="123">
        <v>106.07000000000001</v>
      </c>
      <c r="G191" s="124">
        <f t="shared" si="2"/>
        <v>0.14658651188501937</v>
      </c>
    </row>
    <row r="192" spans="1:7">
      <c r="A192" s="122" t="s">
        <v>592</v>
      </c>
      <c r="B192" s="122" t="s">
        <v>593</v>
      </c>
      <c r="C192" s="103">
        <v>8.6999999999999993</v>
      </c>
      <c r="E192" s="123">
        <v>15433.8</v>
      </c>
    </row>
    <row r="193" spans="1:7">
      <c r="A193" s="122" t="s">
        <v>594</v>
      </c>
      <c r="B193" s="122" t="s">
        <v>595</v>
      </c>
      <c r="C193" s="103">
        <v>55.5</v>
      </c>
      <c r="E193" s="123">
        <v>101343</v>
      </c>
    </row>
    <row r="194" spans="1:7">
      <c r="A194" s="122" t="s">
        <v>596</v>
      </c>
      <c r="B194" s="122" t="s">
        <v>595</v>
      </c>
      <c r="C194" s="103">
        <v>55.5</v>
      </c>
      <c r="E194" s="123">
        <v>222</v>
      </c>
    </row>
    <row r="195" spans="1:7">
      <c r="A195" s="122" t="s">
        <v>597</v>
      </c>
      <c r="B195" s="122" t="s">
        <v>598</v>
      </c>
      <c r="C195" s="103">
        <v>32.6</v>
      </c>
      <c r="E195" s="123">
        <v>10677.550000000001</v>
      </c>
    </row>
    <row r="196" spans="1:7">
      <c r="A196" s="122" t="s">
        <v>599</v>
      </c>
      <c r="B196" s="122" t="s">
        <v>600</v>
      </c>
      <c r="C196" s="103">
        <v>32.6</v>
      </c>
      <c r="E196" s="123">
        <v>5596.3400000000011</v>
      </c>
    </row>
    <row r="197" spans="1:7">
      <c r="A197" s="122" t="s">
        <v>601</v>
      </c>
      <c r="B197" s="122" t="s">
        <v>602</v>
      </c>
      <c r="C197" s="103">
        <v>2.1800000000000002</v>
      </c>
      <c r="E197" s="123">
        <v>18574.89</v>
      </c>
    </row>
    <row r="198" spans="1:7">
      <c r="A198" s="122" t="s">
        <v>603</v>
      </c>
      <c r="B198" s="122" t="s">
        <v>604</v>
      </c>
      <c r="C198" s="103">
        <v>9</v>
      </c>
      <c r="E198" s="123">
        <v>41210.910000000003</v>
      </c>
    </row>
    <row r="199" spans="1:7">
      <c r="A199" s="122" t="s">
        <v>605</v>
      </c>
      <c r="B199" s="122" t="s">
        <v>606</v>
      </c>
      <c r="C199" s="103">
        <v>95.6</v>
      </c>
      <c r="E199" s="123">
        <v>4515.09</v>
      </c>
    </row>
    <row r="200" spans="1:7">
      <c r="A200" s="122" t="s">
        <v>607</v>
      </c>
      <c r="B200" s="122" t="s">
        <v>595</v>
      </c>
      <c r="C200" s="103">
        <v>55.5</v>
      </c>
      <c r="E200" s="123">
        <v>166.5</v>
      </c>
    </row>
    <row r="201" spans="1:7">
      <c r="A201" s="122" t="s">
        <v>608</v>
      </c>
      <c r="B201" s="122" t="s">
        <v>609</v>
      </c>
      <c r="C201" s="103">
        <v>65.2</v>
      </c>
      <c r="E201" s="123">
        <v>36345.299999999996</v>
      </c>
    </row>
    <row r="202" spans="1:7">
      <c r="A202" s="122" t="s">
        <v>610</v>
      </c>
      <c r="B202" s="122" t="s">
        <v>598</v>
      </c>
      <c r="C202" s="103">
        <v>32.6</v>
      </c>
      <c r="E202" s="123">
        <v>40.799999999999997</v>
      </c>
    </row>
    <row r="203" spans="1:7">
      <c r="A203" s="125"/>
      <c r="B203" s="125"/>
    </row>
    <row r="204" spans="1:7">
      <c r="A204" s="126"/>
      <c r="B204" s="127" t="s">
        <v>611</v>
      </c>
      <c r="E204" s="128">
        <f>+SUM(E158:E203)</f>
        <v>1252644.1199999999</v>
      </c>
      <c r="F204" s="131"/>
      <c r="G204" s="128">
        <f>+SUM(G158:G203)</f>
        <v>287.31623825317854</v>
      </c>
    </row>
    <row r="205" spans="1:7">
      <c r="A205" s="126"/>
      <c r="B205" s="126"/>
    </row>
    <row r="206" spans="1:7">
      <c r="A206" s="111" t="s">
        <v>612</v>
      </c>
      <c r="B206" s="112"/>
      <c r="C206" s="113"/>
      <c r="D206" s="114"/>
      <c r="E206" s="114"/>
      <c r="F206" s="114"/>
      <c r="G206" s="114"/>
    </row>
    <row r="207" spans="1:7">
      <c r="A207" s="132"/>
      <c r="B207" s="132"/>
    </row>
    <row r="208" spans="1:7">
      <c r="A208" s="122" t="s">
        <v>613</v>
      </c>
      <c r="B208" s="122" t="s">
        <v>614</v>
      </c>
      <c r="C208" s="103">
        <v>78.760000000000005</v>
      </c>
      <c r="E208" s="123">
        <v>2239620.5099999998</v>
      </c>
    </row>
    <row r="209" spans="1:7">
      <c r="A209" s="122" t="s">
        <v>615</v>
      </c>
      <c r="B209" s="122" t="s">
        <v>616</v>
      </c>
      <c r="C209" s="103">
        <v>10</v>
      </c>
      <c r="E209" s="123">
        <v>73850</v>
      </c>
    </row>
    <row r="210" spans="1:7">
      <c r="A210" s="122" t="s">
        <v>617</v>
      </c>
      <c r="B210" s="122" t="s">
        <v>618</v>
      </c>
      <c r="C210" s="103">
        <v>5.75</v>
      </c>
      <c r="E210" s="123">
        <v>30.240000000000002</v>
      </c>
    </row>
    <row r="211" spans="1:7">
      <c r="A211" s="122" t="s">
        <v>619</v>
      </c>
      <c r="B211" s="122" t="s">
        <v>620</v>
      </c>
      <c r="C211" s="103">
        <v>11.5</v>
      </c>
      <c r="E211" s="123">
        <v>1932</v>
      </c>
    </row>
    <row r="212" spans="1:7">
      <c r="A212" s="122" t="s">
        <v>621</v>
      </c>
      <c r="B212" s="122" t="s">
        <v>622</v>
      </c>
      <c r="C212" s="103">
        <v>9.3800000000000008</v>
      </c>
      <c r="E212" s="123">
        <v>37.520000000000003</v>
      </c>
    </row>
    <row r="213" spans="1:7">
      <c r="A213" s="122" t="s">
        <v>623</v>
      </c>
      <c r="B213" s="122" t="s">
        <v>624</v>
      </c>
      <c r="C213" s="103">
        <v>4.6900000000000004</v>
      </c>
      <c r="E213" s="123">
        <v>89.109999999999985</v>
      </c>
    </row>
    <row r="214" spans="1:7">
      <c r="A214" s="122" t="s">
        <v>625</v>
      </c>
      <c r="B214" s="122" t="s">
        <v>626</v>
      </c>
      <c r="C214" s="103">
        <v>2.35</v>
      </c>
      <c r="E214" s="123">
        <v>133.94999999999999</v>
      </c>
    </row>
    <row r="215" spans="1:7">
      <c r="A215" s="122" t="s">
        <v>627</v>
      </c>
      <c r="B215" s="122" t="s">
        <v>628</v>
      </c>
      <c r="C215" s="103">
        <v>5.75</v>
      </c>
      <c r="E215" s="123">
        <v>86.25</v>
      </c>
    </row>
    <row r="216" spans="1:7">
      <c r="A216" s="122" t="s">
        <v>629</v>
      </c>
      <c r="B216" s="122" t="s">
        <v>630</v>
      </c>
      <c r="C216" s="103">
        <v>5.75</v>
      </c>
      <c r="E216" s="123">
        <v>34.5</v>
      </c>
    </row>
    <row r="217" spans="1:7">
      <c r="A217" s="125"/>
      <c r="B217" s="125"/>
    </row>
    <row r="218" spans="1:7">
      <c r="A218" s="126"/>
      <c r="B218" s="127" t="s">
        <v>631</v>
      </c>
      <c r="E218" s="128">
        <f>+SUM(E208:E217)</f>
        <v>2315814.08</v>
      </c>
      <c r="F218" s="133"/>
      <c r="G218" s="133">
        <f>+SUM(G208:G217)</f>
        <v>0</v>
      </c>
    </row>
    <row r="219" spans="1:7">
      <c r="A219" s="126"/>
    </row>
    <row r="221" spans="1:7">
      <c r="A221" s="111" t="s">
        <v>24</v>
      </c>
      <c r="B221" s="112"/>
      <c r="C221" s="113"/>
      <c r="D221" s="114"/>
      <c r="E221" s="114"/>
      <c r="F221" s="114"/>
      <c r="G221" s="114"/>
    </row>
    <row r="222" spans="1:7">
      <c r="A222" s="122" t="s">
        <v>632</v>
      </c>
      <c r="B222" s="122" t="s">
        <v>633</v>
      </c>
      <c r="C222" s="103">
        <v>0</v>
      </c>
      <c r="E222" s="123">
        <v>56284.11</v>
      </c>
    </row>
    <row r="223" spans="1:7">
      <c r="A223" s="122" t="s">
        <v>634</v>
      </c>
      <c r="B223" s="122" t="s">
        <v>635</v>
      </c>
      <c r="C223" s="103">
        <v>0</v>
      </c>
      <c r="E223" s="123">
        <v>950</v>
      </c>
    </row>
    <row r="224" spans="1:7">
      <c r="A224" s="122"/>
      <c r="B224" s="122"/>
    </row>
    <row r="225" spans="1:7">
      <c r="A225" s="126"/>
      <c r="B225" s="134" t="s">
        <v>636</v>
      </c>
      <c r="E225" s="128">
        <f>+SUM(E222:E224)</f>
        <v>57234.11</v>
      </c>
      <c r="F225" s="133"/>
      <c r="G225" s="133">
        <f>+SUM(G222:G224)</f>
        <v>0</v>
      </c>
    </row>
    <row r="226" spans="1:7">
      <c r="A226" s="126"/>
    </row>
    <row r="227" spans="1:7" ht="13.5" thickBot="1">
      <c r="A227" s="135"/>
      <c r="B227" s="134" t="s">
        <v>637</v>
      </c>
      <c r="C227" s="136"/>
      <c r="E227" s="137">
        <f>+E225+E218+E204+E153+E46</f>
        <v>20472394.300000004</v>
      </c>
      <c r="F227" s="138"/>
      <c r="G227" s="137">
        <f>+G225+G218+G204+G153+G46</f>
        <v>69090.807036969563</v>
      </c>
    </row>
    <row r="228" spans="1:7" ht="13.5" thickTop="1">
      <c r="A228" s="135"/>
      <c r="B228" s="135"/>
      <c r="C228" s="136"/>
    </row>
    <row r="229" spans="1:7">
      <c r="A229" s="135"/>
      <c r="B229" s="135"/>
      <c r="C229" s="136"/>
      <c r="E229" s="139"/>
    </row>
    <row r="230" spans="1:7">
      <c r="A230" s="126"/>
      <c r="E230" s="139"/>
    </row>
    <row r="232" spans="1:7">
      <c r="A232" s="135"/>
      <c r="B232" s="134"/>
      <c r="C232" s="136"/>
    </row>
    <row r="233" spans="1:7">
      <c r="A233" s="135"/>
      <c r="B233" s="135"/>
      <c r="C233" s="136"/>
    </row>
    <row r="234" spans="1:7">
      <c r="A234" s="135"/>
      <c r="B234" s="135"/>
      <c r="C234" s="136"/>
    </row>
  </sheetData>
  <mergeCells count="3">
    <mergeCell ref="A5:G5"/>
    <mergeCell ref="E6:G6"/>
    <mergeCell ref="M6:R6"/>
  </mergeCells>
  <pageMargins left="0.7" right="0.7" top="0.75" bottom="0.75" header="0.3" footer="0.3"/>
  <pageSetup scale="99" pageOrder="overThenDown" orientation="portrait" r:id="rId1"/>
  <headerFooter>
    <oddFooter xml:space="preserve">&amp;L&amp;F - &amp;A
&amp;RPage &amp;P of &amp;N
</oddFooter>
  </headerFooter>
  <colBreaks count="1" manualBreakCount="1">
    <brk id="7"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I186"/>
  <sheetViews>
    <sheetView view="pageBreakPreview" topLeftCell="A24" zoomScale="85" zoomScaleNormal="100" zoomScaleSheetLayoutView="85" workbookViewId="0">
      <selection activeCell="P22" sqref="P22"/>
    </sheetView>
  </sheetViews>
  <sheetFormatPr defaultRowHeight="12.75"/>
  <cols>
    <col min="1" max="1" width="20.28515625" style="102" customWidth="1"/>
    <col min="2" max="2" width="30.42578125" style="102" customWidth="1"/>
    <col min="3" max="3" width="10.85546875" style="140" customWidth="1"/>
    <col min="4" max="4" width="13.28515625" style="104" bestFit="1" customWidth="1"/>
    <col min="5" max="5" width="3.5703125" style="104" customWidth="1"/>
    <col min="6" max="6" width="10.5703125" style="104" bestFit="1" customWidth="1"/>
    <col min="7" max="16384" width="9.140625" style="104"/>
  </cols>
  <sheetData>
    <row r="1" spans="1:7">
      <c r="A1" s="101" t="s">
        <v>251</v>
      </c>
    </row>
    <row r="2" spans="1:7">
      <c r="A2" s="101" t="s">
        <v>1443</v>
      </c>
    </row>
    <row r="3" spans="1:7">
      <c r="A3" s="135" t="str">
        <f>+'Clark Co'!A3</f>
        <v>October 1, 2016 - September 30, 2017</v>
      </c>
    </row>
    <row r="4" spans="1:7">
      <c r="B4" s="141"/>
      <c r="C4" s="141"/>
    </row>
    <row r="5" spans="1:7" ht="27.75" customHeight="1">
      <c r="A5" s="204" t="s">
        <v>254</v>
      </c>
      <c r="B5" s="204"/>
      <c r="C5" s="204"/>
      <c r="D5" s="204"/>
      <c r="E5" s="204"/>
      <c r="F5" s="204"/>
      <c r="G5" s="209"/>
    </row>
    <row r="6" spans="1:7">
      <c r="A6" s="115"/>
      <c r="B6" s="116"/>
      <c r="C6" s="142"/>
      <c r="D6" s="206" t="s">
        <v>638</v>
      </c>
      <c r="E6" s="206"/>
      <c r="F6" s="206"/>
    </row>
    <row r="7" spans="1:7" ht="25.5">
      <c r="A7" s="106" t="s">
        <v>256</v>
      </c>
      <c r="B7" s="107" t="s">
        <v>257</v>
      </c>
      <c r="C7" s="108" t="s">
        <v>258</v>
      </c>
      <c r="D7" s="143" t="s">
        <v>51</v>
      </c>
      <c r="E7" s="101"/>
      <c r="F7" s="144" t="s">
        <v>259</v>
      </c>
    </row>
    <row r="8" spans="1:7">
      <c r="A8" s="111" t="s">
        <v>260</v>
      </c>
      <c r="B8" s="112"/>
      <c r="C8" s="113"/>
      <c r="D8" s="114"/>
      <c r="E8" s="114"/>
      <c r="F8" s="114"/>
    </row>
    <row r="9" spans="1:7">
      <c r="C9" s="142"/>
      <c r="D9" s="117"/>
      <c r="F9" s="118"/>
    </row>
    <row r="10" spans="1:7">
      <c r="A10" s="145" t="s">
        <v>639</v>
      </c>
      <c r="B10" s="145"/>
      <c r="C10" s="120"/>
      <c r="D10" s="146"/>
      <c r="E10" s="121"/>
      <c r="F10" s="147"/>
    </row>
    <row r="11" spans="1:7">
      <c r="A11" s="148" t="s">
        <v>640</v>
      </c>
      <c r="B11" s="122" t="s">
        <v>641</v>
      </c>
      <c r="C11" s="142">
        <v>5.2160000000000002</v>
      </c>
      <c r="D11" s="139">
        <v>2563.35</v>
      </c>
      <c r="F11" s="124">
        <f t="shared" ref="F11:F20" si="0">+IFERROR((D11/C11)/12,0)</f>
        <v>40.953316717791409</v>
      </c>
    </row>
    <row r="12" spans="1:7">
      <c r="A12" s="148" t="s">
        <v>642</v>
      </c>
      <c r="B12" s="122" t="s">
        <v>643</v>
      </c>
      <c r="C12" s="142">
        <v>5.05</v>
      </c>
      <c r="D12" s="139">
        <v>25423.149999999998</v>
      </c>
      <c r="F12" s="124">
        <f t="shared" si="0"/>
        <v>419.52392739273927</v>
      </c>
    </row>
    <row r="13" spans="1:7">
      <c r="A13" s="148" t="s">
        <v>644</v>
      </c>
      <c r="B13" s="122" t="s">
        <v>645</v>
      </c>
      <c r="C13" s="142">
        <v>5.2160000000000002</v>
      </c>
      <c r="D13" s="139">
        <v>3135.5800000000004</v>
      </c>
      <c r="F13" s="124">
        <f t="shared" si="0"/>
        <v>50.095539366053174</v>
      </c>
    </row>
    <row r="14" spans="1:7">
      <c r="A14" s="148" t="s">
        <v>646</v>
      </c>
      <c r="B14" s="122" t="s">
        <v>647</v>
      </c>
      <c r="C14" s="142">
        <v>5.05</v>
      </c>
      <c r="D14" s="139">
        <v>2917215.5</v>
      </c>
      <c r="F14" s="124">
        <f t="shared" si="0"/>
        <v>48138.869636963696</v>
      </c>
    </row>
    <row r="15" spans="1:7">
      <c r="A15" s="148" t="s">
        <v>648</v>
      </c>
      <c r="B15" s="122" t="s">
        <v>649</v>
      </c>
      <c r="C15" s="142">
        <v>5.2160000000000002</v>
      </c>
      <c r="D15" s="139">
        <v>12.730000000000002</v>
      </c>
      <c r="F15" s="124">
        <f t="shared" si="0"/>
        <v>0.2033806237218814</v>
      </c>
    </row>
    <row r="16" spans="1:7">
      <c r="A16" s="148" t="s">
        <v>650</v>
      </c>
      <c r="B16" s="122" t="s">
        <v>651</v>
      </c>
      <c r="C16" s="142">
        <v>5.2160000000000002</v>
      </c>
      <c r="D16" s="139">
        <v>-12.6</v>
      </c>
      <c r="F16" s="124">
        <f t="shared" si="0"/>
        <v>-0.2013036809815951</v>
      </c>
    </row>
    <row r="17" spans="1:9">
      <c r="A17" s="148" t="s">
        <v>652</v>
      </c>
      <c r="B17" s="122" t="s">
        <v>653</v>
      </c>
      <c r="C17" s="142">
        <v>5.05</v>
      </c>
      <c r="D17" s="139">
        <v>131901.15999999997</v>
      </c>
      <c r="F17" s="124">
        <f t="shared" si="0"/>
        <v>2176.5867986798676</v>
      </c>
    </row>
    <row r="18" spans="1:9">
      <c r="A18" s="148" t="s">
        <v>654</v>
      </c>
      <c r="B18" s="122" t="s">
        <v>655</v>
      </c>
      <c r="C18" s="142">
        <v>5.3266666666666671</v>
      </c>
      <c r="D18" s="139">
        <v>10147.17</v>
      </c>
      <c r="F18" s="124">
        <f t="shared" si="0"/>
        <v>158.74796620775967</v>
      </c>
    </row>
    <row r="19" spans="1:9">
      <c r="A19" s="148" t="s">
        <v>656</v>
      </c>
      <c r="B19" s="122" t="s">
        <v>657</v>
      </c>
      <c r="C19" s="142">
        <v>5.2575000000000003</v>
      </c>
      <c r="D19" s="139">
        <v>714997.33</v>
      </c>
      <c r="F19" s="124">
        <f t="shared" si="0"/>
        <v>11332.974005389124</v>
      </c>
    </row>
    <row r="20" spans="1:9">
      <c r="A20" s="148" t="s">
        <v>658</v>
      </c>
      <c r="B20" s="122" t="s">
        <v>659</v>
      </c>
      <c r="C20" s="142">
        <v>0</v>
      </c>
      <c r="D20" s="139">
        <v>0</v>
      </c>
      <c r="F20" s="124">
        <f t="shared" si="0"/>
        <v>0</v>
      </c>
    </row>
    <row r="21" spans="1:9">
      <c r="A21" s="148" t="s">
        <v>660</v>
      </c>
      <c r="B21" s="122" t="s">
        <v>661</v>
      </c>
      <c r="C21" s="142">
        <v>12.4</v>
      </c>
      <c r="D21" s="139">
        <v>2204.1999999999998</v>
      </c>
    </row>
    <row r="22" spans="1:9">
      <c r="A22" s="148" t="s">
        <v>662</v>
      </c>
      <c r="B22" s="122" t="s">
        <v>663</v>
      </c>
      <c r="C22" s="142">
        <v>2.09</v>
      </c>
      <c r="D22" s="139">
        <v>25.189999999999998</v>
      </c>
    </row>
    <row r="23" spans="1:9">
      <c r="A23" s="148" t="s">
        <v>664</v>
      </c>
      <c r="B23" s="122" t="s">
        <v>665</v>
      </c>
      <c r="C23" s="142">
        <v>5.14</v>
      </c>
      <c r="D23" s="139">
        <v>61.92</v>
      </c>
    </row>
    <row r="24" spans="1:9">
      <c r="A24" s="148" t="s">
        <v>666</v>
      </c>
      <c r="B24" s="122" t="s">
        <v>667</v>
      </c>
      <c r="C24" s="142">
        <v>3.36</v>
      </c>
      <c r="D24" s="139">
        <v>236.1</v>
      </c>
    </row>
    <row r="25" spans="1:9">
      <c r="A25" s="122" t="s">
        <v>668</v>
      </c>
      <c r="B25" s="122" t="s">
        <v>669</v>
      </c>
      <c r="C25" s="149">
        <v>50</v>
      </c>
      <c r="D25" s="123">
        <v>258.91000000000003</v>
      </c>
    </row>
    <row r="26" spans="1:9">
      <c r="A26" s="104"/>
      <c r="B26" s="104"/>
      <c r="C26" s="142"/>
    </row>
    <row r="27" spans="1:9">
      <c r="A27" s="126"/>
      <c r="B27" s="127" t="s">
        <v>670</v>
      </c>
      <c r="C27" s="142"/>
      <c r="D27" s="128">
        <f>+SUM(D11:D26)</f>
        <v>3808169.6900000004</v>
      </c>
      <c r="E27" s="129"/>
      <c r="F27" s="128">
        <f>+SUM(F11:F26)</f>
        <v>62317.753267659777</v>
      </c>
    </row>
    <row r="28" spans="1:9">
      <c r="A28" s="126"/>
      <c r="B28" s="126"/>
      <c r="C28" s="142"/>
    </row>
    <row r="29" spans="1:9">
      <c r="A29" s="119" t="s">
        <v>671</v>
      </c>
      <c r="B29" s="119"/>
      <c r="C29" s="120"/>
      <c r="D29" s="121"/>
      <c r="E29" s="121"/>
      <c r="F29" s="121"/>
    </row>
    <row r="30" spans="1:9">
      <c r="A30" s="148" t="s">
        <v>672</v>
      </c>
      <c r="B30" s="122" t="s">
        <v>673</v>
      </c>
      <c r="C30" s="142">
        <v>3.19</v>
      </c>
      <c r="D30" s="139">
        <v>364662.94</v>
      </c>
      <c r="F30" s="124">
        <f>+IFERROR((D30/C30)/12,0)</f>
        <v>9526.2001044932076</v>
      </c>
    </row>
    <row r="31" spans="1:9">
      <c r="A31" s="126"/>
      <c r="B31" s="126"/>
      <c r="C31" s="142"/>
    </row>
    <row r="32" spans="1:9">
      <c r="A32" s="126"/>
      <c r="B32" s="127" t="s">
        <v>674</v>
      </c>
      <c r="C32" s="142"/>
      <c r="D32" s="128">
        <f>+SUM(D30:D31)</f>
        <v>364662.94</v>
      </c>
      <c r="E32" s="129"/>
      <c r="F32" s="128">
        <f>+SUM(F30:F31)</f>
        <v>9526.2001044932076</v>
      </c>
      <c r="I32" s="150"/>
    </row>
    <row r="33" spans="1:6">
      <c r="A33" s="126"/>
      <c r="B33" s="127"/>
      <c r="C33" s="142"/>
    </row>
    <row r="34" spans="1:6">
      <c r="A34" s="119" t="s">
        <v>675</v>
      </c>
      <c r="B34" s="119"/>
      <c r="C34" s="120"/>
      <c r="D34" s="121"/>
      <c r="E34" s="121"/>
      <c r="F34" s="121"/>
    </row>
    <row r="35" spans="1:6">
      <c r="A35" s="148" t="s">
        <v>676</v>
      </c>
      <c r="B35" s="122" t="s">
        <v>677</v>
      </c>
      <c r="C35" s="142">
        <v>0</v>
      </c>
      <c r="D35" s="139">
        <v>0</v>
      </c>
      <c r="F35" s="124">
        <f>+IFERROR((D35/C35)/12,0)</f>
        <v>0</v>
      </c>
    </row>
    <row r="36" spans="1:6">
      <c r="A36" s="148" t="s">
        <v>678</v>
      </c>
      <c r="B36" s="122" t="s">
        <v>677</v>
      </c>
      <c r="C36" s="142">
        <v>5.96</v>
      </c>
      <c r="D36" s="139">
        <v>-17.25</v>
      </c>
      <c r="F36" s="124">
        <f>+IFERROR((D36/C36)/12,0)</f>
        <v>-0.24119127516778524</v>
      </c>
    </row>
    <row r="37" spans="1:6">
      <c r="A37" s="148" t="s">
        <v>679</v>
      </c>
      <c r="B37" s="122" t="s">
        <v>680</v>
      </c>
      <c r="C37" s="142">
        <v>5.96</v>
      </c>
      <c r="D37" s="139">
        <v>307067.01</v>
      </c>
      <c r="F37" s="124">
        <f>+IFERROR((D37/C37)/12,0)</f>
        <v>4293.4425335570477</v>
      </c>
    </row>
    <row r="38" spans="1:6">
      <c r="A38" s="148" t="s">
        <v>681</v>
      </c>
      <c r="B38" s="122" t="s">
        <v>682</v>
      </c>
      <c r="C38" s="142">
        <v>5.96</v>
      </c>
      <c r="D38" s="139">
        <v>1392510.77</v>
      </c>
      <c r="F38" s="124">
        <f>+IFERROR((D38/C38)/12,0)</f>
        <v>19470.228887024608</v>
      </c>
    </row>
    <row r="39" spans="1:6">
      <c r="A39" s="148" t="s">
        <v>683</v>
      </c>
      <c r="B39" s="122" t="s">
        <v>684</v>
      </c>
      <c r="C39" s="142">
        <v>2.59</v>
      </c>
      <c r="D39" s="139">
        <v>29377.609999999993</v>
      </c>
    </row>
    <row r="40" spans="1:6">
      <c r="A40" s="148" t="s">
        <v>685</v>
      </c>
      <c r="B40" s="122" t="s">
        <v>686</v>
      </c>
      <c r="C40" s="142">
        <v>1.35</v>
      </c>
      <c r="D40" s="139">
        <v>14443.6</v>
      </c>
    </row>
    <row r="41" spans="1:6">
      <c r="A41" s="148" t="s">
        <v>687</v>
      </c>
      <c r="B41" s="122" t="s">
        <v>688</v>
      </c>
      <c r="C41" s="142">
        <v>1.35</v>
      </c>
      <c r="D41" s="139">
        <v>129429.34000000001</v>
      </c>
    </row>
    <row r="42" spans="1:6">
      <c r="A42" s="148" t="s">
        <v>689</v>
      </c>
      <c r="B42" s="122" t="s">
        <v>690</v>
      </c>
      <c r="C42" s="142">
        <v>1.35</v>
      </c>
      <c r="D42" s="139">
        <v>15.65</v>
      </c>
    </row>
    <row r="43" spans="1:6">
      <c r="A43" s="148" t="s">
        <v>691</v>
      </c>
      <c r="B43" s="122" t="s">
        <v>692</v>
      </c>
      <c r="C43" s="142">
        <v>11.03</v>
      </c>
      <c r="D43" s="139">
        <v>454.30000000000007</v>
      </c>
    </row>
    <row r="44" spans="1:6">
      <c r="A44" s="148" t="s">
        <v>693</v>
      </c>
      <c r="B44" s="122" t="s">
        <v>694</v>
      </c>
      <c r="C44" s="142">
        <v>4.4400000000000004</v>
      </c>
      <c r="D44" s="139">
        <v>168114.15999999997</v>
      </c>
    </row>
    <row r="45" spans="1:6">
      <c r="A45" s="148" t="s">
        <v>695</v>
      </c>
      <c r="B45" s="122" t="s">
        <v>696</v>
      </c>
      <c r="C45" s="142">
        <v>8.0299999999999994</v>
      </c>
      <c r="D45" s="139">
        <v>201.26</v>
      </c>
    </row>
    <row r="46" spans="1:6">
      <c r="A46" s="148" t="s">
        <v>697</v>
      </c>
      <c r="B46" s="122" t="s">
        <v>698</v>
      </c>
      <c r="C46" s="142">
        <v>0</v>
      </c>
      <c r="D46" s="139">
        <v>0</v>
      </c>
    </row>
    <row r="47" spans="1:6">
      <c r="A47" s="104"/>
      <c r="B47" s="104"/>
      <c r="C47" s="142"/>
    </row>
    <row r="48" spans="1:6">
      <c r="A48" s="126"/>
      <c r="B48" s="127" t="s">
        <v>699</v>
      </c>
      <c r="C48" s="142"/>
      <c r="D48" s="128">
        <f>+SUM(D35:D47)</f>
        <v>2041596.4500000002</v>
      </c>
      <c r="E48" s="129"/>
      <c r="F48" s="128">
        <f>+SUM(F35:F47)</f>
        <v>23763.43022930649</v>
      </c>
    </row>
    <row r="49" spans="1:9">
      <c r="C49" s="142"/>
    </row>
    <row r="50" spans="1:9">
      <c r="A50" s="111" t="s">
        <v>330</v>
      </c>
      <c r="B50" s="112"/>
      <c r="C50" s="113"/>
      <c r="D50" s="114"/>
      <c r="E50" s="114"/>
      <c r="F50" s="114"/>
    </row>
    <row r="51" spans="1:9">
      <c r="A51" s="115"/>
      <c r="B51" s="115"/>
      <c r="C51" s="142"/>
    </row>
    <row r="52" spans="1:9">
      <c r="A52" s="145" t="s">
        <v>700</v>
      </c>
      <c r="B52" s="145"/>
      <c r="C52" s="120"/>
      <c r="D52" s="121"/>
      <c r="E52" s="121"/>
      <c r="F52" s="121"/>
    </row>
    <row r="53" spans="1:9">
      <c r="A53" s="148" t="s">
        <v>701</v>
      </c>
      <c r="B53" s="122" t="s">
        <v>702</v>
      </c>
      <c r="C53" s="142">
        <v>516.54</v>
      </c>
      <c r="D53" s="139">
        <v>4902.76</v>
      </c>
      <c r="F53" s="124">
        <f t="shared" ref="F53:F104" si="1">+IFERROR((D53/C53)/12,0)</f>
        <v>0.7909616551154478</v>
      </c>
    </row>
    <row r="54" spans="1:9">
      <c r="A54" s="148" t="s">
        <v>703</v>
      </c>
      <c r="B54" s="122" t="s">
        <v>704</v>
      </c>
      <c r="C54" s="151">
        <v>568.61</v>
      </c>
      <c r="D54" s="139">
        <v>7075.7399999999989</v>
      </c>
      <c r="F54" s="124">
        <f t="shared" si="1"/>
        <v>1.0369937215314537</v>
      </c>
    </row>
    <row r="55" spans="1:9">
      <c r="A55" s="148" t="s">
        <v>705</v>
      </c>
      <c r="B55" s="122" t="s">
        <v>706</v>
      </c>
      <c r="C55" s="142">
        <v>108.10999999999999</v>
      </c>
      <c r="D55" s="139">
        <v>11426.119999999999</v>
      </c>
      <c r="F55" s="124">
        <f t="shared" si="1"/>
        <v>8.8074800357660408</v>
      </c>
    </row>
    <row r="56" spans="1:9">
      <c r="A56" s="148" t="s">
        <v>707</v>
      </c>
      <c r="B56" s="122" t="s">
        <v>708</v>
      </c>
      <c r="C56" s="142">
        <v>196.2</v>
      </c>
      <c r="D56" s="139">
        <v>639.99</v>
      </c>
      <c r="F56" s="124">
        <f t="shared" si="1"/>
        <v>0.27182721712538227</v>
      </c>
    </row>
    <row r="57" spans="1:9">
      <c r="A57" s="148" t="s">
        <v>709</v>
      </c>
      <c r="B57" s="122" t="s">
        <v>710</v>
      </c>
      <c r="C57" s="142">
        <v>66.23</v>
      </c>
      <c r="D57" s="139">
        <v>3491.79</v>
      </c>
      <c r="F57" s="124">
        <f t="shared" si="1"/>
        <v>4.3935150234032916</v>
      </c>
    </row>
    <row r="58" spans="1:9">
      <c r="A58" s="148" t="s">
        <v>711</v>
      </c>
      <c r="B58" s="122" t="s">
        <v>712</v>
      </c>
      <c r="C58" s="142">
        <v>88.26</v>
      </c>
      <c r="D58" s="139">
        <v>27007.39</v>
      </c>
      <c r="F58" s="124">
        <f t="shared" si="1"/>
        <v>25.499839489387412</v>
      </c>
    </row>
    <row r="59" spans="1:9">
      <c r="A59" s="148" t="s">
        <v>713</v>
      </c>
      <c r="B59" s="122" t="s">
        <v>714</v>
      </c>
      <c r="C59" s="142">
        <v>188.18</v>
      </c>
      <c r="D59" s="139">
        <v>117.61</v>
      </c>
      <c r="F59" s="124">
        <f t="shared" si="1"/>
        <v>5.2082226237290537E-2</v>
      </c>
    </row>
    <row r="60" spans="1:9">
      <c r="A60" s="148" t="s">
        <v>715</v>
      </c>
      <c r="B60" s="122" t="s">
        <v>716</v>
      </c>
      <c r="C60" s="142"/>
      <c r="D60" s="139">
        <v>642.75</v>
      </c>
      <c r="F60" s="124">
        <f t="shared" si="1"/>
        <v>0</v>
      </c>
    </row>
    <row r="61" spans="1:9">
      <c r="A61" s="148" t="s">
        <v>717</v>
      </c>
      <c r="B61" s="122" t="s">
        <v>718</v>
      </c>
      <c r="C61" s="142">
        <v>64.180000000000007</v>
      </c>
      <c r="D61" s="139">
        <v>28227.33</v>
      </c>
      <c r="F61" s="124">
        <f t="shared" si="1"/>
        <v>36.651254284823928</v>
      </c>
    </row>
    <row r="62" spans="1:9">
      <c r="A62" s="148" t="s">
        <v>719</v>
      </c>
      <c r="B62" s="122" t="s">
        <v>720</v>
      </c>
      <c r="C62" s="142">
        <v>174.2</v>
      </c>
      <c r="D62" s="139">
        <v>1731.5800000000002</v>
      </c>
      <c r="F62" s="124">
        <f t="shared" si="1"/>
        <v>0.82834864140834297</v>
      </c>
    </row>
    <row r="63" spans="1:9">
      <c r="A63" s="148" t="s">
        <v>721</v>
      </c>
      <c r="B63" s="122" t="s">
        <v>722</v>
      </c>
      <c r="C63" s="142">
        <v>42.64</v>
      </c>
      <c r="D63" s="139">
        <v>1271.4300000000003</v>
      </c>
      <c r="F63" s="124">
        <f t="shared" si="1"/>
        <v>2.4848147279549724</v>
      </c>
      <c r="I63" s="150"/>
    </row>
    <row r="64" spans="1:9">
      <c r="A64" s="148" t="s">
        <v>723</v>
      </c>
      <c r="B64" s="122" t="s">
        <v>724</v>
      </c>
      <c r="C64" s="142">
        <v>114.09</v>
      </c>
      <c r="D64" s="139">
        <v>93485.759999999995</v>
      </c>
      <c r="F64" s="124">
        <f t="shared" si="1"/>
        <v>68.283635726181075</v>
      </c>
    </row>
    <row r="65" spans="1:6">
      <c r="A65" s="148" t="s">
        <v>725</v>
      </c>
      <c r="B65" s="122" t="s">
        <v>726</v>
      </c>
      <c r="C65" s="142">
        <v>206.21999999999997</v>
      </c>
      <c r="D65" s="139">
        <v>15464.300000000001</v>
      </c>
      <c r="F65" s="124">
        <f t="shared" si="1"/>
        <v>6.2491109817993733</v>
      </c>
    </row>
    <row r="66" spans="1:6">
      <c r="A66" s="148" t="s">
        <v>727</v>
      </c>
      <c r="B66" s="122" t="s">
        <v>728</v>
      </c>
      <c r="C66" s="142">
        <v>70.36</v>
      </c>
      <c r="D66" s="139">
        <v>36609.64</v>
      </c>
      <c r="F66" s="124">
        <f t="shared" si="1"/>
        <v>43.35991093424294</v>
      </c>
    </row>
    <row r="67" spans="1:6">
      <c r="A67" s="148" t="s">
        <v>729</v>
      </c>
      <c r="B67" s="122" t="s">
        <v>730</v>
      </c>
      <c r="C67" s="142">
        <v>42.64</v>
      </c>
      <c r="D67" s="139">
        <v>0</v>
      </c>
      <c r="F67" s="124">
        <f t="shared" si="1"/>
        <v>0</v>
      </c>
    </row>
    <row r="68" spans="1:6">
      <c r="A68" s="148" t="s">
        <v>731</v>
      </c>
      <c r="B68" s="122" t="s">
        <v>732</v>
      </c>
      <c r="C68" s="142">
        <v>124.14000000000001</v>
      </c>
      <c r="D68" s="139">
        <v>51932.72</v>
      </c>
      <c r="F68" s="124">
        <f t="shared" si="1"/>
        <v>34.86166156489984</v>
      </c>
    </row>
    <row r="69" spans="1:6">
      <c r="A69" s="148" t="s">
        <v>733</v>
      </c>
      <c r="B69" s="122" t="s">
        <v>734</v>
      </c>
      <c r="C69" s="142">
        <v>224.22999999999996</v>
      </c>
      <c r="D69" s="139">
        <v>32780.879999999997</v>
      </c>
      <c r="F69" s="124">
        <f t="shared" si="1"/>
        <v>12.18275877447264</v>
      </c>
    </row>
    <row r="70" spans="1:6">
      <c r="A70" s="148" t="s">
        <v>735</v>
      </c>
      <c r="B70" s="122" t="s">
        <v>736</v>
      </c>
      <c r="C70" s="142">
        <v>324.35000000000002</v>
      </c>
      <c r="D70" s="139">
        <v>3711.8</v>
      </c>
      <c r="F70" s="124">
        <f t="shared" si="1"/>
        <v>0.95365089152664295</v>
      </c>
    </row>
    <row r="71" spans="1:6">
      <c r="A71" s="148" t="s">
        <v>737</v>
      </c>
      <c r="B71" s="122" t="s">
        <v>738</v>
      </c>
      <c r="C71" s="142">
        <v>324.35000000000002</v>
      </c>
      <c r="D71" s="139">
        <v>2425.44</v>
      </c>
      <c r="F71" s="124">
        <f t="shared" si="1"/>
        <v>0.62315400030830892</v>
      </c>
    </row>
    <row r="72" spans="1:6">
      <c r="A72" s="148" t="s">
        <v>739</v>
      </c>
      <c r="B72" s="122" t="s">
        <v>740</v>
      </c>
      <c r="C72" s="142">
        <v>521.34</v>
      </c>
      <c r="D72" s="139">
        <v>0</v>
      </c>
      <c r="F72" s="124">
        <f t="shared" si="1"/>
        <v>0</v>
      </c>
    </row>
    <row r="73" spans="1:6">
      <c r="A73" s="148" t="s">
        <v>741</v>
      </c>
      <c r="B73" s="122" t="s">
        <v>742</v>
      </c>
      <c r="C73" s="142">
        <v>76.58</v>
      </c>
      <c r="D73" s="139">
        <v>11363.39</v>
      </c>
      <c r="F73" s="124">
        <f t="shared" si="1"/>
        <v>12.365489248715939</v>
      </c>
    </row>
    <row r="74" spans="1:6">
      <c r="A74" s="148" t="s">
        <v>743</v>
      </c>
      <c r="B74" s="122" t="s">
        <v>744</v>
      </c>
      <c r="C74" s="142">
        <v>136.19</v>
      </c>
      <c r="D74" s="139">
        <v>101517.8</v>
      </c>
      <c r="F74" s="124">
        <f t="shared" si="1"/>
        <v>62.117752159972589</v>
      </c>
    </row>
    <row r="75" spans="1:6">
      <c r="A75" s="148" t="s">
        <v>745</v>
      </c>
      <c r="B75" s="122" t="s">
        <v>746</v>
      </c>
      <c r="C75" s="142">
        <v>244.26</v>
      </c>
      <c r="D75" s="139">
        <v>59613.42</v>
      </c>
      <c r="F75" s="124">
        <f t="shared" si="1"/>
        <v>20.33810284123475</v>
      </c>
    </row>
    <row r="76" spans="1:6">
      <c r="A76" s="148" t="s">
        <v>747</v>
      </c>
      <c r="B76" s="122" t="s">
        <v>748</v>
      </c>
      <c r="C76" s="142">
        <v>352.37</v>
      </c>
      <c r="D76" s="139">
        <v>25341.96</v>
      </c>
      <c r="F76" s="124">
        <f t="shared" si="1"/>
        <v>5.9932173567556823</v>
      </c>
    </row>
    <row r="77" spans="1:6">
      <c r="A77" s="148" t="s">
        <v>749</v>
      </c>
      <c r="B77" s="122" t="s">
        <v>750</v>
      </c>
      <c r="C77" s="142">
        <v>84.86</v>
      </c>
      <c r="D77" s="139">
        <v>19082.77</v>
      </c>
      <c r="F77" s="124">
        <f t="shared" si="1"/>
        <v>18.739463037159243</v>
      </c>
    </row>
    <row r="78" spans="1:6">
      <c r="A78" s="148" t="s">
        <v>751</v>
      </c>
      <c r="B78" s="122" t="s">
        <v>752</v>
      </c>
      <c r="C78" s="142">
        <v>214.23</v>
      </c>
      <c r="D78" s="139">
        <v>3124.96</v>
      </c>
      <c r="F78" s="124">
        <f t="shared" si="1"/>
        <v>1.2155782725730913</v>
      </c>
    </row>
    <row r="79" spans="1:6">
      <c r="A79" s="148" t="s">
        <v>753</v>
      </c>
      <c r="B79" s="122" t="s">
        <v>754</v>
      </c>
      <c r="C79" s="142">
        <v>238.22999999999996</v>
      </c>
      <c r="D79" s="139">
        <v>3072.75</v>
      </c>
      <c r="F79" s="124">
        <f t="shared" si="1"/>
        <v>1.0748541325609706</v>
      </c>
    </row>
    <row r="80" spans="1:6">
      <c r="A80" s="148" t="s">
        <v>755</v>
      </c>
      <c r="B80" s="122" t="s">
        <v>756</v>
      </c>
      <c r="C80" s="142">
        <v>420.41999999999996</v>
      </c>
      <c r="D80" s="139">
        <v>8990.27</v>
      </c>
      <c r="F80" s="124">
        <f t="shared" si="1"/>
        <v>1.7820017284303002</v>
      </c>
    </row>
    <row r="81" spans="1:6">
      <c r="A81" s="148" t="s">
        <v>757</v>
      </c>
      <c r="B81" s="122" t="s">
        <v>758</v>
      </c>
      <c r="C81" s="142">
        <v>258.27</v>
      </c>
      <c r="D81" s="139">
        <v>918</v>
      </c>
      <c r="F81" s="124">
        <f t="shared" si="1"/>
        <v>0.29620164943663613</v>
      </c>
    </row>
    <row r="82" spans="1:6">
      <c r="A82" s="148" t="s">
        <v>759</v>
      </c>
      <c r="B82" s="122" t="s">
        <v>760</v>
      </c>
      <c r="C82" s="142">
        <v>146.13999999999999</v>
      </c>
      <c r="D82" s="139">
        <v>1627.2800000000002</v>
      </c>
      <c r="F82" s="124">
        <f t="shared" si="1"/>
        <v>0.92792299621367658</v>
      </c>
    </row>
    <row r="83" spans="1:6">
      <c r="A83" s="148" t="s">
        <v>761</v>
      </c>
      <c r="B83" s="122" t="s">
        <v>762</v>
      </c>
      <c r="C83" s="142">
        <v>264.27</v>
      </c>
      <c r="D83" s="139">
        <v>0</v>
      </c>
      <c r="F83" s="124">
        <f t="shared" si="1"/>
        <v>0</v>
      </c>
    </row>
    <row r="84" spans="1:6">
      <c r="A84" s="148" t="s">
        <v>763</v>
      </c>
      <c r="B84" s="122" t="s">
        <v>764</v>
      </c>
      <c r="C84" s="142">
        <v>378.38</v>
      </c>
      <c r="D84" s="139">
        <v>4330.1500000000005</v>
      </c>
      <c r="F84" s="124">
        <f t="shared" si="1"/>
        <v>0.95365990098137698</v>
      </c>
    </row>
    <row r="85" spans="1:6">
      <c r="A85" s="148" t="s">
        <v>765</v>
      </c>
      <c r="B85" s="122" t="s">
        <v>766</v>
      </c>
      <c r="C85" s="142">
        <v>156.16</v>
      </c>
      <c r="D85" s="139">
        <v>29379.910000000003</v>
      </c>
      <c r="F85" s="124">
        <f t="shared" si="1"/>
        <v>15.678316043374318</v>
      </c>
    </row>
    <row r="86" spans="1:6">
      <c r="A86" s="148" t="s">
        <v>767</v>
      </c>
      <c r="B86" s="122" t="s">
        <v>768</v>
      </c>
      <c r="C86" s="142">
        <v>282.29000000000002</v>
      </c>
      <c r="D86" s="139">
        <v>16825.82</v>
      </c>
      <c r="F86" s="124">
        <f t="shared" si="1"/>
        <v>4.9670610601391001</v>
      </c>
    </row>
    <row r="87" spans="1:6">
      <c r="A87" s="148" t="s">
        <v>769</v>
      </c>
      <c r="B87" s="122" t="s">
        <v>770</v>
      </c>
      <c r="C87" s="142">
        <v>406.43</v>
      </c>
      <c r="D87" s="139">
        <v>13433.67</v>
      </c>
      <c r="F87" s="124">
        <f t="shared" si="1"/>
        <v>2.7544042024456856</v>
      </c>
    </row>
    <row r="88" spans="1:6">
      <c r="A88" s="148" t="s">
        <v>771</v>
      </c>
      <c r="B88" s="122" t="s">
        <v>772</v>
      </c>
      <c r="C88" s="142">
        <v>97.25</v>
      </c>
      <c r="D88" s="139">
        <v>5146.1400000000003</v>
      </c>
      <c r="F88" s="124">
        <f t="shared" si="1"/>
        <v>4.4097172236503859</v>
      </c>
    </row>
    <row r="89" spans="1:6">
      <c r="A89" s="148" t="s">
        <v>773</v>
      </c>
      <c r="B89" s="122" t="s">
        <v>774</v>
      </c>
      <c r="C89" s="142">
        <v>166.16</v>
      </c>
      <c r="D89" s="139">
        <v>13516.41</v>
      </c>
      <c r="F89" s="124">
        <f t="shared" si="1"/>
        <v>6.7788125902744341</v>
      </c>
    </row>
    <row r="90" spans="1:6">
      <c r="A90" s="148" t="s">
        <v>775</v>
      </c>
      <c r="B90" s="122" t="s">
        <v>776</v>
      </c>
      <c r="C90" s="142">
        <v>296.27999999999997</v>
      </c>
      <c r="D90" s="139">
        <v>19786.309999999998</v>
      </c>
      <c r="F90" s="124">
        <f t="shared" si="1"/>
        <v>5.56520577381756</v>
      </c>
    </row>
    <row r="91" spans="1:6">
      <c r="A91" s="148" t="s">
        <v>777</v>
      </c>
      <c r="B91" s="122" t="s">
        <v>778</v>
      </c>
      <c r="C91" s="142">
        <v>556.55999999999995</v>
      </c>
      <c r="D91" s="139">
        <v>11875.06</v>
      </c>
      <c r="F91" s="124">
        <f t="shared" si="1"/>
        <v>1.7780442959129894</v>
      </c>
    </row>
    <row r="92" spans="1:6">
      <c r="A92" s="148" t="s">
        <v>779</v>
      </c>
      <c r="B92" s="122" t="s">
        <v>780</v>
      </c>
      <c r="C92" s="142">
        <v>686.7</v>
      </c>
      <c r="D92" s="139">
        <v>0</v>
      </c>
      <c r="F92" s="124">
        <f t="shared" si="1"/>
        <v>0</v>
      </c>
    </row>
    <row r="93" spans="1:6">
      <c r="A93" s="148" t="s">
        <v>781</v>
      </c>
      <c r="B93" s="122" t="s">
        <v>782</v>
      </c>
      <c r="C93" s="142">
        <v>14.430000000000001</v>
      </c>
      <c r="D93" s="139">
        <v>0</v>
      </c>
      <c r="F93" s="124">
        <f t="shared" si="1"/>
        <v>0</v>
      </c>
    </row>
    <row r="94" spans="1:6">
      <c r="A94" s="148" t="s">
        <v>783</v>
      </c>
      <c r="B94" s="122" t="s">
        <v>784</v>
      </c>
      <c r="C94" s="142">
        <v>29.15</v>
      </c>
      <c r="D94" s="139">
        <v>21778.47</v>
      </c>
      <c r="F94" s="124">
        <f t="shared" si="1"/>
        <v>62.2597770154374</v>
      </c>
    </row>
    <row r="95" spans="1:6">
      <c r="A95" s="148" t="s">
        <v>785</v>
      </c>
      <c r="B95" s="122" t="s">
        <v>786</v>
      </c>
      <c r="C95" s="142">
        <v>58.3</v>
      </c>
      <c r="D95" s="139">
        <v>10154.380000000001</v>
      </c>
      <c r="F95" s="124">
        <f t="shared" si="1"/>
        <v>14.514551172098344</v>
      </c>
    </row>
    <row r="96" spans="1:6">
      <c r="A96" s="148" t="s">
        <v>787</v>
      </c>
      <c r="B96" s="122" t="s">
        <v>788</v>
      </c>
      <c r="C96" s="142">
        <v>67.349999999999994</v>
      </c>
      <c r="D96" s="139">
        <v>32379.220000000008</v>
      </c>
      <c r="F96" s="124">
        <f t="shared" si="1"/>
        <v>40.063375402128202</v>
      </c>
    </row>
    <row r="97" spans="1:6">
      <c r="A97" s="148" t="s">
        <v>789</v>
      </c>
      <c r="B97" s="122" t="s">
        <v>790</v>
      </c>
      <c r="C97" s="142">
        <v>127.10999999999999</v>
      </c>
      <c r="D97" s="139">
        <v>1448.6299999999997</v>
      </c>
      <c r="F97" s="124">
        <f t="shared" si="1"/>
        <v>0.94972202554218121</v>
      </c>
    </row>
    <row r="98" spans="1:6">
      <c r="A98" s="148" t="s">
        <v>791</v>
      </c>
      <c r="B98" s="122" t="s">
        <v>792</v>
      </c>
      <c r="C98" s="142">
        <v>34.479999999999997</v>
      </c>
      <c r="D98" s="139">
        <v>28444.100000000006</v>
      </c>
      <c r="F98" s="124">
        <f t="shared" si="1"/>
        <v>68.745407965970628</v>
      </c>
    </row>
    <row r="99" spans="1:6">
      <c r="A99" s="148" t="s">
        <v>793</v>
      </c>
      <c r="B99" s="122" t="s">
        <v>794</v>
      </c>
      <c r="C99" s="142">
        <v>92.16</v>
      </c>
      <c r="D99" s="139">
        <v>3140.94</v>
      </c>
      <c r="F99" s="124">
        <f t="shared" si="1"/>
        <v>2.8401150173611112</v>
      </c>
    </row>
    <row r="100" spans="1:6">
      <c r="A100" s="148" t="s">
        <v>795</v>
      </c>
      <c r="B100" s="122" t="s">
        <v>796</v>
      </c>
      <c r="C100" s="142">
        <v>177.95</v>
      </c>
      <c r="D100" s="139">
        <v>227.31</v>
      </c>
      <c r="F100" s="124">
        <f t="shared" si="1"/>
        <v>0.10644844057319473</v>
      </c>
    </row>
    <row r="101" spans="1:6">
      <c r="A101" s="148" t="s">
        <v>797</v>
      </c>
      <c r="B101" s="122" t="s">
        <v>798</v>
      </c>
      <c r="C101" s="142">
        <v>75.540000000000006</v>
      </c>
      <c r="D101" s="139">
        <v>5700.3099999999995</v>
      </c>
      <c r="F101" s="124">
        <f t="shared" si="1"/>
        <v>6.2884012885005731</v>
      </c>
    </row>
    <row r="102" spans="1:6">
      <c r="A102" s="148" t="s">
        <v>799</v>
      </c>
      <c r="B102" s="122" t="s">
        <v>800</v>
      </c>
      <c r="C102" s="142">
        <v>42.71</v>
      </c>
      <c r="D102" s="139">
        <v>5853.8799999999992</v>
      </c>
      <c r="F102" s="124">
        <f t="shared" si="1"/>
        <v>11.421759150862405</v>
      </c>
    </row>
    <row r="103" spans="1:6">
      <c r="A103" s="148" t="s">
        <v>801</v>
      </c>
      <c r="B103" s="122" t="s">
        <v>802</v>
      </c>
      <c r="C103" s="142">
        <v>50.93</v>
      </c>
      <c r="D103" s="139">
        <v>1214.08</v>
      </c>
      <c r="F103" s="124">
        <f t="shared" si="1"/>
        <v>1.9865174422409844</v>
      </c>
    </row>
    <row r="104" spans="1:6">
      <c r="A104" s="148" t="s">
        <v>803</v>
      </c>
      <c r="B104" s="122" t="s">
        <v>804</v>
      </c>
      <c r="C104" s="142">
        <v>23</v>
      </c>
      <c r="D104" s="139">
        <v>5119.0600000000004</v>
      </c>
      <c r="F104" s="124">
        <f t="shared" si="1"/>
        <v>18.54731884057971</v>
      </c>
    </row>
    <row r="105" spans="1:6">
      <c r="A105" s="148" t="s">
        <v>805</v>
      </c>
      <c r="B105" s="122" t="s">
        <v>806</v>
      </c>
      <c r="C105" s="142">
        <v>25.17</v>
      </c>
      <c r="D105" s="139">
        <v>133.27000000000004</v>
      </c>
      <c r="F105" s="124"/>
    </row>
    <row r="106" spans="1:6">
      <c r="A106" s="148" t="s">
        <v>807</v>
      </c>
      <c r="B106" s="122" t="s">
        <v>808</v>
      </c>
      <c r="C106" s="142">
        <v>3.12</v>
      </c>
      <c r="D106" s="139">
        <v>142.76</v>
      </c>
      <c r="F106" s="124"/>
    </row>
    <row r="107" spans="1:6">
      <c r="A107" s="148" t="s">
        <v>809</v>
      </c>
      <c r="B107" s="122" t="s">
        <v>810</v>
      </c>
      <c r="C107" s="142">
        <v>5.86</v>
      </c>
      <c r="D107" s="139">
        <v>5299.24</v>
      </c>
      <c r="F107" s="124"/>
    </row>
    <row r="108" spans="1:6">
      <c r="A108" s="148" t="s">
        <v>811</v>
      </c>
      <c r="B108" s="122" t="s">
        <v>812</v>
      </c>
      <c r="C108" s="142">
        <v>6.83</v>
      </c>
      <c r="D108" s="139">
        <v>2128.04</v>
      </c>
      <c r="F108" s="124"/>
    </row>
    <row r="109" spans="1:6">
      <c r="A109" s="148" t="s">
        <v>813</v>
      </c>
      <c r="B109" s="122" t="s">
        <v>814</v>
      </c>
      <c r="C109" s="142">
        <v>4.18</v>
      </c>
      <c r="D109" s="139">
        <v>0</v>
      </c>
      <c r="F109" s="124"/>
    </row>
    <row r="110" spans="1:6">
      <c r="A110" s="148" t="s">
        <v>815</v>
      </c>
      <c r="B110" s="122" t="s">
        <v>816</v>
      </c>
      <c r="C110" s="142">
        <v>21.5</v>
      </c>
      <c r="D110" s="139">
        <v>63424.83</v>
      </c>
    </row>
    <row r="111" spans="1:6">
      <c r="A111" s="148" t="s">
        <v>817</v>
      </c>
      <c r="B111" s="122" t="s">
        <v>816</v>
      </c>
      <c r="C111" s="142">
        <v>21.5</v>
      </c>
      <c r="D111" s="139">
        <v>2421.9699999999998</v>
      </c>
    </row>
    <row r="112" spans="1:6">
      <c r="A112" s="148" t="s">
        <v>818</v>
      </c>
      <c r="B112" s="122" t="s">
        <v>819</v>
      </c>
      <c r="C112" s="142">
        <v>23.97</v>
      </c>
      <c r="D112" s="139">
        <v>22.83</v>
      </c>
    </row>
    <row r="113" spans="1:6">
      <c r="A113" s="148" t="s">
        <v>820</v>
      </c>
      <c r="B113" s="122" t="s">
        <v>821</v>
      </c>
      <c r="C113" s="142">
        <v>17.989999999999998</v>
      </c>
      <c r="D113" s="139">
        <v>3419.13</v>
      </c>
    </row>
    <row r="114" spans="1:6">
      <c r="A114" s="148" t="s">
        <v>822</v>
      </c>
      <c r="B114" s="122" t="s">
        <v>823</v>
      </c>
      <c r="C114" s="142">
        <v>23.97</v>
      </c>
      <c r="D114" s="139">
        <v>1005.2600000000001</v>
      </c>
    </row>
    <row r="115" spans="1:6">
      <c r="A115" s="148" t="s">
        <v>824</v>
      </c>
      <c r="B115" s="122" t="s">
        <v>825</v>
      </c>
      <c r="C115" s="142">
        <v>26.380000000000003</v>
      </c>
      <c r="D115" s="139">
        <v>913.69999999999993</v>
      </c>
    </row>
    <row r="116" spans="1:6">
      <c r="A116" s="148" t="s">
        <v>826</v>
      </c>
      <c r="B116" s="122" t="s">
        <v>827</v>
      </c>
      <c r="C116" s="142">
        <v>29.380000000000003</v>
      </c>
      <c r="D116" s="139">
        <v>1762.64</v>
      </c>
    </row>
    <row r="117" spans="1:6">
      <c r="A117" s="148" t="s">
        <v>828</v>
      </c>
      <c r="B117" s="122" t="s">
        <v>829</v>
      </c>
      <c r="C117" s="142">
        <v>29.98</v>
      </c>
      <c r="D117" s="139">
        <v>1467.8600000000001</v>
      </c>
    </row>
    <row r="118" spans="1:6">
      <c r="A118" s="148" t="s">
        <v>830</v>
      </c>
      <c r="B118" s="122" t="s">
        <v>831</v>
      </c>
      <c r="C118" s="142">
        <v>29.6</v>
      </c>
      <c r="D118" s="139">
        <v>0</v>
      </c>
    </row>
    <row r="119" spans="1:6">
      <c r="A119" s="148" t="s">
        <v>832</v>
      </c>
      <c r="B119" s="122" t="s">
        <v>833</v>
      </c>
      <c r="C119" s="142">
        <v>32.369999999999997</v>
      </c>
      <c r="D119" s="139">
        <v>251.56</v>
      </c>
    </row>
    <row r="120" spans="1:6">
      <c r="A120" s="148" t="s">
        <v>834</v>
      </c>
      <c r="B120" s="122" t="s">
        <v>835</v>
      </c>
      <c r="C120" s="142">
        <v>28.98</v>
      </c>
      <c r="D120" s="139">
        <v>1896.8100000000002</v>
      </c>
    </row>
    <row r="121" spans="1:6">
      <c r="A121" s="148" t="s">
        <v>836</v>
      </c>
      <c r="B121" s="122" t="s">
        <v>837</v>
      </c>
      <c r="C121" s="142">
        <v>28.98</v>
      </c>
      <c r="D121" s="139">
        <v>0</v>
      </c>
    </row>
    <row r="122" spans="1:6">
      <c r="A122" s="148" t="s">
        <v>838</v>
      </c>
      <c r="B122" s="122" t="s">
        <v>839</v>
      </c>
      <c r="C122" s="142">
        <v>31.059999999999995</v>
      </c>
      <c r="D122" s="139">
        <v>2054.4599999999996</v>
      </c>
    </row>
    <row r="123" spans="1:6">
      <c r="A123" s="148" t="s">
        <v>840</v>
      </c>
      <c r="B123" s="122" t="s">
        <v>841</v>
      </c>
      <c r="C123" s="142">
        <v>33.119999999999997</v>
      </c>
      <c r="D123" s="139">
        <v>1645.5</v>
      </c>
    </row>
    <row r="124" spans="1:6">
      <c r="A124" s="148" t="s">
        <v>842</v>
      </c>
      <c r="B124" s="122" t="s">
        <v>843</v>
      </c>
      <c r="C124" s="142">
        <v>39.32</v>
      </c>
      <c r="D124" s="139">
        <v>2683.9100000000003</v>
      </c>
    </row>
    <row r="125" spans="1:6">
      <c r="A125" s="148" t="s">
        <v>844</v>
      </c>
      <c r="B125" s="122" t="s">
        <v>845</v>
      </c>
      <c r="C125" s="142">
        <v>41.4</v>
      </c>
      <c r="D125" s="139">
        <v>1170.72</v>
      </c>
    </row>
    <row r="126" spans="1:6">
      <c r="A126" s="148" t="s">
        <v>846</v>
      </c>
      <c r="B126" s="122" t="s">
        <v>847</v>
      </c>
      <c r="C126" s="142">
        <v>39.31</v>
      </c>
      <c r="D126" s="139">
        <v>24.96</v>
      </c>
      <c r="F126" s="124"/>
    </row>
    <row r="127" spans="1:6">
      <c r="A127" s="148" t="s">
        <v>848</v>
      </c>
      <c r="B127" s="122" t="s">
        <v>849</v>
      </c>
      <c r="C127" s="142">
        <v>0</v>
      </c>
      <c r="D127" s="139">
        <v>0</v>
      </c>
    </row>
    <row r="128" spans="1:6">
      <c r="A128" s="148" t="s">
        <v>850</v>
      </c>
      <c r="B128" s="122" t="s">
        <v>851</v>
      </c>
      <c r="C128" s="142">
        <v>0</v>
      </c>
      <c r="D128" s="139">
        <v>0</v>
      </c>
    </row>
    <row r="129" spans="1:6">
      <c r="A129" s="148" t="s">
        <v>852</v>
      </c>
      <c r="B129" s="122" t="s">
        <v>853</v>
      </c>
      <c r="C129" s="142">
        <v>0</v>
      </c>
      <c r="D129" s="139">
        <v>0</v>
      </c>
    </row>
    <row r="130" spans="1:6">
      <c r="A130" s="148" t="s">
        <v>854</v>
      </c>
      <c r="B130" s="122" t="s">
        <v>855</v>
      </c>
      <c r="C130" s="142">
        <v>0</v>
      </c>
      <c r="D130" s="139">
        <v>0</v>
      </c>
    </row>
    <row r="131" spans="1:6">
      <c r="A131" s="148" t="s">
        <v>856</v>
      </c>
      <c r="B131" s="122" t="s">
        <v>857</v>
      </c>
      <c r="C131" s="142">
        <v>8.39</v>
      </c>
      <c r="D131" s="139">
        <v>0</v>
      </c>
    </row>
    <row r="132" spans="1:6">
      <c r="A132" s="148" t="s">
        <v>858</v>
      </c>
      <c r="B132" s="122" t="s">
        <v>857</v>
      </c>
      <c r="C132" s="142">
        <v>8.39</v>
      </c>
      <c r="D132" s="139">
        <v>2306.4700000000003</v>
      </c>
    </row>
    <row r="133" spans="1:6">
      <c r="A133" s="148" t="s">
        <v>859</v>
      </c>
      <c r="B133" s="122" t="s">
        <v>860</v>
      </c>
      <c r="C133" s="142">
        <v>16.79</v>
      </c>
      <c r="D133" s="139">
        <v>205.72</v>
      </c>
    </row>
    <row r="134" spans="1:6">
      <c r="A134" s="148" t="s">
        <v>861</v>
      </c>
      <c r="B134" s="122" t="s">
        <v>862</v>
      </c>
      <c r="C134" s="142">
        <v>8.2200000000000006</v>
      </c>
      <c r="D134" s="139">
        <v>19152.740000000002</v>
      </c>
    </row>
    <row r="135" spans="1:6">
      <c r="A135" s="148" t="s">
        <v>863</v>
      </c>
      <c r="B135" s="122" t="s">
        <v>864</v>
      </c>
      <c r="C135" s="142">
        <v>31.05</v>
      </c>
      <c r="D135" s="139">
        <v>2405.4900000000002</v>
      </c>
    </row>
    <row r="136" spans="1:6">
      <c r="A136" s="148" t="s">
        <v>865</v>
      </c>
      <c r="B136" s="122" t="s">
        <v>866</v>
      </c>
      <c r="C136" s="142">
        <v>8.2200000000000006</v>
      </c>
      <c r="D136" s="139">
        <v>15920.79</v>
      </c>
    </row>
    <row r="137" spans="1:6">
      <c r="A137" s="148" t="s">
        <v>867</v>
      </c>
      <c r="B137" s="122" t="s">
        <v>868</v>
      </c>
      <c r="C137" s="142">
        <v>47.87</v>
      </c>
      <c r="D137" s="139">
        <v>57716.09</v>
      </c>
      <c r="F137" s="139"/>
    </row>
    <row r="138" spans="1:6">
      <c r="A138" s="148" t="s">
        <v>869</v>
      </c>
      <c r="B138" s="122" t="s">
        <v>870</v>
      </c>
      <c r="C138" s="142">
        <v>23.97</v>
      </c>
      <c r="D138" s="139">
        <v>0</v>
      </c>
    </row>
    <row r="139" spans="1:6">
      <c r="A139" s="148" t="s">
        <v>871</v>
      </c>
      <c r="B139" s="122" t="s">
        <v>872</v>
      </c>
      <c r="C139" s="142">
        <v>17.989999999999998</v>
      </c>
      <c r="D139" s="139">
        <v>220.37</v>
      </c>
    </row>
    <row r="140" spans="1:6">
      <c r="A140" s="148" t="s">
        <v>873</v>
      </c>
      <c r="B140" s="122" t="s">
        <v>874</v>
      </c>
      <c r="C140" s="142">
        <v>23.97</v>
      </c>
      <c r="D140" s="139">
        <v>0</v>
      </c>
    </row>
    <row r="141" spans="1:6">
      <c r="A141" s="148" t="s">
        <v>875</v>
      </c>
      <c r="B141" s="122" t="s">
        <v>876</v>
      </c>
      <c r="C141" s="142">
        <v>23.97</v>
      </c>
      <c r="D141" s="139">
        <v>22.83</v>
      </c>
    </row>
    <row r="142" spans="1:6">
      <c r="A142" s="148" t="s">
        <v>877</v>
      </c>
      <c r="B142" s="122" t="s">
        <v>878</v>
      </c>
      <c r="C142" s="142">
        <v>26.380000000000003</v>
      </c>
      <c r="D142" s="139">
        <v>92.2</v>
      </c>
    </row>
    <row r="143" spans="1:6">
      <c r="A143" s="148" t="s">
        <v>879</v>
      </c>
      <c r="B143" s="122" t="s">
        <v>880</v>
      </c>
      <c r="C143" s="142">
        <v>29.380000000000003</v>
      </c>
      <c r="D143" s="139">
        <v>0</v>
      </c>
    </row>
    <row r="144" spans="1:6">
      <c r="A144" s="148" t="s">
        <v>881</v>
      </c>
      <c r="B144" s="122" t="s">
        <v>882</v>
      </c>
      <c r="C144" s="142">
        <v>29.98</v>
      </c>
      <c r="D144" s="139">
        <v>334.33000000000004</v>
      </c>
    </row>
    <row r="145" spans="1:6">
      <c r="A145" s="148" t="s">
        <v>883</v>
      </c>
      <c r="B145" s="122" t="s">
        <v>884</v>
      </c>
      <c r="C145" s="142">
        <v>29.6</v>
      </c>
      <c r="D145" s="139">
        <v>56.38</v>
      </c>
    </row>
    <row r="146" spans="1:6">
      <c r="A146" s="148" t="s">
        <v>885</v>
      </c>
      <c r="B146" s="122" t="s">
        <v>886</v>
      </c>
      <c r="C146" s="142">
        <v>32.369999999999997</v>
      </c>
      <c r="D146" s="139">
        <v>67.5</v>
      </c>
    </row>
    <row r="147" spans="1:6">
      <c r="A147" s="148" t="s">
        <v>887</v>
      </c>
      <c r="B147" s="122" t="s">
        <v>888</v>
      </c>
      <c r="C147" s="142">
        <v>33.619999999999997</v>
      </c>
      <c r="D147" s="139">
        <v>99.170000000000016</v>
      </c>
    </row>
    <row r="148" spans="1:6">
      <c r="A148" s="148" t="s">
        <v>889</v>
      </c>
      <c r="B148" s="122" t="s">
        <v>890</v>
      </c>
      <c r="C148" s="142">
        <v>14.970000000000002</v>
      </c>
      <c r="D148" s="139">
        <v>810.1</v>
      </c>
    </row>
    <row r="149" spans="1:6">
      <c r="A149" s="148" t="s">
        <v>891</v>
      </c>
      <c r="B149" s="122" t="s">
        <v>892</v>
      </c>
      <c r="C149" s="142">
        <v>10.1</v>
      </c>
      <c r="D149" s="139">
        <v>40.4</v>
      </c>
    </row>
    <row r="150" spans="1:6">
      <c r="A150" s="148" t="s">
        <v>893</v>
      </c>
      <c r="B150" s="122" t="s">
        <v>894</v>
      </c>
      <c r="C150" s="142">
        <v>0</v>
      </c>
      <c r="D150" s="139">
        <v>-2709.63</v>
      </c>
    </row>
    <row r="151" spans="1:6">
      <c r="A151" s="126"/>
      <c r="B151" s="126"/>
      <c r="C151" s="142"/>
    </row>
    <row r="152" spans="1:6">
      <c r="A152" s="126"/>
      <c r="B152" s="127" t="s">
        <v>895</v>
      </c>
      <c r="C152" s="142"/>
      <c r="D152" s="128">
        <f>+SUM(D53:D151)</f>
        <v>975961.87999999989</v>
      </c>
      <c r="E152" s="131"/>
      <c r="F152" s="128">
        <f>+SUM(F53:F151)</f>
        <v>642.79019817112794</v>
      </c>
    </row>
    <row r="153" spans="1:6">
      <c r="A153" s="126"/>
      <c r="B153" s="126"/>
      <c r="C153" s="142"/>
    </row>
    <row r="154" spans="1:6">
      <c r="A154" s="111" t="s">
        <v>896</v>
      </c>
      <c r="B154" s="112"/>
      <c r="C154" s="113"/>
      <c r="D154" s="114"/>
      <c r="E154" s="114"/>
      <c r="F154" s="114"/>
    </row>
    <row r="155" spans="1:6">
      <c r="A155" s="116"/>
      <c r="B155" s="116"/>
      <c r="C155" s="142"/>
    </row>
    <row r="156" spans="1:6">
      <c r="A156" s="119" t="s">
        <v>897</v>
      </c>
      <c r="B156" s="119"/>
      <c r="C156" s="120"/>
      <c r="D156" s="121"/>
      <c r="E156" s="121"/>
      <c r="F156" s="121"/>
    </row>
    <row r="157" spans="1:6">
      <c r="A157" s="148" t="s">
        <v>898</v>
      </c>
      <c r="B157" s="122" t="s">
        <v>899</v>
      </c>
      <c r="C157" s="142">
        <v>173.74</v>
      </c>
      <c r="D157" s="139">
        <v>33868.840000000004</v>
      </c>
      <c r="F157" s="124">
        <f t="shared" ref="F157:F162" si="2">+IFERROR((D157/C157)/12,0)</f>
        <v>16.244982924676723</v>
      </c>
    </row>
    <row r="158" spans="1:6">
      <c r="A158" s="148" t="s">
        <v>900</v>
      </c>
      <c r="B158" s="122" t="s">
        <v>901</v>
      </c>
      <c r="C158" s="142">
        <v>173.74</v>
      </c>
      <c r="D158" s="139">
        <v>36335.33</v>
      </c>
      <c r="F158" s="124">
        <f t="shared" si="2"/>
        <v>17.428019838072213</v>
      </c>
    </row>
    <row r="159" spans="1:6">
      <c r="A159" s="148" t="s">
        <v>902</v>
      </c>
      <c r="B159" s="122" t="s">
        <v>903</v>
      </c>
      <c r="C159" s="142">
        <v>173.74</v>
      </c>
      <c r="D159" s="139">
        <v>54325.95</v>
      </c>
      <c r="F159" s="124">
        <f t="shared" si="2"/>
        <v>26.057111200644638</v>
      </c>
    </row>
    <row r="160" spans="1:6">
      <c r="A160" s="148" t="s">
        <v>904</v>
      </c>
      <c r="B160" s="122" t="s">
        <v>905</v>
      </c>
      <c r="C160" s="142">
        <v>173.74</v>
      </c>
      <c r="D160" s="139">
        <v>88442.07</v>
      </c>
      <c r="F160" s="124">
        <f t="shared" si="2"/>
        <v>42.42070047196961</v>
      </c>
    </row>
    <row r="161" spans="1:6">
      <c r="A161" s="148" t="s">
        <v>906</v>
      </c>
      <c r="B161" s="122" t="s">
        <v>907</v>
      </c>
      <c r="C161" s="142">
        <v>139.38999999999999</v>
      </c>
      <c r="D161" s="139">
        <v>6551.33</v>
      </c>
      <c r="F161" s="124">
        <f t="shared" si="2"/>
        <v>3.9166666666666674</v>
      </c>
    </row>
    <row r="162" spans="1:6">
      <c r="A162" s="148" t="s">
        <v>908</v>
      </c>
      <c r="B162" s="122" t="s">
        <v>909</v>
      </c>
      <c r="C162" s="142">
        <v>94.01</v>
      </c>
      <c r="D162" s="139">
        <v>13063.5</v>
      </c>
      <c r="F162" s="124">
        <f t="shared" si="2"/>
        <v>11.579885118604404</v>
      </c>
    </row>
    <row r="163" spans="1:6">
      <c r="A163" s="148" t="s">
        <v>910</v>
      </c>
      <c r="B163" s="122" t="s">
        <v>911</v>
      </c>
      <c r="C163" s="142">
        <v>0</v>
      </c>
      <c r="D163" s="139">
        <v>-30.5</v>
      </c>
    </row>
    <row r="164" spans="1:6">
      <c r="A164" s="148" t="s">
        <v>912</v>
      </c>
      <c r="B164" s="122" t="s">
        <v>913</v>
      </c>
      <c r="C164" s="142">
        <v>0</v>
      </c>
      <c r="D164" s="139">
        <v>0</v>
      </c>
      <c r="F164" s="124"/>
    </row>
    <row r="165" spans="1:6">
      <c r="A165" s="148" t="s">
        <v>914</v>
      </c>
      <c r="B165" s="122" t="s">
        <v>915</v>
      </c>
      <c r="C165" s="142">
        <v>0</v>
      </c>
      <c r="D165" s="139">
        <v>0</v>
      </c>
      <c r="F165" s="124"/>
    </row>
    <row r="166" spans="1:6">
      <c r="A166" s="148" t="s">
        <v>916</v>
      </c>
      <c r="B166" s="122" t="s">
        <v>917</v>
      </c>
      <c r="C166" s="142">
        <v>0</v>
      </c>
      <c r="D166" s="139">
        <v>0</v>
      </c>
      <c r="F166" s="124"/>
    </row>
    <row r="167" spans="1:6">
      <c r="A167" s="148" t="s">
        <v>918</v>
      </c>
      <c r="B167" s="122" t="s">
        <v>919</v>
      </c>
      <c r="C167" s="142">
        <v>0</v>
      </c>
      <c r="D167" s="139">
        <v>735.53000000000009</v>
      </c>
      <c r="F167" s="124"/>
    </row>
    <row r="168" spans="1:6">
      <c r="A168" s="148" t="s">
        <v>920</v>
      </c>
      <c r="B168" s="122" t="s">
        <v>921</v>
      </c>
      <c r="C168" s="142">
        <v>300.93</v>
      </c>
      <c r="D168" s="139">
        <v>2648.2999999999997</v>
      </c>
    </row>
    <row r="169" spans="1:6">
      <c r="A169" s="148" t="s">
        <v>922</v>
      </c>
      <c r="B169" s="122" t="s">
        <v>923</v>
      </c>
      <c r="C169" s="142">
        <v>0</v>
      </c>
      <c r="D169" s="139">
        <v>66.5</v>
      </c>
    </row>
    <row r="170" spans="1:6">
      <c r="A170" s="148" t="s">
        <v>924</v>
      </c>
      <c r="B170" s="122" t="s">
        <v>925</v>
      </c>
      <c r="C170" s="142">
        <v>0</v>
      </c>
      <c r="D170" s="139">
        <v>0</v>
      </c>
    </row>
    <row r="171" spans="1:6">
      <c r="A171" s="148" t="s">
        <v>926</v>
      </c>
      <c r="B171" s="122" t="s">
        <v>927</v>
      </c>
      <c r="C171" s="142">
        <v>0</v>
      </c>
      <c r="D171" s="139">
        <v>0</v>
      </c>
    </row>
    <row r="172" spans="1:6">
      <c r="A172" s="148" t="s">
        <v>928</v>
      </c>
      <c r="B172" s="122" t="s">
        <v>929</v>
      </c>
      <c r="C172" s="142">
        <v>0</v>
      </c>
      <c r="D172" s="139">
        <v>-23.6</v>
      </c>
    </row>
    <row r="173" spans="1:6">
      <c r="A173" s="126"/>
      <c r="B173" s="126"/>
      <c r="C173" s="142"/>
    </row>
    <row r="174" spans="1:6">
      <c r="A174" s="126"/>
      <c r="B174" s="127" t="s">
        <v>930</v>
      </c>
      <c r="C174" s="142"/>
      <c r="D174" s="128">
        <f>+SUM(D157:D173)</f>
        <v>235983.24999999997</v>
      </c>
      <c r="E174" s="129"/>
      <c r="F174" s="128">
        <f>+SUM(F157:F173)</f>
        <v>117.64736622063427</v>
      </c>
    </row>
    <row r="175" spans="1:6">
      <c r="A175" s="126"/>
      <c r="B175" s="126"/>
      <c r="C175" s="142"/>
    </row>
    <row r="176" spans="1:6">
      <c r="A176" s="111" t="s">
        <v>612</v>
      </c>
      <c r="B176" s="112"/>
      <c r="C176" s="113"/>
      <c r="D176" s="114"/>
      <c r="E176" s="114"/>
      <c r="F176" s="114"/>
    </row>
    <row r="177" spans="1:6">
      <c r="A177" s="148" t="s">
        <v>931</v>
      </c>
      <c r="B177" s="122" t="s">
        <v>932</v>
      </c>
      <c r="C177" s="142">
        <v>0</v>
      </c>
      <c r="D177" s="139">
        <v>164607.20000000001</v>
      </c>
    </row>
    <row r="178" spans="1:6">
      <c r="A178" s="122" t="s">
        <v>933</v>
      </c>
      <c r="B178" s="122" t="s">
        <v>934</v>
      </c>
      <c r="C178" s="142">
        <v>62.320000000000007</v>
      </c>
      <c r="D178" s="139">
        <v>6285.45</v>
      </c>
    </row>
    <row r="179" spans="1:6">
      <c r="A179" s="122" t="s">
        <v>935</v>
      </c>
      <c r="B179" s="122" t="s">
        <v>936</v>
      </c>
      <c r="C179" s="142">
        <v>10</v>
      </c>
      <c r="D179" s="139">
        <v>3020</v>
      </c>
    </row>
    <row r="180" spans="1:6">
      <c r="A180" s="104"/>
      <c r="B180" s="104"/>
      <c r="C180" s="142"/>
    </row>
    <row r="181" spans="1:6">
      <c r="A181" s="126"/>
      <c r="B181" s="127" t="s">
        <v>631</v>
      </c>
      <c r="C181" s="142"/>
      <c r="D181" s="133">
        <f>+SUM(D177:D180)</f>
        <v>173912.65000000002</v>
      </c>
      <c r="E181" s="129"/>
      <c r="F181" s="129"/>
    </row>
    <row r="182" spans="1:6">
      <c r="A182" s="126"/>
      <c r="B182" s="127"/>
      <c r="C182" s="142"/>
    </row>
    <row r="183" spans="1:6">
      <c r="A183" s="104"/>
      <c r="B183" s="104"/>
      <c r="C183" s="142"/>
    </row>
    <row r="185" spans="1:6" ht="13.5" thickBot="1">
      <c r="B185" s="134" t="s">
        <v>27</v>
      </c>
      <c r="D185" s="137">
        <f>+D181+D174+D152+D48+D32+D27</f>
        <v>7600286.8600000003</v>
      </c>
      <c r="E185" s="137"/>
      <c r="F185" s="137">
        <f>+F181+F174+F152+F48+F32+F27</f>
        <v>96367.82116585123</v>
      </c>
    </row>
    <row r="186" spans="1:6" ht="13.5" thickTop="1"/>
  </sheetData>
  <mergeCells count="2">
    <mergeCell ref="D6:F6"/>
    <mergeCell ref="A5:F5"/>
  </mergeCells>
  <pageMargins left="0.7" right="0.7" top="0.75" bottom="0.75" header="0.3" footer="0.3"/>
  <pageSetup pageOrder="overThenDown" orientation="portrait" r:id="rId1"/>
  <headerFooter>
    <oddFooter xml:space="preserve">&amp;L&amp;F - &amp;A
&amp;RPage &amp;P of &amp;N
</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H191"/>
  <sheetViews>
    <sheetView showGridLines="0" view="pageBreakPreview" topLeftCell="B16" zoomScale="85" zoomScaleNormal="100" zoomScaleSheetLayoutView="85" workbookViewId="0">
      <selection activeCell="P22" sqref="P22"/>
    </sheetView>
  </sheetViews>
  <sheetFormatPr defaultRowHeight="12.75" outlineLevelCol="1"/>
  <cols>
    <col min="1" max="1" width="29.28515625" style="102" hidden="1" customWidth="1" outlineLevel="1"/>
    <col min="2" max="2" width="17.28515625" style="102" customWidth="1" collapsed="1"/>
    <col min="3" max="3" width="27.5703125" style="102" bestFit="1" customWidth="1"/>
    <col min="4" max="4" width="11.42578125" style="140" bestFit="1" customWidth="1"/>
    <col min="5" max="5" width="12.42578125" style="104" bestFit="1" customWidth="1"/>
    <col min="6" max="6" width="3" style="104" customWidth="1"/>
    <col min="7" max="7" width="8.7109375" style="104" bestFit="1" customWidth="1"/>
    <col min="8" max="16384" width="9.140625" style="104"/>
  </cols>
  <sheetData>
    <row r="1" spans="1:8">
      <c r="A1" s="152"/>
      <c r="B1" s="101" t="s">
        <v>251</v>
      </c>
    </row>
    <row r="2" spans="1:8">
      <c r="A2" s="152"/>
      <c r="B2" s="101" t="s">
        <v>937</v>
      </c>
    </row>
    <row r="3" spans="1:8">
      <c r="A3" s="152"/>
      <c r="B3" s="135" t="str">
        <f>+'Clark Co'!A3</f>
        <v>October 1, 2016 - September 30, 2017</v>
      </c>
    </row>
    <row r="4" spans="1:8">
      <c r="A4" s="152"/>
      <c r="B4" s="135"/>
    </row>
    <row r="5" spans="1:8" ht="27" customHeight="1">
      <c r="A5" s="152"/>
      <c r="B5" s="204" t="s">
        <v>254</v>
      </c>
      <c r="C5" s="204"/>
      <c r="D5" s="204"/>
      <c r="E5" s="204"/>
      <c r="F5" s="204"/>
      <c r="G5" s="204"/>
      <c r="H5" s="204"/>
    </row>
    <row r="6" spans="1:8" ht="15" customHeight="1">
      <c r="A6" s="152"/>
      <c r="D6" s="153"/>
      <c r="E6" s="206" t="s">
        <v>938</v>
      </c>
      <c r="F6" s="206"/>
      <c r="G6" s="206"/>
    </row>
    <row r="7" spans="1:8" ht="25.5">
      <c r="A7" s="152"/>
      <c r="B7" s="106" t="s">
        <v>256</v>
      </c>
      <c r="C7" s="107" t="s">
        <v>257</v>
      </c>
      <c r="D7" s="108" t="s">
        <v>258</v>
      </c>
      <c r="E7" s="143" t="s">
        <v>51</v>
      </c>
      <c r="F7" s="101"/>
      <c r="G7" s="144" t="s">
        <v>259</v>
      </c>
    </row>
    <row r="8" spans="1:8">
      <c r="A8" s="111"/>
      <c r="B8" s="111" t="s">
        <v>260</v>
      </c>
      <c r="C8" s="113"/>
      <c r="D8" s="114"/>
      <c r="E8" s="114"/>
      <c r="F8" s="114"/>
      <c r="G8" s="114"/>
    </row>
    <row r="9" spans="1:8">
      <c r="A9" s="152"/>
      <c r="B9" s="115"/>
      <c r="C9" s="116"/>
      <c r="D9" s="142"/>
    </row>
    <row r="10" spans="1:8" hidden="1">
      <c r="A10" s="152"/>
      <c r="B10" s="145" t="s">
        <v>939</v>
      </c>
      <c r="C10" s="145"/>
      <c r="D10" s="120"/>
      <c r="E10" s="121"/>
      <c r="F10" s="121"/>
      <c r="G10" s="121"/>
    </row>
    <row r="11" spans="1:8" hidden="1">
      <c r="A11" s="152" t="str">
        <f>"camas"&amp;"residential extras"&amp;B11</f>
        <v>camasresidential extrasWBMISC</v>
      </c>
      <c r="B11" s="122" t="s">
        <v>319</v>
      </c>
      <c r="C11" s="122" t="s">
        <v>320</v>
      </c>
      <c r="D11" s="142">
        <v>0</v>
      </c>
      <c r="E11" s="139">
        <v>0</v>
      </c>
    </row>
    <row r="12" spans="1:8" hidden="1">
      <c r="A12" s="154"/>
      <c r="B12" s="155" t="s">
        <v>940</v>
      </c>
      <c r="C12" s="126"/>
      <c r="D12" s="142"/>
      <c r="E12" s="139">
        <v>0</v>
      </c>
    </row>
    <row r="13" spans="1:8" hidden="1">
      <c r="A13" s="154"/>
      <c r="B13" s="155"/>
      <c r="C13" s="126"/>
      <c r="D13" s="142"/>
    </row>
    <row r="14" spans="1:8" hidden="1">
      <c r="A14" s="154"/>
      <c r="B14" s="126"/>
      <c r="C14" s="127" t="s">
        <v>941</v>
      </c>
      <c r="D14" s="142"/>
      <c r="E14" s="133">
        <f>+SUM(E11:E13)</f>
        <v>0</v>
      </c>
      <c r="F14" s="129"/>
      <c r="G14" s="156"/>
    </row>
    <row r="15" spans="1:8" hidden="1">
      <c r="A15" s="154"/>
      <c r="B15" s="126"/>
      <c r="C15" s="126"/>
      <c r="D15" s="142"/>
    </row>
    <row r="16" spans="1:8">
      <c r="A16" s="152"/>
      <c r="B16" s="145" t="s">
        <v>639</v>
      </c>
      <c r="C16" s="145"/>
      <c r="D16" s="120"/>
      <c r="E16" s="121"/>
      <c r="F16" s="121"/>
      <c r="G16" s="121"/>
    </row>
    <row r="17" spans="1:7">
      <c r="A17" s="157"/>
      <c r="B17" s="155" t="s">
        <v>942</v>
      </c>
      <c r="C17" s="130"/>
      <c r="D17" s="103">
        <v>4.2699999999999996</v>
      </c>
      <c r="E17" s="139">
        <v>396808.27999999997</v>
      </c>
      <c r="G17" s="124">
        <f>+(E17/D17)/12</f>
        <v>7744.1116315378613</v>
      </c>
    </row>
    <row r="18" spans="1:7">
      <c r="A18" s="152"/>
      <c r="B18" s="104"/>
      <c r="C18" s="104"/>
      <c r="D18" s="142"/>
    </row>
    <row r="19" spans="1:7">
      <c r="A19" s="154"/>
      <c r="B19" s="126"/>
      <c r="C19" s="127" t="s">
        <v>670</v>
      </c>
      <c r="D19" s="142"/>
      <c r="E19" s="128">
        <f>+SUM(E17:E18)</f>
        <v>396808.27999999997</v>
      </c>
      <c r="F19" s="129"/>
      <c r="G19" s="158">
        <f>+SUM(G17:G18)</f>
        <v>7744.1116315378613</v>
      </c>
    </row>
    <row r="20" spans="1:7">
      <c r="A20" s="152"/>
      <c r="B20" s="104"/>
      <c r="C20" s="104"/>
      <c r="D20" s="142"/>
    </row>
    <row r="21" spans="1:7">
      <c r="A21" s="152"/>
      <c r="B21" s="145" t="s">
        <v>675</v>
      </c>
      <c r="C21" s="145"/>
      <c r="D21" s="120"/>
      <c r="E21" s="121"/>
      <c r="F21" s="121"/>
      <c r="G21" s="121"/>
    </row>
    <row r="22" spans="1:7">
      <c r="A22" s="152"/>
      <c r="B22" s="104"/>
      <c r="C22" s="104"/>
      <c r="D22" s="142"/>
    </row>
    <row r="23" spans="1:7">
      <c r="A23" s="152" t="str">
        <f>"camas"&amp;"residential"&amp;B23</f>
        <v>camasresidentialCAYDA</v>
      </c>
      <c r="B23" s="122" t="s">
        <v>943</v>
      </c>
      <c r="C23" s="122" t="s">
        <v>944</v>
      </c>
      <c r="D23" s="142">
        <v>69.37</v>
      </c>
      <c r="E23" s="139">
        <v>21544.609999999997</v>
      </c>
      <c r="G23" s="124">
        <f>+(E23/D23)/12</f>
        <v>25.881276728653109</v>
      </c>
    </row>
    <row r="24" spans="1:7">
      <c r="A24" s="152" t="str">
        <f t="shared" ref="A24:A26" si="0">"camas"&amp;"residential"&amp;B24</f>
        <v>camasresidentialCAYDBM</v>
      </c>
      <c r="B24" s="122" t="s">
        <v>945</v>
      </c>
      <c r="C24" s="122" t="s">
        <v>946</v>
      </c>
      <c r="D24" s="142">
        <v>7.29</v>
      </c>
      <c r="E24" s="139">
        <v>233321.32500000001</v>
      </c>
      <c r="G24" s="124">
        <f>+(E24/D24)/12</f>
        <v>2667.1390603566529</v>
      </c>
    </row>
    <row r="25" spans="1:7">
      <c r="A25" s="152" t="str">
        <f t="shared" si="0"/>
        <v>camasresidentialCYDBM96</v>
      </c>
      <c r="B25" s="122" t="s">
        <v>681</v>
      </c>
      <c r="C25" s="122" t="s">
        <v>682</v>
      </c>
      <c r="D25" s="142">
        <v>7.29</v>
      </c>
      <c r="E25" s="139">
        <v>0</v>
      </c>
      <c r="G25" s="124">
        <f>+(E25/D25)/12</f>
        <v>0</v>
      </c>
    </row>
    <row r="26" spans="1:7">
      <c r="A26" s="152" t="str">
        <f t="shared" si="0"/>
        <v>camasresidentialYDRENT</v>
      </c>
      <c r="B26" s="122" t="s">
        <v>689</v>
      </c>
      <c r="C26" s="122" t="s">
        <v>690</v>
      </c>
      <c r="D26" s="142">
        <v>1.8149999999999999</v>
      </c>
      <c r="E26" s="139">
        <v>260.58500000000004</v>
      </c>
    </row>
    <row r="27" spans="1:7">
      <c r="A27" s="152" t="str">
        <f>"camas"&amp;"residential extras"&amp;B27</f>
        <v>camasresidential extrasWBREFRIGE</v>
      </c>
      <c r="B27" s="159" t="s">
        <v>619</v>
      </c>
      <c r="C27" s="159" t="s">
        <v>620</v>
      </c>
      <c r="D27" s="142">
        <v>11.5</v>
      </c>
      <c r="E27" s="139">
        <v>57.5</v>
      </c>
    </row>
    <row r="28" spans="1:7">
      <c r="A28" s="152" t="str">
        <f>"camas"&amp;"residential extras"&amp;B28</f>
        <v>camasresidential extrasRREXC</v>
      </c>
      <c r="B28" s="122" t="s">
        <v>286</v>
      </c>
      <c r="C28" s="122" t="s">
        <v>287</v>
      </c>
      <c r="D28" s="142">
        <v>0</v>
      </c>
      <c r="E28" s="139">
        <v>0</v>
      </c>
    </row>
    <row r="29" spans="1:7">
      <c r="A29" s="152" t="str">
        <f>"camas"&amp;"residential extras"&amp;B29</f>
        <v>camasresidential extrasYDX</v>
      </c>
      <c r="B29" s="122" t="s">
        <v>683</v>
      </c>
      <c r="C29" s="122" t="s">
        <v>684</v>
      </c>
      <c r="D29" s="142">
        <v>2.59</v>
      </c>
      <c r="E29" s="139">
        <v>1455.02</v>
      </c>
    </row>
    <row r="30" spans="1:7">
      <c r="A30" s="152" t="str">
        <f>"camas"&amp;"residential extras"&amp;B30</f>
        <v>camasresidential extrasYDOC</v>
      </c>
      <c r="B30" s="122" t="s">
        <v>693</v>
      </c>
      <c r="C30" s="122" t="s">
        <v>694</v>
      </c>
      <c r="D30" s="142">
        <v>5.88</v>
      </c>
      <c r="E30" s="139">
        <v>466.92</v>
      </c>
    </row>
    <row r="31" spans="1:7">
      <c r="A31" s="152" t="str">
        <f>"camas"&amp;"residential extras"&amp;B31</f>
        <v>camasresidential extrasYDRESTART</v>
      </c>
      <c r="B31" s="122" t="s">
        <v>695</v>
      </c>
      <c r="C31" s="122" t="s">
        <v>696</v>
      </c>
      <c r="D31" s="142">
        <v>23.44</v>
      </c>
      <c r="E31" s="139">
        <v>46.88</v>
      </c>
    </row>
    <row r="32" spans="1:7">
      <c r="A32" s="152" t="str">
        <f t="shared" ref="A32" si="1">"camas"&amp;"residential extras"&amp;B32</f>
        <v>camasresidential extrasCRTIME1</v>
      </c>
      <c r="B32" s="159" t="s">
        <v>311</v>
      </c>
      <c r="C32" s="159" t="s">
        <v>312</v>
      </c>
      <c r="D32" s="142">
        <v>1.1499999999999999</v>
      </c>
      <c r="E32" s="139">
        <v>34.5</v>
      </c>
    </row>
    <row r="33" spans="1:7">
      <c r="A33" s="152"/>
      <c r="B33" s="104"/>
      <c r="C33" s="104"/>
      <c r="D33" s="142"/>
      <c r="E33" s="139"/>
    </row>
    <row r="34" spans="1:7">
      <c r="A34" s="154"/>
      <c r="B34" s="126"/>
      <c r="C34" s="127" t="s">
        <v>699</v>
      </c>
      <c r="D34" s="142"/>
      <c r="E34" s="128">
        <f>+SUM(E23:E33)</f>
        <v>257187.34</v>
      </c>
      <c r="F34" s="129"/>
      <c r="G34" s="158">
        <f>+SUM(G23:G33)</f>
        <v>2693.020337085306</v>
      </c>
    </row>
    <row r="35" spans="1:7">
      <c r="A35" s="152"/>
      <c r="B35" s="160"/>
      <c r="C35" s="104"/>
      <c r="D35" s="142"/>
      <c r="E35" s="139"/>
    </row>
    <row r="36" spans="1:7">
      <c r="A36" s="111"/>
      <c r="B36" s="111" t="s">
        <v>330</v>
      </c>
      <c r="C36" s="113"/>
      <c r="D36" s="114"/>
      <c r="E36" s="114"/>
      <c r="F36" s="114"/>
      <c r="G36" s="114"/>
    </row>
    <row r="37" spans="1:7">
      <c r="A37" s="152"/>
      <c r="B37" s="115"/>
      <c r="C37" s="115"/>
      <c r="D37" s="142"/>
      <c r="E37" s="139"/>
    </row>
    <row r="38" spans="1:7">
      <c r="A38" s="152"/>
      <c r="B38" s="145" t="s">
        <v>947</v>
      </c>
      <c r="C38" s="145"/>
      <c r="D38" s="120"/>
      <c r="E38" s="121"/>
      <c r="F38" s="121"/>
      <c r="G38" s="121"/>
    </row>
    <row r="39" spans="1:7">
      <c r="A39" s="152" t="str">
        <f>"camas"&amp;"commercial"&amp;B39</f>
        <v>camascommercialCCCMP4Y</v>
      </c>
      <c r="B39" s="122" t="s">
        <v>410</v>
      </c>
      <c r="C39" s="122" t="s">
        <v>411</v>
      </c>
      <c r="D39" s="142">
        <v>435.16999999999996</v>
      </c>
      <c r="E39" s="139">
        <v>5657.21</v>
      </c>
      <c r="G39" s="124">
        <f>+(E39/D39)/12</f>
        <v>1.0833333333333335</v>
      </c>
    </row>
    <row r="40" spans="1:7">
      <c r="A40" s="152" t="str">
        <f t="shared" ref="A40:A41" si="2">"camas"&amp;"commercial"&amp;B40</f>
        <v>camascommercialVLOCK</v>
      </c>
      <c r="B40" s="122" t="s">
        <v>511</v>
      </c>
      <c r="C40" s="122" t="s">
        <v>512</v>
      </c>
      <c r="D40" s="142">
        <v>6.32</v>
      </c>
      <c r="E40" s="139">
        <v>82.16</v>
      </c>
    </row>
    <row r="41" spans="1:7">
      <c r="A41" s="152" t="str">
        <f t="shared" si="2"/>
        <v>camascommercialCCEXYD</v>
      </c>
      <c r="B41" s="122" t="s">
        <v>456</v>
      </c>
      <c r="C41" s="122" t="s">
        <v>457</v>
      </c>
      <c r="D41" s="142">
        <v>17.579999999999998</v>
      </c>
      <c r="E41" s="139">
        <v>35.159999999999997</v>
      </c>
    </row>
    <row r="42" spans="1:7">
      <c r="A42" s="152"/>
      <c r="B42" s="126"/>
      <c r="C42" s="126"/>
      <c r="D42" s="142"/>
    </row>
    <row r="43" spans="1:7">
      <c r="A43" s="154"/>
      <c r="B43" s="126"/>
      <c r="C43" s="127" t="s">
        <v>948</v>
      </c>
      <c r="D43" s="142"/>
      <c r="E43" s="133">
        <f>+SUM(E39:E42)</f>
        <v>5774.53</v>
      </c>
      <c r="F43" s="129"/>
      <c r="G43" s="156">
        <f>+SUM(G39:G42)</f>
        <v>1.0833333333333335</v>
      </c>
    </row>
    <row r="44" spans="1:7">
      <c r="A44" s="152"/>
      <c r="B44" s="126"/>
      <c r="C44" s="126"/>
      <c r="D44" s="142"/>
    </row>
    <row r="45" spans="1:7">
      <c r="A45" s="152"/>
      <c r="B45" s="126"/>
      <c r="C45" s="127"/>
      <c r="D45" s="142"/>
    </row>
    <row r="46" spans="1:7">
      <c r="A46" s="152"/>
      <c r="B46" s="145" t="s">
        <v>700</v>
      </c>
      <c r="C46" s="145"/>
      <c r="D46" s="120"/>
      <c r="E46" s="121"/>
      <c r="F46" s="121"/>
      <c r="G46" s="121"/>
    </row>
    <row r="47" spans="1:7">
      <c r="A47" s="152" t="str">
        <f>"camas"&amp;"recycling"&amp;B47</f>
        <v>camasrecyclingCRY1.5Y1X</v>
      </c>
      <c r="B47" s="122" t="s">
        <v>705</v>
      </c>
      <c r="C47" s="122" t="s">
        <v>706</v>
      </c>
      <c r="D47" s="142">
        <v>108.11</v>
      </c>
      <c r="E47" s="139">
        <v>0</v>
      </c>
      <c r="G47" s="124">
        <f t="shared" ref="G47:G67" si="3">+(E47/D47)/12</f>
        <v>0</v>
      </c>
    </row>
    <row r="48" spans="1:7">
      <c r="A48" s="152" t="str">
        <f t="shared" ref="A48:A111" si="4">"camas"&amp;"recycling"&amp;B48</f>
        <v xml:space="preserve">camasrecyclingCRY1.5EOW </v>
      </c>
      <c r="B48" s="122" t="s">
        <v>709</v>
      </c>
      <c r="C48" s="122" t="s">
        <v>710</v>
      </c>
      <c r="D48" s="142">
        <v>66.23</v>
      </c>
      <c r="E48" s="139">
        <v>0</v>
      </c>
      <c r="G48" s="124">
        <f t="shared" si="3"/>
        <v>0</v>
      </c>
    </row>
    <row r="49" spans="1:7">
      <c r="A49" s="152" t="str">
        <f t="shared" si="4"/>
        <v>camasrecyclingCRY1Y1X</v>
      </c>
      <c r="B49" s="122" t="s">
        <v>711</v>
      </c>
      <c r="C49" s="122" t="s">
        <v>712</v>
      </c>
      <c r="D49" s="142">
        <v>88.26</v>
      </c>
      <c r="E49" s="139">
        <v>5264.4800000000005</v>
      </c>
      <c r="G49" s="124">
        <f t="shared" si="3"/>
        <v>4.9706171160963821</v>
      </c>
    </row>
    <row r="50" spans="1:7">
      <c r="A50" s="152" t="str">
        <f t="shared" si="4"/>
        <v>camasrecyclingCRY1YEOW</v>
      </c>
      <c r="B50" s="122" t="s">
        <v>717</v>
      </c>
      <c r="C50" s="122" t="s">
        <v>718</v>
      </c>
      <c r="D50" s="142">
        <v>64.180000000000007</v>
      </c>
      <c r="E50" s="139">
        <v>220.04000000000002</v>
      </c>
      <c r="G50" s="124">
        <f t="shared" si="3"/>
        <v>0.28570686610574425</v>
      </c>
    </row>
    <row r="51" spans="1:7">
      <c r="A51" s="152" t="str">
        <f t="shared" si="4"/>
        <v>camasrecyclingCRY2Y1X</v>
      </c>
      <c r="B51" s="122" t="s">
        <v>723</v>
      </c>
      <c r="C51" s="122" t="s">
        <v>724</v>
      </c>
      <c r="D51" s="142">
        <v>114.09</v>
      </c>
      <c r="E51" s="139">
        <v>8275.9399999999987</v>
      </c>
      <c r="G51" s="124">
        <f t="shared" si="3"/>
        <v>6.0448914599585111</v>
      </c>
    </row>
    <row r="52" spans="1:7">
      <c r="A52" s="152" t="str">
        <f t="shared" si="4"/>
        <v>camasrecyclingCRY2YEOW</v>
      </c>
      <c r="B52" s="122" t="s">
        <v>727</v>
      </c>
      <c r="C52" s="122" t="s">
        <v>728</v>
      </c>
      <c r="D52" s="142">
        <v>70.36</v>
      </c>
      <c r="E52" s="139">
        <v>1557.4099999999999</v>
      </c>
      <c r="G52" s="124">
        <f t="shared" si="3"/>
        <v>1.8445731476217546</v>
      </c>
    </row>
    <row r="53" spans="1:7">
      <c r="A53" s="152" t="str">
        <f t="shared" si="4"/>
        <v>camasrecyclingCRY3Y1X</v>
      </c>
      <c r="B53" s="122" t="s">
        <v>731</v>
      </c>
      <c r="C53" s="122" t="s">
        <v>732</v>
      </c>
      <c r="D53" s="142">
        <v>124.14</v>
      </c>
      <c r="E53" s="139">
        <v>8115.9000000000005</v>
      </c>
      <c r="G53" s="124">
        <f t="shared" si="3"/>
        <v>5.4480828097309493</v>
      </c>
    </row>
    <row r="54" spans="1:7">
      <c r="A54" s="152" t="str">
        <f t="shared" si="4"/>
        <v>camasrecyclingCRY3Y2X</v>
      </c>
      <c r="B54" s="122" t="s">
        <v>733</v>
      </c>
      <c r="C54" s="122" t="s">
        <v>734</v>
      </c>
      <c r="D54" s="142">
        <v>224.23</v>
      </c>
      <c r="E54" s="139">
        <v>6631.5999999999985</v>
      </c>
      <c r="G54" s="124">
        <f t="shared" si="3"/>
        <v>2.4645824971383545</v>
      </c>
    </row>
    <row r="55" spans="1:7">
      <c r="A55" s="152" t="str">
        <f t="shared" si="4"/>
        <v>camasrecyclingCRY3YEOW</v>
      </c>
      <c r="B55" s="122" t="s">
        <v>741</v>
      </c>
      <c r="C55" s="122" t="s">
        <v>742</v>
      </c>
      <c r="D55" s="142">
        <v>76.58</v>
      </c>
      <c r="E55" s="139">
        <v>350.1</v>
      </c>
      <c r="G55" s="124">
        <f t="shared" si="3"/>
        <v>0.3809741446852965</v>
      </c>
    </row>
    <row r="56" spans="1:7">
      <c r="A56" s="152" t="str">
        <f t="shared" si="4"/>
        <v>camasrecyclingCRY4Y1X</v>
      </c>
      <c r="B56" s="122" t="s">
        <v>743</v>
      </c>
      <c r="C56" s="122" t="s">
        <v>744</v>
      </c>
      <c r="D56" s="142">
        <v>136.19</v>
      </c>
      <c r="E56" s="139">
        <v>15190.92</v>
      </c>
      <c r="G56" s="124">
        <f t="shared" si="3"/>
        <v>9.2951758572582417</v>
      </c>
    </row>
    <row r="57" spans="1:7">
      <c r="A57" s="152" t="str">
        <f t="shared" si="4"/>
        <v>camasrecyclingCRY4Y2X</v>
      </c>
      <c r="B57" s="122" t="s">
        <v>745</v>
      </c>
      <c r="C57" s="122" t="s">
        <v>746</v>
      </c>
      <c r="D57" s="142">
        <v>244.26</v>
      </c>
      <c r="E57" s="139">
        <v>5463.7400000000007</v>
      </c>
      <c r="G57" s="124">
        <f t="shared" si="3"/>
        <v>1.8640451431534706</v>
      </c>
    </row>
    <row r="58" spans="1:7">
      <c r="A58" s="152" t="str">
        <f t="shared" si="4"/>
        <v>camasrecyclingCRY4YEOW</v>
      </c>
      <c r="B58" s="122" t="s">
        <v>749</v>
      </c>
      <c r="C58" s="122" t="s">
        <v>750</v>
      </c>
      <c r="D58" s="142">
        <v>84.86</v>
      </c>
      <c r="E58" s="139">
        <v>1606.7900000000002</v>
      </c>
      <c r="G58" s="124">
        <f t="shared" si="3"/>
        <v>1.5778831801398383</v>
      </c>
    </row>
    <row r="59" spans="1:7">
      <c r="A59" s="152" t="str">
        <f t="shared" si="4"/>
        <v>camasrecyclingCRY2-4Y1X</v>
      </c>
      <c r="B59" s="122" t="s">
        <v>753</v>
      </c>
      <c r="C59" s="122" t="s">
        <v>754</v>
      </c>
      <c r="D59" s="142">
        <v>238.23</v>
      </c>
      <c r="E59" s="139">
        <v>1718.96</v>
      </c>
      <c r="G59" s="124">
        <f t="shared" si="3"/>
        <v>0.60129566665267464</v>
      </c>
    </row>
    <row r="60" spans="1:7">
      <c r="A60" s="152" t="str">
        <f t="shared" si="4"/>
        <v>camasrecyclingCRY2-4Y2X</v>
      </c>
      <c r="B60" s="122" t="s">
        <v>755</v>
      </c>
      <c r="C60" s="122" t="s">
        <v>756</v>
      </c>
      <c r="D60" s="142">
        <v>420.42</v>
      </c>
      <c r="E60" s="139">
        <v>0</v>
      </c>
      <c r="G60" s="124">
        <f t="shared" si="3"/>
        <v>0</v>
      </c>
    </row>
    <row r="61" spans="1:7">
      <c r="A61" s="152" t="str">
        <f t="shared" si="4"/>
        <v>camasrecyclingCRY5Y1X</v>
      </c>
      <c r="B61" s="122" t="s">
        <v>759</v>
      </c>
      <c r="C61" s="122" t="s">
        <v>760</v>
      </c>
      <c r="D61" s="142">
        <v>146.13999999999999</v>
      </c>
      <c r="E61" s="139">
        <v>0</v>
      </c>
      <c r="G61" s="124">
        <f t="shared" si="3"/>
        <v>0</v>
      </c>
    </row>
    <row r="62" spans="1:7">
      <c r="A62" s="152" t="str">
        <f t="shared" si="4"/>
        <v>camasrecyclingCRY5Y2X</v>
      </c>
      <c r="B62" s="122" t="s">
        <v>761</v>
      </c>
      <c r="C62" s="122" t="s">
        <v>762</v>
      </c>
      <c r="D62" s="142">
        <v>264.27</v>
      </c>
      <c r="E62" s="139">
        <v>2835.1499999999996</v>
      </c>
      <c r="G62" s="124">
        <f t="shared" si="3"/>
        <v>0.89401937412494792</v>
      </c>
    </row>
    <row r="63" spans="1:7">
      <c r="A63" s="152" t="str">
        <f t="shared" si="4"/>
        <v>camasrecyclingCRY5YEOW</v>
      </c>
      <c r="B63" s="122" t="s">
        <v>949</v>
      </c>
      <c r="C63" s="122" t="s">
        <v>950</v>
      </c>
      <c r="D63" s="142">
        <v>91.06</v>
      </c>
      <c r="E63" s="139">
        <v>0</v>
      </c>
      <c r="G63" s="124">
        <f t="shared" si="3"/>
        <v>0</v>
      </c>
    </row>
    <row r="64" spans="1:7">
      <c r="A64" s="152" t="str">
        <f t="shared" si="4"/>
        <v>camasrecyclingCRY6Y1X</v>
      </c>
      <c r="B64" s="122" t="s">
        <v>765</v>
      </c>
      <c r="C64" s="122" t="s">
        <v>766</v>
      </c>
      <c r="D64" s="142">
        <v>156.16</v>
      </c>
      <c r="E64" s="139">
        <v>5281.3600000000006</v>
      </c>
      <c r="G64" s="124">
        <f t="shared" si="3"/>
        <v>2.8183487021857925</v>
      </c>
    </row>
    <row r="65" spans="1:7">
      <c r="A65" s="152" t="str">
        <f t="shared" si="4"/>
        <v>camasrecyclingCRY6YEOW</v>
      </c>
      <c r="B65" s="122" t="s">
        <v>771</v>
      </c>
      <c r="C65" s="122" t="s">
        <v>772</v>
      </c>
      <c r="D65" s="142">
        <v>97.25</v>
      </c>
      <c r="E65" s="139">
        <v>0</v>
      </c>
      <c r="G65" s="124">
        <f t="shared" si="3"/>
        <v>0</v>
      </c>
    </row>
    <row r="66" spans="1:7">
      <c r="A66" s="152" t="str">
        <f t="shared" si="4"/>
        <v>camasrecyclingCRY8Y1X</v>
      </c>
      <c r="B66" s="122" t="s">
        <v>773</v>
      </c>
      <c r="C66" s="122" t="s">
        <v>774</v>
      </c>
      <c r="D66" s="142">
        <v>166.16</v>
      </c>
      <c r="E66" s="139">
        <v>0</v>
      </c>
      <c r="G66" s="124">
        <f t="shared" si="3"/>
        <v>0</v>
      </c>
    </row>
    <row r="67" spans="1:7">
      <c r="A67" s="152" t="str">
        <f t="shared" si="4"/>
        <v>camasrecyclingCFR65G1X</v>
      </c>
      <c r="B67" s="122" t="s">
        <v>783</v>
      </c>
      <c r="C67" s="122" t="s">
        <v>784</v>
      </c>
      <c r="D67" s="142">
        <v>29.15</v>
      </c>
      <c r="E67" s="139">
        <v>9799.1200000000008</v>
      </c>
      <c r="G67" s="124">
        <f t="shared" si="3"/>
        <v>28.013493424814182</v>
      </c>
    </row>
    <row r="68" spans="1:7">
      <c r="A68" s="152" t="str">
        <f t="shared" si="4"/>
        <v>camasrecyclingCFR64G1X</v>
      </c>
      <c r="B68" s="122" t="s">
        <v>951</v>
      </c>
      <c r="C68" s="122" t="s">
        <v>952</v>
      </c>
      <c r="D68" s="142">
        <v>0</v>
      </c>
      <c r="E68" s="139">
        <v>0</v>
      </c>
      <c r="G68" s="124">
        <f>+IFERROR((E68/D68)/12,0)</f>
        <v>0</v>
      </c>
    </row>
    <row r="69" spans="1:7">
      <c r="A69" s="152" t="str">
        <f t="shared" si="4"/>
        <v>camasrecyclingCRY901X</v>
      </c>
      <c r="B69" s="122" t="s">
        <v>787</v>
      </c>
      <c r="C69" s="122" t="s">
        <v>788</v>
      </c>
      <c r="D69" s="142">
        <v>67.349999999999994</v>
      </c>
      <c r="E69" s="139">
        <v>7791.75</v>
      </c>
      <c r="G69" s="124">
        <f>+(E69/D69)/12</f>
        <v>9.6408685968819601</v>
      </c>
    </row>
    <row r="70" spans="1:7">
      <c r="A70" s="154" t="str">
        <f t="shared" si="4"/>
        <v>camasrecyclingCRY901X2</v>
      </c>
      <c r="B70" s="122" t="s">
        <v>797</v>
      </c>
      <c r="C70" s="122" t="s">
        <v>798</v>
      </c>
      <c r="D70" s="142">
        <v>75.540000000000006</v>
      </c>
      <c r="E70" s="139">
        <v>1538.1999999999998</v>
      </c>
      <c r="G70" s="124">
        <f>+(E70/D70)/12</f>
        <v>1.6968934780690139</v>
      </c>
    </row>
    <row r="71" spans="1:7">
      <c r="A71" s="152" t="str">
        <f t="shared" si="4"/>
        <v>camasrecyclingCRY902X</v>
      </c>
      <c r="B71" s="122" t="s">
        <v>789</v>
      </c>
      <c r="C71" s="122" t="s">
        <v>790</v>
      </c>
      <c r="D71" s="142">
        <v>127.11</v>
      </c>
      <c r="E71" s="139">
        <v>0</v>
      </c>
      <c r="G71" s="124">
        <f>+(E71/D71)/12</f>
        <v>0</v>
      </c>
    </row>
    <row r="72" spans="1:7">
      <c r="A72" s="152" t="str">
        <f t="shared" si="4"/>
        <v>camasrecyclingCRY90EOW</v>
      </c>
      <c r="B72" s="122" t="s">
        <v>791</v>
      </c>
      <c r="C72" s="122" t="s">
        <v>792</v>
      </c>
      <c r="D72" s="142">
        <v>34.479999999999997</v>
      </c>
      <c r="E72" s="139">
        <v>5508.7800000000007</v>
      </c>
      <c r="G72" s="124">
        <f>+(E72/D72)/12</f>
        <v>13.313950116009282</v>
      </c>
    </row>
    <row r="73" spans="1:7">
      <c r="A73" s="152" t="str">
        <f t="shared" si="4"/>
        <v>camasrecyclingCRY1YGLS1X</v>
      </c>
      <c r="B73" s="161" t="s">
        <v>715</v>
      </c>
      <c r="C73" s="161" t="s">
        <v>716</v>
      </c>
      <c r="D73" s="151">
        <v>0</v>
      </c>
      <c r="E73" s="162">
        <v>141.75</v>
      </c>
      <c r="F73" s="160"/>
      <c r="G73" s="163">
        <f>+IFERROR((E73/D73)/12,0)</f>
        <v>0</v>
      </c>
    </row>
    <row r="74" spans="1:7">
      <c r="A74" s="102" t="str">
        <f t="shared" si="4"/>
        <v>camasrecyclingCRY90EOW2</v>
      </c>
      <c r="B74" s="122" t="s">
        <v>799</v>
      </c>
      <c r="C74" s="122" t="s">
        <v>800</v>
      </c>
      <c r="D74" s="142">
        <v>42.71</v>
      </c>
      <c r="E74" s="139">
        <v>713.2</v>
      </c>
      <c r="G74" s="124">
        <f>+(E74/D74)/12</f>
        <v>1.391555451494576</v>
      </c>
    </row>
    <row r="75" spans="1:7">
      <c r="A75" s="102" t="str">
        <f t="shared" si="4"/>
        <v>camasrecyclingCRYGLASS1X</v>
      </c>
      <c r="B75" s="122" t="s">
        <v>803</v>
      </c>
      <c r="C75" s="122" t="s">
        <v>804</v>
      </c>
      <c r="D75" s="142">
        <v>23</v>
      </c>
      <c r="E75" s="139">
        <v>1489.5</v>
      </c>
      <c r="G75" s="124">
        <f>+(E75/D75)/12</f>
        <v>5.3967391304347823</v>
      </c>
    </row>
    <row r="76" spans="1:7">
      <c r="A76" s="102" t="str">
        <f t="shared" si="4"/>
        <v>camasrecyclingMFPAIL</v>
      </c>
      <c r="B76" s="122" t="s">
        <v>813</v>
      </c>
      <c r="C76" s="122" t="s">
        <v>814</v>
      </c>
      <c r="D76" s="142">
        <v>4.18</v>
      </c>
      <c r="E76" s="139">
        <v>0</v>
      </c>
    </row>
    <row r="77" spans="1:7">
      <c r="A77" s="102" t="str">
        <f t="shared" si="4"/>
        <v>camasrecycling0CRYEX1YD</v>
      </c>
      <c r="B77" s="122" t="s">
        <v>822</v>
      </c>
      <c r="C77" s="122" t="s">
        <v>823</v>
      </c>
      <c r="D77" s="142">
        <v>23.97</v>
      </c>
      <c r="E77" s="139">
        <v>0</v>
      </c>
    </row>
    <row r="78" spans="1:7">
      <c r="A78" s="102" t="str">
        <f t="shared" si="4"/>
        <v>camasrecycling0CRYEX1.5YD</v>
      </c>
      <c r="B78" s="122" t="s">
        <v>818</v>
      </c>
      <c r="C78" s="122" t="s">
        <v>819</v>
      </c>
      <c r="D78" s="142">
        <v>23.97</v>
      </c>
      <c r="E78" s="139">
        <v>-22.83</v>
      </c>
    </row>
    <row r="79" spans="1:7">
      <c r="A79" s="102" t="str">
        <f t="shared" si="4"/>
        <v>camasrecycling0CRYEX90</v>
      </c>
      <c r="B79" s="122" t="s">
        <v>820</v>
      </c>
      <c r="C79" s="122" t="s">
        <v>821</v>
      </c>
      <c r="D79" s="142">
        <v>17.989999999999998</v>
      </c>
      <c r="E79" s="139">
        <v>463.65000000000003</v>
      </c>
    </row>
    <row r="80" spans="1:7">
      <c r="A80" s="102" t="str">
        <f t="shared" si="4"/>
        <v>camasrecycling0CRYEX2YD</v>
      </c>
      <c r="B80" s="122" t="s">
        <v>824</v>
      </c>
      <c r="C80" s="122" t="s">
        <v>825</v>
      </c>
      <c r="D80" s="142">
        <v>26.38</v>
      </c>
      <c r="E80" s="139">
        <v>0</v>
      </c>
    </row>
    <row r="81" spans="1:5">
      <c r="A81" s="102" t="str">
        <f t="shared" si="4"/>
        <v>camasrecycling0CRYEX3YD</v>
      </c>
      <c r="B81" s="122" t="s">
        <v>826</v>
      </c>
      <c r="C81" s="122" t="s">
        <v>827</v>
      </c>
      <c r="D81" s="142">
        <v>29.38</v>
      </c>
      <c r="E81" s="139">
        <v>392.17</v>
      </c>
    </row>
    <row r="82" spans="1:5">
      <c r="A82" s="102" t="str">
        <f t="shared" si="4"/>
        <v>camasrecycling0CRYEX4YD</v>
      </c>
      <c r="B82" s="122" t="s">
        <v>828</v>
      </c>
      <c r="C82" s="122" t="s">
        <v>829</v>
      </c>
      <c r="D82" s="142">
        <v>29.98</v>
      </c>
      <c r="E82" s="139">
        <v>120.31</v>
      </c>
    </row>
    <row r="83" spans="1:5">
      <c r="A83" s="102" t="str">
        <f t="shared" si="4"/>
        <v>camasrecycling0CRYEX5YD</v>
      </c>
      <c r="B83" s="122" t="s">
        <v>830</v>
      </c>
      <c r="C83" s="122" t="s">
        <v>831</v>
      </c>
      <c r="D83" s="142">
        <v>29.6</v>
      </c>
      <c r="E83" s="139">
        <v>0</v>
      </c>
    </row>
    <row r="84" spans="1:5">
      <c r="A84" s="102" t="str">
        <f t="shared" si="4"/>
        <v>camasrecycling0CRYEX6YD</v>
      </c>
      <c r="B84" s="122" t="s">
        <v>832</v>
      </c>
      <c r="C84" s="122" t="s">
        <v>833</v>
      </c>
      <c r="D84" s="142">
        <v>32.369999999999997</v>
      </c>
      <c r="E84" s="139">
        <v>12.61</v>
      </c>
    </row>
    <row r="85" spans="1:5">
      <c r="A85" s="102" t="str">
        <f t="shared" si="4"/>
        <v>camasrecyclingCRYCWBINS</v>
      </c>
      <c r="B85" s="122" t="s">
        <v>953</v>
      </c>
      <c r="C85" s="122" t="s">
        <v>954</v>
      </c>
      <c r="D85" s="142">
        <v>0</v>
      </c>
      <c r="E85" s="139">
        <v>0</v>
      </c>
    </row>
    <row r="86" spans="1:5">
      <c r="A86" s="102" t="str">
        <f t="shared" si="4"/>
        <v>camasrecyclingCRYEXC</v>
      </c>
      <c r="B86" s="122" t="s">
        <v>815</v>
      </c>
      <c r="C86" s="122" t="s">
        <v>816</v>
      </c>
      <c r="D86" s="142">
        <v>21.5</v>
      </c>
      <c r="E86" s="139">
        <v>817.11999999999989</v>
      </c>
    </row>
    <row r="87" spans="1:5">
      <c r="A87" s="102" t="str">
        <f t="shared" si="4"/>
        <v>camasrecyclingCRYEX90</v>
      </c>
      <c r="B87" s="122" t="s">
        <v>871</v>
      </c>
      <c r="C87" s="122" t="s">
        <v>872</v>
      </c>
      <c r="D87" s="142">
        <v>17.989999999999998</v>
      </c>
      <c r="E87" s="139">
        <v>17.13</v>
      </c>
    </row>
    <row r="88" spans="1:5">
      <c r="A88" s="102" t="str">
        <f t="shared" si="4"/>
        <v>camasrecyclingSCHX</v>
      </c>
      <c r="B88" s="122" t="s">
        <v>811</v>
      </c>
      <c r="C88" s="122" t="s">
        <v>812</v>
      </c>
      <c r="D88" s="142">
        <v>6.83</v>
      </c>
      <c r="E88" s="139">
        <v>219.68</v>
      </c>
    </row>
    <row r="89" spans="1:5">
      <c r="A89" s="102" t="str">
        <f t="shared" si="4"/>
        <v>camasrecycling0CRYEXC</v>
      </c>
      <c r="B89" s="122" t="s">
        <v>817</v>
      </c>
      <c r="C89" s="122" t="s">
        <v>816</v>
      </c>
      <c r="D89" s="142">
        <v>21.5</v>
      </c>
      <c r="E89" s="139">
        <v>11.52</v>
      </c>
    </row>
    <row r="90" spans="1:5">
      <c r="A90" s="102" t="str">
        <f t="shared" si="4"/>
        <v>camasrecyclingCRYACC</v>
      </c>
      <c r="B90" s="122" t="s">
        <v>861</v>
      </c>
      <c r="C90" s="122" t="s">
        <v>862</v>
      </c>
      <c r="D90" s="142">
        <v>8.2200000000000006</v>
      </c>
      <c r="E90" s="139">
        <v>715.74</v>
      </c>
    </row>
    <row r="91" spans="1:5">
      <c r="A91" s="102" t="str">
        <f t="shared" si="4"/>
        <v>camasrecyclingCRYPLACE</v>
      </c>
      <c r="B91" s="122" t="s">
        <v>863</v>
      </c>
      <c r="C91" s="122" t="s">
        <v>864</v>
      </c>
      <c r="D91" s="142">
        <v>31.05</v>
      </c>
      <c r="E91" s="139">
        <v>266.61</v>
      </c>
    </row>
    <row r="92" spans="1:5">
      <c r="A92" s="102" t="str">
        <f t="shared" si="4"/>
        <v>camasrecyclingCRYRO</v>
      </c>
      <c r="B92" s="122" t="s">
        <v>865</v>
      </c>
      <c r="C92" s="122" t="s">
        <v>866</v>
      </c>
      <c r="D92" s="142">
        <v>8.2200000000000006</v>
      </c>
      <c r="E92" s="139">
        <v>440.44000000000005</v>
      </c>
    </row>
    <row r="93" spans="1:5">
      <c r="A93" s="102" t="str">
        <f t="shared" si="4"/>
        <v>camasrecyclingCOMREC</v>
      </c>
      <c r="B93" s="122" t="s">
        <v>867</v>
      </c>
      <c r="C93" s="122" t="s">
        <v>868</v>
      </c>
      <c r="D93" s="142">
        <v>47.87</v>
      </c>
      <c r="E93" s="139">
        <v>17783.8</v>
      </c>
    </row>
    <row r="94" spans="1:5">
      <c r="A94" s="102" t="str">
        <f t="shared" si="4"/>
        <v>camasrecyclingCRYEX1YD</v>
      </c>
      <c r="B94" s="122" t="s">
        <v>875</v>
      </c>
      <c r="C94" s="122" t="s">
        <v>876</v>
      </c>
      <c r="D94" s="142">
        <v>23.97</v>
      </c>
      <c r="E94" s="139">
        <v>0</v>
      </c>
    </row>
    <row r="95" spans="1:5">
      <c r="A95" s="152" t="str">
        <f t="shared" si="4"/>
        <v>camasrecyclingCRYEX1.5YD</v>
      </c>
      <c r="B95" s="161" t="s">
        <v>869</v>
      </c>
      <c r="C95" s="161" t="s">
        <v>870</v>
      </c>
      <c r="D95" s="142">
        <v>23.97</v>
      </c>
      <c r="E95" s="139">
        <v>45.66</v>
      </c>
    </row>
    <row r="96" spans="1:5">
      <c r="A96" s="102" t="str">
        <f t="shared" si="4"/>
        <v>camasrecyclingCRYEX2YD</v>
      </c>
      <c r="B96" s="122" t="s">
        <v>877</v>
      </c>
      <c r="C96" s="122" t="s">
        <v>878</v>
      </c>
      <c r="D96" s="142">
        <v>26.38</v>
      </c>
      <c r="E96" s="139">
        <v>25.12</v>
      </c>
    </row>
    <row r="97" spans="1:5">
      <c r="A97" s="102" t="str">
        <f t="shared" si="4"/>
        <v>camasrecyclingCRYEX3YD</v>
      </c>
      <c r="B97" s="122" t="s">
        <v>879</v>
      </c>
      <c r="C97" s="122" t="s">
        <v>880</v>
      </c>
      <c r="D97" s="142">
        <v>29.38</v>
      </c>
      <c r="E97" s="139">
        <v>53.1</v>
      </c>
    </row>
    <row r="98" spans="1:5">
      <c r="A98" s="102" t="str">
        <f t="shared" si="4"/>
        <v>camasrecyclingCRYEX4YD</v>
      </c>
      <c r="B98" s="122" t="s">
        <v>881</v>
      </c>
      <c r="C98" s="122" t="s">
        <v>882</v>
      </c>
      <c r="D98" s="142">
        <v>29.98</v>
      </c>
      <c r="E98" s="139">
        <v>-33.36</v>
      </c>
    </row>
    <row r="99" spans="1:5">
      <c r="A99" s="102" t="str">
        <f t="shared" si="4"/>
        <v>camasrecyclingCRYEX6YD</v>
      </c>
      <c r="B99" s="122" t="s">
        <v>885</v>
      </c>
      <c r="C99" s="122" t="s">
        <v>886</v>
      </c>
      <c r="D99" s="142">
        <v>32.369999999999997</v>
      </c>
      <c r="E99" s="139">
        <v>55.01</v>
      </c>
    </row>
    <row r="100" spans="1:5">
      <c r="A100" s="102" t="str">
        <f t="shared" si="4"/>
        <v>camasrecyclingCRYEX8YD</v>
      </c>
      <c r="B100" s="122" t="s">
        <v>887</v>
      </c>
      <c r="C100" s="122" t="s">
        <v>888</v>
      </c>
      <c r="D100" s="142">
        <v>33.619999999999997</v>
      </c>
      <c r="E100" s="139">
        <v>416.78000000000003</v>
      </c>
    </row>
    <row r="101" spans="1:5">
      <c r="A101" s="102" t="str">
        <f t="shared" si="4"/>
        <v>camasrecyclingCRYTRIP</v>
      </c>
      <c r="B101" s="122" t="s">
        <v>889</v>
      </c>
      <c r="C101" s="122" t="s">
        <v>890</v>
      </c>
      <c r="D101" s="142">
        <v>14.97</v>
      </c>
      <c r="E101" s="139">
        <v>100.53</v>
      </c>
    </row>
    <row r="102" spans="1:5">
      <c r="A102" s="102" t="str">
        <f t="shared" si="4"/>
        <v>camasrecyclingCRY1.5OC</v>
      </c>
      <c r="B102" s="122" t="s">
        <v>836</v>
      </c>
      <c r="C102" s="122" t="s">
        <v>837</v>
      </c>
      <c r="D102" s="142">
        <v>28.98</v>
      </c>
      <c r="E102" s="139">
        <v>310.91999999999996</v>
      </c>
    </row>
    <row r="103" spans="1:5">
      <c r="A103" s="102" t="str">
        <f t="shared" si="4"/>
        <v>camasrecyclingCRY2YOC</v>
      </c>
      <c r="B103" s="122" t="s">
        <v>838</v>
      </c>
      <c r="C103" s="122" t="s">
        <v>839</v>
      </c>
      <c r="D103" s="142">
        <v>31.06</v>
      </c>
      <c r="E103" s="139">
        <v>0</v>
      </c>
    </row>
    <row r="104" spans="1:5">
      <c r="A104" s="102" t="str">
        <f t="shared" si="4"/>
        <v>camasrecyclingCRY90OC3</v>
      </c>
      <c r="B104" s="122" t="s">
        <v>805</v>
      </c>
      <c r="C104" s="122" t="s">
        <v>806</v>
      </c>
      <c r="D104" s="142">
        <v>25.17</v>
      </c>
      <c r="E104" s="139">
        <v>0</v>
      </c>
    </row>
    <row r="105" spans="1:5">
      <c r="A105" s="102" t="str">
        <f t="shared" si="4"/>
        <v>camasrecyclingCRY3YOC</v>
      </c>
      <c r="B105" s="122" t="s">
        <v>840</v>
      </c>
      <c r="C105" s="122" t="s">
        <v>841</v>
      </c>
      <c r="D105" s="142">
        <v>33.119999999999997</v>
      </c>
      <c r="E105" s="139">
        <v>710.42000000000007</v>
      </c>
    </row>
    <row r="106" spans="1:5">
      <c r="A106" s="102" t="str">
        <f t="shared" si="4"/>
        <v>camasrecyclingCRY4YRENT</v>
      </c>
      <c r="B106" s="122" t="s">
        <v>852</v>
      </c>
      <c r="C106" s="122" t="s">
        <v>853</v>
      </c>
      <c r="D106" s="142">
        <v>0</v>
      </c>
      <c r="E106" s="139">
        <v>0</v>
      </c>
    </row>
    <row r="107" spans="1:5">
      <c r="A107" s="102" t="str">
        <f t="shared" si="4"/>
        <v>camasrecyclingCRY4YOC</v>
      </c>
      <c r="B107" s="122" t="s">
        <v>842</v>
      </c>
      <c r="C107" s="122" t="s">
        <v>843</v>
      </c>
      <c r="D107" s="142">
        <v>39.32</v>
      </c>
      <c r="E107" s="139">
        <v>334.51</v>
      </c>
    </row>
    <row r="108" spans="1:5">
      <c r="A108" s="102" t="str">
        <f t="shared" si="4"/>
        <v>camasrecyclingCRY5YOC</v>
      </c>
      <c r="B108" s="122" t="s">
        <v>846</v>
      </c>
      <c r="C108" s="122" t="s">
        <v>847</v>
      </c>
      <c r="D108" s="142">
        <v>39.31</v>
      </c>
      <c r="E108" s="139">
        <v>0</v>
      </c>
    </row>
    <row r="109" spans="1:5">
      <c r="A109" s="102" t="str">
        <f t="shared" si="4"/>
        <v>camasrecyclingCRY8YOC</v>
      </c>
      <c r="B109" s="122" t="s">
        <v>955</v>
      </c>
      <c r="C109" s="122" t="s">
        <v>956</v>
      </c>
      <c r="D109" s="142">
        <v>45.54</v>
      </c>
      <c r="E109" s="139">
        <v>488.52000000000004</v>
      </c>
    </row>
    <row r="110" spans="1:5">
      <c r="A110" s="102" t="str">
        <f t="shared" si="4"/>
        <v>camasrecyclingCRY90OC</v>
      </c>
      <c r="B110" s="122" t="s">
        <v>858</v>
      </c>
      <c r="C110" s="122" t="s">
        <v>857</v>
      </c>
      <c r="D110" s="142">
        <v>8.39</v>
      </c>
      <c r="E110" s="139">
        <v>155.18</v>
      </c>
    </row>
    <row r="111" spans="1:5">
      <c r="A111" s="102" t="str">
        <f t="shared" si="4"/>
        <v>camasrecyclingRECPUR</v>
      </c>
      <c r="B111" s="122" t="s">
        <v>893</v>
      </c>
      <c r="C111" s="122" t="s">
        <v>894</v>
      </c>
      <c r="D111" s="142">
        <v>0</v>
      </c>
      <c r="E111" s="139">
        <v>-512.89</v>
      </c>
    </row>
    <row r="112" spans="1:5">
      <c r="A112" s="102" t="str">
        <f t="shared" ref="A112" si="5">"camas"&amp;"recycling"&amp;B112</f>
        <v>camasrecyclingMFTOTE</v>
      </c>
      <c r="B112" s="122" t="s">
        <v>809</v>
      </c>
      <c r="C112" s="122" t="s">
        <v>810</v>
      </c>
      <c r="D112" s="142">
        <v>5.86</v>
      </c>
      <c r="E112" s="139">
        <v>5.58</v>
      </c>
    </row>
    <row r="113" spans="1:7">
      <c r="B113" s="104"/>
      <c r="C113" s="104"/>
      <c r="D113" s="142"/>
    </row>
    <row r="114" spans="1:7">
      <c r="A114" s="154"/>
      <c r="B114" s="126"/>
      <c r="C114" s="127" t="s">
        <v>895</v>
      </c>
      <c r="D114" s="142"/>
      <c r="E114" s="128">
        <f>+SUM(E47:E113)</f>
        <v>112887.71999999997</v>
      </c>
      <c r="F114" s="129"/>
      <c r="G114" s="158">
        <f>+SUM(G47:G113)</f>
        <v>97.943696162555753</v>
      </c>
    </row>
    <row r="115" spans="1:7">
      <c r="D115" s="142"/>
    </row>
    <row r="116" spans="1:7">
      <c r="A116" s="111"/>
      <c r="B116" s="111" t="s">
        <v>526</v>
      </c>
      <c r="C116" s="113"/>
      <c r="D116" s="114"/>
      <c r="E116" s="114"/>
      <c r="F116" s="114"/>
      <c r="G116" s="114"/>
    </row>
    <row r="117" spans="1:7">
      <c r="B117" s="116"/>
      <c r="C117" s="116"/>
      <c r="D117" s="142"/>
    </row>
    <row r="118" spans="1:7">
      <c r="A118" s="152"/>
      <c r="B118" s="145" t="s">
        <v>957</v>
      </c>
      <c r="C118" s="145"/>
      <c r="D118" s="120"/>
      <c r="E118" s="121"/>
      <c r="F118" s="121"/>
      <c r="G118" s="121"/>
    </row>
    <row r="119" spans="1:7">
      <c r="A119" s="102" t="str">
        <f>"camas"&amp;"roll off"&amp;B119</f>
        <v>camasroll offCAHAUL</v>
      </c>
      <c r="B119" s="122" t="s">
        <v>958</v>
      </c>
      <c r="C119" s="122" t="s">
        <v>959</v>
      </c>
      <c r="D119" s="142">
        <v>80.05</v>
      </c>
      <c r="E119" s="139">
        <v>82172.240000000005</v>
      </c>
      <c r="G119" s="124">
        <f t="shared" ref="G119:G124" si="6">+(E119/D119)/12</f>
        <v>85.542619196335636</v>
      </c>
    </row>
    <row r="120" spans="1:7">
      <c r="A120" s="102" t="str">
        <f t="shared" ref="A120:A142" si="7">"camas"&amp;"roll off"&amp;B120</f>
        <v>camasroll offCER20YD</v>
      </c>
      <c r="B120" s="122" t="s">
        <v>529</v>
      </c>
      <c r="C120" s="122" t="s">
        <v>530</v>
      </c>
      <c r="D120" s="142">
        <v>80.05</v>
      </c>
      <c r="E120" s="139">
        <v>0</v>
      </c>
      <c r="G120" s="124">
        <f t="shared" si="6"/>
        <v>0</v>
      </c>
    </row>
    <row r="121" spans="1:7">
      <c r="A121" s="102" t="str">
        <f t="shared" si="7"/>
        <v>camasroll offCRV20YD</v>
      </c>
      <c r="B121" s="122" t="s">
        <v>541</v>
      </c>
      <c r="C121" s="122" t="s">
        <v>542</v>
      </c>
      <c r="D121" s="142">
        <v>80.05</v>
      </c>
      <c r="E121" s="139">
        <v>0</v>
      </c>
      <c r="G121" s="124">
        <f t="shared" si="6"/>
        <v>0</v>
      </c>
    </row>
    <row r="122" spans="1:7">
      <c r="A122" s="102" t="str">
        <f t="shared" si="7"/>
        <v>camasroll offVHAUL30</v>
      </c>
      <c r="B122" s="122" t="s">
        <v>537</v>
      </c>
      <c r="C122" s="122" t="s">
        <v>538</v>
      </c>
      <c r="D122" s="142">
        <v>80.05</v>
      </c>
      <c r="E122" s="139">
        <v>0</v>
      </c>
      <c r="G122" s="124">
        <f t="shared" si="6"/>
        <v>0</v>
      </c>
    </row>
    <row r="123" spans="1:7">
      <c r="A123" s="102" t="str">
        <f>"camas"&amp;"compactor"&amp;B123</f>
        <v>camascompactorVHAUL30C</v>
      </c>
      <c r="B123" s="122" t="s">
        <v>960</v>
      </c>
      <c r="C123" s="122" t="s">
        <v>961</v>
      </c>
      <c r="D123" s="142">
        <v>80.05</v>
      </c>
      <c r="E123" s="139">
        <v>0</v>
      </c>
      <c r="G123" s="124">
        <f t="shared" si="6"/>
        <v>0</v>
      </c>
    </row>
    <row r="124" spans="1:7">
      <c r="A124" s="102" t="str">
        <f>"camas"&amp;"compactor"&amp;B124</f>
        <v>camascompactorCAHAULC</v>
      </c>
      <c r="B124" s="122" t="s">
        <v>962</v>
      </c>
      <c r="C124" s="122" t="s">
        <v>963</v>
      </c>
      <c r="D124" s="142">
        <v>80.05</v>
      </c>
      <c r="E124" s="139">
        <v>12080.02</v>
      </c>
      <c r="G124" s="124">
        <f t="shared" si="6"/>
        <v>12.575494482615033</v>
      </c>
    </row>
    <row r="125" spans="1:7">
      <c r="A125" s="102" t="str">
        <f t="shared" ref="A125:A128" si="8">"camas"&amp;"compactor"&amp;B125</f>
        <v>camascompactorOCC</v>
      </c>
      <c r="B125" s="122" t="s">
        <v>928</v>
      </c>
      <c r="C125" s="159" t="s">
        <v>929</v>
      </c>
      <c r="D125" s="142">
        <v>0</v>
      </c>
      <c r="E125" s="139">
        <v>-253.2</v>
      </c>
      <c r="G125" s="124">
        <f>+IFERROR((E125/D125)/12,0)</f>
        <v>0</v>
      </c>
    </row>
    <row r="126" spans="1:7">
      <c r="A126" s="102" t="str">
        <f t="shared" si="8"/>
        <v>camascompactorCCOMP20</v>
      </c>
      <c r="B126" s="122" t="s">
        <v>565</v>
      </c>
      <c r="C126" s="122" t="s">
        <v>566</v>
      </c>
      <c r="D126" s="142">
        <v>80.05</v>
      </c>
      <c r="E126" s="139">
        <v>0</v>
      </c>
      <c r="G126" s="124">
        <f>+(E126/D126)/12</f>
        <v>0</v>
      </c>
    </row>
    <row r="127" spans="1:7">
      <c r="A127" s="102" t="str">
        <f t="shared" si="8"/>
        <v>camascompactorCADEM15</v>
      </c>
      <c r="B127" s="122" t="s">
        <v>964</v>
      </c>
      <c r="C127" s="122" t="s">
        <v>574</v>
      </c>
      <c r="D127" s="142">
        <v>55.04</v>
      </c>
      <c r="E127" s="139">
        <v>491.23</v>
      </c>
    </row>
    <row r="128" spans="1:7">
      <c r="A128" s="102" t="str">
        <f t="shared" si="8"/>
        <v>camascompactorCADEM20</v>
      </c>
      <c r="B128" s="122" t="s">
        <v>965</v>
      </c>
      <c r="C128" s="122" t="s">
        <v>576</v>
      </c>
      <c r="D128" s="142">
        <v>55.04</v>
      </c>
      <c r="E128" s="139">
        <v>9131.14</v>
      </c>
    </row>
    <row r="129" spans="1:5">
      <c r="A129" s="102" t="str">
        <f>"camas"&amp;"roll off"&amp;B129</f>
        <v>camasroll offCDEM20</v>
      </c>
      <c r="B129" s="122" t="s">
        <v>575</v>
      </c>
      <c r="C129" s="122" t="s">
        <v>576</v>
      </c>
      <c r="D129" s="142">
        <v>55.04</v>
      </c>
      <c r="E129" s="139">
        <v>124.75</v>
      </c>
    </row>
    <row r="130" spans="1:5">
      <c r="A130" s="102" t="str">
        <f t="shared" si="7"/>
        <v>camasroll offVDEM20</v>
      </c>
      <c r="B130" s="122" t="s">
        <v>585</v>
      </c>
      <c r="C130" s="122" t="s">
        <v>576</v>
      </c>
      <c r="D130" s="142">
        <v>55.04</v>
      </c>
      <c r="E130" s="139">
        <v>0</v>
      </c>
    </row>
    <row r="131" spans="1:5">
      <c r="A131" s="102" t="str">
        <f t="shared" si="7"/>
        <v>camasroll offCADEM30</v>
      </c>
      <c r="B131" s="122" t="s">
        <v>966</v>
      </c>
      <c r="C131" s="122" t="s">
        <v>578</v>
      </c>
      <c r="D131" s="142">
        <v>55.04</v>
      </c>
      <c r="E131" s="139">
        <v>11625.25</v>
      </c>
    </row>
    <row r="132" spans="1:5">
      <c r="A132" s="102" t="str">
        <f t="shared" si="7"/>
        <v>camasroll offCDEM40</v>
      </c>
      <c r="B132" s="122" t="s">
        <v>579</v>
      </c>
      <c r="C132" s="122" t="s">
        <v>580</v>
      </c>
      <c r="D132" s="142">
        <v>55.04</v>
      </c>
      <c r="E132" s="139">
        <v>0</v>
      </c>
    </row>
    <row r="133" spans="1:5">
      <c r="A133" s="152" t="str">
        <f t="shared" si="7"/>
        <v>camasroll offVDEM40</v>
      </c>
      <c r="B133" s="161" t="s">
        <v>591</v>
      </c>
      <c r="C133" s="161" t="s">
        <v>580</v>
      </c>
      <c r="D133" s="142">
        <v>55.04</v>
      </c>
      <c r="E133" s="139">
        <v>5.5</v>
      </c>
    </row>
    <row r="134" spans="1:5">
      <c r="A134" s="102" t="str">
        <f t="shared" si="7"/>
        <v>camasroll offCADEM40</v>
      </c>
      <c r="B134" s="122" t="s">
        <v>967</v>
      </c>
      <c r="C134" s="122" t="s">
        <v>580</v>
      </c>
      <c r="D134" s="142">
        <v>55.04</v>
      </c>
      <c r="E134" s="139">
        <v>3393.89</v>
      </c>
    </row>
    <row r="135" spans="1:5">
      <c r="A135" s="102" t="str">
        <f t="shared" si="7"/>
        <v>camasroll offCPLACE</v>
      </c>
      <c r="B135" s="122" t="s">
        <v>594</v>
      </c>
      <c r="C135" s="122" t="s">
        <v>595</v>
      </c>
      <c r="D135" s="142">
        <v>0</v>
      </c>
      <c r="E135" s="139">
        <v>0</v>
      </c>
    </row>
    <row r="136" spans="1:5">
      <c r="A136" s="102" t="str">
        <f t="shared" si="7"/>
        <v>camasroll offCADEMUR</v>
      </c>
      <c r="B136" s="122" t="s">
        <v>968</v>
      </c>
      <c r="C136" s="122" t="s">
        <v>969</v>
      </c>
      <c r="D136" s="142">
        <v>0</v>
      </c>
      <c r="E136" s="139">
        <v>0</v>
      </c>
    </row>
    <row r="137" spans="1:5">
      <c r="A137" s="102" t="str">
        <f t="shared" si="7"/>
        <v>camasroll offCADEMLID</v>
      </c>
      <c r="B137" s="122" t="s">
        <v>970</v>
      </c>
      <c r="C137" s="122" t="s">
        <v>971</v>
      </c>
      <c r="D137" s="142">
        <v>55.04</v>
      </c>
      <c r="E137" s="139">
        <v>0</v>
      </c>
    </row>
    <row r="138" spans="1:5">
      <c r="A138" s="102" t="str">
        <f t="shared" si="7"/>
        <v>camasroll offVDTIME</v>
      </c>
      <c r="B138" s="122" t="s">
        <v>605</v>
      </c>
      <c r="C138" s="122" t="s">
        <v>606</v>
      </c>
      <c r="D138" s="142">
        <v>1.39</v>
      </c>
      <c r="E138" s="139">
        <v>21.3</v>
      </c>
    </row>
    <row r="139" spans="1:5">
      <c r="A139" s="102" t="str">
        <f t="shared" si="7"/>
        <v>camasroll offWAMISC</v>
      </c>
      <c r="B139" s="122" t="s">
        <v>972</v>
      </c>
      <c r="C139" s="122" t="s">
        <v>973</v>
      </c>
      <c r="D139" s="142">
        <v>83.4</v>
      </c>
      <c r="E139" s="139">
        <v>0</v>
      </c>
    </row>
    <row r="140" spans="1:5">
      <c r="A140" s="102" t="str">
        <f t="shared" si="7"/>
        <v>camasroll offDWSAN30</v>
      </c>
      <c r="B140" s="122" t="s">
        <v>974</v>
      </c>
      <c r="C140" s="122" t="s">
        <v>975</v>
      </c>
      <c r="D140" s="142">
        <v>0</v>
      </c>
      <c r="E140" s="139">
        <v>0</v>
      </c>
    </row>
    <row r="141" spans="1:5">
      <c r="A141" s="102" t="str">
        <f t="shared" si="7"/>
        <v>camasroll offDWSAN20</v>
      </c>
      <c r="B141" s="122" t="s">
        <v>976</v>
      </c>
      <c r="C141" s="122" t="s">
        <v>977</v>
      </c>
      <c r="D141" s="142">
        <v>0</v>
      </c>
      <c r="E141" s="139">
        <v>0</v>
      </c>
    </row>
    <row r="142" spans="1:5">
      <c r="A142" s="102" t="str">
        <f t="shared" si="7"/>
        <v>camasroll offDBTRIP</v>
      </c>
      <c r="B142" s="122" t="s">
        <v>608</v>
      </c>
      <c r="C142" s="122" t="s">
        <v>609</v>
      </c>
      <c r="D142" s="142">
        <v>83.4</v>
      </c>
      <c r="E142" s="139">
        <v>10555.86</v>
      </c>
    </row>
    <row r="143" spans="1:5">
      <c r="A143" s="102" t="str">
        <f>"camas"&amp;"roll off"&amp;B143</f>
        <v>camasroll offDRMIX</v>
      </c>
      <c r="B143" s="122" t="s">
        <v>910</v>
      </c>
      <c r="C143" s="122" t="s">
        <v>911</v>
      </c>
      <c r="D143" s="142">
        <v>0</v>
      </c>
      <c r="E143" s="139">
        <v>-767.2</v>
      </c>
    </row>
    <row r="144" spans="1:5">
      <c r="A144" s="102" t="str">
        <f>"camas"&amp;"compactor"&amp;B144</f>
        <v>camascompactorCACOMPRNT</v>
      </c>
      <c r="B144" s="122" t="s">
        <v>908</v>
      </c>
      <c r="C144" s="122" t="s">
        <v>909</v>
      </c>
      <c r="D144" s="142">
        <v>55.04</v>
      </c>
      <c r="E144" s="139">
        <v>0</v>
      </c>
    </row>
    <row r="145" spans="1:7">
      <c r="B145" s="104"/>
      <c r="C145" s="104"/>
      <c r="D145" s="142"/>
    </row>
    <row r="146" spans="1:7">
      <c r="A146" s="154"/>
      <c r="B146" s="126"/>
      <c r="C146" s="127" t="s">
        <v>978</v>
      </c>
      <c r="D146" s="142"/>
      <c r="E146" s="128">
        <f>+SUM(E119:E145)</f>
        <v>128580.78000000001</v>
      </c>
      <c r="F146" s="129"/>
      <c r="G146" s="156">
        <f>+SUM(G119:G145)</f>
        <v>98.118113678950664</v>
      </c>
    </row>
    <row r="147" spans="1:7">
      <c r="B147" s="126"/>
      <c r="C147" s="127"/>
      <c r="D147" s="142"/>
    </row>
    <row r="148" spans="1:7">
      <c r="A148" s="152"/>
      <c r="B148" s="145" t="s">
        <v>979</v>
      </c>
      <c r="C148" s="145"/>
      <c r="D148" s="120"/>
      <c r="E148" s="121"/>
      <c r="F148" s="121"/>
      <c r="G148" s="121"/>
    </row>
    <row r="149" spans="1:7">
      <c r="A149" s="102" t="str">
        <f t="shared" ref="A149:A161" si="9">"camas"&amp;"roll off"&amp;B149</f>
        <v>camasroll offDRHAUL15</v>
      </c>
      <c r="B149" s="122" t="s">
        <v>898</v>
      </c>
      <c r="C149" s="122" t="s">
        <v>899</v>
      </c>
      <c r="D149" s="142">
        <v>173.74</v>
      </c>
      <c r="E149" s="139">
        <v>6060.52</v>
      </c>
      <c r="G149" s="124">
        <f>+(E149/D149)/12</f>
        <v>2.906891523732781</v>
      </c>
    </row>
    <row r="150" spans="1:7">
      <c r="A150" s="102" t="str">
        <f t="shared" si="9"/>
        <v>camasroll offDRHAUL20</v>
      </c>
      <c r="B150" s="122" t="s">
        <v>900</v>
      </c>
      <c r="C150" s="122" t="s">
        <v>901</v>
      </c>
      <c r="D150" s="142">
        <v>173.74</v>
      </c>
      <c r="E150" s="139">
        <v>5062.29</v>
      </c>
      <c r="G150" s="124">
        <f>+(E150/D150)/12</f>
        <v>2.4280965810981923</v>
      </c>
    </row>
    <row r="151" spans="1:7">
      <c r="A151" s="102" t="str">
        <f t="shared" si="9"/>
        <v>camasroll offDRHAUL30</v>
      </c>
      <c r="B151" s="122" t="s">
        <v>902</v>
      </c>
      <c r="C151" s="122" t="s">
        <v>903</v>
      </c>
      <c r="D151" s="142">
        <v>173.74</v>
      </c>
      <c r="E151" s="139">
        <v>18786.03</v>
      </c>
      <c r="G151" s="124">
        <f>+(E151/D151)/12</f>
        <v>9.0106049269022659</v>
      </c>
    </row>
    <row r="152" spans="1:7">
      <c r="A152" s="102" t="str">
        <f t="shared" si="9"/>
        <v>camasroll offDRHAUL40</v>
      </c>
      <c r="B152" s="122" t="s">
        <v>904</v>
      </c>
      <c r="C152" s="122" t="s">
        <v>905</v>
      </c>
      <c r="D152" s="142">
        <v>173.74</v>
      </c>
      <c r="E152" s="139">
        <v>26997.98</v>
      </c>
      <c r="G152" s="124">
        <f>+(E152/D152)/12</f>
        <v>12.949416753002572</v>
      </c>
    </row>
    <row r="153" spans="1:7">
      <c r="A153" s="102" t="str">
        <f t="shared" si="9"/>
        <v>camasroll offCAHAULR</v>
      </c>
      <c r="B153" s="122" t="s">
        <v>980</v>
      </c>
      <c r="C153" s="122" t="s">
        <v>981</v>
      </c>
      <c r="D153" s="142">
        <v>173.74</v>
      </c>
      <c r="E153" s="139">
        <v>0</v>
      </c>
      <c r="G153" s="124">
        <f>+(E153/D153)/12</f>
        <v>0</v>
      </c>
    </row>
    <row r="154" spans="1:7">
      <c r="A154" s="102" t="str">
        <f t="shared" si="9"/>
        <v>camasroll offDRDEM15</v>
      </c>
      <c r="B154" s="122" t="s">
        <v>912</v>
      </c>
      <c r="C154" s="122" t="s">
        <v>913</v>
      </c>
      <c r="D154" s="142">
        <v>0</v>
      </c>
      <c r="E154" s="139">
        <v>0</v>
      </c>
    </row>
    <row r="155" spans="1:7">
      <c r="A155" s="102" t="str">
        <f t="shared" si="9"/>
        <v>camasroll offDRDEM20</v>
      </c>
      <c r="B155" s="122" t="s">
        <v>914</v>
      </c>
      <c r="C155" s="122" t="s">
        <v>915</v>
      </c>
      <c r="D155" s="142">
        <v>0</v>
      </c>
      <c r="E155" s="139">
        <v>207.78000000000003</v>
      </c>
    </row>
    <row r="156" spans="1:7">
      <c r="A156" s="102" t="str">
        <f t="shared" si="9"/>
        <v>camasroll offDRDEM30</v>
      </c>
      <c r="B156" s="122" t="s">
        <v>916</v>
      </c>
      <c r="C156" s="122" t="s">
        <v>917</v>
      </c>
      <c r="D156" s="142">
        <v>0</v>
      </c>
      <c r="E156" s="139">
        <v>415.56000000000006</v>
      </c>
    </row>
    <row r="157" spans="1:7">
      <c r="A157" s="102" t="str">
        <f t="shared" si="9"/>
        <v>camasroll offCDEM30</v>
      </c>
      <c r="B157" s="122" t="s">
        <v>577</v>
      </c>
      <c r="C157" s="122" t="s">
        <v>578</v>
      </c>
      <c r="D157" s="142">
        <v>55.04</v>
      </c>
      <c r="E157" s="139">
        <v>0</v>
      </c>
    </row>
    <row r="158" spans="1:7">
      <c r="A158" s="102" t="str">
        <f t="shared" si="9"/>
        <v>camasroll offDRDEM40</v>
      </c>
      <c r="B158" s="122" t="s">
        <v>918</v>
      </c>
      <c r="C158" s="122" t="s">
        <v>919</v>
      </c>
      <c r="D158" s="142">
        <v>0</v>
      </c>
      <c r="E158" s="139">
        <v>0</v>
      </c>
    </row>
    <row r="159" spans="1:7">
      <c r="A159" s="102" t="str">
        <f t="shared" si="9"/>
        <v>camasroll offHAULWD/YD</v>
      </c>
      <c r="B159" s="122" t="s">
        <v>920</v>
      </c>
      <c r="C159" s="122" t="s">
        <v>921</v>
      </c>
      <c r="D159" s="142">
        <v>300.93</v>
      </c>
      <c r="E159" s="139">
        <v>0</v>
      </c>
    </row>
    <row r="160" spans="1:7">
      <c r="A160" s="102" t="str">
        <f t="shared" si="9"/>
        <v>camasroll offDRPLACE</v>
      </c>
      <c r="B160" s="122" t="s">
        <v>922</v>
      </c>
      <c r="C160" s="122" t="s">
        <v>923</v>
      </c>
      <c r="D160" s="142">
        <v>0</v>
      </c>
      <c r="E160" s="139">
        <v>0</v>
      </c>
    </row>
    <row r="161" spans="1:7">
      <c r="A161" s="102" t="str">
        <f t="shared" si="9"/>
        <v>camasroll offDRTARP</v>
      </c>
      <c r="B161" s="122" t="s">
        <v>924</v>
      </c>
      <c r="C161" s="122" t="s">
        <v>925</v>
      </c>
      <c r="D161" s="142">
        <v>0</v>
      </c>
      <c r="E161" s="139">
        <v>0</v>
      </c>
    </row>
    <row r="162" spans="1:7">
      <c r="A162" s="102" t="s">
        <v>982</v>
      </c>
      <c r="B162" s="122" t="s">
        <v>935</v>
      </c>
      <c r="C162" s="122" t="s">
        <v>983</v>
      </c>
      <c r="D162" s="142">
        <v>10</v>
      </c>
      <c r="E162" s="139">
        <v>0</v>
      </c>
    </row>
    <row r="163" spans="1:7">
      <c r="B163" s="104"/>
      <c r="C163" s="104"/>
      <c r="D163" s="142"/>
    </row>
    <row r="164" spans="1:7">
      <c r="A164" s="154"/>
      <c r="B164" s="126"/>
      <c r="C164" s="127" t="s">
        <v>984</v>
      </c>
      <c r="D164" s="142"/>
      <c r="E164" s="128">
        <f>+SUM(E149:E163)</f>
        <v>57530.159999999996</v>
      </c>
      <c r="F164" s="129"/>
      <c r="G164" s="158">
        <f>+SUM(G149:G163)</f>
        <v>27.295009784735811</v>
      </c>
    </row>
    <row r="165" spans="1:7">
      <c r="B165" s="126"/>
      <c r="C165" s="126"/>
      <c r="D165" s="142"/>
    </row>
    <row r="166" spans="1:7">
      <c r="A166" s="152"/>
      <c r="B166" s="145" t="s">
        <v>612</v>
      </c>
      <c r="C166" s="145"/>
      <c r="D166" s="120"/>
      <c r="E166" s="121"/>
      <c r="F166" s="121"/>
      <c r="G166" s="121"/>
    </row>
    <row r="167" spans="1:7">
      <c r="A167" s="102" t="str">
        <f t="shared" ref="A167:A174" si="10">"camas"&amp;"roll off"&amp;B167</f>
        <v>camasroll offDISP</v>
      </c>
      <c r="B167" s="122" t="s">
        <v>613</v>
      </c>
      <c r="C167" s="122" t="s">
        <v>614</v>
      </c>
      <c r="D167" s="142">
        <v>78.760000000000005</v>
      </c>
      <c r="E167" s="139">
        <v>293280.63</v>
      </c>
    </row>
    <row r="168" spans="1:7">
      <c r="A168" s="102" t="str">
        <f t="shared" si="10"/>
        <v>camasroll offFEE</v>
      </c>
      <c r="B168" s="122" t="s">
        <v>615</v>
      </c>
      <c r="C168" s="122" t="s">
        <v>616</v>
      </c>
      <c r="D168" s="142">
        <v>10</v>
      </c>
      <c r="E168" s="139">
        <v>11690</v>
      </c>
    </row>
    <row r="169" spans="1:7">
      <c r="A169" s="102" t="str">
        <f t="shared" si="10"/>
        <v>camasroll offPTON</v>
      </c>
      <c r="B169" s="122" t="s">
        <v>931</v>
      </c>
      <c r="C169" s="122" t="s">
        <v>932</v>
      </c>
      <c r="D169" s="142">
        <v>0</v>
      </c>
      <c r="E169" s="139">
        <v>17806.059999999998</v>
      </c>
    </row>
    <row r="170" spans="1:7">
      <c r="A170" s="102" t="str">
        <f t="shared" si="10"/>
        <v>camasroll offGPDISP</v>
      </c>
      <c r="B170" s="122" t="s">
        <v>985</v>
      </c>
      <c r="C170" s="122" t="s">
        <v>986</v>
      </c>
      <c r="D170" s="142">
        <v>0</v>
      </c>
      <c r="E170" s="139">
        <v>0</v>
      </c>
    </row>
    <row r="171" spans="1:7">
      <c r="A171" s="102" t="str">
        <f t="shared" si="10"/>
        <v>camasroll offCADISP</v>
      </c>
      <c r="B171" s="122" t="s">
        <v>987</v>
      </c>
      <c r="C171" s="122" t="s">
        <v>988</v>
      </c>
      <c r="D171" s="142">
        <v>0</v>
      </c>
      <c r="E171" s="139">
        <v>0</v>
      </c>
    </row>
    <row r="172" spans="1:7">
      <c r="A172" s="102" t="str">
        <f t="shared" si="10"/>
        <v>camasroll offCAFEE</v>
      </c>
      <c r="B172" s="122" t="s">
        <v>989</v>
      </c>
      <c r="C172" s="122" t="s">
        <v>990</v>
      </c>
      <c r="D172" s="142">
        <v>0</v>
      </c>
      <c r="E172" s="139">
        <v>0</v>
      </c>
    </row>
    <row r="173" spans="1:7">
      <c r="A173" s="152" t="str">
        <f t="shared" si="10"/>
        <v>camasroll offWCTIRE/RIM</v>
      </c>
      <c r="B173" s="161" t="s">
        <v>623</v>
      </c>
      <c r="C173" s="161" t="s">
        <v>624</v>
      </c>
      <c r="D173" s="142">
        <v>4.6900000000000004</v>
      </c>
      <c r="E173" s="139">
        <v>0</v>
      </c>
    </row>
    <row r="174" spans="1:7">
      <c r="A174" s="152" t="str">
        <f t="shared" si="10"/>
        <v>camasroll offWCTIRE</v>
      </c>
      <c r="B174" s="161" t="s">
        <v>625</v>
      </c>
      <c r="C174" s="161" t="s">
        <v>626</v>
      </c>
      <c r="D174" s="142">
        <v>2.35</v>
      </c>
      <c r="E174" s="139">
        <v>0</v>
      </c>
    </row>
    <row r="175" spans="1:7">
      <c r="B175" s="126"/>
      <c r="C175" s="126"/>
      <c r="D175" s="142"/>
    </row>
    <row r="176" spans="1:7">
      <c r="A176" s="154"/>
      <c r="B176" s="126"/>
      <c r="C176" s="127" t="s">
        <v>631</v>
      </c>
      <c r="D176" s="142"/>
      <c r="E176" s="128">
        <f>+SUM(E167:E175)</f>
        <v>322776.69</v>
      </c>
      <c r="F176" s="129"/>
      <c r="G176" s="156">
        <f>+SUM(G167:G175)</f>
        <v>0</v>
      </c>
    </row>
    <row r="177" spans="1:7">
      <c r="D177" s="142"/>
    </row>
    <row r="178" spans="1:7">
      <c r="A178" s="111"/>
      <c r="B178" s="111" t="s">
        <v>24</v>
      </c>
      <c r="C178" s="113"/>
      <c r="D178" s="114"/>
      <c r="E178" s="114"/>
      <c r="F178" s="114"/>
      <c r="G178" s="114"/>
    </row>
    <row r="179" spans="1:7">
      <c r="B179" s="122" t="s">
        <v>991</v>
      </c>
      <c r="C179" s="122" t="s">
        <v>992</v>
      </c>
      <c r="D179" s="142">
        <v>0</v>
      </c>
      <c r="E179" s="139">
        <v>0</v>
      </c>
    </row>
    <row r="180" spans="1:7">
      <c r="A180" s="102" t="str">
        <f>"camas"&amp;"Accounting"&amp;B180</f>
        <v>camasAccountingFINCHG</v>
      </c>
      <c r="B180" s="122" t="s">
        <v>632</v>
      </c>
      <c r="C180" s="122" t="s">
        <v>633</v>
      </c>
      <c r="D180" s="142">
        <v>0</v>
      </c>
      <c r="E180" s="139">
        <v>5.89</v>
      </c>
    </row>
    <row r="181" spans="1:7">
      <c r="A181" s="102" t="str">
        <f>"camas"&amp;"Account Adjustments"&amp;B181</f>
        <v>camasAccount AdjustmentsADJ</v>
      </c>
      <c r="B181" s="122" t="s">
        <v>521</v>
      </c>
      <c r="C181" s="122" t="s">
        <v>522</v>
      </c>
      <c r="D181" s="142">
        <v>0</v>
      </c>
      <c r="E181" s="139">
        <v>-7.94</v>
      </c>
    </row>
    <row r="182" spans="1:7">
      <c r="A182" s="102" t="str">
        <f>"camas"&amp;"Account Adjustments"&amp;B182</f>
        <v>camasAccount AdjustmentsMM</v>
      </c>
      <c r="B182" s="122" t="s">
        <v>993</v>
      </c>
      <c r="C182" s="122" t="s">
        <v>994</v>
      </c>
      <c r="D182" s="142">
        <v>0</v>
      </c>
      <c r="E182" s="139">
        <v>882.98</v>
      </c>
    </row>
    <row r="183" spans="1:7">
      <c r="A183" s="102" t="str">
        <f>"camas"&amp;"Account Adjustments"&amp;B183</f>
        <v>camasAccount AdjustmentsRETCKC</v>
      </c>
      <c r="B183" s="122" t="s">
        <v>634</v>
      </c>
      <c r="C183" s="122" t="s">
        <v>995</v>
      </c>
      <c r="D183" s="142">
        <v>0</v>
      </c>
      <c r="E183" s="139">
        <v>25</v>
      </c>
    </row>
    <row r="184" spans="1:7">
      <c r="A184" s="102" t="str">
        <f>"camas"&amp;"Account Adjustments"&amp;B184</f>
        <v>camasAccount AdjustmentsGWC</v>
      </c>
      <c r="B184" s="122" t="s">
        <v>523</v>
      </c>
      <c r="C184" s="122" t="s">
        <v>524</v>
      </c>
      <c r="D184" s="142">
        <v>0</v>
      </c>
      <c r="E184" s="139">
        <v>0</v>
      </c>
    </row>
    <row r="185" spans="1:7">
      <c r="B185" s="122"/>
      <c r="C185" s="122"/>
      <c r="D185" s="142"/>
    </row>
    <row r="186" spans="1:7">
      <c r="A186" s="154"/>
      <c r="B186" s="126"/>
      <c r="C186" s="127" t="s">
        <v>996</v>
      </c>
      <c r="D186" s="142"/>
      <c r="E186" s="128">
        <f>+SUM(E179:E185)</f>
        <v>905.93000000000006</v>
      </c>
      <c r="F186" s="129"/>
      <c r="G186" s="156"/>
    </row>
    <row r="187" spans="1:7">
      <c r="B187" s="135"/>
      <c r="C187" s="135"/>
      <c r="D187" s="142"/>
      <c r="G187" s="124"/>
    </row>
    <row r="188" spans="1:7" ht="13.5" thickBot="1">
      <c r="B188" s="135"/>
      <c r="C188" s="134" t="s">
        <v>27</v>
      </c>
      <c r="D188" s="142"/>
      <c r="E188" s="137">
        <f>+E186+E176+E164+E146+E114+E43+E34+E19+E14</f>
        <v>1282451.43</v>
      </c>
      <c r="F188" s="164"/>
      <c r="G188" s="165">
        <f>+G186+G176+G164+G146+G114+G43+G34+G19+G14</f>
        <v>10661.572121582743</v>
      </c>
    </row>
    <row r="189" spans="1:7" ht="13.5" thickTop="1">
      <c r="B189" s="126"/>
      <c r="D189" s="142"/>
    </row>
    <row r="190" spans="1:7">
      <c r="D190" s="142"/>
    </row>
    <row r="191" spans="1:7">
      <c r="B191" s="135"/>
      <c r="D191" s="142"/>
      <c r="E191" s="139"/>
    </row>
  </sheetData>
  <mergeCells count="2">
    <mergeCell ref="B5:H5"/>
    <mergeCell ref="E6:G6"/>
  </mergeCells>
  <pageMargins left="0.7" right="0.7" top="0.75" bottom="0.75" header="0.3" footer="0.3"/>
  <pageSetup pageOrder="overThenDown" orientation="portrait" r:id="rId1"/>
  <headerFooter>
    <oddFooter xml:space="preserve">&amp;L&amp;F - &amp;A
&amp;RPage &amp;P of &amp;N
</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H242"/>
  <sheetViews>
    <sheetView view="pageBreakPreview" topLeftCell="B30" zoomScaleNormal="100" zoomScaleSheetLayoutView="100" workbookViewId="0">
      <selection activeCell="P22" sqref="P22"/>
    </sheetView>
  </sheetViews>
  <sheetFormatPr defaultRowHeight="12.75" outlineLevelCol="1"/>
  <cols>
    <col min="1" max="1" width="26.140625" style="102" hidden="1" customWidth="1" outlineLevel="1"/>
    <col min="2" max="2" width="20.28515625" style="102" customWidth="1" collapsed="1"/>
    <col min="3" max="3" width="27.5703125" style="102" bestFit="1" customWidth="1"/>
    <col min="4" max="4" width="12.140625" style="140" bestFit="1" customWidth="1"/>
    <col min="5" max="5" width="9.140625" style="104"/>
    <col min="6" max="6" width="13.28515625" style="104" bestFit="1" customWidth="1"/>
    <col min="7" max="7" width="2.85546875" style="104" customWidth="1"/>
    <col min="8" max="8" width="10.42578125" style="124" customWidth="1"/>
    <col min="9" max="16384" width="9.140625" style="104"/>
  </cols>
  <sheetData>
    <row r="1" spans="1:8">
      <c r="B1" s="101" t="s">
        <v>251</v>
      </c>
    </row>
    <row r="2" spans="1:8">
      <c r="B2" s="101" t="s">
        <v>997</v>
      </c>
    </row>
    <row r="3" spans="1:8">
      <c r="B3" s="135" t="str">
        <f>+'Clark Co'!A3</f>
        <v>October 1, 2016 - September 30, 2017</v>
      </c>
    </row>
    <row r="4" spans="1:8">
      <c r="C4" s="141"/>
    </row>
    <row r="5" spans="1:8" ht="24" customHeight="1">
      <c r="B5" s="204" t="s">
        <v>254</v>
      </c>
      <c r="C5" s="204"/>
      <c r="D5" s="204"/>
      <c r="E5" s="204"/>
      <c r="F5" s="204"/>
      <c r="G5" s="204"/>
      <c r="H5" s="204"/>
    </row>
    <row r="6" spans="1:8">
      <c r="B6" s="104"/>
      <c r="C6" s="115"/>
      <c r="F6" s="206" t="s">
        <v>998</v>
      </c>
      <c r="G6" s="206"/>
      <c r="H6" s="206"/>
    </row>
    <row r="7" spans="1:8" ht="25.5">
      <c r="B7" s="106" t="s">
        <v>256</v>
      </c>
      <c r="C7" s="107" t="s">
        <v>257</v>
      </c>
      <c r="D7" s="108" t="s">
        <v>258</v>
      </c>
      <c r="F7" s="143" t="s">
        <v>51</v>
      </c>
      <c r="G7" s="101"/>
      <c r="H7" s="166" t="s">
        <v>259</v>
      </c>
    </row>
    <row r="8" spans="1:8">
      <c r="A8" s="111"/>
      <c r="B8" s="111" t="s">
        <v>260</v>
      </c>
      <c r="C8" s="113"/>
      <c r="D8" s="114"/>
      <c r="E8" s="114"/>
      <c r="F8" s="114"/>
      <c r="G8" s="114"/>
      <c r="H8" s="114"/>
    </row>
    <row r="9" spans="1:8">
      <c r="B9" s="115"/>
      <c r="C9" s="116"/>
      <c r="D9" s="142"/>
    </row>
    <row r="10" spans="1:8">
      <c r="B10" s="145" t="s">
        <v>939</v>
      </c>
      <c r="C10" s="145"/>
      <c r="D10" s="120"/>
      <c r="E10" s="121"/>
      <c r="F10" s="121"/>
      <c r="G10" s="121"/>
      <c r="H10" s="167"/>
    </row>
    <row r="11" spans="1:8">
      <c r="A11" s="102" t="str">
        <f>"ridge"&amp;"residential"&amp;B11</f>
        <v>ridgeresidentialRRMC</v>
      </c>
      <c r="B11" s="122" t="s">
        <v>999</v>
      </c>
      <c r="C11" s="122" t="s">
        <v>265</v>
      </c>
      <c r="D11" s="142">
        <v>11.37</v>
      </c>
      <c r="F11" s="123">
        <v>2659.9400000000005</v>
      </c>
      <c r="H11" s="124">
        <f>+(F11/D11)/12</f>
        <v>19.495309293462331</v>
      </c>
    </row>
    <row r="12" spans="1:8">
      <c r="A12" s="102" t="str">
        <f t="shared" ref="A12:A35" si="0">"ridge"&amp;"residential"&amp;B12</f>
        <v>ridgeresidentialRR32W1</v>
      </c>
      <c r="B12" s="122" t="s">
        <v>1000</v>
      </c>
      <c r="C12" s="122" t="s">
        <v>271</v>
      </c>
      <c r="D12" s="142">
        <v>13.64</v>
      </c>
      <c r="F12" s="123">
        <v>277801.47000000003</v>
      </c>
      <c r="H12" s="124">
        <f>+(F12/D12)/12</f>
        <v>1697.223057184751</v>
      </c>
    </row>
    <row r="13" spans="1:8">
      <c r="A13" s="102" t="str">
        <f t="shared" si="0"/>
        <v>ridgeresidentialRR32W2</v>
      </c>
      <c r="B13" s="122" t="s">
        <v>1001</v>
      </c>
      <c r="C13" s="122" t="s">
        <v>273</v>
      </c>
      <c r="D13" s="142">
        <v>20.86</v>
      </c>
      <c r="F13" s="123">
        <v>104581.37999999999</v>
      </c>
      <c r="H13" s="124">
        <f>+(F13/D13)/12</f>
        <v>417.79074784276122</v>
      </c>
    </row>
    <row r="14" spans="1:8">
      <c r="A14" s="102" t="str">
        <f t="shared" si="0"/>
        <v>ridgeresidentialCR32W2</v>
      </c>
      <c r="B14" s="122" t="s">
        <v>272</v>
      </c>
      <c r="C14" s="122" t="s">
        <v>273</v>
      </c>
      <c r="D14" s="142">
        <v>0</v>
      </c>
      <c r="F14" s="123">
        <v>0</v>
      </c>
      <c r="H14" s="124">
        <f>+IFERROR((F14/D14)/12,0)</f>
        <v>0</v>
      </c>
    </row>
    <row r="15" spans="1:8">
      <c r="A15" s="102" t="str">
        <f t="shared" si="0"/>
        <v>ridgeresidentialRREOW</v>
      </c>
      <c r="B15" s="122" t="s">
        <v>1002</v>
      </c>
      <c r="C15" s="122" t="s">
        <v>1003</v>
      </c>
      <c r="D15" s="142">
        <v>11.34</v>
      </c>
      <c r="F15" s="123">
        <v>20581.490000000002</v>
      </c>
      <c r="H15" s="124">
        <f>+(F15/D15)/12</f>
        <v>151.24551734273959</v>
      </c>
    </row>
    <row r="16" spans="1:8">
      <c r="A16" s="102" t="str">
        <f t="shared" si="0"/>
        <v>ridgeresidentialRR32MO</v>
      </c>
      <c r="B16" s="122" t="s">
        <v>1004</v>
      </c>
      <c r="C16" s="122" t="s">
        <v>1005</v>
      </c>
      <c r="D16" s="142">
        <v>6.94</v>
      </c>
      <c r="F16" s="123">
        <v>1244.46</v>
      </c>
      <c r="H16" s="124">
        <f>+(F16/D16)/12</f>
        <v>14.943083573487032</v>
      </c>
    </row>
    <row r="17" spans="1:8">
      <c r="A17" s="102" t="str">
        <f t="shared" si="0"/>
        <v>ridgeresidentialRR32W3</v>
      </c>
      <c r="B17" s="122" t="s">
        <v>1006</v>
      </c>
      <c r="C17" s="122" t="s">
        <v>275</v>
      </c>
      <c r="D17" s="142">
        <v>28.04</v>
      </c>
      <c r="F17" s="123">
        <v>9925.5899999999983</v>
      </c>
      <c r="H17" s="124">
        <f>+(F17/D17)/12</f>
        <v>29.498305991440798</v>
      </c>
    </row>
    <row r="18" spans="1:8">
      <c r="A18" s="102" t="str">
        <f t="shared" si="0"/>
        <v>ridgeresidentialCR32W3</v>
      </c>
      <c r="B18" s="122" t="s">
        <v>274</v>
      </c>
      <c r="C18" s="122" t="s">
        <v>275</v>
      </c>
      <c r="D18" s="142">
        <v>0</v>
      </c>
      <c r="F18" s="123">
        <v>0</v>
      </c>
      <c r="H18" s="124">
        <f>+IFERROR((F18/D18)/12,0)</f>
        <v>0</v>
      </c>
    </row>
    <row r="19" spans="1:8">
      <c r="A19" s="102" t="str">
        <f t="shared" si="0"/>
        <v>ridgeresidentialCR32W1</v>
      </c>
      <c r="B19" s="122" t="s">
        <v>270</v>
      </c>
      <c r="C19" s="122" t="s">
        <v>271</v>
      </c>
      <c r="D19" s="142">
        <v>0</v>
      </c>
      <c r="F19" s="123">
        <v>-52.04</v>
      </c>
      <c r="H19" s="124">
        <f>+IFERROR((F19/D19)/12,0)</f>
        <v>0</v>
      </c>
    </row>
    <row r="20" spans="1:8">
      <c r="A20" s="102" t="str">
        <f t="shared" si="0"/>
        <v>ridgeresidentialRR32W4</v>
      </c>
      <c r="B20" s="122" t="s">
        <v>1007</v>
      </c>
      <c r="C20" s="122" t="s">
        <v>277</v>
      </c>
      <c r="D20" s="142">
        <v>35.26</v>
      </c>
      <c r="F20" s="123">
        <v>1169.25</v>
      </c>
      <c r="H20" s="124">
        <f>+(F20/D20)/12</f>
        <v>2.7634004537719794</v>
      </c>
    </row>
    <row r="21" spans="1:8">
      <c r="A21" s="102" t="str">
        <f t="shared" si="0"/>
        <v>ridgeresidentialRR32W5</v>
      </c>
      <c r="B21" s="122" t="s">
        <v>1008</v>
      </c>
      <c r="C21" s="122" t="s">
        <v>279</v>
      </c>
      <c r="D21" s="142">
        <v>42.47</v>
      </c>
      <c r="F21" s="123">
        <v>0</v>
      </c>
      <c r="H21" s="124">
        <f>+(F21/D21)/12</f>
        <v>0</v>
      </c>
    </row>
    <row r="22" spans="1:8">
      <c r="A22" s="102" t="str">
        <f>"ridge"&amp;"residential Extras"&amp;B22</f>
        <v>ridgeresidential ExtrasWBMISC</v>
      </c>
      <c r="B22" s="122" t="s">
        <v>319</v>
      </c>
      <c r="C22" s="122" t="s">
        <v>320</v>
      </c>
      <c r="D22" s="142">
        <v>18.86</v>
      </c>
      <c r="F22" s="123">
        <v>653.4</v>
      </c>
    </row>
    <row r="23" spans="1:8">
      <c r="A23" s="102" t="str">
        <f t="shared" ref="A23" si="1">"ridge"&amp;"residential Extras"&amp;B23</f>
        <v>ridgeresidential ExtrasWBCHAIR</v>
      </c>
      <c r="B23" s="122" t="s">
        <v>321</v>
      </c>
      <c r="C23" s="122" t="s">
        <v>322</v>
      </c>
      <c r="D23" s="142">
        <v>18.86</v>
      </c>
      <c r="F23" s="123">
        <v>207.45999999999998</v>
      </c>
    </row>
    <row r="24" spans="1:8">
      <c r="A24" s="102" t="str">
        <f>"ridge"&amp;"residential Extras"&amp;B24</f>
        <v>ridgeresidential ExtrasWBREFRIGE</v>
      </c>
      <c r="B24" s="122" t="s">
        <v>619</v>
      </c>
      <c r="C24" s="122" t="s">
        <v>620</v>
      </c>
      <c r="D24" s="142">
        <v>37.67</v>
      </c>
      <c r="F24" s="123">
        <v>112.64</v>
      </c>
    </row>
    <row r="25" spans="1:8">
      <c r="A25" s="102" t="str">
        <f>"ridge"&amp;"residential Extras"&amp;B25</f>
        <v>ridgeresidential ExtrasRREXC</v>
      </c>
      <c r="B25" s="122" t="s">
        <v>286</v>
      </c>
      <c r="C25" s="122" t="s">
        <v>287</v>
      </c>
      <c r="D25" s="142">
        <v>5.68</v>
      </c>
      <c r="F25" s="123">
        <v>24621.519999999997</v>
      </c>
    </row>
    <row r="26" spans="1:8">
      <c r="A26" s="102" t="str">
        <f t="shared" si="0"/>
        <v>ridgeresidentialWBMATT</v>
      </c>
      <c r="B26" s="122" t="s">
        <v>327</v>
      </c>
      <c r="C26" s="122" t="s">
        <v>328</v>
      </c>
      <c r="D26" s="142">
        <v>18.86</v>
      </c>
      <c r="F26" s="123">
        <v>339.12000000000006</v>
      </c>
    </row>
    <row r="27" spans="1:8">
      <c r="A27" s="102" t="str">
        <f t="shared" si="0"/>
        <v>ridgeresidentialRRCALL</v>
      </c>
      <c r="B27" s="122" t="s">
        <v>288</v>
      </c>
      <c r="C27" s="122" t="s">
        <v>289</v>
      </c>
      <c r="D27" s="142">
        <v>6.94</v>
      </c>
      <c r="F27" s="123">
        <v>0</v>
      </c>
    </row>
    <row r="28" spans="1:8">
      <c r="A28" s="102" t="str">
        <f>"ridge"&amp;"residential Extras"&amp;B28</f>
        <v>ridgeresidential ExtrasCOFOW</v>
      </c>
      <c r="B28" s="122" t="s">
        <v>292</v>
      </c>
      <c r="C28" s="122" t="s">
        <v>291</v>
      </c>
      <c r="D28" s="142">
        <v>5.68</v>
      </c>
      <c r="F28" s="123">
        <v>22.72</v>
      </c>
    </row>
    <row r="29" spans="1:8">
      <c r="A29" s="102" t="str">
        <f>"ridge"&amp;"residential Extras"&amp;B29</f>
        <v>ridgeresidential ExtrasROFOW</v>
      </c>
      <c r="B29" s="122" t="s">
        <v>290</v>
      </c>
      <c r="C29" s="122" t="s">
        <v>291</v>
      </c>
      <c r="D29" s="142">
        <v>5.68</v>
      </c>
      <c r="F29" s="123">
        <v>1282.08</v>
      </c>
    </row>
    <row r="30" spans="1:8">
      <c r="A30" s="102" t="str">
        <f t="shared" si="0"/>
        <v>ridgeresidentialWBSOFA</v>
      </c>
      <c r="B30" s="122" t="s">
        <v>325</v>
      </c>
      <c r="C30" s="122" t="s">
        <v>326</v>
      </c>
      <c r="D30" s="142">
        <v>18.86</v>
      </c>
      <c r="F30" s="123">
        <v>132.01999999999998</v>
      </c>
    </row>
    <row r="31" spans="1:8">
      <c r="A31" s="102" t="str">
        <f>"ridge"&amp;"residential Extras"&amp;B31</f>
        <v>ridgeresidential ExtrasRRTRIP</v>
      </c>
      <c r="B31" s="122" t="s">
        <v>317</v>
      </c>
      <c r="C31" s="122" t="s">
        <v>318</v>
      </c>
      <c r="D31" s="142">
        <v>11.31</v>
      </c>
      <c r="F31" s="123">
        <v>55.519999999999996</v>
      </c>
    </row>
    <row r="32" spans="1:8">
      <c r="A32" s="102" t="str">
        <f t="shared" si="0"/>
        <v>ridgeresidentialRRDRVIN</v>
      </c>
      <c r="B32" s="122" t="s">
        <v>1009</v>
      </c>
      <c r="C32" s="122" t="s">
        <v>514</v>
      </c>
      <c r="D32" s="142">
        <v>9.41</v>
      </c>
      <c r="F32" s="123">
        <v>422.37</v>
      </c>
    </row>
    <row r="33" spans="1:8">
      <c r="A33" s="102" t="str">
        <f t="shared" si="0"/>
        <v>ridgeresidentialRDGD6</v>
      </c>
      <c r="B33" s="122" t="s">
        <v>1010</v>
      </c>
      <c r="C33" s="122" t="s">
        <v>294</v>
      </c>
      <c r="D33" s="142">
        <v>2.82</v>
      </c>
      <c r="F33" s="123">
        <v>41.510000000000005</v>
      </c>
    </row>
    <row r="34" spans="1:8">
      <c r="A34" s="102" t="str">
        <f t="shared" si="0"/>
        <v>ridgeresidentialRDGD26</v>
      </c>
      <c r="B34" s="122" t="s">
        <v>1011</v>
      </c>
      <c r="C34" s="122" t="s">
        <v>296</v>
      </c>
      <c r="D34" s="142">
        <v>5.64</v>
      </c>
      <c r="F34" s="123">
        <v>202.50000000000003</v>
      </c>
    </row>
    <row r="35" spans="1:8">
      <c r="A35" s="102" t="str">
        <f t="shared" si="0"/>
        <v>ridgeresidentialRDGD101</v>
      </c>
      <c r="B35" s="122" t="s">
        <v>1012</v>
      </c>
      <c r="C35" s="122" t="s">
        <v>302</v>
      </c>
      <c r="D35" s="142">
        <v>14.1</v>
      </c>
      <c r="F35" s="123">
        <v>0</v>
      </c>
    </row>
    <row r="36" spans="1:8">
      <c r="A36" s="102" t="str">
        <f t="shared" ref="A36:A42" si="2">"ridge"&amp;"residential Extras"&amp;B36</f>
        <v>ridgeresidential ExtrasCRTIME1</v>
      </c>
      <c r="B36" s="122" t="s">
        <v>311</v>
      </c>
      <c r="C36" s="122" t="s">
        <v>312</v>
      </c>
      <c r="D36" s="142">
        <v>0.98</v>
      </c>
      <c r="F36" s="123">
        <v>117.45</v>
      </c>
    </row>
    <row r="37" spans="1:8">
      <c r="A37" s="102" t="str">
        <f t="shared" si="2"/>
        <v>ridgeresidential ExtrasWBSOFA</v>
      </c>
      <c r="B37" s="122" t="s">
        <v>325</v>
      </c>
      <c r="C37" s="122" t="s">
        <v>326</v>
      </c>
      <c r="D37" s="142">
        <v>18.86</v>
      </c>
      <c r="F37" s="123">
        <v>132.01999999999998</v>
      </c>
    </row>
    <row r="38" spans="1:8">
      <c r="A38" s="102" t="str">
        <f t="shared" si="2"/>
        <v>ridgeresidential ExtrasWBMATT</v>
      </c>
      <c r="B38" s="122" t="s">
        <v>327</v>
      </c>
      <c r="C38" s="122" t="s">
        <v>328</v>
      </c>
      <c r="D38" s="142">
        <v>18.86</v>
      </c>
      <c r="F38" s="123">
        <v>339.12000000000006</v>
      </c>
    </row>
    <row r="39" spans="1:8">
      <c r="A39" s="102" t="str">
        <f t="shared" si="2"/>
        <v>ridgeresidential ExtrasWBWASHER</v>
      </c>
      <c r="B39" s="122" t="s">
        <v>627</v>
      </c>
      <c r="C39" s="122" t="s">
        <v>628</v>
      </c>
      <c r="D39" s="142">
        <v>18.86</v>
      </c>
      <c r="F39" s="123">
        <v>0</v>
      </c>
    </row>
    <row r="40" spans="1:8">
      <c r="A40" s="102" t="str">
        <f t="shared" si="2"/>
        <v>ridgeresidential ExtrasWBSTOVE</v>
      </c>
      <c r="B40" s="122" t="s">
        <v>323</v>
      </c>
      <c r="C40" s="122" t="s">
        <v>324</v>
      </c>
      <c r="D40" s="142">
        <v>18.86</v>
      </c>
      <c r="F40" s="123">
        <v>0</v>
      </c>
    </row>
    <row r="41" spans="1:8">
      <c r="A41" s="102" t="str">
        <f t="shared" si="2"/>
        <v>ridgeresidential ExtrasWBWTRHTR</v>
      </c>
      <c r="B41" s="122" t="s">
        <v>629</v>
      </c>
      <c r="C41" s="122" t="s">
        <v>630</v>
      </c>
      <c r="D41" s="142">
        <v>18.86</v>
      </c>
      <c r="F41" s="123">
        <v>18.86</v>
      </c>
    </row>
    <row r="42" spans="1:8">
      <c r="A42" s="102" t="str">
        <f t="shared" si="2"/>
        <v>ridgeresidential ExtrasWBDRYER</v>
      </c>
      <c r="B42" s="122" t="s">
        <v>617</v>
      </c>
      <c r="C42" s="122" t="s">
        <v>618</v>
      </c>
      <c r="D42" s="142">
        <v>18.86</v>
      </c>
      <c r="F42" s="123">
        <v>18.86</v>
      </c>
    </row>
    <row r="43" spans="1:8">
      <c r="A43" s="102" t="str">
        <f>"ridge"&amp;"residential Extras"&amp;B43</f>
        <v>ridgeresidential ExtrasWBTIME</v>
      </c>
      <c r="B43" s="122" t="s">
        <v>315</v>
      </c>
      <c r="C43" s="122" t="s">
        <v>316</v>
      </c>
      <c r="D43" s="142">
        <v>0.98</v>
      </c>
      <c r="F43" s="123">
        <v>117.6</v>
      </c>
    </row>
    <row r="44" spans="1:8">
      <c r="B44" s="126"/>
      <c r="C44" s="126"/>
      <c r="D44" s="142"/>
    </row>
    <row r="45" spans="1:8">
      <c r="B45" s="126"/>
      <c r="C45" s="127" t="s">
        <v>941</v>
      </c>
      <c r="D45" s="142"/>
      <c r="F45" s="128">
        <f>+SUM(F11:F44)</f>
        <v>446748.31000000017</v>
      </c>
      <c r="G45" s="129"/>
      <c r="H45" s="158">
        <f>+SUM(H11:H44)</f>
        <v>2332.9594216824144</v>
      </c>
    </row>
    <row r="46" spans="1:8">
      <c r="B46" s="126"/>
      <c r="C46" s="126"/>
      <c r="D46" s="142"/>
    </row>
    <row r="47" spans="1:8">
      <c r="B47" s="145" t="s">
        <v>639</v>
      </c>
      <c r="C47" s="145"/>
      <c r="D47" s="120"/>
      <c r="E47" s="121"/>
      <c r="F47" s="121"/>
      <c r="G47" s="121"/>
      <c r="H47" s="167"/>
    </row>
    <row r="48" spans="1:8">
      <c r="A48" s="102" t="str">
        <f>"ridge"&amp;"residential"&amp;B48</f>
        <v>ridgeresidentialRRREC</v>
      </c>
      <c r="B48" s="122" t="s">
        <v>658</v>
      </c>
      <c r="C48" s="122" t="s">
        <v>659</v>
      </c>
      <c r="D48" s="142">
        <v>3.64</v>
      </c>
      <c r="F48" s="123">
        <v>94377.29</v>
      </c>
      <c r="H48" s="124">
        <f>+(F48/D48)/12</f>
        <v>2160.6522435897436</v>
      </c>
    </row>
    <row r="49" spans="1:8">
      <c r="A49" s="102" t="str">
        <f>"ridge"&amp;"residential"&amp;B49</f>
        <v>ridgeresidentialRGREC</v>
      </c>
      <c r="B49" s="122" t="s">
        <v>656</v>
      </c>
      <c r="C49" s="122" t="s">
        <v>657</v>
      </c>
      <c r="D49" s="142">
        <v>0</v>
      </c>
      <c r="F49" s="123">
        <v>-35.64</v>
      </c>
      <c r="H49" s="124">
        <f>+IFERROR((F49/D49)/12,0)</f>
        <v>0</v>
      </c>
    </row>
    <row r="50" spans="1:8">
      <c r="B50" s="104"/>
      <c r="C50" s="104"/>
      <c r="D50" s="142"/>
    </row>
    <row r="51" spans="1:8">
      <c r="B51" s="126"/>
      <c r="C51" s="127" t="s">
        <v>670</v>
      </c>
      <c r="D51" s="142"/>
      <c r="F51" s="128">
        <f>+SUM(F48:F50)</f>
        <v>94341.65</v>
      </c>
      <c r="G51" s="129"/>
      <c r="H51" s="158">
        <f>+SUM(H48:H50)</f>
        <v>2160.6522435897436</v>
      </c>
    </row>
    <row r="52" spans="1:8">
      <c r="B52" s="126"/>
      <c r="C52" s="127"/>
      <c r="D52" s="142"/>
    </row>
    <row r="53" spans="1:8">
      <c r="B53" s="145" t="s">
        <v>675</v>
      </c>
      <c r="C53" s="145"/>
      <c r="D53" s="120"/>
      <c r="E53" s="121"/>
      <c r="F53" s="121"/>
      <c r="G53" s="121"/>
      <c r="H53" s="167"/>
    </row>
    <row r="54" spans="1:8">
      <c r="A54" s="102" t="str">
        <f>"ridge"&amp;"residential"&amp;B54</f>
        <v>ridgeresidentialRYDM</v>
      </c>
      <c r="B54" s="122" t="s">
        <v>1013</v>
      </c>
      <c r="C54" s="122" t="s">
        <v>1014</v>
      </c>
      <c r="D54" s="142">
        <v>8.11</v>
      </c>
      <c r="F54" s="123">
        <v>106696.56</v>
      </c>
      <c r="H54" s="124">
        <f>+(F54/D54)/12</f>
        <v>1096.3477188655982</v>
      </c>
    </row>
    <row r="55" spans="1:8">
      <c r="A55" s="102" t="str">
        <f t="shared" ref="A55:A56" si="3">"ridge"&amp;"residential"&amp;B55</f>
        <v>ridgeresidentialYDX</v>
      </c>
      <c r="B55" s="122" t="s">
        <v>683</v>
      </c>
      <c r="C55" s="122" t="s">
        <v>684</v>
      </c>
      <c r="D55" s="142">
        <v>3.3</v>
      </c>
      <c r="F55" s="123">
        <v>148.19999999999999</v>
      </c>
    </row>
    <row r="56" spans="1:8">
      <c r="A56" s="102" t="str">
        <f t="shared" si="3"/>
        <v>ridgeresidentialYDPLACE</v>
      </c>
      <c r="B56" s="122" t="s">
        <v>691</v>
      </c>
      <c r="C56" s="122" t="s">
        <v>692</v>
      </c>
      <c r="D56" s="142">
        <v>6.16</v>
      </c>
      <c r="F56" s="123">
        <v>178.57999999999998</v>
      </c>
    </row>
    <row r="57" spans="1:8">
      <c r="B57" s="126"/>
      <c r="C57" s="126"/>
      <c r="D57" s="142"/>
    </row>
    <row r="58" spans="1:8">
      <c r="B58" s="126"/>
      <c r="C58" s="127" t="s">
        <v>699</v>
      </c>
      <c r="D58" s="142"/>
      <c r="F58" s="128">
        <f>+SUM(F54:F57)</f>
        <v>107023.34</v>
      </c>
      <c r="G58" s="129"/>
      <c r="H58" s="158">
        <f>+SUM(H54:H57)</f>
        <v>1096.3477188655982</v>
      </c>
    </row>
    <row r="59" spans="1:8">
      <c r="D59" s="142"/>
    </row>
    <row r="60" spans="1:8">
      <c r="A60" s="111"/>
      <c r="B60" s="111" t="s">
        <v>330</v>
      </c>
      <c r="C60" s="113"/>
      <c r="D60" s="114"/>
      <c r="E60" s="114"/>
      <c r="F60" s="114"/>
      <c r="G60" s="114"/>
      <c r="H60" s="114"/>
    </row>
    <row r="61" spans="1:8">
      <c r="B61" s="115"/>
      <c r="C61" s="115"/>
      <c r="D61" s="142"/>
    </row>
    <row r="62" spans="1:8">
      <c r="B62" s="145" t="s">
        <v>947</v>
      </c>
      <c r="C62" s="145"/>
      <c r="D62" s="120"/>
      <c r="E62" s="121"/>
      <c r="F62" s="121"/>
      <c r="G62" s="121"/>
      <c r="H62" s="167"/>
    </row>
    <row r="63" spans="1:8">
      <c r="A63" s="102" t="str">
        <f>"ridge"&amp;"commercial"&amp;B63</f>
        <v>ridgecommercialRC15Y1W</v>
      </c>
      <c r="B63" s="122" t="s">
        <v>1015</v>
      </c>
      <c r="C63" s="122" t="s">
        <v>339</v>
      </c>
      <c r="D63" s="142">
        <v>113.66</v>
      </c>
      <c r="F63" s="123">
        <v>7936.22</v>
      </c>
      <c r="H63" s="124">
        <f>+(F63/D63)/12</f>
        <v>5.8186843803155606</v>
      </c>
    </row>
    <row r="64" spans="1:8">
      <c r="A64" s="102" t="str">
        <f t="shared" ref="A64:A114" si="4">"ridge"&amp;"commercial"&amp;B64</f>
        <v>ridgecommercialCC15YEOW</v>
      </c>
      <c r="B64" s="122" t="s">
        <v>342</v>
      </c>
      <c r="C64" s="122" t="s">
        <v>343</v>
      </c>
      <c r="D64" s="142">
        <v>0</v>
      </c>
      <c r="F64" s="123">
        <v>0</v>
      </c>
      <c r="H64" s="124">
        <f>+IFERROR((F64/D64)/12,0)</f>
        <v>0</v>
      </c>
    </row>
    <row r="65" spans="1:8">
      <c r="A65" s="102" t="str">
        <f t="shared" si="4"/>
        <v>ridgecommercialRC1Y1W</v>
      </c>
      <c r="B65" s="122" t="s">
        <v>1016</v>
      </c>
      <c r="C65" s="122" t="s">
        <v>333</v>
      </c>
      <c r="D65" s="142">
        <v>92.13</v>
      </c>
      <c r="F65" s="123">
        <v>14754.48</v>
      </c>
      <c r="H65" s="124">
        <f>+(F65/D65)/12</f>
        <v>13.34570715293607</v>
      </c>
    </row>
    <row r="66" spans="1:8">
      <c r="A66" s="102" t="str">
        <f t="shared" si="4"/>
        <v>ridgecommercialCC1YEOW</v>
      </c>
      <c r="B66" s="122" t="s">
        <v>336</v>
      </c>
      <c r="C66" s="122" t="s">
        <v>337</v>
      </c>
      <c r="D66" s="142">
        <v>45.95</v>
      </c>
      <c r="F66" s="123">
        <v>0</v>
      </c>
      <c r="H66" s="124">
        <f>+(F66/D66)/12</f>
        <v>0</v>
      </c>
    </row>
    <row r="67" spans="1:8">
      <c r="A67" s="102" t="str">
        <f t="shared" si="4"/>
        <v>ridgecommercialRC2Y1W</v>
      </c>
      <c r="B67" s="122" t="s">
        <v>1017</v>
      </c>
      <c r="C67" s="122" t="s">
        <v>345</v>
      </c>
      <c r="D67" s="142">
        <v>145.31</v>
      </c>
      <c r="F67" s="123">
        <v>16944.96</v>
      </c>
      <c r="H67" s="124">
        <f>+(F67/D67)/12</f>
        <v>9.7177069713027304</v>
      </c>
    </row>
    <row r="68" spans="1:8">
      <c r="A68" s="102" t="str">
        <f t="shared" si="4"/>
        <v>ridgecommercialCC2YEOW</v>
      </c>
      <c r="B68" s="122" t="s">
        <v>354</v>
      </c>
      <c r="C68" s="122" t="s">
        <v>355</v>
      </c>
      <c r="D68" s="142">
        <v>0</v>
      </c>
      <c r="F68" s="123">
        <v>0</v>
      </c>
      <c r="H68" s="124">
        <f>+IFERROR((F68/D68)/12,0)</f>
        <v>0</v>
      </c>
    </row>
    <row r="69" spans="1:8">
      <c r="A69" s="102" t="str">
        <f t="shared" si="4"/>
        <v>ridgecommercialRC3Y1W</v>
      </c>
      <c r="B69" s="122" t="s">
        <v>1018</v>
      </c>
      <c r="C69" s="122" t="s">
        <v>357</v>
      </c>
      <c r="D69" s="142">
        <v>189.68</v>
      </c>
      <c r="F69" s="123">
        <v>9888.4600000000009</v>
      </c>
      <c r="H69" s="124">
        <f t="shared" ref="H69:H81" si="5">+(F69/D69)/12</f>
        <v>4.3443606776325039</v>
      </c>
    </row>
    <row r="70" spans="1:8">
      <c r="A70" s="102" t="str">
        <f t="shared" si="4"/>
        <v>ridgecommercialRC3Y2W</v>
      </c>
      <c r="B70" s="122" t="s">
        <v>1019</v>
      </c>
      <c r="C70" s="122" t="s">
        <v>359</v>
      </c>
      <c r="D70" s="142">
        <v>379.36</v>
      </c>
      <c r="F70" s="123">
        <v>9082.3200000000015</v>
      </c>
      <c r="H70" s="124">
        <f t="shared" si="5"/>
        <v>1.9950970054829187</v>
      </c>
    </row>
    <row r="71" spans="1:8">
      <c r="A71" s="102" t="str">
        <f t="shared" si="4"/>
        <v>ridgecommercialRC4Y1W</v>
      </c>
      <c r="B71" s="122" t="s">
        <v>1020</v>
      </c>
      <c r="C71" s="122" t="s">
        <v>369</v>
      </c>
      <c r="D71" s="142">
        <v>252.88</v>
      </c>
      <c r="F71" s="123">
        <v>11409.960000000001</v>
      </c>
      <c r="H71" s="124">
        <f t="shared" si="5"/>
        <v>3.7600047453337555</v>
      </c>
    </row>
    <row r="72" spans="1:8">
      <c r="A72" s="102" t="str">
        <f t="shared" si="4"/>
        <v>ridgecommercialRC4Y2W</v>
      </c>
      <c r="B72" s="122" t="s">
        <v>1021</v>
      </c>
      <c r="C72" s="122" t="s">
        <v>371</v>
      </c>
      <c r="D72" s="142">
        <v>505.76</v>
      </c>
      <c r="F72" s="123">
        <v>12358.880000000001</v>
      </c>
      <c r="H72" s="124">
        <f t="shared" si="5"/>
        <v>2.0363545291574399</v>
      </c>
    </row>
    <row r="73" spans="1:8">
      <c r="A73" s="102" t="str">
        <f t="shared" si="4"/>
        <v>ridgecommercialRC5Y1W</v>
      </c>
      <c r="B73" s="122" t="s">
        <v>1022</v>
      </c>
      <c r="C73" s="122" t="s">
        <v>383</v>
      </c>
      <c r="D73" s="142">
        <v>284.79000000000002</v>
      </c>
      <c r="F73" s="123">
        <v>0</v>
      </c>
      <c r="H73" s="124">
        <f t="shared" si="5"/>
        <v>0</v>
      </c>
    </row>
    <row r="74" spans="1:8">
      <c r="A74" s="102" t="str">
        <f t="shared" si="4"/>
        <v>ridgecommercialRC6Y1W</v>
      </c>
      <c r="B74" s="122" t="s">
        <v>1023</v>
      </c>
      <c r="C74" s="122" t="s">
        <v>387</v>
      </c>
      <c r="D74" s="142">
        <v>316.41000000000003</v>
      </c>
      <c r="F74" s="123">
        <v>37960.740000000005</v>
      </c>
      <c r="H74" s="124">
        <f t="shared" si="5"/>
        <v>9.9977718782592202</v>
      </c>
    </row>
    <row r="75" spans="1:8">
      <c r="A75" s="102" t="str">
        <f t="shared" si="4"/>
        <v>ridgecommercialRC6Y2W</v>
      </c>
      <c r="B75" s="122" t="s">
        <v>1024</v>
      </c>
      <c r="C75" s="122" t="s">
        <v>389</v>
      </c>
      <c r="D75" s="142">
        <v>632.82000000000005</v>
      </c>
      <c r="F75" s="123">
        <v>7575.24</v>
      </c>
      <c r="H75" s="124">
        <f t="shared" si="5"/>
        <v>0.99755064631332757</v>
      </c>
    </row>
    <row r="76" spans="1:8">
      <c r="A76" s="102" t="str">
        <f t="shared" si="4"/>
        <v>ridgecommercialRC8Y1W</v>
      </c>
      <c r="B76" s="122" t="s">
        <v>1025</v>
      </c>
      <c r="C76" s="122" t="s">
        <v>397</v>
      </c>
      <c r="D76" s="142">
        <v>379.69</v>
      </c>
      <c r="F76" s="123">
        <v>26416.43</v>
      </c>
      <c r="H76" s="124">
        <f t="shared" si="5"/>
        <v>5.7978065439349642</v>
      </c>
    </row>
    <row r="77" spans="1:8">
      <c r="A77" s="102" t="str">
        <f t="shared" si="4"/>
        <v>ridgecommercialRC32W2</v>
      </c>
      <c r="B77" s="122" t="s">
        <v>1026</v>
      </c>
      <c r="C77" s="122" t="s">
        <v>273</v>
      </c>
      <c r="D77" s="142">
        <v>22.44</v>
      </c>
      <c r="F77" s="123">
        <v>1056.9899999999998</v>
      </c>
      <c r="H77" s="124">
        <f t="shared" si="5"/>
        <v>3.9252450980392144</v>
      </c>
    </row>
    <row r="78" spans="1:8">
      <c r="A78" s="102" t="str">
        <f t="shared" si="4"/>
        <v>ridgecommercialRC32MO</v>
      </c>
      <c r="B78" s="122" t="s">
        <v>1027</v>
      </c>
      <c r="C78" s="122" t="s">
        <v>1028</v>
      </c>
      <c r="D78" s="142">
        <v>9.43</v>
      </c>
      <c r="F78" s="123">
        <v>112.89</v>
      </c>
      <c r="H78" s="124">
        <f t="shared" si="5"/>
        <v>0.99761399787910932</v>
      </c>
    </row>
    <row r="79" spans="1:8">
      <c r="A79" s="102" t="str">
        <f t="shared" si="4"/>
        <v>ridgecommercialRC32W1</v>
      </c>
      <c r="B79" s="122" t="s">
        <v>1029</v>
      </c>
      <c r="C79" s="122" t="s">
        <v>445</v>
      </c>
      <c r="D79" s="142">
        <v>15.14</v>
      </c>
      <c r="F79" s="123">
        <v>2382.4899999999998</v>
      </c>
      <c r="H79" s="124">
        <f t="shared" si="5"/>
        <v>13.113661382650813</v>
      </c>
    </row>
    <row r="80" spans="1:8">
      <c r="A80" s="102" t="str">
        <f t="shared" si="4"/>
        <v>ridgecommercialRC32W3</v>
      </c>
      <c r="B80" s="122" t="s">
        <v>1030</v>
      </c>
      <c r="C80" s="122" t="s">
        <v>275</v>
      </c>
      <c r="D80" s="142">
        <v>30.94</v>
      </c>
      <c r="F80" s="123">
        <v>1034.69</v>
      </c>
      <c r="H80" s="124">
        <f t="shared" si="5"/>
        <v>2.7868185735832793</v>
      </c>
    </row>
    <row r="81" spans="1:8">
      <c r="A81" s="102" t="str">
        <f t="shared" si="4"/>
        <v>ridgecommercialRC32EOW</v>
      </c>
      <c r="B81" s="122" t="s">
        <v>1031</v>
      </c>
      <c r="C81" s="122" t="s">
        <v>1032</v>
      </c>
      <c r="D81" s="142">
        <v>13.87</v>
      </c>
      <c r="F81" s="123">
        <v>373.79000000000008</v>
      </c>
      <c r="H81" s="124">
        <f t="shared" si="5"/>
        <v>2.2457942802211011</v>
      </c>
    </row>
    <row r="82" spans="1:8">
      <c r="A82" s="102" t="str">
        <f t="shared" si="4"/>
        <v>ridgecommercialCACCESS</v>
      </c>
      <c r="B82" s="122" t="s">
        <v>505</v>
      </c>
      <c r="C82" s="122" t="s">
        <v>506</v>
      </c>
      <c r="D82" s="142">
        <v>0</v>
      </c>
      <c r="F82" s="123">
        <v>0</v>
      </c>
    </row>
    <row r="83" spans="1:8">
      <c r="A83" s="102" t="str">
        <f t="shared" si="4"/>
        <v>ridgecommercialRACCESS</v>
      </c>
      <c r="B83" s="122" t="s">
        <v>1033</v>
      </c>
      <c r="C83" s="122" t="s">
        <v>506</v>
      </c>
      <c r="D83" s="142">
        <v>27.15</v>
      </c>
      <c r="F83" s="123">
        <v>5180.49</v>
      </c>
    </row>
    <row r="84" spans="1:8">
      <c r="A84" s="102" t="str">
        <f t="shared" si="4"/>
        <v>ridgecommercialRCPLACE</v>
      </c>
      <c r="B84" s="122" t="s">
        <v>1034</v>
      </c>
      <c r="C84" s="122" t="s">
        <v>463</v>
      </c>
      <c r="D84" s="142">
        <v>18.809999999999999</v>
      </c>
      <c r="F84" s="123">
        <v>376.02</v>
      </c>
    </row>
    <row r="85" spans="1:8">
      <c r="A85" s="102" t="str">
        <f t="shared" si="4"/>
        <v>ridgecommercialCCEXCAN</v>
      </c>
      <c r="B85" s="122" t="s">
        <v>454</v>
      </c>
      <c r="C85" s="122" t="s">
        <v>455</v>
      </c>
      <c r="D85" s="142">
        <v>5.68</v>
      </c>
      <c r="F85" s="123">
        <v>668.56</v>
      </c>
    </row>
    <row r="86" spans="1:8">
      <c r="A86" s="102" t="str">
        <f t="shared" si="4"/>
        <v>ridgecommercialCCEXYD</v>
      </c>
      <c r="B86" s="122" t="s">
        <v>456</v>
      </c>
      <c r="C86" s="122" t="s">
        <v>457</v>
      </c>
      <c r="D86" s="142">
        <v>25.14</v>
      </c>
      <c r="F86" s="123">
        <v>2482.3900000000003</v>
      </c>
    </row>
    <row r="87" spans="1:8">
      <c r="A87" s="102" t="str">
        <f t="shared" si="4"/>
        <v>ridgecommercialRC15YPR</v>
      </c>
      <c r="B87" s="122" t="s">
        <v>1035</v>
      </c>
      <c r="C87" s="122" t="s">
        <v>469</v>
      </c>
      <c r="D87" s="142">
        <v>13.79</v>
      </c>
      <c r="F87" s="123">
        <v>958.23</v>
      </c>
    </row>
    <row r="88" spans="1:8">
      <c r="A88" s="102" t="str">
        <f t="shared" si="4"/>
        <v>ridgecommercialRC1YPR</v>
      </c>
      <c r="B88" s="122" t="s">
        <v>1036</v>
      </c>
      <c r="C88" s="122" t="s">
        <v>1037</v>
      </c>
      <c r="D88" s="142">
        <v>12.54</v>
      </c>
      <c r="F88" s="123">
        <v>1898.4099999999999</v>
      </c>
    </row>
    <row r="89" spans="1:8">
      <c r="A89" s="102" t="str">
        <f t="shared" si="4"/>
        <v>ridgecommercialRC2YPR</v>
      </c>
      <c r="B89" s="122" t="s">
        <v>1038</v>
      </c>
      <c r="C89" s="122" t="s">
        <v>471</v>
      </c>
      <c r="D89" s="142">
        <v>15.04</v>
      </c>
      <c r="F89" s="123">
        <v>1755.18</v>
      </c>
    </row>
    <row r="90" spans="1:8">
      <c r="A90" s="102" t="str">
        <f t="shared" si="4"/>
        <v>ridgecommercialRC3YPR</v>
      </c>
      <c r="B90" s="122" t="s">
        <v>1039</v>
      </c>
      <c r="C90" s="122" t="s">
        <v>473</v>
      </c>
      <c r="D90" s="142">
        <v>16.32</v>
      </c>
      <c r="F90" s="123">
        <v>1240.1599999999999</v>
      </c>
    </row>
    <row r="91" spans="1:8">
      <c r="A91" s="102" t="str">
        <f t="shared" si="4"/>
        <v>ridgecommercialCC3YPR</v>
      </c>
      <c r="B91" s="122" t="s">
        <v>472</v>
      </c>
      <c r="C91" s="122" t="s">
        <v>473</v>
      </c>
      <c r="D91" s="142">
        <v>0</v>
      </c>
      <c r="F91" s="123">
        <v>0</v>
      </c>
    </row>
    <row r="92" spans="1:8">
      <c r="A92" s="102" t="str">
        <f t="shared" si="4"/>
        <v>ridgecommercialRC4YPR</v>
      </c>
      <c r="B92" s="122" t="s">
        <v>1040</v>
      </c>
      <c r="C92" s="122" t="s">
        <v>475</v>
      </c>
      <c r="D92" s="142">
        <v>17.55</v>
      </c>
      <c r="F92" s="123">
        <v>1374.11</v>
      </c>
    </row>
    <row r="93" spans="1:8">
      <c r="A93" s="102" t="str">
        <f t="shared" si="4"/>
        <v>ridgecommercialRC5YPR</v>
      </c>
      <c r="B93" s="122" t="s">
        <v>1041</v>
      </c>
      <c r="C93" s="122" t="s">
        <v>477</v>
      </c>
      <c r="D93" s="142">
        <v>18.04</v>
      </c>
      <c r="F93" s="123">
        <v>0</v>
      </c>
    </row>
    <row r="94" spans="1:8">
      <c r="A94" s="102" t="str">
        <f t="shared" si="4"/>
        <v>ridgecommercialRC6YPR</v>
      </c>
      <c r="B94" s="122" t="s">
        <v>1042</v>
      </c>
      <c r="C94" s="122" t="s">
        <v>479</v>
      </c>
      <c r="D94" s="142">
        <v>20.059999999999999</v>
      </c>
      <c r="F94" s="123">
        <v>2461.39</v>
      </c>
    </row>
    <row r="95" spans="1:8">
      <c r="A95" s="102" t="str">
        <f t="shared" si="4"/>
        <v>ridgecommercialRC8YPR</v>
      </c>
      <c r="B95" s="122" t="s">
        <v>1043</v>
      </c>
      <c r="C95" s="122" t="s">
        <v>481</v>
      </c>
      <c r="D95" s="142">
        <v>22.58</v>
      </c>
      <c r="F95" s="123">
        <v>1503.27</v>
      </c>
    </row>
    <row r="96" spans="1:8">
      <c r="A96" s="102" t="str">
        <f t="shared" si="4"/>
        <v>ridgecommercialRROLLOUT</v>
      </c>
      <c r="B96" s="122" t="s">
        <v>1044</v>
      </c>
      <c r="C96" s="122" t="s">
        <v>518</v>
      </c>
      <c r="D96" s="142">
        <v>43.47</v>
      </c>
      <c r="F96" s="123">
        <v>4596.21</v>
      </c>
    </row>
    <row r="97" spans="1:6">
      <c r="A97" s="102" t="str">
        <f t="shared" si="4"/>
        <v>ridgecommercialCCSP1Y</v>
      </c>
      <c r="B97" s="122" t="s">
        <v>412</v>
      </c>
      <c r="C97" s="122" t="s">
        <v>413</v>
      </c>
      <c r="D97" s="142">
        <v>37.96</v>
      </c>
      <c r="F97" s="123">
        <v>0</v>
      </c>
    </row>
    <row r="98" spans="1:6">
      <c r="A98" s="102" t="str">
        <f t="shared" si="4"/>
        <v>ridgecommercialCCSP15Y</v>
      </c>
      <c r="B98" s="122" t="s">
        <v>414</v>
      </c>
      <c r="C98" s="122" t="s">
        <v>415</v>
      </c>
      <c r="D98" s="142">
        <v>44.35</v>
      </c>
      <c r="F98" s="123">
        <v>44.35</v>
      </c>
    </row>
    <row r="99" spans="1:6">
      <c r="A99" s="102" t="str">
        <f t="shared" si="4"/>
        <v>ridgecommercialCCSP2Y</v>
      </c>
      <c r="B99" s="122" t="s">
        <v>416</v>
      </c>
      <c r="C99" s="122" t="s">
        <v>417</v>
      </c>
      <c r="D99" s="142">
        <v>50.81</v>
      </c>
      <c r="F99" s="123">
        <v>50.81</v>
      </c>
    </row>
    <row r="100" spans="1:6">
      <c r="A100" s="102" t="str">
        <f t="shared" si="4"/>
        <v>ridgecommercialCCSP3Y</v>
      </c>
      <c r="B100" s="122" t="s">
        <v>418</v>
      </c>
      <c r="C100" s="122" t="s">
        <v>419</v>
      </c>
      <c r="D100" s="142">
        <v>63.62</v>
      </c>
      <c r="F100" s="123">
        <v>0</v>
      </c>
    </row>
    <row r="101" spans="1:6">
      <c r="A101" s="102" t="str">
        <f t="shared" si="4"/>
        <v>ridgecommercialCCSP4Y</v>
      </c>
      <c r="B101" s="122" t="s">
        <v>424</v>
      </c>
      <c r="C101" s="122" t="s">
        <v>425</v>
      </c>
      <c r="D101" s="142">
        <v>73.42</v>
      </c>
      <c r="F101" s="123">
        <v>0</v>
      </c>
    </row>
    <row r="102" spans="1:6">
      <c r="A102" s="102" t="str">
        <f t="shared" si="4"/>
        <v>ridgecommercialCCSP6Y</v>
      </c>
      <c r="B102" s="122" t="s">
        <v>428</v>
      </c>
      <c r="C102" s="122" t="s">
        <v>429</v>
      </c>
      <c r="D102" s="142">
        <v>98.08</v>
      </c>
      <c r="F102" s="123">
        <v>0</v>
      </c>
    </row>
    <row r="103" spans="1:6">
      <c r="A103" s="102" t="str">
        <f t="shared" si="4"/>
        <v>ridgecommercialCCSP8Y</v>
      </c>
      <c r="B103" s="122" t="s">
        <v>430</v>
      </c>
      <c r="C103" s="122" t="s">
        <v>431</v>
      </c>
      <c r="D103" s="142">
        <v>122.73</v>
      </c>
      <c r="F103" s="123">
        <v>0</v>
      </c>
    </row>
    <row r="104" spans="1:6">
      <c r="A104" s="102" t="str">
        <f t="shared" si="4"/>
        <v>ridgecommercialCCTP1Y</v>
      </c>
      <c r="B104" s="122" t="s">
        <v>432</v>
      </c>
      <c r="C104" s="122" t="s">
        <v>433</v>
      </c>
      <c r="D104" s="142">
        <v>37.96</v>
      </c>
      <c r="F104" s="123">
        <v>75.92</v>
      </c>
    </row>
    <row r="105" spans="1:6">
      <c r="A105" s="152" t="str">
        <f t="shared" si="4"/>
        <v>ridgecommercialCCTP15Y</v>
      </c>
      <c r="B105" s="161" t="s">
        <v>434</v>
      </c>
      <c r="C105" s="161" t="s">
        <v>435</v>
      </c>
      <c r="D105" s="142">
        <v>44.35</v>
      </c>
      <c r="F105" s="123">
        <v>399.15000000000003</v>
      </c>
    </row>
    <row r="106" spans="1:6">
      <c r="A106" s="102" t="str">
        <f t="shared" si="4"/>
        <v>ridgecommercialCCTP2Y</v>
      </c>
      <c r="B106" s="122" t="s">
        <v>436</v>
      </c>
      <c r="C106" s="122" t="s">
        <v>437</v>
      </c>
      <c r="D106" s="142">
        <v>50.81</v>
      </c>
      <c r="F106" s="123">
        <v>1217.44</v>
      </c>
    </row>
    <row r="107" spans="1:6">
      <c r="A107" s="102" t="str">
        <f t="shared" si="4"/>
        <v>ridgecommercialCCTP3Y</v>
      </c>
      <c r="B107" s="122" t="s">
        <v>438</v>
      </c>
      <c r="C107" s="122" t="s">
        <v>439</v>
      </c>
      <c r="D107" s="142">
        <v>63.62</v>
      </c>
      <c r="F107" s="123">
        <v>0</v>
      </c>
    </row>
    <row r="108" spans="1:6">
      <c r="A108" s="102" t="str">
        <f t="shared" si="4"/>
        <v>ridgecommercialCCTP6Y</v>
      </c>
      <c r="B108" s="122" t="s">
        <v>1045</v>
      </c>
      <c r="C108" s="122" t="s">
        <v>1046</v>
      </c>
      <c r="D108" s="142">
        <v>98.08</v>
      </c>
      <c r="F108" s="123">
        <v>0</v>
      </c>
    </row>
    <row r="109" spans="1:6">
      <c r="A109" s="102" t="str">
        <f t="shared" si="4"/>
        <v>ridgecommercialCTIME1M</v>
      </c>
      <c r="B109" s="122" t="s">
        <v>500</v>
      </c>
      <c r="C109" s="122" t="s">
        <v>312</v>
      </c>
      <c r="D109" s="142">
        <v>0.98</v>
      </c>
      <c r="F109" s="123">
        <v>0</v>
      </c>
    </row>
    <row r="110" spans="1:6">
      <c r="A110" s="102" t="str">
        <f t="shared" si="4"/>
        <v>ridgecommercialCTIME2M</v>
      </c>
      <c r="B110" s="122" t="s">
        <v>501</v>
      </c>
      <c r="C110" s="122" t="s">
        <v>314</v>
      </c>
      <c r="D110" s="142">
        <v>0.98</v>
      </c>
      <c r="F110" s="123">
        <v>0</v>
      </c>
    </row>
    <row r="111" spans="1:6">
      <c r="A111" s="102" t="str">
        <f t="shared" si="4"/>
        <v>ridgecommercialCCTRIP</v>
      </c>
      <c r="B111" s="122" t="s">
        <v>502</v>
      </c>
      <c r="C111" s="122" t="s">
        <v>503</v>
      </c>
      <c r="D111" s="142">
        <v>18.809999999999999</v>
      </c>
      <c r="F111" s="123">
        <v>187.73999999999998</v>
      </c>
    </row>
    <row r="112" spans="1:6">
      <c r="A112" s="102" t="str">
        <f t="shared" si="4"/>
        <v>ridgecommercialCCPLACE</v>
      </c>
      <c r="B112" s="122" t="s">
        <v>462</v>
      </c>
      <c r="C112" s="122" t="s">
        <v>463</v>
      </c>
      <c r="D112" s="142">
        <v>18.809999999999999</v>
      </c>
      <c r="F112" s="123">
        <v>0</v>
      </c>
    </row>
    <row r="113" spans="1:8">
      <c r="A113" s="102" t="str">
        <f t="shared" si="4"/>
        <v>ridgecommercialRCRMV</v>
      </c>
      <c r="B113" s="122" t="s">
        <v>1047</v>
      </c>
      <c r="C113" s="122" t="s">
        <v>1048</v>
      </c>
      <c r="D113" s="142">
        <v>18.809999999999999</v>
      </c>
      <c r="F113" s="123">
        <v>319.58999999999997</v>
      </c>
    </row>
    <row r="114" spans="1:8">
      <c r="A114" s="102" t="str">
        <f t="shared" si="4"/>
        <v>ridgecommercialRCDRVIN</v>
      </c>
      <c r="B114" s="122" t="s">
        <v>1049</v>
      </c>
      <c r="C114" s="122" t="s">
        <v>514</v>
      </c>
      <c r="D114" s="142">
        <v>9.41</v>
      </c>
      <c r="F114" s="123">
        <v>0</v>
      </c>
    </row>
    <row r="115" spans="1:8">
      <c r="B115" s="126"/>
      <c r="C115" s="168"/>
      <c r="D115" s="142"/>
    </row>
    <row r="116" spans="1:8">
      <c r="B116" s="126"/>
      <c r="C116" s="127" t="s">
        <v>948</v>
      </c>
      <c r="D116" s="142"/>
      <c r="F116" s="128">
        <f>+SUM(F63:F115)</f>
        <v>186077.96000000002</v>
      </c>
      <c r="G116" s="129"/>
      <c r="H116" s="158">
        <f>+SUM(H63:H115)</f>
        <v>80.880177863042007</v>
      </c>
    </row>
    <row r="117" spans="1:8">
      <c r="B117" s="126"/>
      <c r="C117" s="127"/>
      <c r="D117" s="142"/>
    </row>
    <row r="118" spans="1:8">
      <c r="B118" s="145" t="s">
        <v>700</v>
      </c>
      <c r="C118" s="145"/>
      <c r="D118" s="120"/>
      <c r="E118" s="121"/>
      <c r="F118" s="121"/>
      <c r="G118" s="121"/>
      <c r="H118" s="167"/>
    </row>
    <row r="119" spans="1:8">
      <c r="A119" s="102" t="str">
        <f>"ridge"&amp;"recycling"&amp;B119</f>
        <v>ridgerecyclingCRY1Y1X</v>
      </c>
      <c r="B119" s="122" t="s">
        <v>711</v>
      </c>
      <c r="C119" s="122" t="s">
        <v>712</v>
      </c>
      <c r="D119" s="142">
        <v>88.26</v>
      </c>
      <c r="F119" s="123">
        <v>1005.88</v>
      </c>
      <c r="H119" s="124">
        <f t="shared" ref="H119:H137" si="6">+(F119/D119)/12</f>
        <v>0.94973185285897721</v>
      </c>
    </row>
    <row r="120" spans="1:8">
      <c r="A120" s="102" t="str">
        <f t="shared" ref="A120:A159" si="7">"ridge"&amp;"recycling"&amp;B120</f>
        <v>ridgerecyclingCRY1YEOW</v>
      </c>
      <c r="B120" s="122" t="s">
        <v>717</v>
      </c>
      <c r="C120" s="122" t="s">
        <v>718</v>
      </c>
      <c r="D120" s="142">
        <v>64.180000000000007</v>
      </c>
      <c r="F120" s="123">
        <v>0</v>
      </c>
      <c r="H120" s="124">
        <f t="shared" si="6"/>
        <v>0</v>
      </c>
    </row>
    <row r="121" spans="1:8">
      <c r="A121" s="102" t="str">
        <f t="shared" si="7"/>
        <v>ridgerecyclingCRY2Y1X</v>
      </c>
      <c r="B121" s="122" t="s">
        <v>723</v>
      </c>
      <c r="C121" s="122" t="s">
        <v>724</v>
      </c>
      <c r="D121" s="142">
        <v>114.09</v>
      </c>
      <c r="F121" s="123">
        <v>576.64</v>
      </c>
      <c r="H121" s="124">
        <f t="shared" si="6"/>
        <v>0.42118795103281031</v>
      </c>
    </row>
    <row r="122" spans="1:8">
      <c r="A122" s="102" t="str">
        <f t="shared" si="7"/>
        <v>ridgerecyclingCRY3Y1X</v>
      </c>
      <c r="B122" s="122" t="s">
        <v>731</v>
      </c>
      <c r="C122" s="122" t="s">
        <v>732</v>
      </c>
      <c r="D122" s="142">
        <v>124.14</v>
      </c>
      <c r="F122" s="123">
        <v>650.08000000000004</v>
      </c>
      <c r="H122" s="124">
        <f t="shared" si="6"/>
        <v>0.4363890231459106</v>
      </c>
    </row>
    <row r="123" spans="1:8">
      <c r="A123" s="102" t="str">
        <f t="shared" si="7"/>
        <v>ridgerecyclingCRY5Y1X</v>
      </c>
      <c r="B123" s="122" t="s">
        <v>759</v>
      </c>
      <c r="C123" s="122" t="s">
        <v>760</v>
      </c>
      <c r="D123" s="142">
        <v>146.13999999999999</v>
      </c>
      <c r="F123" s="123">
        <v>0</v>
      </c>
      <c r="H123" s="124">
        <f t="shared" si="6"/>
        <v>0</v>
      </c>
    </row>
    <row r="124" spans="1:8">
      <c r="A124" s="102" t="str">
        <f t="shared" si="7"/>
        <v>ridgerecyclingCRY6Y1X</v>
      </c>
      <c r="B124" s="122" t="s">
        <v>765</v>
      </c>
      <c r="C124" s="122" t="s">
        <v>766</v>
      </c>
      <c r="D124" s="142">
        <v>156.16</v>
      </c>
      <c r="F124" s="123">
        <v>557.70000000000005</v>
      </c>
      <c r="H124" s="124">
        <f t="shared" si="6"/>
        <v>0.29761142418032788</v>
      </c>
    </row>
    <row r="125" spans="1:8">
      <c r="A125" s="102" t="str">
        <f t="shared" si="7"/>
        <v>ridgerecyclingRCRY2Y1X</v>
      </c>
      <c r="B125" s="122" t="s">
        <v>1050</v>
      </c>
      <c r="C125" s="122" t="s">
        <v>1051</v>
      </c>
      <c r="D125" s="142">
        <v>72.08</v>
      </c>
      <c r="F125" s="123">
        <v>6590.74</v>
      </c>
      <c r="H125" s="124">
        <f t="shared" si="6"/>
        <v>7.6197049574546796</v>
      </c>
    </row>
    <row r="126" spans="1:8">
      <c r="A126" s="102" t="str">
        <f t="shared" si="7"/>
        <v>ridgerecyclingCRY2YEOW</v>
      </c>
      <c r="B126" s="122" t="s">
        <v>727</v>
      </c>
      <c r="C126" s="122" t="s">
        <v>728</v>
      </c>
      <c r="D126" s="142">
        <v>70.36</v>
      </c>
      <c r="F126" s="123">
        <v>699.48999999999978</v>
      </c>
      <c r="H126" s="124">
        <f t="shared" si="6"/>
        <v>0.82846551070684082</v>
      </c>
    </row>
    <row r="127" spans="1:8">
      <c r="A127" s="102" t="str">
        <f t="shared" si="7"/>
        <v>ridgerecyclingRCRY3Y1X</v>
      </c>
      <c r="B127" s="122" t="s">
        <v>1052</v>
      </c>
      <c r="C127" s="122" t="s">
        <v>1053</v>
      </c>
      <c r="D127" s="142">
        <v>81.260000000000005</v>
      </c>
      <c r="F127" s="123">
        <v>4881.82</v>
      </c>
      <c r="H127" s="124">
        <f t="shared" si="6"/>
        <v>5.0063787021084574</v>
      </c>
    </row>
    <row r="128" spans="1:8">
      <c r="A128" s="102" t="str">
        <f t="shared" si="7"/>
        <v>ridgerecyclingCRY3YEOW</v>
      </c>
      <c r="B128" s="122" t="s">
        <v>741</v>
      </c>
      <c r="C128" s="122" t="s">
        <v>742</v>
      </c>
      <c r="D128" s="142">
        <v>76.58</v>
      </c>
      <c r="F128" s="123">
        <v>872.69</v>
      </c>
      <c r="H128" s="124">
        <f t="shared" si="6"/>
        <v>0.94964960390006103</v>
      </c>
    </row>
    <row r="129" spans="1:8">
      <c r="A129" s="102" t="str">
        <f t="shared" si="7"/>
        <v>ridgerecyclingCRY4YEOW</v>
      </c>
      <c r="B129" s="122" t="s">
        <v>749</v>
      </c>
      <c r="C129" s="122" t="s">
        <v>750</v>
      </c>
      <c r="D129" s="142">
        <v>84.86</v>
      </c>
      <c r="F129" s="123">
        <v>0</v>
      </c>
      <c r="H129" s="124">
        <f t="shared" si="6"/>
        <v>0</v>
      </c>
    </row>
    <row r="130" spans="1:8">
      <c r="A130" s="102" t="str">
        <f t="shared" si="7"/>
        <v>ridgerecyclingCRY2-4Y1X</v>
      </c>
      <c r="B130" s="122" t="s">
        <v>753</v>
      </c>
      <c r="C130" s="122" t="s">
        <v>754</v>
      </c>
      <c r="D130" s="142">
        <v>238.23</v>
      </c>
      <c r="F130" s="123">
        <v>2630.64</v>
      </c>
      <c r="H130" s="124">
        <f t="shared" si="6"/>
        <v>0.92020316500860522</v>
      </c>
    </row>
    <row r="131" spans="1:8">
      <c r="A131" s="102" t="str">
        <f t="shared" si="7"/>
        <v>ridgerecyclingCRY6YEOW</v>
      </c>
      <c r="B131" s="122" t="s">
        <v>771</v>
      </c>
      <c r="C131" s="122" t="s">
        <v>772</v>
      </c>
      <c r="D131" s="142">
        <v>97.25</v>
      </c>
      <c r="F131" s="123">
        <v>1668.9299999999998</v>
      </c>
      <c r="H131" s="124">
        <f t="shared" si="6"/>
        <v>1.430102827763496</v>
      </c>
    </row>
    <row r="132" spans="1:8">
      <c r="A132" s="102" t="str">
        <f t="shared" si="7"/>
        <v>ridgerecyclingCRY8Y1X</v>
      </c>
      <c r="B132" s="122" t="s">
        <v>773</v>
      </c>
      <c r="C132" s="122" t="s">
        <v>774</v>
      </c>
      <c r="D132" s="142">
        <v>166.16</v>
      </c>
      <c r="F132" s="123">
        <v>0</v>
      </c>
      <c r="H132" s="124">
        <f t="shared" si="6"/>
        <v>0</v>
      </c>
    </row>
    <row r="133" spans="1:8">
      <c r="A133" s="102" t="str">
        <f t="shared" si="7"/>
        <v>ridgerecyclingCRY90EOW</v>
      </c>
      <c r="B133" s="122" t="s">
        <v>791</v>
      </c>
      <c r="C133" s="122" t="s">
        <v>792</v>
      </c>
      <c r="D133" s="142">
        <v>34.479999999999997</v>
      </c>
      <c r="F133" s="123">
        <v>701.2700000000001</v>
      </c>
      <c r="H133" s="124">
        <f t="shared" si="6"/>
        <v>1.6948714230471775</v>
      </c>
    </row>
    <row r="134" spans="1:8">
      <c r="A134" s="102" t="str">
        <f t="shared" si="7"/>
        <v>ridgerecyclingCRY901X</v>
      </c>
      <c r="B134" s="122" t="s">
        <v>787</v>
      </c>
      <c r="C134" s="122" t="s">
        <v>788</v>
      </c>
      <c r="D134" s="142">
        <v>67.349999999999994</v>
      </c>
      <c r="F134" s="123">
        <v>116.07</v>
      </c>
      <c r="H134" s="124">
        <f t="shared" si="6"/>
        <v>0.14361544172234594</v>
      </c>
    </row>
    <row r="135" spans="1:8">
      <c r="A135" s="102" t="str">
        <f t="shared" si="7"/>
        <v>ridgerecyclingRCRY961X</v>
      </c>
      <c r="B135" s="122" t="s">
        <v>1054</v>
      </c>
      <c r="C135" s="122" t="s">
        <v>1055</v>
      </c>
      <c r="D135" s="142">
        <v>23.59</v>
      </c>
      <c r="F135" s="123">
        <v>1269.3900000000001</v>
      </c>
      <c r="H135" s="124">
        <f t="shared" si="6"/>
        <v>4.4842094107672752</v>
      </c>
    </row>
    <row r="136" spans="1:8">
      <c r="A136" s="102" t="str">
        <f t="shared" si="7"/>
        <v>ridgerecyclingRCRY96EOW</v>
      </c>
      <c r="B136" s="122" t="s">
        <v>1056</v>
      </c>
      <c r="C136" s="122" t="s">
        <v>1057</v>
      </c>
      <c r="D136" s="142">
        <v>18.09</v>
      </c>
      <c r="F136" s="123">
        <v>1392.12</v>
      </c>
      <c r="H136" s="124">
        <f t="shared" si="6"/>
        <v>6.4129353233830839</v>
      </c>
    </row>
    <row r="137" spans="1:8">
      <c r="A137" s="102" t="str">
        <f t="shared" si="7"/>
        <v>ridgerecyclingCFR65G1X</v>
      </c>
      <c r="B137" s="122" t="s">
        <v>783</v>
      </c>
      <c r="C137" s="122" t="s">
        <v>784</v>
      </c>
      <c r="D137" s="142">
        <v>29.15</v>
      </c>
      <c r="F137" s="123">
        <v>3485.55</v>
      </c>
      <c r="H137" s="124">
        <f t="shared" si="6"/>
        <v>9.9644082332761581</v>
      </c>
    </row>
    <row r="138" spans="1:8">
      <c r="A138" s="102" t="str">
        <f t="shared" si="7"/>
        <v>ridgerecyclingCRYEX1YD</v>
      </c>
      <c r="B138" s="122" t="s">
        <v>875</v>
      </c>
      <c r="C138" s="122" t="s">
        <v>876</v>
      </c>
      <c r="D138" s="142">
        <v>23.97</v>
      </c>
      <c r="F138" s="123">
        <v>0</v>
      </c>
    </row>
    <row r="139" spans="1:8">
      <c r="A139" s="102" t="str">
        <f t="shared" si="7"/>
        <v>ridgerecyclingCRYEX3YD</v>
      </c>
      <c r="B139" s="122" t="s">
        <v>879</v>
      </c>
      <c r="C139" s="122" t="s">
        <v>880</v>
      </c>
      <c r="D139" s="142">
        <v>29.38</v>
      </c>
      <c r="F139" s="123">
        <v>27.98</v>
      </c>
    </row>
    <row r="140" spans="1:8">
      <c r="A140" s="102" t="str">
        <f t="shared" si="7"/>
        <v>ridgerecyclingCRYEX90</v>
      </c>
      <c r="B140" s="122" t="s">
        <v>871</v>
      </c>
      <c r="C140" s="122" t="s">
        <v>872</v>
      </c>
      <c r="D140" s="142">
        <v>17.989999999999998</v>
      </c>
      <c r="F140" s="123">
        <v>0</v>
      </c>
    </row>
    <row r="141" spans="1:8">
      <c r="A141" s="102" t="str">
        <f t="shared" si="7"/>
        <v>ridgerecycling0CRYEX90</v>
      </c>
      <c r="B141" s="122" t="s">
        <v>820</v>
      </c>
      <c r="C141" s="122" t="s">
        <v>821</v>
      </c>
      <c r="D141" s="142">
        <v>17.13</v>
      </c>
      <c r="F141" s="123">
        <v>0</v>
      </c>
    </row>
    <row r="142" spans="1:8">
      <c r="A142" s="102" t="str">
        <f t="shared" si="7"/>
        <v>ridgerecycling0CRYEX1YD</v>
      </c>
      <c r="B142" s="122" t="s">
        <v>822</v>
      </c>
      <c r="C142" s="122" t="s">
        <v>823</v>
      </c>
      <c r="D142" s="142">
        <v>22.83</v>
      </c>
      <c r="F142" s="123">
        <v>0</v>
      </c>
    </row>
    <row r="143" spans="1:8">
      <c r="A143" s="102" t="str">
        <f t="shared" si="7"/>
        <v>ridgerecycling0CRYEX6YD</v>
      </c>
      <c r="B143" s="122" t="s">
        <v>832</v>
      </c>
      <c r="C143" s="122" t="s">
        <v>833</v>
      </c>
      <c r="D143" s="142">
        <v>32.369999999999997</v>
      </c>
      <c r="F143" s="123">
        <v>12.61</v>
      </c>
    </row>
    <row r="144" spans="1:8">
      <c r="A144" s="102" t="str">
        <f t="shared" si="7"/>
        <v>ridgerecyclingCRY1YOC</v>
      </c>
      <c r="B144" s="122" t="s">
        <v>834</v>
      </c>
      <c r="C144" s="122" t="s">
        <v>835</v>
      </c>
      <c r="D144" s="142">
        <v>28.98</v>
      </c>
      <c r="F144" s="123">
        <v>0</v>
      </c>
    </row>
    <row r="145" spans="1:6">
      <c r="A145" s="102" t="str">
        <f t="shared" si="7"/>
        <v>ridgerecyclingCRY90OC</v>
      </c>
      <c r="B145" s="122" t="s">
        <v>858</v>
      </c>
      <c r="C145" s="122" t="s">
        <v>857</v>
      </c>
      <c r="D145" s="142">
        <v>8.39</v>
      </c>
      <c r="F145" s="123">
        <v>0</v>
      </c>
    </row>
    <row r="146" spans="1:6">
      <c r="A146" s="102" t="str">
        <f t="shared" si="7"/>
        <v>ridgerecycling0CRYEXC</v>
      </c>
      <c r="B146" s="122" t="s">
        <v>817</v>
      </c>
      <c r="C146" s="122" t="s">
        <v>816</v>
      </c>
      <c r="D146" s="142">
        <v>20.48</v>
      </c>
      <c r="F146" s="123">
        <v>0</v>
      </c>
    </row>
    <row r="147" spans="1:6">
      <c r="A147" s="102" t="str">
        <f t="shared" si="7"/>
        <v>ridgerecycling0CRYEX2YD</v>
      </c>
      <c r="B147" s="122" t="s">
        <v>824</v>
      </c>
      <c r="C147" s="122" t="s">
        <v>825</v>
      </c>
      <c r="D147" s="142">
        <v>25.12</v>
      </c>
      <c r="F147" s="123">
        <v>0</v>
      </c>
    </row>
    <row r="148" spans="1:6">
      <c r="A148" s="152" t="str">
        <f t="shared" si="7"/>
        <v>ridgerecycling0CRYEX3YD</v>
      </c>
      <c r="B148" s="161" t="s">
        <v>826</v>
      </c>
      <c r="C148" s="161" t="s">
        <v>827</v>
      </c>
      <c r="D148" s="142">
        <v>27.98</v>
      </c>
      <c r="F148" s="123">
        <v>27.98</v>
      </c>
    </row>
    <row r="149" spans="1:6">
      <c r="A149" s="102" t="str">
        <f t="shared" si="7"/>
        <v>ridgerecyclingCRYEXC</v>
      </c>
      <c r="B149" s="122" t="s">
        <v>815</v>
      </c>
      <c r="C149" s="122" t="s">
        <v>816</v>
      </c>
      <c r="D149" s="142">
        <v>21.5</v>
      </c>
      <c r="F149" s="123">
        <v>704.45999999999992</v>
      </c>
    </row>
    <row r="150" spans="1:6">
      <c r="A150" s="102" t="str">
        <f t="shared" si="7"/>
        <v>ridgerecyclingCRYACC</v>
      </c>
      <c r="B150" s="122" t="s">
        <v>861</v>
      </c>
      <c r="C150" s="122" t="s">
        <v>862</v>
      </c>
      <c r="D150" s="142">
        <v>8.2200000000000006</v>
      </c>
      <c r="F150" s="123">
        <v>558.29</v>
      </c>
    </row>
    <row r="151" spans="1:6">
      <c r="A151" s="102" t="str">
        <f t="shared" si="7"/>
        <v>ridgerecyclingCRPLACE</v>
      </c>
      <c r="B151" s="122" t="s">
        <v>660</v>
      </c>
      <c r="C151" s="122" t="s">
        <v>661</v>
      </c>
      <c r="D151" s="142">
        <v>0</v>
      </c>
      <c r="F151" s="123">
        <v>0</v>
      </c>
    </row>
    <row r="152" spans="1:6">
      <c r="A152" s="102" t="str">
        <f t="shared" si="7"/>
        <v>ridgerecyclingCRYPLACE</v>
      </c>
      <c r="B152" s="122" t="s">
        <v>863</v>
      </c>
      <c r="C152" s="122" t="s">
        <v>864</v>
      </c>
      <c r="D152" s="142">
        <v>31.05</v>
      </c>
      <c r="F152" s="123">
        <v>176.42000000000002</v>
      </c>
    </row>
    <row r="153" spans="1:6">
      <c r="A153" s="102" t="str">
        <f t="shared" si="7"/>
        <v>ridgerecyclingCRYRO</v>
      </c>
      <c r="B153" s="122" t="s">
        <v>865</v>
      </c>
      <c r="C153" s="122" t="s">
        <v>866</v>
      </c>
      <c r="D153" s="142">
        <v>8.2200000000000006</v>
      </c>
      <c r="F153" s="123">
        <v>643.23</v>
      </c>
    </row>
    <row r="154" spans="1:6">
      <c r="A154" s="102" t="str">
        <f t="shared" si="7"/>
        <v>ridgerecyclingCOMREC</v>
      </c>
      <c r="B154" s="122" t="s">
        <v>867</v>
      </c>
      <c r="C154" s="122" t="s">
        <v>868</v>
      </c>
      <c r="D154" s="142">
        <v>47.87</v>
      </c>
      <c r="F154" s="123">
        <v>2804.5499999999997</v>
      </c>
    </row>
    <row r="155" spans="1:6">
      <c r="A155" s="102" t="str">
        <f t="shared" si="7"/>
        <v>ridgerecyclingSCHX</v>
      </c>
      <c r="B155" s="122" t="s">
        <v>811</v>
      </c>
      <c r="C155" s="122" t="s">
        <v>812</v>
      </c>
      <c r="D155" s="142">
        <v>6.83</v>
      </c>
      <c r="F155" s="123">
        <v>259.54000000000002</v>
      </c>
    </row>
    <row r="156" spans="1:6">
      <c r="A156" s="102" t="str">
        <f t="shared" si="7"/>
        <v>ridgerecyclingCRYEX8YD</v>
      </c>
      <c r="B156" s="122" t="s">
        <v>887</v>
      </c>
      <c r="C156" s="122" t="s">
        <v>888</v>
      </c>
      <c r="D156" s="142">
        <v>33.619999999999997</v>
      </c>
      <c r="F156" s="123">
        <v>0</v>
      </c>
    </row>
    <row r="157" spans="1:6">
      <c r="A157" s="102" t="str">
        <f t="shared" si="7"/>
        <v>ridgerecyclingCRYTRIP</v>
      </c>
      <c r="B157" s="122" t="s">
        <v>889</v>
      </c>
      <c r="C157" s="122" t="s">
        <v>890</v>
      </c>
      <c r="D157" s="142">
        <v>14.97</v>
      </c>
      <c r="F157" s="123">
        <v>57.04</v>
      </c>
    </row>
    <row r="158" spans="1:6">
      <c r="A158" s="102" t="str">
        <f t="shared" si="7"/>
        <v>ridgerecyclingRECPUR</v>
      </c>
      <c r="B158" s="122" t="s">
        <v>893</v>
      </c>
      <c r="C158" s="122" t="s">
        <v>894</v>
      </c>
      <c r="D158" s="142">
        <v>0</v>
      </c>
      <c r="F158" s="123">
        <v>-135.24</v>
      </c>
    </row>
    <row r="159" spans="1:6">
      <c r="A159" s="102" t="str">
        <f t="shared" si="7"/>
        <v>ridgerecyclingMFTOTE</v>
      </c>
      <c r="B159" s="122" t="s">
        <v>809</v>
      </c>
      <c r="C159" s="122" t="s">
        <v>810</v>
      </c>
      <c r="D159" s="142">
        <v>5.86</v>
      </c>
      <c r="F159" s="123">
        <v>16.739999999999998</v>
      </c>
    </row>
    <row r="160" spans="1:6">
      <c r="B160" s="104"/>
      <c r="C160" s="104"/>
      <c r="D160" s="142"/>
    </row>
    <row r="161" spans="1:8">
      <c r="B161" s="126"/>
      <c r="C161" s="127" t="s">
        <v>895</v>
      </c>
      <c r="D161" s="169"/>
      <c r="F161" s="128">
        <f>+SUM(F119:F160)</f>
        <v>32252.609999999997</v>
      </c>
      <c r="G161" s="129"/>
      <c r="H161" s="158">
        <f>+SUM(H119:H160)</f>
        <v>41.559464850356207</v>
      </c>
    </row>
    <row r="162" spans="1:8">
      <c r="D162" s="142"/>
    </row>
    <row r="163" spans="1:8">
      <c r="A163" s="111"/>
      <c r="B163" s="111" t="s">
        <v>526</v>
      </c>
      <c r="C163" s="113"/>
      <c r="D163" s="114"/>
      <c r="E163" s="114"/>
      <c r="F163" s="114"/>
      <c r="G163" s="114"/>
      <c r="H163" s="114"/>
    </row>
    <row r="164" spans="1:8">
      <c r="B164" s="116"/>
      <c r="C164" s="116"/>
      <c r="D164" s="142"/>
    </row>
    <row r="165" spans="1:8">
      <c r="B165" s="145" t="s">
        <v>957</v>
      </c>
      <c r="C165" s="145"/>
      <c r="D165" s="120"/>
      <c r="E165" s="121"/>
      <c r="F165" s="121"/>
      <c r="G165" s="121"/>
      <c r="H165" s="167"/>
    </row>
    <row r="166" spans="1:8">
      <c r="A166" s="102" t="str">
        <f>"ridge"&amp;"roll off"&amp;B166</f>
        <v>ridgeroll offRER15YD</v>
      </c>
      <c r="B166" s="122" t="s">
        <v>1058</v>
      </c>
      <c r="C166" s="122" t="s">
        <v>528</v>
      </c>
      <c r="D166" s="142">
        <v>112.86</v>
      </c>
      <c r="F166" s="123">
        <v>0</v>
      </c>
      <c r="H166" s="124">
        <f t="shared" ref="H166:H182" si="8">+(F166/D166)/12</f>
        <v>0</v>
      </c>
    </row>
    <row r="167" spans="1:8">
      <c r="A167" s="102" t="str">
        <f t="shared" ref="A167:A198" si="9">"ridge"&amp;"roll off"&amp;B167</f>
        <v>ridgeroll offCER20YD</v>
      </c>
      <c r="B167" s="122" t="s">
        <v>529</v>
      </c>
      <c r="C167" s="122" t="s">
        <v>530</v>
      </c>
      <c r="D167" s="142">
        <v>119.15</v>
      </c>
      <c r="F167" s="123">
        <v>0</v>
      </c>
      <c r="H167" s="124">
        <f t="shared" si="8"/>
        <v>0</v>
      </c>
    </row>
    <row r="168" spans="1:8">
      <c r="A168" s="102" t="str">
        <f t="shared" si="9"/>
        <v>ridgeroll offRER20YD</v>
      </c>
      <c r="B168" s="122" t="s">
        <v>1059</v>
      </c>
      <c r="C168" s="122" t="s">
        <v>530</v>
      </c>
      <c r="D168" s="142">
        <v>119.15</v>
      </c>
      <c r="F168" s="123">
        <v>9868.39</v>
      </c>
      <c r="H168" s="124">
        <f t="shared" si="8"/>
        <v>6.9019373338928522</v>
      </c>
    </row>
    <row r="169" spans="1:8">
      <c r="A169" s="102" t="str">
        <f t="shared" si="9"/>
        <v>ridgeroll offCER30YD</v>
      </c>
      <c r="B169" s="122" t="s">
        <v>531</v>
      </c>
      <c r="C169" s="122" t="s">
        <v>532</v>
      </c>
      <c r="D169" s="142">
        <v>125.41</v>
      </c>
      <c r="F169" s="123">
        <v>0</v>
      </c>
      <c r="H169" s="124">
        <f t="shared" si="8"/>
        <v>0</v>
      </c>
    </row>
    <row r="170" spans="1:8">
      <c r="A170" s="102" t="str">
        <f t="shared" si="9"/>
        <v>ridgeroll offRER30YD</v>
      </c>
      <c r="B170" s="122" t="s">
        <v>1060</v>
      </c>
      <c r="C170" s="122" t="s">
        <v>532</v>
      </c>
      <c r="D170" s="142">
        <v>125.41</v>
      </c>
      <c r="F170" s="123">
        <v>18901.239999999998</v>
      </c>
      <c r="H170" s="124">
        <f t="shared" si="8"/>
        <v>12.559631076734975</v>
      </c>
    </row>
    <row r="171" spans="1:8">
      <c r="A171" s="102" t="str">
        <f t="shared" si="9"/>
        <v>ridgeroll offCER40YD</v>
      </c>
      <c r="B171" s="122" t="s">
        <v>533</v>
      </c>
      <c r="C171" s="122" t="s">
        <v>534</v>
      </c>
      <c r="D171" s="142">
        <v>137.94999999999999</v>
      </c>
      <c r="F171" s="123">
        <v>0</v>
      </c>
      <c r="H171" s="124">
        <f t="shared" si="8"/>
        <v>0</v>
      </c>
    </row>
    <row r="172" spans="1:8">
      <c r="A172" s="102" t="str">
        <f t="shared" si="9"/>
        <v>ridgeroll offRER40YD</v>
      </c>
      <c r="B172" s="122" t="s">
        <v>1061</v>
      </c>
      <c r="C172" s="122" t="s">
        <v>534</v>
      </c>
      <c r="D172" s="142">
        <v>137.94999999999999</v>
      </c>
      <c r="F172" s="123">
        <v>11828.609999999999</v>
      </c>
      <c r="H172" s="124">
        <f t="shared" si="8"/>
        <v>7.1454693729612169</v>
      </c>
    </row>
    <row r="173" spans="1:8">
      <c r="A173" s="102" t="str">
        <f t="shared" si="9"/>
        <v>ridgeroll offRRV20YD</v>
      </c>
      <c r="B173" s="122" t="s">
        <v>1062</v>
      </c>
      <c r="C173" s="122" t="s">
        <v>542</v>
      </c>
      <c r="D173" s="142">
        <v>119.15</v>
      </c>
      <c r="F173" s="123">
        <v>2495.13</v>
      </c>
      <c r="H173" s="124">
        <f t="shared" si="8"/>
        <v>1.7450902224087284</v>
      </c>
    </row>
    <row r="174" spans="1:8">
      <c r="A174" s="102" t="str">
        <f t="shared" si="9"/>
        <v>ridgeroll offRRV30YD</v>
      </c>
      <c r="B174" s="122" t="s">
        <v>1063</v>
      </c>
      <c r="C174" s="122" t="s">
        <v>544</v>
      </c>
      <c r="D174" s="142">
        <v>125.41</v>
      </c>
      <c r="F174" s="123">
        <v>1997.9499999999998</v>
      </c>
      <c r="H174" s="124">
        <f t="shared" si="8"/>
        <v>1.3276120989820057</v>
      </c>
    </row>
    <row r="175" spans="1:8">
      <c r="A175" s="102" t="str">
        <f t="shared" si="9"/>
        <v>ridgeroll offRRV40YD</v>
      </c>
      <c r="B175" s="122" t="s">
        <v>1064</v>
      </c>
      <c r="C175" s="122" t="s">
        <v>546</v>
      </c>
      <c r="D175" s="142">
        <v>137.94999999999999</v>
      </c>
      <c r="F175" s="123">
        <v>826.35</v>
      </c>
      <c r="H175" s="124">
        <f t="shared" si="8"/>
        <v>0.49918448713301927</v>
      </c>
    </row>
    <row r="176" spans="1:8">
      <c r="A176" s="102" t="str">
        <f t="shared" si="9"/>
        <v>ridgeroll offVHAUL30</v>
      </c>
      <c r="B176" s="122" t="s">
        <v>537</v>
      </c>
      <c r="C176" s="122" t="s">
        <v>538</v>
      </c>
      <c r="D176" s="142">
        <v>125.41</v>
      </c>
      <c r="F176" s="123">
        <v>0</v>
      </c>
      <c r="H176" s="124">
        <f t="shared" si="8"/>
        <v>0</v>
      </c>
    </row>
    <row r="177" spans="1:8">
      <c r="A177" s="102" t="str">
        <f t="shared" si="9"/>
        <v>ridgeroll offVHAUL40</v>
      </c>
      <c r="B177" s="122" t="s">
        <v>539</v>
      </c>
      <c r="C177" s="122" t="s">
        <v>540</v>
      </c>
      <c r="D177" s="142">
        <v>137.94999999999999</v>
      </c>
      <c r="F177" s="123">
        <v>0</v>
      </c>
      <c r="H177" s="124">
        <f t="shared" si="8"/>
        <v>0</v>
      </c>
    </row>
    <row r="178" spans="1:8">
      <c r="A178" s="102" t="str">
        <f>"ridge"&amp;"compactor"&amp;B178</f>
        <v>ridgecompactorCCOMP20</v>
      </c>
      <c r="B178" s="122" t="s">
        <v>565</v>
      </c>
      <c r="C178" s="122" t="s">
        <v>566</v>
      </c>
      <c r="D178" s="142">
        <v>128.38999999999999</v>
      </c>
      <c r="F178" s="123">
        <v>6144.66</v>
      </c>
      <c r="H178" s="124">
        <f t="shared" si="8"/>
        <v>3.9882779032634943</v>
      </c>
    </row>
    <row r="179" spans="1:8">
      <c r="A179" s="102" t="str">
        <f t="shared" ref="A179:A181" si="10">"ridge"&amp;"compactor"&amp;B179</f>
        <v>ridgecompactorCCOMP25</v>
      </c>
      <c r="B179" s="122" t="s">
        <v>567</v>
      </c>
      <c r="C179" s="122" t="s">
        <v>568</v>
      </c>
      <c r="D179" s="142">
        <v>144.07</v>
      </c>
      <c r="F179" s="123">
        <v>5591.9400000000005</v>
      </c>
      <c r="H179" s="124">
        <f t="shared" si="8"/>
        <v>3.2345040605261333</v>
      </c>
    </row>
    <row r="180" spans="1:8">
      <c r="A180" s="102" t="str">
        <f t="shared" si="10"/>
        <v>ridgecompactorCCOMP30</v>
      </c>
      <c r="B180" s="122" t="s">
        <v>569</v>
      </c>
      <c r="C180" s="122" t="s">
        <v>570</v>
      </c>
      <c r="D180" s="142">
        <v>144.07</v>
      </c>
      <c r="F180" s="123">
        <v>144.07</v>
      </c>
      <c r="H180" s="124">
        <f t="shared" si="8"/>
        <v>8.3333333333333329E-2</v>
      </c>
    </row>
    <row r="181" spans="1:8">
      <c r="A181" s="102" t="str">
        <f t="shared" si="10"/>
        <v>ridgecompactorCCOMP40</v>
      </c>
      <c r="B181" s="122" t="s">
        <v>571</v>
      </c>
      <c r="C181" s="122" t="s">
        <v>572</v>
      </c>
      <c r="D181" s="142">
        <v>144.07</v>
      </c>
      <c r="F181" s="123">
        <v>12056.759999999998</v>
      </c>
      <c r="H181" s="124">
        <f t="shared" si="8"/>
        <v>6.9739015756229605</v>
      </c>
    </row>
    <row r="182" spans="1:8">
      <c r="A182" s="102" t="str">
        <f t="shared" si="9"/>
        <v>ridgeroll offCTER20YD</v>
      </c>
      <c r="B182" s="122" t="s">
        <v>549</v>
      </c>
      <c r="C182" s="122" t="s">
        <v>550</v>
      </c>
      <c r="D182" s="142">
        <v>119.15</v>
      </c>
      <c r="F182" s="123">
        <v>0</v>
      </c>
      <c r="H182" s="124">
        <f t="shared" si="8"/>
        <v>0</v>
      </c>
    </row>
    <row r="183" spans="1:8">
      <c r="A183" s="102" t="str">
        <f t="shared" si="9"/>
        <v>ridgeroll offRDEM15</v>
      </c>
      <c r="B183" s="122" t="s">
        <v>1065</v>
      </c>
      <c r="C183" s="122" t="s">
        <v>574</v>
      </c>
      <c r="D183" s="142">
        <v>81.53</v>
      </c>
      <c r="F183" s="123">
        <v>0</v>
      </c>
    </row>
    <row r="184" spans="1:8">
      <c r="A184" s="102" t="str">
        <f t="shared" si="9"/>
        <v>ridgeroll offRDEM20</v>
      </c>
      <c r="B184" s="122" t="s">
        <v>1066</v>
      </c>
      <c r="C184" s="122" t="s">
        <v>576</v>
      </c>
      <c r="D184" s="142">
        <v>81.53</v>
      </c>
      <c r="F184" s="123">
        <v>4183.09</v>
      </c>
    </row>
    <row r="185" spans="1:8">
      <c r="A185" s="102" t="str">
        <f t="shared" si="9"/>
        <v>ridgeroll offRDEM30</v>
      </c>
      <c r="B185" s="122" t="s">
        <v>1067</v>
      </c>
      <c r="C185" s="122" t="s">
        <v>578</v>
      </c>
      <c r="D185" s="142">
        <v>81.53</v>
      </c>
      <c r="F185" s="123">
        <v>5784.75</v>
      </c>
    </row>
    <row r="186" spans="1:8">
      <c r="A186" s="102" t="str">
        <f t="shared" si="9"/>
        <v>ridgeroll offRDEM40</v>
      </c>
      <c r="B186" s="122" t="s">
        <v>1068</v>
      </c>
      <c r="C186" s="122" t="s">
        <v>580</v>
      </c>
      <c r="D186" s="142">
        <v>81.53</v>
      </c>
      <c r="F186" s="123">
        <v>4332.74</v>
      </c>
    </row>
    <row r="187" spans="1:8">
      <c r="A187" s="102" t="str">
        <f t="shared" si="9"/>
        <v>ridgeroll offRPLACE</v>
      </c>
      <c r="B187" s="122" t="s">
        <v>596</v>
      </c>
      <c r="C187" s="122" t="s">
        <v>595</v>
      </c>
      <c r="D187" s="142">
        <v>65.48</v>
      </c>
      <c r="F187" s="123">
        <v>2352.16</v>
      </c>
    </row>
    <row r="188" spans="1:8">
      <c r="A188" s="102" t="str">
        <f t="shared" si="9"/>
        <v>ridgeroll offCLIDCHG</v>
      </c>
      <c r="B188" s="122" t="s">
        <v>597</v>
      </c>
      <c r="C188" s="122" t="s">
        <v>598</v>
      </c>
      <c r="D188" s="142">
        <v>43.89</v>
      </c>
      <c r="F188" s="123">
        <v>0</v>
      </c>
    </row>
    <row r="189" spans="1:8">
      <c r="A189" s="102" t="str">
        <f t="shared" si="9"/>
        <v>ridgeroll offRLIDCHG</v>
      </c>
      <c r="B189" s="122" t="s">
        <v>1069</v>
      </c>
      <c r="C189" s="122" t="s">
        <v>598</v>
      </c>
      <c r="D189" s="142">
        <v>43.89</v>
      </c>
      <c r="F189" s="123">
        <v>3645.6299999999997</v>
      </c>
    </row>
    <row r="190" spans="1:8">
      <c r="A190" s="102" t="str">
        <f t="shared" si="9"/>
        <v>ridgeroll offMILE</v>
      </c>
      <c r="B190" s="122" t="s">
        <v>601</v>
      </c>
      <c r="C190" s="122" t="s">
        <v>602</v>
      </c>
      <c r="D190" s="142">
        <v>2.34</v>
      </c>
      <c r="F190" s="123">
        <v>6180.1399999999994</v>
      </c>
    </row>
    <row r="191" spans="1:8">
      <c r="A191" s="102" t="str">
        <f t="shared" si="9"/>
        <v>ridgeroll offTARP</v>
      </c>
      <c r="B191" s="122" t="s">
        <v>603</v>
      </c>
      <c r="C191" s="122" t="s">
        <v>604</v>
      </c>
      <c r="D191" s="142">
        <v>9.41</v>
      </c>
      <c r="F191" s="123">
        <v>1822.03</v>
      </c>
    </row>
    <row r="192" spans="1:8">
      <c r="A192" s="102" t="str">
        <f t="shared" si="9"/>
        <v>ridgeroll offVDTIME</v>
      </c>
      <c r="B192" s="122" t="s">
        <v>605</v>
      </c>
      <c r="C192" s="122" t="s">
        <v>606</v>
      </c>
      <c r="D192" s="142">
        <v>0.98</v>
      </c>
      <c r="F192" s="123">
        <v>29.4</v>
      </c>
    </row>
    <row r="193" spans="1:8">
      <c r="A193" s="102" t="str">
        <f t="shared" si="9"/>
        <v>ridgeroll offDBTRIP</v>
      </c>
      <c r="B193" s="122" t="s">
        <v>608</v>
      </c>
      <c r="C193" s="122" t="s">
        <v>609</v>
      </c>
      <c r="D193" s="142">
        <v>70.739999999999995</v>
      </c>
      <c r="F193" s="123">
        <v>1689.4799999999998</v>
      </c>
    </row>
    <row r="194" spans="1:8">
      <c r="A194" s="102" t="str">
        <f t="shared" si="9"/>
        <v>ridgeroll offLINER-RO</v>
      </c>
      <c r="B194" s="122" t="s">
        <v>1070</v>
      </c>
      <c r="C194" s="122" t="s">
        <v>1071</v>
      </c>
      <c r="D194" s="142">
        <v>0</v>
      </c>
      <c r="F194" s="123">
        <v>50</v>
      </c>
    </row>
    <row r="195" spans="1:8">
      <c r="A195" s="102" t="str">
        <f t="shared" si="9"/>
        <v>ridgeroll offCPLACE</v>
      </c>
      <c r="B195" s="122" t="s">
        <v>594</v>
      </c>
      <c r="C195" s="122" t="s">
        <v>595</v>
      </c>
      <c r="D195" s="142">
        <v>65.48</v>
      </c>
      <c r="F195" s="123">
        <v>130</v>
      </c>
    </row>
    <row r="196" spans="1:8">
      <c r="A196" s="102" t="str">
        <f t="shared" ref="A196" si="11">"ridge"&amp;"compactor"&amp;B196</f>
        <v>ridgecompactorSPDISCO</v>
      </c>
      <c r="B196" s="122" t="s">
        <v>592</v>
      </c>
      <c r="C196" s="122" t="s">
        <v>593</v>
      </c>
      <c r="D196" s="142">
        <v>10.81</v>
      </c>
      <c r="F196" s="123">
        <v>1854.5900000000001</v>
      </c>
    </row>
    <row r="197" spans="1:8">
      <c r="A197" s="102" t="str">
        <f t="shared" si="9"/>
        <v>ridgeroll offDWSAN30</v>
      </c>
      <c r="B197" s="122" t="s">
        <v>974</v>
      </c>
      <c r="C197" s="122" t="s">
        <v>975</v>
      </c>
      <c r="D197" s="142">
        <v>253.88</v>
      </c>
      <c r="F197" s="123">
        <v>0</v>
      </c>
    </row>
    <row r="198" spans="1:8">
      <c r="A198" s="102" t="str">
        <f t="shared" si="9"/>
        <v>ridgeroll offDWSAN40</v>
      </c>
      <c r="B198" s="122" t="s">
        <v>1072</v>
      </c>
      <c r="C198" s="122" t="s">
        <v>1073</v>
      </c>
      <c r="D198" s="142">
        <v>316.68</v>
      </c>
      <c r="F198" s="123">
        <v>0</v>
      </c>
    </row>
    <row r="199" spans="1:8">
      <c r="B199" s="104"/>
      <c r="C199" s="104"/>
      <c r="D199" s="142"/>
    </row>
    <row r="200" spans="1:8">
      <c r="B200" s="126"/>
      <c r="C200" s="132" t="s">
        <v>957</v>
      </c>
      <c r="D200" s="142"/>
      <c r="F200" s="128">
        <f>+SUM(F166:F199)</f>
        <v>101909.10999999999</v>
      </c>
      <c r="G200" s="129"/>
      <c r="H200" s="158">
        <f>+SUM(H166:H199)</f>
        <v>44.458941464858718</v>
      </c>
    </row>
    <row r="201" spans="1:8">
      <c r="B201" s="126"/>
      <c r="C201" s="126"/>
      <c r="D201" s="142"/>
    </row>
    <row r="202" spans="1:8">
      <c r="B202" s="145" t="s">
        <v>979</v>
      </c>
      <c r="C202" s="145" t="s">
        <v>979</v>
      </c>
      <c r="D202" s="120"/>
      <c r="E202" s="121"/>
      <c r="F202" s="121"/>
      <c r="G202" s="121"/>
      <c r="H202" s="167"/>
    </row>
    <row r="203" spans="1:8">
      <c r="A203" s="102" t="str">
        <f t="shared" ref="A203:A212" si="12">"ridge"&amp;"roll off"&amp;B203</f>
        <v>ridgeroll offDRHAUL20</v>
      </c>
      <c r="B203" s="122" t="s">
        <v>900</v>
      </c>
      <c r="C203" s="122" t="s">
        <v>901</v>
      </c>
      <c r="D203" s="142">
        <v>173.74</v>
      </c>
      <c r="F203" s="123">
        <v>3235.42</v>
      </c>
      <c r="H203" s="124">
        <f>+(F203/D203)/12</f>
        <v>1.5518495069260581</v>
      </c>
    </row>
    <row r="204" spans="1:8">
      <c r="A204" s="102" t="str">
        <f t="shared" si="12"/>
        <v>ridgeroll offDRHAUL30</v>
      </c>
      <c r="B204" s="122" t="s">
        <v>902</v>
      </c>
      <c r="C204" s="122" t="s">
        <v>903</v>
      </c>
      <c r="D204" s="142">
        <v>173.74</v>
      </c>
      <c r="F204" s="123">
        <v>2773.59</v>
      </c>
      <c r="H204" s="124">
        <f>+(F204/D204)/12</f>
        <v>1.3303355588810868</v>
      </c>
    </row>
    <row r="205" spans="1:8">
      <c r="A205" s="102" t="str">
        <f t="shared" si="12"/>
        <v>ridgeroll offDRHAUL40</v>
      </c>
      <c r="B205" s="122" t="s">
        <v>904</v>
      </c>
      <c r="C205" s="122" t="s">
        <v>905</v>
      </c>
      <c r="D205" s="142">
        <v>173.74</v>
      </c>
      <c r="F205" s="123">
        <v>5939.47</v>
      </c>
      <c r="H205" s="124">
        <f>+(F205/D205)/12</f>
        <v>2.8488306281416675</v>
      </c>
    </row>
    <row r="206" spans="1:8">
      <c r="A206" s="152" t="str">
        <f t="shared" si="12"/>
        <v>ridgeroll offDRHAUL15</v>
      </c>
      <c r="B206" s="161" t="s">
        <v>898</v>
      </c>
      <c r="C206" s="161" t="s">
        <v>899</v>
      </c>
      <c r="D206" s="142">
        <v>173.74</v>
      </c>
      <c r="F206" s="123">
        <v>165.47</v>
      </c>
      <c r="H206" s="124">
        <f>+(F206/D206)/12</f>
        <v>7.9366678178120556E-2</v>
      </c>
    </row>
    <row r="207" spans="1:8">
      <c r="A207" s="102" t="str">
        <f t="shared" si="12"/>
        <v>ridgeroll offDRDEM20</v>
      </c>
      <c r="B207" s="122" t="s">
        <v>914</v>
      </c>
      <c r="C207" s="122" t="s">
        <v>915</v>
      </c>
      <c r="D207" s="142">
        <v>0</v>
      </c>
      <c r="F207" s="123">
        <v>0</v>
      </c>
    </row>
    <row r="208" spans="1:8">
      <c r="A208" s="102" t="str">
        <f t="shared" si="12"/>
        <v>ridgeroll offDRDEM30</v>
      </c>
      <c r="B208" s="122" t="s">
        <v>916</v>
      </c>
      <c r="C208" s="122" t="s">
        <v>917</v>
      </c>
      <c r="D208" s="142">
        <v>0</v>
      </c>
      <c r="F208" s="123">
        <v>0</v>
      </c>
    </row>
    <row r="209" spans="1:8">
      <c r="A209" s="102" t="str">
        <f t="shared" si="12"/>
        <v>ridgeroll offDRDEM40</v>
      </c>
      <c r="B209" s="122" t="s">
        <v>918</v>
      </c>
      <c r="C209" s="122" t="s">
        <v>919</v>
      </c>
      <c r="D209" s="142">
        <v>0</v>
      </c>
      <c r="F209" s="123">
        <v>0</v>
      </c>
    </row>
    <row r="210" spans="1:8">
      <c r="A210" s="102" t="str">
        <f t="shared" si="12"/>
        <v>ridgeroll offHAULWD/YD</v>
      </c>
      <c r="B210" s="122" t="s">
        <v>920</v>
      </c>
      <c r="C210" s="122" t="s">
        <v>921</v>
      </c>
      <c r="D210" s="142">
        <v>300.93</v>
      </c>
      <c r="F210" s="123">
        <v>0</v>
      </c>
    </row>
    <row r="211" spans="1:8">
      <c r="A211" s="102" t="str">
        <f t="shared" si="12"/>
        <v>ridgeroll offDRPLACE</v>
      </c>
      <c r="B211" s="122" t="s">
        <v>922</v>
      </c>
      <c r="C211" s="122" t="s">
        <v>923</v>
      </c>
      <c r="D211" s="142">
        <v>0</v>
      </c>
      <c r="F211" s="123">
        <v>0</v>
      </c>
    </row>
    <row r="212" spans="1:8">
      <c r="A212" s="102" t="str">
        <f t="shared" si="12"/>
        <v>ridgeroll offDRTARP</v>
      </c>
      <c r="B212" s="122" t="s">
        <v>924</v>
      </c>
      <c r="C212" s="122" t="s">
        <v>925</v>
      </c>
      <c r="D212" s="142">
        <v>0</v>
      </c>
      <c r="F212" s="123">
        <v>0</v>
      </c>
    </row>
    <row r="213" spans="1:8">
      <c r="B213" s="104"/>
      <c r="C213" s="104"/>
      <c r="D213" s="142"/>
    </row>
    <row r="214" spans="1:8">
      <c r="B214" s="104"/>
      <c r="C214" s="127" t="s">
        <v>984</v>
      </c>
      <c r="D214" s="142"/>
      <c r="F214" s="128">
        <f>+SUM(F203:F213)</f>
        <v>12113.949999999999</v>
      </c>
      <c r="G214" s="129"/>
      <c r="H214" s="158">
        <f>+SUM(H203:H213)</f>
        <v>5.8103823721269325</v>
      </c>
    </row>
    <row r="215" spans="1:8">
      <c r="B215" s="104"/>
      <c r="C215" s="127"/>
      <c r="D215" s="142"/>
    </row>
    <row r="216" spans="1:8">
      <c r="A216" s="111"/>
      <c r="B216" s="111" t="s">
        <v>612</v>
      </c>
      <c r="C216" s="113"/>
      <c r="D216" s="114"/>
      <c r="E216" s="114"/>
      <c r="F216" s="114"/>
      <c r="G216" s="114"/>
      <c r="H216" s="114"/>
    </row>
    <row r="217" spans="1:8">
      <c r="A217" s="102" t="str">
        <f t="shared" ref="A217:A224" si="13">"ridge"&amp;"roll off"&amp;B217</f>
        <v>ridgeroll offDISP</v>
      </c>
      <c r="B217" s="122" t="s">
        <v>613</v>
      </c>
      <c r="C217" s="122" t="s">
        <v>614</v>
      </c>
      <c r="D217" s="142">
        <v>78.760000000000005</v>
      </c>
      <c r="F217" s="123">
        <v>152752.68</v>
      </c>
    </row>
    <row r="218" spans="1:8">
      <c r="A218" s="102" t="str">
        <f t="shared" si="13"/>
        <v>ridgeroll offFEE</v>
      </c>
      <c r="B218" s="122" t="s">
        <v>615</v>
      </c>
      <c r="C218" s="122" t="s">
        <v>616</v>
      </c>
      <c r="D218" s="142">
        <v>10</v>
      </c>
      <c r="F218" s="123">
        <v>5350</v>
      </c>
    </row>
    <row r="219" spans="1:8">
      <c r="A219" s="102" t="str">
        <f t="shared" si="13"/>
        <v>ridgeroll offPTON</v>
      </c>
      <c r="B219" s="122" t="s">
        <v>931</v>
      </c>
      <c r="C219" s="122" t="s">
        <v>932</v>
      </c>
      <c r="D219" s="142">
        <v>0</v>
      </c>
      <c r="F219" s="123">
        <v>8500.77</v>
      </c>
    </row>
    <row r="220" spans="1:8">
      <c r="A220" s="102" t="str">
        <f t="shared" si="13"/>
        <v>ridgeroll offDRMIX</v>
      </c>
      <c r="B220" s="122" t="s">
        <v>910</v>
      </c>
      <c r="C220" s="122" t="s">
        <v>911</v>
      </c>
      <c r="D220" s="142">
        <v>0</v>
      </c>
      <c r="F220" s="123">
        <v>0</v>
      </c>
    </row>
    <row r="221" spans="1:8">
      <c r="A221" s="102" t="str">
        <f t="shared" si="13"/>
        <v>ridgeroll offWBREFRIGE</v>
      </c>
      <c r="B221" s="122" t="s">
        <v>619</v>
      </c>
      <c r="C221" s="122" t="s">
        <v>620</v>
      </c>
      <c r="D221" s="142">
        <v>37.67</v>
      </c>
      <c r="F221" s="123">
        <v>112.64</v>
      </c>
    </row>
    <row r="222" spans="1:8">
      <c r="A222" s="102" t="str">
        <f t="shared" si="13"/>
        <v>ridgeroll offWTTIRE</v>
      </c>
      <c r="B222" s="122" t="s">
        <v>621</v>
      </c>
      <c r="C222" s="122" t="s">
        <v>622</v>
      </c>
      <c r="D222" s="142">
        <v>11.43</v>
      </c>
      <c r="F222" s="123">
        <v>0</v>
      </c>
    </row>
    <row r="223" spans="1:8">
      <c r="A223" s="102" t="str">
        <f t="shared" si="13"/>
        <v>ridgeroll offWCTIRE/RIM</v>
      </c>
      <c r="B223" s="122" t="s">
        <v>623</v>
      </c>
      <c r="C223" s="122" t="s">
        <v>624</v>
      </c>
      <c r="D223" s="142">
        <v>10.119999999999999</v>
      </c>
      <c r="F223" s="123">
        <v>0</v>
      </c>
    </row>
    <row r="224" spans="1:8">
      <c r="A224" s="102" t="str">
        <f t="shared" si="13"/>
        <v>ridgeroll offWCTIRE</v>
      </c>
      <c r="B224" s="122" t="s">
        <v>625</v>
      </c>
      <c r="C224" s="122" t="s">
        <v>626</v>
      </c>
      <c r="D224" s="142">
        <v>5.0599999999999996</v>
      </c>
      <c r="F224" s="123">
        <v>0</v>
      </c>
    </row>
    <row r="225" spans="1:8">
      <c r="B225" s="126"/>
      <c r="C225" s="126"/>
      <c r="D225" s="142"/>
    </row>
    <row r="226" spans="1:8">
      <c r="B226" s="126"/>
      <c r="C226" s="127" t="s">
        <v>631</v>
      </c>
      <c r="D226" s="142"/>
      <c r="F226" s="128">
        <f>+SUM(F217:F225)</f>
        <v>166716.09</v>
      </c>
      <c r="G226" s="129"/>
      <c r="H226" s="158">
        <f>+SUM(H217:H225)</f>
        <v>0</v>
      </c>
    </row>
    <row r="227" spans="1:8">
      <c r="B227" s="126"/>
      <c r="D227" s="142"/>
    </row>
    <row r="228" spans="1:8">
      <c r="A228" s="111"/>
      <c r="B228" s="111" t="s">
        <v>1074</v>
      </c>
      <c r="C228" s="113"/>
      <c r="D228" s="114"/>
      <c r="E228" s="114"/>
      <c r="F228" s="114"/>
      <c r="G228" s="114"/>
      <c r="H228" s="114"/>
    </row>
    <row r="229" spans="1:8">
      <c r="A229" s="102" t="str">
        <f>"ridge"&amp;"accounting"&amp;B229</f>
        <v>ridgeaccountingFINCHG</v>
      </c>
      <c r="B229" s="122" t="s">
        <v>632</v>
      </c>
      <c r="C229" s="122" t="s">
        <v>633</v>
      </c>
      <c r="D229" s="142">
        <v>0</v>
      </c>
      <c r="F229" s="123">
        <v>1</v>
      </c>
    </row>
    <row r="230" spans="1:8">
      <c r="A230" s="102" t="str">
        <f t="shared" ref="A230:A234" si="14">"ridge"&amp;"account adjustments"&amp;B230</f>
        <v>ridgeaccount adjustmentsMM</v>
      </c>
      <c r="B230" s="122" t="s">
        <v>993</v>
      </c>
      <c r="C230" s="122" t="s">
        <v>994</v>
      </c>
      <c r="D230" s="142">
        <v>0</v>
      </c>
      <c r="F230" s="123">
        <v>-758.62</v>
      </c>
    </row>
    <row r="231" spans="1:8">
      <c r="A231" s="102" t="str">
        <f t="shared" si="14"/>
        <v>ridgeaccount adjustmentsGWC</v>
      </c>
      <c r="B231" s="122" t="s">
        <v>523</v>
      </c>
      <c r="C231" s="122" t="s">
        <v>524</v>
      </c>
      <c r="D231" s="142">
        <v>0</v>
      </c>
      <c r="F231" s="123">
        <v>-165</v>
      </c>
    </row>
    <row r="232" spans="1:8">
      <c r="A232" s="102" t="str">
        <f t="shared" si="14"/>
        <v>ridgeaccount adjustmentsNSF FEES</v>
      </c>
      <c r="B232" s="122" t="s">
        <v>991</v>
      </c>
      <c r="C232" s="122" t="s">
        <v>992</v>
      </c>
      <c r="D232" s="142">
        <v>0</v>
      </c>
      <c r="F232" s="123">
        <v>0</v>
      </c>
    </row>
    <row r="233" spans="1:8">
      <c r="A233" s="102" t="str">
        <f t="shared" si="14"/>
        <v>ridgeaccount adjustmentsRETCKC</v>
      </c>
      <c r="B233" s="122" t="s">
        <v>634</v>
      </c>
      <c r="C233" s="122" t="s">
        <v>635</v>
      </c>
      <c r="D233" s="142">
        <v>0</v>
      </c>
      <c r="F233" s="123">
        <v>0</v>
      </c>
    </row>
    <row r="234" spans="1:8">
      <c r="A234" s="102" t="str">
        <f t="shared" si="14"/>
        <v>ridgeaccount adjustmentsADJ</v>
      </c>
      <c r="B234" s="122" t="s">
        <v>521</v>
      </c>
      <c r="C234" s="122" t="s">
        <v>522</v>
      </c>
      <c r="D234" s="142">
        <v>0</v>
      </c>
      <c r="F234" s="123">
        <v>-0.69000000000000006</v>
      </c>
    </row>
    <row r="235" spans="1:8">
      <c r="B235" s="122"/>
      <c r="C235" s="122"/>
      <c r="D235" s="142"/>
    </row>
    <row r="236" spans="1:8">
      <c r="B236" s="126"/>
      <c r="C236" s="127" t="s">
        <v>636</v>
      </c>
      <c r="D236" s="142"/>
      <c r="F236" s="128">
        <f>+SUM(F229:F235)</f>
        <v>-923.31000000000006</v>
      </c>
      <c r="G236" s="133"/>
      <c r="H236" s="158">
        <f>+SUM(H229:H235)</f>
        <v>0</v>
      </c>
    </row>
    <row r="238" spans="1:8" ht="13.5" thickBot="1">
      <c r="C238" s="134" t="s">
        <v>637</v>
      </c>
      <c r="F238" s="137">
        <f>+F236+F226+F214+F200+F161+F116+F58+F51+F45</f>
        <v>1146259.7100000002</v>
      </c>
      <c r="G238" s="164"/>
      <c r="H238" s="137">
        <f>+H236+H226+H214+H200+H161+H116+H58+H51+H45</f>
        <v>5762.66835068814</v>
      </c>
    </row>
    <row r="239" spans="1:8" ht="13.5" thickTop="1">
      <c r="C239" s="170"/>
    </row>
    <row r="240" spans="1:8">
      <c r="C240" s="170"/>
    </row>
    <row r="241" spans="3:3">
      <c r="C241" s="170"/>
    </row>
    <row r="242" spans="3:3">
      <c r="C242" s="170"/>
    </row>
  </sheetData>
  <mergeCells count="2">
    <mergeCell ref="B5:H5"/>
    <mergeCell ref="F6:H6"/>
  </mergeCells>
  <pageMargins left="0.7" right="0.7" top="0.75" bottom="0.75" header="0.3" footer="0.3"/>
  <pageSetup scale="94" pageOrder="overThenDown" orientation="portrait" r:id="rId1"/>
  <headerFooter>
    <oddFooter xml:space="preserve">&amp;L&amp;F - &amp;A
&amp;RPage &amp;P of &amp;N
</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H435"/>
  <sheetViews>
    <sheetView showGridLines="0" view="pageBreakPreview" topLeftCell="B76" zoomScale="85" zoomScaleNormal="100" zoomScaleSheetLayoutView="85" workbookViewId="0">
      <selection activeCell="P22" sqref="P22"/>
    </sheetView>
  </sheetViews>
  <sheetFormatPr defaultRowHeight="12.75" outlineLevelCol="1"/>
  <cols>
    <col min="1" max="1" width="30.140625" style="104" hidden="1" customWidth="1" outlineLevel="1"/>
    <col min="2" max="2" width="17" style="104" customWidth="1" collapsed="1"/>
    <col min="3" max="3" width="27.5703125" style="104" bestFit="1" customWidth="1"/>
    <col min="4" max="4" width="9" style="104" bestFit="1" customWidth="1"/>
    <col min="5" max="5" width="0.85546875" style="104" customWidth="1"/>
    <col min="6" max="6" width="13.5703125" style="104" bestFit="1" customWidth="1"/>
    <col min="7" max="7" width="3.7109375" style="104" customWidth="1"/>
    <col min="8" max="8" width="14.42578125" style="104" bestFit="1" customWidth="1"/>
    <col min="9" max="16384" width="9.140625" style="104"/>
  </cols>
  <sheetData>
    <row r="1" spans="1:8">
      <c r="B1" s="101" t="s">
        <v>251</v>
      </c>
      <c r="C1" s="102"/>
      <c r="D1" s="140"/>
    </row>
    <row r="2" spans="1:8">
      <c r="B2" s="101" t="s">
        <v>1075</v>
      </c>
      <c r="C2" s="102"/>
      <c r="D2" s="140"/>
    </row>
    <row r="3" spans="1:8">
      <c r="B3" s="135" t="str">
        <f>+'Clark Co'!A3</f>
        <v>October 1, 2016 - September 30, 2017</v>
      </c>
      <c r="C3" s="102"/>
      <c r="D3" s="140"/>
    </row>
    <row r="4" spans="1:8">
      <c r="B4" s="135"/>
      <c r="C4" s="102"/>
      <c r="D4" s="140"/>
    </row>
    <row r="5" spans="1:8" ht="24.75" customHeight="1">
      <c r="B5" s="204" t="s">
        <v>254</v>
      </c>
      <c r="C5" s="204"/>
      <c r="D5" s="204"/>
      <c r="E5" s="204"/>
      <c r="F5" s="204"/>
      <c r="G5" s="204"/>
      <c r="H5" s="204"/>
    </row>
    <row r="6" spans="1:8">
      <c r="A6" s="102"/>
      <c r="B6" s="102"/>
      <c r="C6" s="102"/>
      <c r="D6" s="140"/>
      <c r="F6" s="206" t="s">
        <v>1076</v>
      </c>
      <c r="G6" s="206"/>
      <c r="H6" s="206"/>
    </row>
    <row r="7" spans="1:8">
      <c r="A7" s="102"/>
      <c r="B7" s="106" t="s">
        <v>256</v>
      </c>
      <c r="C7" s="107" t="s">
        <v>257</v>
      </c>
      <c r="D7" s="108" t="s">
        <v>258</v>
      </c>
      <c r="F7" s="143" t="s">
        <v>51</v>
      </c>
      <c r="G7" s="101"/>
      <c r="H7" s="166" t="s">
        <v>259</v>
      </c>
    </row>
    <row r="8" spans="1:8">
      <c r="A8" s="111"/>
      <c r="B8" s="111" t="s">
        <v>260</v>
      </c>
      <c r="C8" s="113"/>
      <c r="D8" s="114"/>
      <c r="E8" s="114"/>
      <c r="F8" s="114"/>
      <c r="G8" s="114"/>
      <c r="H8" s="114"/>
    </row>
    <row r="9" spans="1:8">
      <c r="A9" s="102"/>
      <c r="B9" s="115"/>
      <c r="C9" s="115"/>
      <c r="D9" s="140"/>
    </row>
    <row r="10" spans="1:8">
      <c r="A10" s="102"/>
      <c r="B10" s="145" t="s">
        <v>939</v>
      </c>
      <c r="C10" s="145"/>
      <c r="D10" s="120"/>
      <c r="E10" s="121"/>
      <c r="F10" s="171"/>
      <c r="G10" s="121"/>
      <c r="H10" s="167"/>
    </row>
    <row r="11" spans="1:8">
      <c r="A11" s="102" t="str">
        <f>"Vanc"&amp;"residential"&amp;B11</f>
        <v>VancresidentialVRA20EOWCO</v>
      </c>
      <c r="B11" s="122" t="s">
        <v>1077</v>
      </c>
      <c r="C11" s="122" t="s">
        <v>1078</v>
      </c>
      <c r="D11" s="142">
        <v>15.55</v>
      </c>
      <c r="F11" s="139">
        <v>182.57999999999998</v>
      </c>
      <c r="H11" s="124">
        <f>+(F11/D11)/12</f>
        <v>0.97845659163987131</v>
      </c>
    </row>
    <row r="12" spans="1:8">
      <c r="A12" s="102" t="str">
        <f t="shared" ref="A12:A34" si="0">"Vanc"&amp;"residential"&amp;B12</f>
        <v>VancresidentialVRA20WCO</v>
      </c>
      <c r="B12" s="122" t="s">
        <v>1079</v>
      </c>
      <c r="C12" s="122" t="s">
        <v>1080</v>
      </c>
      <c r="D12" s="142">
        <v>19.45</v>
      </c>
      <c r="F12" s="139">
        <v>364.95999999999992</v>
      </c>
      <c r="H12" s="124">
        <f>+(F12/D12)/12</f>
        <v>1.5636675235646955</v>
      </c>
    </row>
    <row r="13" spans="1:8">
      <c r="A13" s="102" t="str">
        <f t="shared" si="0"/>
        <v>VancresidentialVRA20W</v>
      </c>
      <c r="B13" s="122" t="s">
        <v>1081</v>
      </c>
      <c r="C13" s="122" t="s">
        <v>1082</v>
      </c>
      <c r="D13" s="142">
        <v>12.96</v>
      </c>
      <c r="F13" s="139">
        <v>234047.86</v>
      </c>
      <c r="H13" s="124">
        <f>+IFERROR((F13/D13)/12,0)</f>
        <v>1504.937371399177</v>
      </c>
    </row>
    <row r="14" spans="1:8">
      <c r="A14" s="102" t="str">
        <f t="shared" si="0"/>
        <v>VancresidentialVRA20EOWHEL</v>
      </c>
      <c r="B14" s="122" t="s">
        <v>1083</v>
      </c>
      <c r="C14" s="122" t="s">
        <v>1084</v>
      </c>
      <c r="D14" s="142">
        <v>10.36</v>
      </c>
      <c r="F14" s="139">
        <v>560.24</v>
      </c>
      <c r="H14" s="124">
        <f>+IFERROR((F14/D14)/12,0)</f>
        <v>4.5064350064350069</v>
      </c>
    </row>
    <row r="15" spans="1:8">
      <c r="A15" s="102" t="str">
        <f t="shared" si="0"/>
        <v>VancresidentialVRA20WHEL</v>
      </c>
      <c r="B15" s="122" t="s">
        <v>1085</v>
      </c>
      <c r="C15" s="122" t="s">
        <v>1086</v>
      </c>
      <c r="D15" s="142">
        <v>12.96</v>
      </c>
      <c r="F15" s="139">
        <v>673.29</v>
      </c>
      <c r="H15" s="124">
        <f>+(F15/D15)/12</f>
        <v>4.3292824074074074</v>
      </c>
    </row>
    <row r="16" spans="1:8">
      <c r="A16" s="102" t="str">
        <f t="shared" si="0"/>
        <v>VancresidentialVRA20EOW</v>
      </c>
      <c r="B16" s="122" t="s">
        <v>1087</v>
      </c>
      <c r="C16" s="122" t="s">
        <v>1088</v>
      </c>
      <c r="D16" s="142">
        <v>10.36</v>
      </c>
      <c r="F16" s="139">
        <v>60858.17</v>
      </c>
      <c r="H16" s="124">
        <f>+(F16/D16)/12</f>
        <v>489.52839446589451</v>
      </c>
    </row>
    <row r="17" spans="1:8">
      <c r="A17" s="102" t="str">
        <f t="shared" si="0"/>
        <v>VancresidentialVRA32CO</v>
      </c>
      <c r="B17" s="122" t="s">
        <v>1089</v>
      </c>
      <c r="C17" s="122" t="s">
        <v>1090</v>
      </c>
      <c r="D17" s="142">
        <v>25.92</v>
      </c>
      <c r="F17" s="139">
        <v>24564.855</v>
      </c>
      <c r="H17" s="124">
        <f t="shared" ref="H17:H34" si="1">+(F17/D17)/12</f>
        <v>78.976514274691354</v>
      </c>
    </row>
    <row r="18" spans="1:8">
      <c r="A18" s="102" t="str">
        <f t="shared" si="0"/>
        <v>VancresidentialVRA32EOW</v>
      </c>
      <c r="B18" s="122" t="s">
        <v>1091</v>
      </c>
      <c r="C18" s="122" t="s">
        <v>1092</v>
      </c>
      <c r="D18" s="142">
        <v>12.96</v>
      </c>
      <c r="F18" s="139">
        <v>845248.57</v>
      </c>
      <c r="H18" s="124">
        <f t="shared" si="1"/>
        <v>5434.9830889917694</v>
      </c>
    </row>
    <row r="19" spans="1:8">
      <c r="A19" s="102" t="str">
        <f t="shared" si="0"/>
        <v>VancresidentialVRA32MO</v>
      </c>
      <c r="B19" s="122" t="s">
        <v>1093</v>
      </c>
      <c r="C19" s="122" t="s">
        <v>1094</v>
      </c>
      <c r="D19" s="142">
        <v>7.78</v>
      </c>
      <c r="F19" s="139">
        <v>124612.34999999999</v>
      </c>
      <c r="H19" s="124">
        <f t="shared" si="1"/>
        <v>1334.7509640102826</v>
      </c>
    </row>
    <row r="20" spans="1:8">
      <c r="A20" s="102" t="str">
        <f t="shared" si="0"/>
        <v>VancresidentialVRA32W</v>
      </c>
      <c r="B20" s="122" t="s">
        <v>1095</v>
      </c>
      <c r="C20" s="122" t="s">
        <v>1096</v>
      </c>
      <c r="D20" s="142">
        <v>17.28</v>
      </c>
      <c r="F20" s="139">
        <v>5436995.7750000004</v>
      </c>
      <c r="H20" s="124">
        <f t="shared" si="1"/>
        <v>26220.079933449073</v>
      </c>
    </row>
    <row r="21" spans="1:8">
      <c r="A21" s="102" t="str">
        <f t="shared" si="0"/>
        <v>VancresidentialVRA32EOWHEL</v>
      </c>
      <c r="B21" s="122" t="s">
        <v>1097</v>
      </c>
      <c r="C21" s="122" t="s">
        <v>1098</v>
      </c>
      <c r="D21" s="142">
        <v>12.96</v>
      </c>
      <c r="F21" s="139">
        <v>3088</v>
      </c>
      <c r="H21" s="124">
        <f t="shared" si="1"/>
        <v>19.855967078189298</v>
      </c>
    </row>
    <row r="22" spans="1:8">
      <c r="A22" s="102" t="str">
        <f t="shared" si="0"/>
        <v>VancresidentialVRA32MHEL</v>
      </c>
      <c r="B22" s="122" t="s">
        <v>1099</v>
      </c>
      <c r="C22" s="122" t="s">
        <v>1100</v>
      </c>
      <c r="D22" s="142">
        <v>7.78</v>
      </c>
      <c r="F22" s="139">
        <v>691.65999999999985</v>
      </c>
      <c r="H22" s="124">
        <f t="shared" si="1"/>
        <v>7.408526135389887</v>
      </c>
    </row>
    <row r="23" spans="1:8">
      <c r="A23" s="102" t="str">
        <f t="shared" si="0"/>
        <v>VancresidentialVRA32WHEL</v>
      </c>
      <c r="B23" s="122" t="s">
        <v>1101</v>
      </c>
      <c r="C23" s="122" t="s">
        <v>1102</v>
      </c>
      <c r="D23" s="142">
        <v>17.28</v>
      </c>
      <c r="F23" s="139">
        <v>9030.93</v>
      </c>
      <c r="H23" s="124">
        <f t="shared" si="1"/>
        <v>43.551938657407412</v>
      </c>
    </row>
    <row r="24" spans="1:8">
      <c r="A24" s="102" t="str">
        <f t="shared" si="0"/>
        <v>VancresidentialVRA32EOWCO</v>
      </c>
      <c r="B24" s="122" t="s">
        <v>1103</v>
      </c>
      <c r="C24" s="122" t="s">
        <v>1104</v>
      </c>
      <c r="D24" s="142">
        <v>19.45</v>
      </c>
      <c r="F24" s="139">
        <v>3271.11</v>
      </c>
      <c r="H24" s="124">
        <f t="shared" si="1"/>
        <v>14.015038560411313</v>
      </c>
    </row>
    <row r="25" spans="1:8">
      <c r="A25" s="102" t="str">
        <f t="shared" si="0"/>
        <v>VancresidentialVRA32MCO</v>
      </c>
      <c r="B25" s="122" t="s">
        <v>1105</v>
      </c>
      <c r="C25" s="122" t="s">
        <v>1106</v>
      </c>
      <c r="D25" s="142">
        <v>11.66</v>
      </c>
      <c r="F25" s="139">
        <v>1156.6600000000001</v>
      </c>
      <c r="H25" s="124">
        <f t="shared" si="1"/>
        <v>8.2665809033733577</v>
      </c>
    </row>
    <row r="26" spans="1:8">
      <c r="A26" s="102" t="str">
        <f t="shared" si="0"/>
        <v>VancresidentialVRA64W2</v>
      </c>
      <c r="B26" s="122" t="s">
        <v>1107</v>
      </c>
      <c r="C26" s="122" t="s">
        <v>1108</v>
      </c>
      <c r="D26" s="142">
        <v>69.12</v>
      </c>
      <c r="F26" s="139">
        <v>22524.540000000005</v>
      </c>
      <c r="H26" s="124">
        <f t="shared" si="1"/>
        <v>27.156322337962965</v>
      </c>
    </row>
    <row r="27" spans="1:8">
      <c r="A27" s="102" t="str">
        <f t="shared" si="0"/>
        <v>VancresidentialVRA64W</v>
      </c>
      <c r="B27" s="122" t="s">
        <v>1109</v>
      </c>
      <c r="C27" s="122" t="s">
        <v>1110</v>
      </c>
      <c r="D27" s="142">
        <v>34.56</v>
      </c>
      <c r="F27" s="139">
        <v>2426530.3849999998</v>
      </c>
      <c r="H27" s="124">
        <f t="shared" si="1"/>
        <v>5851.0088372878081</v>
      </c>
    </row>
    <row r="28" spans="1:8">
      <c r="A28" s="102" t="str">
        <f t="shared" si="0"/>
        <v>VancresidentialVRA64EOWCO</v>
      </c>
      <c r="B28" s="122" t="s">
        <v>1111</v>
      </c>
      <c r="C28" s="122" t="s">
        <v>1112</v>
      </c>
      <c r="D28" s="142">
        <v>36.729999999999997</v>
      </c>
      <c r="F28" s="139">
        <v>633.32999999999993</v>
      </c>
      <c r="H28" s="124">
        <f t="shared" si="1"/>
        <v>1.4369044377892732</v>
      </c>
    </row>
    <row r="29" spans="1:8">
      <c r="A29" s="102" t="str">
        <f t="shared" si="0"/>
        <v>VancresidentialSRA64MO</v>
      </c>
      <c r="B29" s="122" t="s">
        <v>1113</v>
      </c>
      <c r="C29" s="122" t="s">
        <v>1114</v>
      </c>
      <c r="D29" s="142">
        <v>12.914999999999999</v>
      </c>
      <c r="F29" s="139">
        <v>303.30999999999995</v>
      </c>
      <c r="H29" s="124">
        <f t="shared" si="1"/>
        <v>1.9570912375790421</v>
      </c>
    </row>
    <row r="30" spans="1:8">
      <c r="A30" s="102" t="str">
        <f t="shared" si="0"/>
        <v>VancresidentialVRA64WHEL</v>
      </c>
      <c r="B30" s="122" t="s">
        <v>1115</v>
      </c>
      <c r="C30" s="122" t="s">
        <v>1116</v>
      </c>
      <c r="D30" s="142">
        <v>34.56</v>
      </c>
      <c r="F30" s="139">
        <v>1625.8899999999999</v>
      </c>
      <c r="H30" s="124">
        <f t="shared" si="1"/>
        <v>3.9204523533950613</v>
      </c>
    </row>
    <row r="31" spans="1:8">
      <c r="A31" s="102" t="str">
        <f t="shared" si="0"/>
        <v>VancresidentialVRA64WCO</v>
      </c>
      <c r="B31" s="122" t="s">
        <v>1117</v>
      </c>
      <c r="C31" s="122" t="s">
        <v>1118</v>
      </c>
      <c r="D31" s="142">
        <v>43.2</v>
      </c>
      <c r="F31" s="139">
        <v>1451.87</v>
      </c>
      <c r="H31" s="124">
        <f t="shared" si="1"/>
        <v>2.8006751543209876</v>
      </c>
    </row>
    <row r="32" spans="1:8">
      <c r="A32" s="102" t="str">
        <f t="shared" si="0"/>
        <v>VancresidentialVRA64EOW</v>
      </c>
      <c r="B32" s="122" t="s">
        <v>1119</v>
      </c>
      <c r="C32" s="122" t="s">
        <v>1120</v>
      </c>
      <c r="D32" s="142">
        <v>17.28</v>
      </c>
      <c r="F32" s="139">
        <v>186665.28999999998</v>
      </c>
      <c r="H32" s="124">
        <f t="shared" si="1"/>
        <v>900.19912229938257</v>
      </c>
    </row>
    <row r="33" spans="1:8">
      <c r="A33" s="102" t="str">
        <f t="shared" si="0"/>
        <v>VancresidentialVRA96WCO</v>
      </c>
      <c r="B33" s="122" t="s">
        <v>1121</v>
      </c>
      <c r="C33" s="122" t="s">
        <v>1122</v>
      </c>
      <c r="D33" s="142">
        <v>60.47</v>
      </c>
      <c r="F33" s="139">
        <v>2563.6350000000002</v>
      </c>
      <c r="H33" s="124">
        <f t="shared" si="1"/>
        <v>3.5329295518438895</v>
      </c>
    </row>
    <row r="34" spans="1:8">
      <c r="A34" s="102" t="str">
        <f t="shared" si="0"/>
        <v>VancresidentialVRA96W</v>
      </c>
      <c r="B34" s="122" t="s">
        <v>1123</v>
      </c>
      <c r="C34" s="122" t="s">
        <v>1124</v>
      </c>
      <c r="D34" s="142">
        <v>51.83</v>
      </c>
      <c r="F34" s="139">
        <v>366090.32499999995</v>
      </c>
      <c r="H34" s="124">
        <f t="shared" si="1"/>
        <v>588.60750691362784</v>
      </c>
    </row>
    <row r="35" spans="1:8">
      <c r="A35" s="102" t="str">
        <f>"Vanc"&amp;"residential Extras"&amp;B35</f>
        <v>Vancresidential ExtrasWBMISC</v>
      </c>
      <c r="B35" s="122" t="s">
        <v>319</v>
      </c>
      <c r="C35" s="122" t="s">
        <v>320</v>
      </c>
      <c r="D35" s="142">
        <v>14.28</v>
      </c>
      <c r="F35" s="139">
        <v>21022.659999999996</v>
      </c>
    </row>
    <row r="36" spans="1:8">
      <c r="A36" s="102" t="str">
        <f t="shared" ref="A36:A48" si="2">"Vanc"&amp;"residential Extras"&amp;B36</f>
        <v>Vancresidential ExtrasWBCHAIR</v>
      </c>
      <c r="B36" s="122" t="s">
        <v>321</v>
      </c>
      <c r="C36" s="122" t="s">
        <v>322</v>
      </c>
      <c r="D36" s="142">
        <v>10.84</v>
      </c>
      <c r="F36" s="139">
        <v>3853.66</v>
      </c>
    </row>
    <row r="37" spans="1:8">
      <c r="A37" s="102" t="str">
        <f t="shared" si="2"/>
        <v>Vancresidential ExtrasWBDRYER</v>
      </c>
      <c r="B37" s="122" t="s">
        <v>617</v>
      </c>
      <c r="C37" s="122" t="s">
        <v>618</v>
      </c>
      <c r="D37" s="142">
        <v>13.58</v>
      </c>
      <c r="F37" s="139">
        <v>304.08000000000004</v>
      </c>
    </row>
    <row r="38" spans="1:8">
      <c r="A38" s="102" t="str">
        <f t="shared" si="2"/>
        <v>Vancresidential ExtrasRREXC</v>
      </c>
      <c r="B38" s="122" t="s">
        <v>286</v>
      </c>
      <c r="C38" s="122" t="s">
        <v>287</v>
      </c>
      <c r="D38" s="142">
        <v>6.8</v>
      </c>
      <c r="F38" s="139">
        <v>256660.52</v>
      </c>
    </row>
    <row r="39" spans="1:8">
      <c r="A39" s="102" t="str">
        <f t="shared" si="2"/>
        <v>Vancresidential ExtrasWBMATT</v>
      </c>
      <c r="B39" s="122" t="s">
        <v>327</v>
      </c>
      <c r="C39" s="122" t="s">
        <v>328</v>
      </c>
      <c r="D39" s="142">
        <v>12.27</v>
      </c>
      <c r="F39" s="139">
        <v>14166.01</v>
      </c>
    </row>
    <row r="40" spans="1:8">
      <c r="A40" s="102" t="str">
        <f t="shared" si="2"/>
        <v>Vancresidential ExtrasRRCALL</v>
      </c>
      <c r="B40" s="122" t="s">
        <v>288</v>
      </c>
      <c r="C40" s="122" t="s">
        <v>289</v>
      </c>
      <c r="D40" s="142">
        <v>7.78</v>
      </c>
      <c r="F40" s="139">
        <v>94.339999999999989</v>
      </c>
    </row>
    <row r="41" spans="1:8">
      <c r="A41" s="102" t="str">
        <f t="shared" si="2"/>
        <v>Vancresidential ExtrasCOFOW</v>
      </c>
      <c r="B41" s="122" t="s">
        <v>292</v>
      </c>
      <c r="C41" s="122" t="s">
        <v>291</v>
      </c>
      <c r="D41" s="142">
        <v>6.8</v>
      </c>
      <c r="F41" s="139">
        <v>2502.6999999999998</v>
      </c>
    </row>
    <row r="42" spans="1:8">
      <c r="A42" s="102" t="str">
        <f t="shared" si="2"/>
        <v>Vancresidential ExtrasROFOW</v>
      </c>
      <c r="B42" s="122" t="s">
        <v>290</v>
      </c>
      <c r="C42" s="122" t="s">
        <v>291</v>
      </c>
      <c r="D42" s="142">
        <v>6.8</v>
      </c>
      <c r="F42" s="139">
        <v>58412.08</v>
      </c>
      <c r="H42" s="172"/>
    </row>
    <row r="43" spans="1:8">
      <c r="A43" s="102" t="str">
        <f t="shared" si="2"/>
        <v>Vancresidential ExtrasWBSOFA</v>
      </c>
      <c r="B43" s="122" t="s">
        <v>325</v>
      </c>
      <c r="C43" s="122" t="s">
        <v>326</v>
      </c>
      <c r="D43" s="142">
        <v>13.58</v>
      </c>
      <c r="F43" s="139">
        <v>7220.4400000000005</v>
      </c>
    </row>
    <row r="44" spans="1:8">
      <c r="A44" s="102" t="str">
        <f t="shared" si="2"/>
        <v>Vancresidential ExtrasWBSTOVE</v>
      </c>
      <c r="B44" s="122" t="s">
        <v>323</v>
      </c>
      <c r="C44" s="122" t="s">
        <v>324</v>
      </c>
      <c r="D44" s="142">
        <v>14.99</v>
      </c>
      <c r="F44" s="139">
        <v>264.61999999999995</v>
      </c>
    </row>
    <row r="45" spans="1:8">
      <c r="A45" s="102" t="str">
        <f t="shared" si="2"/>
        <v>Vancresidential ExtrasCRTIME1</v>
      </c>
      <c r="B45" s="122" t="s">
        <v>311</v>
      </c>
      <c r="C45" s="122" t="s">
        <v>312</v>
      </c>
      <c r="D45" s="142">
        <v>1.58</v>
      </c>
      <c r="F45" s="139">
        <v>7309.5400000000009</v>
      </c>
    </row>
    <row r="46" spans="1:8">
      <c r="A46" s="102" t="str">
        <f t="shared" si="2"/>
        <v>Vancresidential ExtrasVRTPLACE</v>
      </c>
      <c r="B46" s="122" t="s">
        <v>1125</v>
      </c>
      <c r="C46" s="122" t="s">
        <v>1126</v>
      </c>
      <c r="D46" s="142">
        <v>12.56</v>
      </c>
      <c r="F46" s="139">
        <v>2901.3600000000006</v>
      </c>
    </row>
    <row r="47" spans="1:8">
      <c r="A47" s="102" t="str">
        <f t="shared" si="2"/>
        <v>Vancresidential ExtrasRRTRIP</v>
      </c>
      <c r="B47" s="122" t="s">
        <v>317</v>
      </c>
      <c r="C47" s="122" t="s">
        <v>318</v>
      </c>
      <c r="D47" s="142">
        <v>10.029999999999999</v>
      </c>
      <c r="F47" s="139">
        <v>1945.8200000000002</v>
      </c>
    </row>
    <row r="48" spans="1:8">
      <c r="A48" s="102" t="str">
        <f t="shared" si="2"/>
        <v>Vancresidential ExtrasTOTEPUR</v>
      </c>
      <c r="B48" s="122" t="s">
        <v>668</v>
      </c>
      <c r="C48" s="122" t="s">
        <v>669</v>
      </c>
      <c r="D48" s="142">
        <v>50</v>
      </c>
      <c r="F48" s="139">
        <v>560.53</v>
      </c>
      <c r="H48" s="172"/>
    </row>
    <row r="49" spans="1:8">
      <c r="A49" s="102" t="str">
        <f>"Vanc"&amp;"residential"&amp;B49</f>
        <v>VancresidentialRSNP</v>
      </c>
      <c r="B49" s="122" t="s">
        <v>309</v>
      </c>
      <c r="C49" s="122" t="s">
        <v>310</v>
      </c>
      <c r="D49" s="142">
        <v>0</v>
      </c>
      <c r="F49" s="139">
        <v>20</v>
      </c>
    </row>
    <row r="50" spans="1:8">
      <c r="A50" s="102"/>
      <c r="B50" s="122"/>
      <c r="C50" s="122"/>
      <c r="D50" s="142"/>
    </row>
    <row r="51" spans="1:8">
      <c r="A51" s="102"/>
      <c r="B51" s="126"/>
      <c r="C51" s="127" t="s">
        <v>941</v>
      </c>
      <c r="D51" s="142"/>
      <c r="F51" s="158">
        <f>+SUM(F10:F50)</f>
        <v>10130973.944999995</v>
      </c>
      <c r="G51" s="129"/>
      <c r="H51" s="158">
        <f>+SUM(H11:H50)</f>
        <v>42548.352001028419</v>
      </c>
    </row>
    <row r="52" spans="1:8">
      <c r="A52" s="102"/>
      <c r="B52" s="115"/>
      <c r="C52" s="116"/>
      <c r="D52" s="142"/>
      <c r="F52" s="139"/>
    </row>
    <row r="53" spans="1:8">
      <c r="A53" s="102"/>
      <c r="B53" s="145" t="s">
        <v>639</v>
      </c>
      <c r="C53" s="145"/>
      <c r="D53" s="120"/>
      <c r="E53" s="121"/>
      <c r="F53" s="171"/>
      <c r="G53" s="121"/>
      <c r="H53" s="121"/>
    </row>
    <row r="54" spans="1:8">
      <c r="A54" s="102" t="str">
        <f t="shared" ref="A54:A64" si="3">"Vanc"&amp;"residential"&amp;B54</f>
        <v>VancresidentialVRRECHEL</v>
      </c>
      <c r="B54" s="122" t="s">
        <v>1127</v>
      </c>
      <c r="C54" s="122" t="s">
        <v>1128</v>
      </c>
      <c r="D54" s="142">
        <v>2.8</v>
      </c>
      <c r="F54" s="139">
        <v>2058.6999999999998</v>
      </c>
      <c r="H54" s="124">
        <f t="shared" ref="H54:H60" si="4">+(F54/D54)/12</f>
        <v>61.270833333333336</v>
      </c>
    </row>
    <row r="55" spans="1:8">
      <c r="A55" s="102" t="str">
        <f t="shared" si="3"/>
        <v>VancresidentialVRREC35</v>
      </c>
      <c r="B55" s="122" t="s">
        <v>1129</v>
      </c>
      <c r="C55" s="122" t="s">
        <v>1130</v>
      </c>
      <c r="D55" s="142">
        <v>2.8</v>
      </c>
      <c r="F55" s="139">
        <v>29065.24</v>
      </c>
      <c r="H55" s="124">
        <f t="shared" si="4"/>
        <v>865.03690476190479</v>
      </c>
    </row>
    <row r="56" spans="1:8">
      <c r="A56" s="102" t="str">
        <f t="shared" si="3"/>
        <v>VancresidentialVRREC48</v>
      </c>
      <c r="B56" s="122" t="s">
        <v>1131</v>
      </c>
      <c r="C56" s="122" t="s">
        <v>1132</v>
      </c>
      <c r="D56" s="142">
        <v>2.8</v>
      </c>
      <c r="F56" s="139">
        <v>33122.550000000003</v>
      </c>
      <c r="H56" s="124">
        <f t="shared" si="4"/>
        <v>985.79017857142878</v>
      </c>
    </row>
    <row r="57" spans="1:8">
      <c r="A57" s="102" t="str">
        <f t="shared" si="3"/>
        <v>VancresidentialVRREC65</v>
      </c>
      <c r="B57" s="122" t="s">
        <v>648</v>
      </c>
      <c r="C57" s="122" t="s">
        <v>649</v>
      </c>
      <c r="D57" s="142">
        <v>2.8</v>
      </c>
      <c r="F57" s="139">
        <v>56904.68</v>
      </c>
      <c r="H57" s="124">
        <f t="shared" si="4"/>
        <v>1693.5916666666669</v>
      </c>
    </row>
    <row r="58" spans="1:8">
      <c r="A58" s="102" t="str">
        <f t="shared" si="3"/>
        <v>VancresidentialCRREC65</v>
      </c>
      <c r="B58" s="122" t="s">
        <v>646</v>
      </c>
      <c r="C58" s="122" t="s">
        <v>647</v>
      </c>
      <c r="D58" s="142">
        <v>2.8</v>
      </c>
      <c r="F58" s="139">
        <v>15.720000000000004</v>
      </c>
      <c r="H58" s="124">
        <f t="shared" si="4"/>
        <v>0.46785714285714303</v>
      </c>
    </row>
    <row r="59" spans="1:8">
      <c r="A59" s="102" t="str">
        <f t="shared" si="3"/>
        <v>VancresidentialVRREC95</v>
      </c>
      <c r="B59" s="122" t="s">
        <v>650</v>
      </c>
      <c r="C59" s="122" t="s">
        <v>651</v>
      </c>
      <c r="D59" s="142">
        <v>2.8</v>
      </c>
      <c r="F59" s="139">
        <v>1336441.21</v>
      </c>
      <c r="H59" s="124">
        <f t="shared" si="4"/>
        <v>39775.036011904762</v>
      </c>
    </row>
    <row r="60" spans="1:8">
      <c r="A60" s="102" t="str">
        <f t="shared" si="3"/>
        <v>VancresidentialCRREC95</v>
      </c>
      <c r="B60" s="122" t="s">
        <v>652</v>
      </c>
      <c r="C60" s="122" t="s">
        <v>653</v>
      </c>
      <c r="D60" s="142">
        <v>2.8</v>
      </c>
      <c r="F60" s="139">
        <v>16.544999999999998</v>
      </c>
      <c r="H60" s="124">
        <f t="shared" si="4"/>
        <v>0.49241071428571431</v>
      </c>
    </row>
    <row r="61" spans="1:8">
      <c r="A61" s="102" t="str">
        <f t="shared" si="3"/>
        <v>VancresidentialVRREC</v>
      </c>
      <c r="B61" s="122" t="s">
        <v>1133</v>
      </c>
      <c r="C61" s="122" t="s">
        <v>1134</v>
      </c>
      <c r="D61" s="142">
        <v>0</v>
      </c>
      <c r="F61" s="139">
        <v>0</v>
      </c>
      <c r="H61" s="124">
        <f>+IFERROR((F61/D61)/12,0)</f>
        <v>0</v>
      </c>
    </row>
    <row r="62" spans="1:8">
      <c r="A62" s="102" t="str">
        <f t="shared" si="3"/>
        <v>VancresidentialCRREC</v>
      </c>
      <c r="B62" s="122" t="s">
        <v>1135</v>
      </c>
      <c r="C62" s="122" t="s">
        <v>1136</v>
      </c>
      <c r="D62" s="142">
        <v>0</v>
      </c>
      <c r="F62" s="139">
        <v>0</v>
      </c>
      <c r="H62" s="124">
        <f>+IFERROR((F62/D62)/12,0)</f>
        <v>0</v>
      </c>
    </row>
    <row r="63" spans="1:8">
      <c r="A63" s="102" t="str">
        <f t="shared" si="3"/>
        <v>VancresidentialCRRECHEL</v>
      </c>
      <c r="B63" s="102" t="s">
        <v>640</v>
      </c>
      <c r="C63" s="102" t="s">
        <v>641</v>
      </c>
      <c r="D63" s="142">
        <v>2.8</v>
      </c>
      <c r="F63" s="139">
        <v>-2.8</v>
      </c>
      <c r="H63" s="124">
        <f>+(F63/D63)/12</f>
        <v>-8.3333333333333329E-2</v>
      </c>
    </row>
    <row r="64" spans="1:8">
      <c r="A64" s="102" t="str">
        <f t="shared" si="3"/>
        <v>VancresidentialWRREC95</v>
      </c>
      <c r="B64" s="102" t="s">
        <v>1137</v>
      </c>
      <c r="C64" s="102" t="s">
        <v>1138</v>
      </c>
      <c r="D64" s="142">
        <v>2.8</v>
      </c>
      <c r="F64" s="139">
        <v>5.6</v>
      </c>
      <c r="H64" s="124">
        <f>+(F64/D64)/12</f>
        <v>0.16666666666666666</v>
      </c>
    </row>
    <row r="65" spans="1:8">
      <c r="A65" s="102" t="str">
        <f>"Vanc"&amp;"multi-family"&amp;B65</f>
        <v>Vancmulti-familyWMFREC</v>
      </c>
      <c r="B65" s="102" t="s">
        <v>1139</v>
      </c>
      <c r="C65" s="102" t="s">
        <v>1140</v>
      </c>
      <c r="D65" s="142">
        <v>1.2</v>
      </c>
      <c r="F65" s="139">
        <v>-3</v>
      </c>
      <c r="H65" s="124">
        <f>+(F65/D65)/12</f>
        <v>-0.20833333333333334</v>
      </c>
    </row>
    <row r="66" spans="1:8">
      <c r="A66" s="152"/>
      <c r="B66" s="155"/>
      <c r="D66" s="142"/>
      <c r="F66" s="139"/>
    </row>
    <row r="67" spans="1:8">
      <c r="A67" s="154"/>
      <c r="B67" s="126"/>
      <c r="C67" s="127" t="s">
        <v>670</v>
      </c>
      <c r="D67" s="142"/>
      <c r="F67" s="173">
        <f>+SUM(F54:F66)</f>
        <v>1457624.4450000001</v>
      </c>
      <c r="G67" s="129"/>
      <c r="H67" s="158">
        <f>+SUM(H54:H66)</f>
        <v>43381.560863095234</v>
      </c>
    </row>
    <row r="68" spans="1:8">
      <c r="A68" s="154"/>
      <c r="B68" s="126"/>
      <c r="C68" s="126"/>
      <c r="D68" s="142"/>
      <c r="F68" s="139"/>
    </row>
    <row r="69" spans="1:8">
      <c r="A69" s="152"/>
      <c r="B69" s="119" t="s">
        <v>671</v>
      </c>
      <c r="C69" s="119"/>
      <c r="D69" s="120"/>
      <c r="E69" s="121"/>
      <c r="F69" s="171"/>
      <c r="G69" s="121"/>
      <c r="H69" s="121"/>
    </row>
    <row r="70" spans="1:8">
      <c r="A70" s="152" t="str">
        <f>"Vanc"&amp;"Multi-family"&amp;B70</f>
        <v>VancMulti-familyVMFTONS</v>
      </c>
      <c r="B70" s="122" t="s">
        <v>1141</v>
      </c>
      <c r="C70" s="122" t="s">
        <v>1142</v>
      </c>
      <c r="D70" s="142">
        <v>39.5</v>
      </c>
      <c r="F70" s="139">
        <v>86853.02</v>
      </c>
      <c r="H70" s="124">
        <f>+(F70/D70)/12</f>
        <v>183.2342194092827</v>
      </c>
    </row>
    <row r="71" spans="1:8">
      <c r="A71" s="152" t="str">
        <f>"Vanc"&amp;"Multi-family"&amp;B71</f>
        <v>VancMulti-familyVMFREC</v>
      </c>
      <c r="B71" s="122" t="s">
        <v>1143</v>
      </c>
      <c r="C71" s="122" t="s">
        <v>673</v>
      </c>
      <c r="D71" s="142">
        <v>1.2</v>
      </c>
      <c r="F71" s="139">
        <v>371721</v>
      </c>
      <c r="H71" s="124">
        <f>+(F71/D71)/12</f>
        <v>25813.958333333332</v>
      </c>
    </row>
    <row r="72" spans="1:8">
      <c r="A72" s="152"/>
      <c r="B72" s="126"/>
      <c r="C72" s="126"/>
      <c r="D72" s="142"/>
      <c r="F72" s="139"/>
    </row>
    <row r="73" spans="1:8">
      <c r="A73" s="152"/>
      <c r="B73" s="126"/>
      <c r="C73" s="127" t="s">
        <v>674</v>
      </c>
      <c r="D73" s="142"/>
      <c r="F73" s="158">
        <f>+SUM(F70:F72)</f>
        <v>458574.02</v>
      </c>
      <c r="G73" s="129"/>
      <c r="H73" s="158">
        <f>+SUM(H70:H72)</f>
        <v>25997.192552742614</v>
      </c>
    </row>
    <row r="74" spans="1:8">
      <c r="A74" s="152"/>
      <c r="B74" s="126"/>
      <c r="C74" s="127"/>
      <c r="D74" s="142"/>
      <c r="F74" s="139"/>
    </row>
    <row r="75" spans="1:8">
      <c r="A75" s="154"/>
      <c r="B75" s="119" t="s">
        <v>675</v>
      </c>
      <c r="C75" s="119"/>
      <c r="D75" s="120"/>
      <c r="E75" s="121"/>
      <c r="F75" s="171"/>
      <c r="G75" s="121"/>
      <c r="H75" s="121"/>
    </row>
    <row r="76" spans="1:8">
      <c r="A76" s="152" t="str">
        <f t="shared" ref="A76:A83" si="5">"Vanc"&amp;"residential"&amp;B76</f>
        <v>VancresidentialVYDBM</v>
      </c>
      <c r="B76" s="122" t="s">
        <v>678</v>
      </c>
      <c r="C76" s="122" t="s">
        <v>677</v>
      </c>
      <c r="D76" s="142">
        <v>6.9</v>
      </c>
      <c r="F76" s="139">
        <v>1622687.3650000002</v>
      </c>
      <c r="H76" s="124">
        <f>+(F76/D76)/12</f>
        <v>19597.673490338166</v>
      </c>
    </row>
    <row r="77" spans="1:8">
      <c r="A77" s="152" t="str">
        <f t="shared" si="5"/>
        <v>VancresidentialCYDBM64</v>
      </c>
      <c r="B77" s="102" t="s">
        <v>679</v>
      </c>
      <c r="C77" s="102" t="s">
        <v>680</v>
      </c>
      <c r="D77" s="142">
        <v>6.9</v>
      </c>
      <c r="F77" s="139">
        <v>3.9200000000000004</v>
      </c>
      <c r="H77" s="124">
        <f>+(F77/D77)/12</f>
        <v>4.7342995169082129E-2</v>
      </c>
    </row>
    <row r="78" spans="1:8">
      <c r="A78" s="152" t="str">
        <f t="shared" si="5"/>
        <v>VancresidentialCYDBM96</v>
      </c>
      <c r="B78" s="122" t="s">
        <v>681</v>
      </c>
      <c r="C78" s="122" t="s">
        <v>682</v>
      </c>
      <c r="D78" s="142">
        <v>6.9</v>
      </c>
      <c r="F78" s="139">
        <v>-1.9599999999999984</v>
      </c>
      <c r="H78" s="124">
        <f>+(F78/D78)/12</f>
        <v>-2.367149758454104E-2</v>
      </c>
    </row>
    <row r="79" spans="1:8">
      <c r="A79" s="152" t="str">
        <f t="shared" si="5"/>
        <v>VancresidentialWYDA</v>
      </c>
      <c r="B79" s="122" t="s">
        <v>1144</v>
      </c>
      <c r="C79" s="122" t="s">
        <v>944</v>
      </c>
      <c r="D79" s="142">
        <v>0</v>
      </c>
      <c r="F79" s="139">
        <v>0</v>
      </c>
      <c r="H79" s="124">
        <f>+IFERROR((F79/D79)/12,0)</f>
        <v>0</v>
      </c>
    </row>
    <row r="80" spans="1:8">
      <c r="A80" s="152" t="str">
        <f>"Vanc"&amp;"residential extras"&amp;B80</f>
        <v>Vancresidential extrasYDX</v>
      </c>
      <c r="B80" s="122" t="s">
        <v>683</v>
      </c>
      <c r="C80" s="122" t="s">
        <v>684</v>
      </c>
      <c r="D80" s="142">
        <v>3.15</v>
      </c>
      <c r="F80" s="139">
        <v>37129.420000000006</v>
      </c>
      <c r="H80" s="124"/>
    </row>
    <row r="81" spans="1:8">
      <c r="A81" s="152" t="str">
        <f t="shared" si="5"/>
        <v>VancresidentialYDRENT</v>
      </c>
      <c r="B81" s="122" t="s">
        <v>689</v>
      </c>
      <c r="C81" s="122" t="s">
        <v>690</v>
      </c>
      <c r="D81" s="142">
        <v>1.6</v>
      </c>
      <c r="F81" s="139">
        <v>132781.17000000001</v>
      </c>
    </row>
    <row r="82" spans="1:8">
      <c r="A82" s="152" t="str">
        <f t="shared" si="5"/>
        <v>VancresidentialYDRENT64</v>
      </c>
      <c r="B82" s="161" t="s">
        <v>685</v>
      </c>
      <c r="C82" s="161" t="s">
        <v>686</v>
      </c>
      <c r="D82" s="142">
        <v>1.6</v>
      </c>
      <c r="F82" s="139">
        <v>0.68</v>
      </c>
    </row>
    <row r="83" spans="1:8">
      <c r="A83" s="152" t="str">
        <f t="shared" si="5"/>
        <v>VancresidentialYDRENT96</v>
      </c>
      <c r="B83" s="122" t="s">
        <v>687</v>
      </c>
      <c r="C83" s="122" t="s">
        <v>688</v>
      </c>
      <c r="D83" s="142">
        <v>1.6</v>
      </c>
      <c r="F83" s="139">
        <v>-7.08</v>
      </c>
    </row>
    <row r="84" spans="1:8">
      <c r="A84" s="152" t="str">
        <f t="shared" ref="A84:A86" si="6">"Vanc"&amp;"residential Extras"&amp;B84</f>
        <v>Vancresidential ExtrasYDPLACE</v>
      </c>
      <c r="B84" s="122" t="s">
        <v>691</v>
      </c>
      <c r="C84" s="122" t="s">
        <v>692</v>
      </c>
      <c r="D84" s="142">
        <v>12.88</v>
      </c>
      <c r="F84" s="139">
        <v>412.15999999999997</v>
      </c>
    </row>
    <row r="85" spans="1:8">
      <c r="A85" s="152" t="str">
        <f t="shared" si="6"/>
        <v>Vancresidential ExtrasYDOC</v>
      </c>
      <c r="B85" s="122" t="s">
        <v>693</v>
      </c>
      <c r="C85" s="122" t="s">
        <v>694</v>
      </c>
      <c r="D85" s="142">
        <v>5.27</v>
      </c>
      <c r="F85" s="139">
        <v>162577.52000000002</v>
      </c>
    </row>
    <row r="86" spans="1:8">
      <c r="A86" s="152" t="str">
        <f t="shared" si="6"/>
        <v>Vancresidential ExtrasYDRESTART</v>
      </c>
      <c r="B86" s="122" t="s">
        <v>695</v>
      </c>
      <c r="C86" s="122" t="s">
        <v>696</v>
      </c>
      <c r="D86" s="142">
        <v>9.65</v>
      </c>
      <c r="F86" s="139">
        <v>241.25</v>
      </c>
    </row>
    <row r="87" spans="1:8">
      <c r="A87" s="152"/>
      <c r="D87" s="142"/>
      <c r="F87" s="139"/>
    </row>
    <row r="88" spans="1:8">
      <c r="A88" s="152"/>
      <c r="B88" s="126"/>
      <c r="C88" s="127" t="s">
        <v>699</v>
      </c>
      <c r="D88" s="142"/>
      <c r="F88" s="173">
        <f>+SUM(F76:F87)</f>
        <v>1955824.4449999998</v>
      </c>
      <c r="G88" s="129"/>
      <c r="H88" s="158">
        <f>+SUM(H76:H87)</f>
        <v>19597.697161835753</v>
      </c>
    </row>
    <row r="89" spans="1:8">
      <c r="A89" s="152"/>
      <c r="B89" s="102"/>
      <c r="C89" s="102"/>
      <c r="D89" s="142"/>
      <c r="F89" s="139"/>
    </row>
    <row r="90" spans="1:8">
      <c r="A90" s="111"/>
      <c r="B90" s="111" t="s">
        <v>1145</v>
      </c>
      <c r="C90" s="113"/>
      <c r="D90" s="114"/>
      <c r="E90" s="114"/>
      <c r="F90" s="114"/>
      <c r="G90" s="114"/>
      <c r="H90" s="114"/>
    </row>
    <row r="91" spans="1:8">
      <c r="A91" s="150"/>
      <c r="B91" s="115"/>
      <c r="C91" s="115"/>
      <c r="F91" s="139"/>
    </row>
    <row r="92" spans="1:8">
      <c r="A92" s="154"/>
      <c r="B92" s="119" t="s">
        <v>947</v>
      </c>
      <c r="C92" s="119"/>
      <c r="D92" s="120"/>
      <c r="E92" s="121"/>
      <c r="F92" s="171"/>
      <c r="G92" s="121"/>
      <c r="H92" s="121"/>
    </row>
    <row r="93" spans="1:8">
      <c r="A93" s="152" t="str">
        <f>"Vanc"&amp;"commercial"&amp;B93</f>
        <v>VanccommercialVC15Y1W</v>
      </c>
      <c r="B93" s="122" t="s">
        <v>1146</v>
      </c>
      <c r="C93" s="122" t="s">
        <v>339</v>
      </c>
      <c r="D93" s="142">
        <v>147.5</v>
      </c>
      <c r="F93" s="139">
        <v>254966.86000000002</v>
      </c>
      <c r="H93" s="124">
        <f t="shared" ref="H93:H104" si="7">+(F93/D93)/12</f>
        <v>144.0490734463277</v>
      </c>
    </row>
    <row r="94" spans="1:8">
      <c r="A94" s="152" t="str">
        <f t="shared" ref="A94:A165" si="8">"Vanc"&amp;"commercial"&amp;B94</f>
        <v>VanccommercialVC15Y2W</v>
      </c>
      <c r="B94" s="122" t="s">
        <v>1147</v>
      </c>
      <c r="C94" s="122" t="s">
        <v>341</v>
      </c>
      <c r="D94" s="142">
        <v>294.99</v>
      </c>
      <c r="F94" s="139">
        <v>20210.18</v>
      </c>
      <c r="H94" s="124">
        <f t="shared" si="7"/>
        <v>5.7092839305287191</v>
      </c>
    </row>
    <row r="95" spans="1:8">
      <c r="A95" s="152" t="str">
        <f t="shared" si="8"/>
        <v>VanccommercialVC15Y3W</v>
      </c>
      <c r="B95" s="122" t="s">
        <v>1148</v>
      </c>
      <c r="C95" s="122" t="s">
        <v>1149</v>
      </c>
      <c r="D95" s="142">
        <v>442.49</v>
      </c>
      <c r="F95" s="139">
        <v>0</v>
      </c>
      <c r="H95" s="124">
        <f t="shared" si="7"/>
        <v>0</v>
      </c>
    </row>
    <row r="96" spans="1:8">
      <c r="A96" s="152" t="str">
        <f t="shared" si="8"/>
        <v>VanccommercialVC15Y4W</v>
      </c>
      <c r="B96" s="122" t="s">
        <v>1150</v>
      </c>
      <c r="C96" s="122" t="s">
        <v>1151</v>
      </c>
      <c r="D96" s="142">
        <v>589.99</v>
      </c>
      <c r="F96" s="139">
        <v>6926.5199999999986</v>
      </c>
      <c r="H96" s="124">
        <f t="shared" si="7"/>
        <v>0.97833861590874394</v>
      </c>
    </row>
    <row r="97" spans="1:8">
      <c r="A97" s="152" t="str">
        <f>"Vanc"&amp;"commercial"&amp;B97</f>
        <v>VanccommercialVC15Y6W</v>
      </c>
      <c r="B97" s="148" t="s">
        <v>1152</v>
      </c>
      <c r="C97" s="122" t="s">
        <v>1153</v>
      </c>
      <c r="D97" s="142">
        <v>884.98</v>
      </c>
      <c r="F97" s="139">
        <v>0</v>
      </c>
      <c r="H97" s="124">
        <f t="shared" si="7"/>
        <v>0</v>
      </c>
    </row>
    <row r="98" spans="1:8">
      <c r="A98" s="152" t="str">
        <f t="shared" si="8"/>
        <v>VanccommercialCC1Y1W</v>
      </c>
      <c r="B98" s="122" t="s">
        <v>332</v>
      </c>
      <c r="C98" s="122" t="s">
        <v>333</v>
      </c>
      <c r="D98" s="142">
        <v>118</v>
      </c>
      <c r="F98" s="139">
        <v>0</v>
      </c>
      <c r="H98" s="124">
        <f t="shared" si="7"/>
        <v>0</v>
      </c>
    </row>
    <row r="99" spans="1:8">
      <c r="A99" s="152" t="str">
        <f t="shared" si="8"/>
        <v>VanccommercialCC15Y1W</v>
      </c>
      <c r="B99" s="161" t="s">
        <v>338</v>
      </c>
      <c r="C99" s="161" t="s">
        <v>339</v>
      </c>
      <c r="D99" s="142">
        <v>147.5</v>
      </c>
      <c r="F99" s="139">
        <v>24.65</v>
      </c>
      <c r="H99" s="124">
        <f t="shared" si="7"/>
        <v>1.3926553672316384E-2</v>
      </c>
    </row>
    <row r="100" spans="1:8">
      <c r="A100" s="152" t="str">
        <f t="shared" si="8"/>
        <v>VanccommercialVC1Y1W</v>
      </c>
      <c r="B100" s="122" t="s">
        <v>1154</v>
      </c>
      <c r="C100" s="122" t="s">
        <v>333</v>
      </c>
      <c r="D100" s="142">
        <v>118</v>
      </c>
      <c r="F100" s="139">
        <v>468915.57</v>
      </c>
      <c r="H100" s="124">
        <f t="shared" si="7"/>
        <v>331.15506355932206</v>
      </c>
    </row>
    <row r="101" spans="1:8">
      <c r="A101" s="152" t="str">
        <f t="shared" si="8"/>
        <v xml:space="preserve">VanccommercialVC1Y2W </v>
      </c>
      <c r="B101" s="122" t="s">
        <v>1155</v>
      </c>
      <c r="C101" s="122" t="s">
        <v>335</v>
      </c>
      <c r="D101" s="142">
        <v>235.99</v>
      </c>
      <c r="F101" s="139">
        <v>13852.8</v>
      </c>
      <c r="H101" s="124">
        <f t="shared" si="7"/>
        <v>4.8917327005381575</v>
      </c>
    </row>
    <row r="102" spans="1:8">
      <c r="A102" s="152" t="str">
        <f t="shared" si="8"/>
        <v>VanccommercialVC1Y3W</v>
      </c>
      <c r="B102" s="122" t="s">
        <v>1156</v>
      </c>
      <c r="C102" s="122" t="s">
        <v>1157</v>
      </c>
      <c r="D102" s="142">
        <v>353.99</v>
      </c>
      <c r="F102" s="139">
        <v>3093.93</v>
      </c>
      <c r="H102" s="124">
        <f t="shared" si="7"/>
        <v>0.72834684595610044</v>
      </c>
    </row>
    <row r="103" spans="1:8">
      <c r="A103" s="152" t="str">
        <f t="shared" si="8"/>
        <v>VanccommercialVC1Y4W</v>
      </c>
      <c r="B103" s="122" t="s">
        <v>1158</v>
      </c>
      <c r="C103" s="122" t="s">
        <v>1159</v>
      </c>
      <c r="D103" s="142">
        <v>471.99</v>
      </c>
      <c r="F103" s="139">
        <v>0</v>
      </c>
      <c r="H103" s="124">
        <f t="shared" si="7"/>
        <v>0</v>
      </c>
    </row>
    <row r="104" spans="1:8">
      <c r="A104" s="152" t="str">
        <f t="shared" si="8"/>
        <v>VanccommercialVC1Y5W</v>
      </c>
      <c r="B104" s="122" t="s">
        <v>1160</v>
      </c>
      <c r="C104" s="122" t="s">
        <v>1161</v>
      </c>
      <c r="D104" s="142">
        <v>589.99</v>
      </c>
      <c r="F104" s="139">
        <v>0</v>
      </c>
      <c r="H104" s="124">
        <f t="shared" si="7"/>
        <v>0</v>
      </c>
    </row>
    <row r="105" spans="1:8">
      <c r="A105" s="152" t="str">
        <f t="shared" si="8"/>
        <v>VanccommercialCC2YEOW</v>
      </c>
      <c r="B105" s="122" t="s">
        <v>354</v>
      </c>
      <c r="C105" s="122" t="s">
        <v>355</v>
      </c>
      <c r="D105" s="142">
        <v>0</v>
      </c>
      <c r="F105" s="139">
        <v>0</v>
      </c>
      <c r="H105" s="124">
        <f>+IFERROR((F105/D105)/12,0)</f>
        <v>0</v>
      </c>
    </row>
    <row r="106" spans="1:8">
      <c r="A106" s="152" t="str">
        <f t="shared" si="8"/>
        <v>VanccommercialVC2Y1W</v>
      </c>
      <c r="B106" s="122" t="s">
        <v>1162</v>
      </c>
      <c r="C106" s="122" t="s">
        <v>345</v>
      </c>
      <c r="D106" s="142">
        <v>177</v>
      </c>
      <c r="F106" s="139">
        <v>818844.78999999992</v>
      </c>
      <c r="H106" s="124">
        <f t="shared" ref="H106:H113" si="9">+(F106/D106)/12</f>
        <v>385.52014595103577</v>
      </c>
    </row>
    <row r="107" spans="1:8">
      <c r="A107" s="152" t="str">
        <f t="shared" si="8"/>
        <v>VanccommercialVC2Y2W</v>
      </c>
      <c r="B107" s="122" t="s">
        <v>1163</v>
      </c>
      <c r="C107" s="122" t="s">
        <v>347</v>
      </c>
      <c r="D107" s="142">
        <v>353.99</v>
      </c>
      <c r="F107" s="139">
        <v>286454.83</v>
      </c>
      <c r="H107" s="124">
        <f t="shared" si="9"/>
        <v>67.434774522820803</v>
      </c>
    </row>
    <row r="108" spans="1:8">
      <c r="A108" s="152" t="str">
        <f t="shared" si="8"/>
        <v>VanccommercialVC2Y3W</v>
      </c>
      <c r="B108" s="122" t="s">
        <v>1164</v>
      </c>
      <c r="C108" s="122" t="s">
        <v>349</v>
      </c>
      <c r="D108" s="142">
        <v>530.99</v>
      </c>
      <c r="F108" s="139">
        <v>52084</v>
      </c>
      <c r="H108" s="124">
        <f t="shared" si="9"/>
        <v>8.1740396868742042</v>
      </c>
    </row>
    <row r="109" spans="1:8">
      <c r="A109" s="152" t="str">
        <f t="shared" si="8"/>
        <v>VanccommercialVC2Y4W</v>
      </c>
      <c r="B109" s="122" t="s">
        <v>1165</v>
      </c>
      <c r="C109" s="122" t="s">
        <v>351</v>
      </c>
      <c r="D109" s="142">
        <v>707.98</v>
      </c>
      <c r="F109" s="139">
        <v>16623.599999999999</v>
      </c>
      <c r="H109" s="124">
        <f t="shared" si="9"/>
        <v>1.9566936919122007</v>
      </c>
    </row>
    <row r="110" spans="1:8">
      <c r="A110" s="152" t="str">
        <f t="shared" si="8"/>
        <v>VanccommercialVC2Y5W</v>
      </c>
      <c r="B110" s="122" t="s">
        <v>1166</v>
      </c>
      <c r="C110" s="122" t="s">
        <v>353</v>
      </c>
      <c r="D110" s="142">
        <v>884.98</v>
      </c>
      <c r="F110" s="139">
        <v>2385.7799999999997</v>
      </c>
      <c r="H110" s="124">
        <f t="shared" si="9"/>
        <v>0.22465479445863179</v>
      </c>
    </row>
    <row r="111" spans="1:8">
      <c r="A111" s="152" t="str">
        <f t="shared" si="8"/>
        <v>VanccommercialVC2Y6W</v>
      </c>
      <c r="B111" s="122" t="s">
        <v>1167</v>
      </c>
      <c r="C111" s="122" t="s">
        <v>1168</v>
      </c>
      <c r="D111" s="142">
        <v>1061.98</v>
      </c>
      <c r="F111" s="139">
        <v>36133.31</v>
      </c>
      <c r="H111" s="124">
        <f t="shared" si="9"/>
        <v>2.8353727628266694</v>
      </c>
    </row>
    <row r="112" spans="1:8">
      <c r="A112" s="152" t="str">
        <f t="shared" si="8"/>
        <v>VanccommercialVC3Y1W</v>
      </c>
      <c r="B112" s="122" t="s">
        <v>1169</v>
      </c>
      <c r="C112" s="122" t="s">
        <v>357</v>
      </c>
      <c r="D112" s="142">
        <v>235.99</v>
      </c>
      <c r="F112" s="139">
        <v>818924.63000000012</v>
      </c>
      <c r="H112" s="124">
        <f t="shared" si="9"/>
        <v>289.1805549670184</v>
      </c>
    </row>
    <row r="113" spans="1:8">
      <c r="A113" s="152" t="str">
        <f t="shared" si="8"/>
        <v>VanccommercialVC3Y2W</v>
      </c>
      <c r="B113" s="122" t="s">
        <v>1170</v>
      </c>
      <c r="C113" s="122" t="s">
        <v>359</v>
      </c>
      <c r="D113" s="142">
        <v>471.99</v>
      </c>
      <c r="F113" s="139">
        <v>378707.43</v>
      </c>
      <c r="H113" s="124">
        <f t="shared" si="9"/>
        <v>66.863604101781817</v>
      </c>
    </row>
    <row r="114" spans="1:8">
      <c r="A114" s="152" t="str">
        <f>"Vanc"&amp;"commercial"&amp;B114</f>
        <v>VanccommercialCC3Y2W</v>
      </c>
      <c r="B114" s="148" t="s">
        <v>358</v>
      </c>
      <c r="C114" s="122" t="s">
        <v>359</v>
      </c>
      <c r="D114" s="142">
        <v>0</v>
      </c>
      <c r="F114" s="139">
        <v>0</v>
      </c>
      <c r="H114" s="124">
        <f>+IFERROR((F114/D114)/12,0)</f>
        <v>0</v>
      </c>
    </row>
    <row r="115" spans="1:8">
      <c r="A115" s="152" t="str">
        <f t="shared" si="8"/>
        <v>VanccommercialVC3Y3W</v>
      </c>
      <c r="B115" s="122" t="s">
        <v>1171</v>
      </c>
      <c r="C115" s="122" t="s">
        <v>361</v>
      </c>
      <c r="D115" s="142">
        <v>707.98</v>
      </c>
      <c r="F115" s="139">
        <v>266302.55</v>
      </c>
      <c r="H115" s="124">
        <f t="shared" ref="H115:H126" si="10">+(F115/D115)/12</f>
        <v>31.345347561607198</v>
      </c>
    </row>
    <row r="116" spans="1:8">
      <c r="A116" s="152" t="str">
        <f t="shared" si="8"/>
        <v>VanccommercialVC3Y4W</v>
      </c>
      <c r="B116" s="122" t="s">
        <v>1172</v>
      </c>
      <c r="C116" s="122" t="s">
        <v>363</v>
      </c>
      <c r="D116" s="142">
        <v>943.98</v>
      </c>
      <c r="F116" s="139">
        <v>60830.64</v>
      </c>
      <c r="H116" s="124">
        <f t="shared" si="10"/>
        <v>5.3700502129282404</v>
      </c>
    </row>
    <row r="117" spans="1:8">
      <c r="A117" s="152" t="str">
        <f t="shared" si="8"/>
        <v>VanccommercialVC3Y5W</v>
      </c>
      <c r="B117" s="122" t="s">
        <v>1173</v>
      </c>
      <c r="C117" s="122" t="s">
        <v>365</v>
      </c>
      <c r="D117" s="142">
        <v>1179.97</v>
      </c>
      <c r="F117" s="139">
        <v>19701.79</v>
      </c>
      <c r="H117" s="124">
        <f t="shared" si="10"/>
        <v>1.3914047249788837</v>
      </c>
    </row>
    <row r="118" spans="1:8">
      <c r="A118" s="152" t="str">
        <f t="shared" si="8"/>
        <v>VanccommercialVC3Y6W</v>
      </c>
      <c r="B118" s="122" t="s">
        <v>1174</v>
      </c>
      <c r="C118" s="122" t="s">
        <v>1175</v>
      </c>
      <c r="D118" s="142">
        <v>1415.97</v>
      </c>
      <c r="F118" s="139">
        <v>33247.319999999992</v>
      </c>
      <c r="H118" s="124">
        <f t="shared" si="10"/>
        <v>1.9566869354576717</v>
      </c>
    </row>
    <row r="119" spans="1:8">
      <c r="A119" s="152" t="str">
        <f t="shared" si="8"/>
        <v>VanccommercialVRABIN</v>
      </c>
      <c r="B119" s="122" t="s">
        <v>1176</v>
      </c>
      <c r="C119" s="122" t="s">
        <v>1177</v>
      </c>
      <c r="D119" s="142">
        <v>150.32</v>
      </c>
      <c r="F119" s="139">
        <v>13019.84</v>
      </c>
      <c r="H119" s="124">
        <f t="shared" si="10"/>
        <v>7.2178463721837858</v>
      </c>
    </row>
    <row r="120" spans="1:8">
      <c r="A120" s="152" t="str">
        <f t="shared" si="8"/>
        <v>VanccommercialVC4Y1W</v>
      </c>
      <c r="B120" s="122" t="s">
        <v>1178</v>
      </c>
      <c r="C120" s="122" t="s">
        <v>369</v>
      </c>
      <c r="D120" s="142">
        <v>294.99</v>
      </c>
      <c r="F120" s="139">
        <v>926990.94</v>
      </c>
      <c r="H120" s="124">
        <f t="shared" si="10"/>
        <v>261.87072443133667</v>
      </c>
    </row>
    <row r="121" spans="1:8">
      <c r="A121" s="152" t="str">
        <f t="shared" si="8"/>
        <v>VanccommercialVC4Y2W</v>
      </c>
      <c r="B121" s="122" t="s">
        <v>1179</v>
      </c>
      <c r="C121" s="122" t="s">
        <v>371</v>
      </c>
      <c r="D121" s="142">
        <v>589.99</v>
      </c>
      <c r="F121" s="139">
        <v>1006348.85</v>
      </c>
      <c r="H121" s="124">
        <f t="shared" si="10"/>
        <v>142.14207726684631</v>
      </c>
    </row>
    <row r="122" spans="1:8">
      <c r="A122" s="152" t="str">
        <f t="shared" si="8"/>
        <v>VanccommercialVC4Y3W</v>
      </c>
      <c r="B122" s="122" t="s">
        <v>1180</v>
      </c>
      <c r="C122" s="122" t="s">
        <v>373</v>
      </c>
      <c r="D122" s="142">
        <v>884.98</v>
      </c>
      <c r="F122" s="139">
        <v>605926.43999999994</v>
      </c>
      <c r="H122" s="124">
        <f t="shared" si="10"/>
        <v>57.056509751632802</v>
      </c>
    </row>
    <row r="123" spans="1:8">
      <c r="A123" s="152" t="str">
        <f t="shared" si="8"/>
        <v>VanccommercialVC4Y4W</v>
      </c>
      <c r="B123" s="122" t="s">
        <v>1181</v>
      </c>
      <c r="C123" s="122" t="s">
        <v>375</v>
      </c>
      <c r="D123" s="142">
        <v>1179.97</v>
      </c>
      <c r="F123" s="139">
        <v>187469.27000000002</v>
      </c>
      <c r="H123" s="124">
        <f t="shared" si="10"/>
        <v>13.239691828323322</v>
      </c>
    </row>
    <row r="124" spans="1:8">
      <c r="A124" s="152" t="str">
        <f t="shared" si="8"/>
        <v>VanccommercialVC4Y5W</v>
      </c>
      <c r="B124" s="122" t="s">
        <v>1182</v>
      </c>
      <c r="C124" s="122" t="s">
        <v>377</v>
      </c>
      <c r="D124" s="142">
        <v>1474.97</v>
      </c>
      <c r="F124" s="139">
        <v>55301.4</v>
      </c>
      <c r="H124" s="124">
        <f t="shared" si="10"/>
        <v>3.1244364292155091</v>
      </c>
    </row>
    <row r="125" spans="1:8">
      <c r="A125" s="152" t="str">
        <f t="shared" si="8"/>
        <v>VanccommercialVC4Y6W</v>
      </c>
      <c r="B125" s="122" t="s">
        <v>1183</v>
      </c>
      <c r="C125" s="122" t="s">
        <v>379</v>
      </c>
      <c r="D125" s="142">
        <v>1769.96</v>
      </c>
      <c r="F125" s="139">
        <v>98798.75</v>
      </c>
      <c r="H125" s="124">
        <f t="shared" si="10"/>
        <v>4.6516470240382075</v>
      </c>
    </row>
    <row r="126" spans="1:8">
      <c r="A126" s="152" t="str">
        <f t="shared" si="8"/>
        <v>VanccommercialVC5Y1W</v>
      </c>
      <c r="B126" s="122" t="s">
        <v>1184</v>
      </c>
      <c r="C126" s="122" t="s">
        <v>383</v>
      </c>
      <c r="D126" s="142">
        <v>353.99</v>
      </c>
      <c r="F126" s="139">
        <v>8311.7999999999993</v>
      </c>
      <c r="H126" s="124">
        <f t="shared" si="10"/>
        <v>1.9566936919122007</v>
      </c>
    </row>
    <row r="127" spans="1:8">
      <c r="A127" s="152" t="str">
        <f t="shared" si="8"/>
        <v>VanccommercialCC6Y1W</v>
      </c>
      <c r="B127" s="122" t="s">
        <v>386</v>
      </c>
      <c r="C127" s="122" t="s">
        <v>387</v>
      </c>
      <c r="D127" s="142">
        <v>0</v>
      </c>
      <c r="F127" s="139">
        <v>0</v>
      </c>
      <c r="H127" s="124">
        <f>+IFERROR((F127/D127)/12,0)</f>
        <v>0</v>
      </c>
    </row>
    <row r="128" spans="1:8">
      <c r="A128" s="152" t="str">
        <f t="shared" si="8"/>
        <v>VanccommercialVC6Y1W</v>
      </c>
      <c r="B128" s="122" t="s">
        <v>1185</v>
      </c>
      <c r="C128" s="122" t="s">
        <v>387</v>
      </c>
      <c r="D128" s="142">
        <v>412.99</v>
      </c>
      <c r="F128" s="139">
        <v>643842.76</v>
      </c>
      <c r="H128" s="124">
        <f t="shared" ref="H128:H161" si="11">+(F128/D128)/12</f>
        <v>129.91492126524452</v>
      </c>
    </row>
    <row r="129" spans="1:8">
      <c r="A129" s="152" t="str">
        <f t="shared" si="8"/>
        <v>VanccommercialVC6Y2W</v>
      </c>
      <c r="B129" s="122" t="s">
        <v>1186</v>
      </c>
      <c r="C129" s="122" t="s">
        <v>389</v>
      </c>
      <c r="D129" s="142">
        <v>825.98</v>
      </c>
      <c r="F129" s="139">
        <v>511448.14</v>
      </c>
      <c r="H129" s="124">
        <f t="shared" si="11"/>
        <v>51.600133578698433</v>
      </c>
    </row>
    <row r="130" spans="1:8">
      <c r="A130" s="152" t="str">
        <f t="shared" si="8"/>
        <v xml:space="preserve">VanccommercialVC6Y3W </v>
      </c>
      <c r="B130" s="122" t="s">
        <v>1187</v>
      </c>
      <c r="C130" s="122" t="s">
        <v>391</v>
      </c>
      <c r="D130" s="142">
        <v>1238.97</v>
      </c>
      <c r="F130" s="139">
        <v>211269.12</v>
      </c>
      <c r="H130" s="124">
        <f t="shared" si="11"/>
        <v>14.209997013648433</v>
      </c>
    </row>
    <row r="131" spans="1:8">
      <c r="A131" s="152" t="str">
        <f t="shared" si="8"/>
        <v>VanccommercialVC6Y4W</v>
      </c>
      <c r="B131" s="122" t="s">
        <v>1188</v>
      </c>
      <c r="C131" s="122" t="s">
        <v>1189</v>
      </c>
      <c r="D131" s="142">
        <v>1651.96</v>
      </c>
      <c r="F131" s="139">
        <v>96971.1</v>
      </c>
      <c r="H131" s="124">
        <f t="shared" si="11"/>
        <v>4.8917195331606091</v>
      </c>
    </row>
    <row r="132" spans="1:8">
      <c r="A132" s="152" t="str">
        <f t="shared" si="8"/>
        <v>VanccommercialVC6Y5W</v>
      </c>
      <c r="B132" s="122" t="s">
        <v>1190</v>
      </c>
      <c r="C132" s="122" t="s">
        <v>393</v>
      </c>
      <c r="D132" s="142">
        <v>2064.9499999999998</v>
      </c>
      <c r="F132" s="139">
        <v>1975.52</v>
      </c>
      <c r="H132" s="124">
        <f t="shared" si="11"/>
        <v>7.9724287109453826E-2</v>
      </c>
    </row>
    <row r="133" spans="1:8">
      <c r="A133" s="152" t="str">
        <f t="shared" si="8"/>
        <v>VanccommercialVC6Y6W</v>
      </c>
      <c r="B133" s="122" t="s">
        <v>1191</v>
      </c>
      <c r="C133" s="122" t="s">
        <v>1192</v>
      </c>
      <c r="D133" s="142">
        <v>2477.94</v>
      </c>
      <c r="F133" s="139">
        <v>26720.739999999998</v>
      </c>
      <c r="H133" s="124">
        <f t="shared" si="11"/>
        <v>0.89862076294556481</v>
      </c>
    </row>
    <row r="134" spans="1:8">
      <c r="A134" s="152" t="str">
        <f t="shared" si="8"/>
        <v>VanccommercialVC8Y1W</v>
      </c>
      <c r="B134" s="122" t="s">
        <v>1193</v>
      </c>
      <c r="C134" s="122" t="s">
        <v>397</v>
      </c>
      <c r="D134" s="142">
        <v>530.99</v>
      </c>
      <c r="F134" s="139">
        <v>405973.48</v>
      </c>
      <c r="H134" s="124">
        <f t="shared" si="11"/>
        <v>63.713296546702075</v>
      </c>
    </row>
    <row r="135" spans="1:8">
      <c r="A135" s="152" t="str">
        <f t="shared" si="8"/>
        <v>VanccommercialVC8Y2W</v>
      </c>
      <c r="B135" s="122" t="s">
        <v>1194</v>
      </c>
      <c r="C135" s="122" t="s">
        <v>399</v>
      </c>
      <c r="D135" s="142">
        <v>1061.98</v>
      </c>
      <c r="F135" s="139">
        <v>357137.91</v>
      </c>
      <c r="H135" s="124">
        <f t="shared" si="11"/>
        <v>28.024532006252471</v>
      </c>
    </row>
    <row r="136" spans="1:8">
      <c r="A136" s="152" t="str">
        <f t="shared" si="8"/>
        <v>VanccommercialVC8Y3W</v>
      </c>
      <c r="B136" s="122" t="s">
        <v>1195</v>
      </c>
      <c r="C136" s="122" t="s">
        <v>401</v>
      </c>
      <c r="D136" s="142">
        <v>1592.96</v>
      </c>
      <c r="F136" s="139">
        <v>152428.1</v>
      </c>
      <c r="H136" s="124">
        <f t="shared" si="11"/>
        <v>7.974049358845587</v>
      </c>
    </row>
    <row r="137" spans="1:8">
      <c r="A137" s="152" t="str">
        <f t="shared" si="8"/>
        <v>VanccommercialVC8Y4W</v>
      </c>
      <c r="B137" s="122" t="s">
        <v>1196</v>
      </c>
      <c r="C137" s="122" t="s">
        <v>403</v>
      </c>
      <c r="D137" s="142">
        <v>2123.9499999999998</v>
      </c>
      <c r="F137" s="139">
        <v>20795.330000000002</v>
      </c>
      <c r="H137" s="124">
        <f t="shared" si="11"/>
        <v>0.8159062909516076</v>
      </c>
    </row>
    <row r="138" spans="1:8">
      <c r="A138" s="152" t="str">
        <f t="shared" si="8"/>
        <v>VanccommercialVC8Y5W</v>
      </c>
      <c r="B138" s="122" t="s">
        <v>1197</v>
      </c>
      <c r="C138" s="122" t="s">
        <v>1198</v>
      </c>
      <c r="D138" s="142">
        <v>2654.94</v>
      </c>
      <c r="F138" s="139">
        <v>21011.85</v>
      </c>
      <c r="H138" s="124">
        <f t="shared" si="11"/>
        <v>0.65952055413681665</v>
      </c>
    </row>
    <row r="139" spans="1:8">
      <c r="A139" s="152" t="str">
        <f t="shared" si="8"/>
        <v>VanccommercialVC8Y6W</v>
      </c>
      <c r="B139" s="122" t="s">
        <v>1199</v>
      </c>
      <c r="C139" s="122" t="s">
        <v>1200</v>
      </c>
      <c r="D139" s="142">
        <v>3185.93</v>
      </c>
      <c r="F139" s="139">
        <v>14020.52</v>
      </c>
      <c r="H139" s="124">
        <f t="shared" si="11"/>
        <v>0.3667301750718524</v>
      </c>
    </row>
    <row r="140" spans="1:8">
      <c r="A140" s="152" t="str">
        <f>"Vanc"&amp;"Multi-family"&amp;B140</f>
        <v>VancMulti-familyMF32CAN</v>
      </c>
      <c r="B140" s="122" t="s">
        <v>1201</v>
      </c>
      <c r="C140" s="122" t="s">
        <v>1202</v>
      </c>
      <c r="D140" s="142">
        <v>17.28</v>
      </c>
      <c r="F140" s="139">
        <v>1119.8600000000001</v>
      </c>
      <c r="H140" s="124">
        <f t="shared" si="11"/>
        <v>5.4005594135802468</v>
      </c>
    </row>
    <row r="141" spans="1:8">
      <c r="A141" s="152" t="str">
        <f t="shared" si="8"/>
        <v>VanccommercialVCCMP15Y</v>
      </c>
      <c r="B141" s="122" t="s">
        <v>1203</v>
      </c>
      <c r="C141" s="122" t="s">
        <v>1204</v>
      </c>
      <c r="D141" s="142">
        <v>331.08</v>
      </c>
      <c r="F141" s="139">
        <v>3886.92</v>
      </c>
      <c r="H141" s="124">
        <f t="shared" si="11"/>
        <v>0.9783436027546214</v>
      </c>
    </row>
    <row r="142" spans="1:8">
      <c r="A142" s="152" t="str">
        <f t="shared" si="8"/>
        <v>VanccommercialVCCMP2Y</v>
      </c>
      <c r="B142" s="122" t="s">
        <v>1205</v>
      </c>
      <c r="C142" s="122" t="s">
        <v>407</v>
      </c>
      <c r="D142" s="142">
        <v>397.29</v>
      </c>
      <c r="F142" s="139">
        <v>120360.14999999998</v>
      </c>
      <c r="H142" s="124">
        <f t="shared" si="11"/>
        <v>25.246073397266475</v>
      </c>
    </row>
    <row r="143" spans="1:8">
      <c r="A143" s="152" t="str">
        <f t="shared" si="8"/>
        <v>VanccommercialVCCMP3Y</v>
      </c>
      <c r="B143" s="122" t="s">
        <v>1206</v>
      </c>
      <c r="C143" s="122" t="s">
        <v>409</v>
      </c>
      <c r="D143" s="142">
        <v>529.73</v>
      </c>
      <c r="F143" s="139">
        <v>74628.72</v>
      </c>
      <c r="H143" s="124">
        <f t="shared" si="11"/>
        <v>11.740056255073339</v>
      </c>
    </row>
    <row r="144" spans="1:8">
      <c r="A144" s="152" t="str">
        <f t="shared" si="8"/>
        <v>VanccommercialVCCMP4Y</v>
      </c>
      <c r="B144" s="122" t="s">
        <v>1207</v>
      </c>
      <c r="C144" s="122" t="s">
        <v>411</v>
      </c>
      <c r="D144" s="142">
        <v>662.16</v>
      </c>
      <c r="F144" s="139">
        <v>141094.44000000003</v>
      </c>
      <c r="H144" s="124">
        <f t="shared" si="11"/>
        <v>17.756841246828568</v>
      </c>
    </row>
    <row r="145" spans="1:8">
      <c r="A145" s="152" t="str">
        <f t="shared" si="8"/>
        <v>VanccommercialVCCMP6Y</v>
      </c>
      <c r="B145" s="122" t="s">
        <v>1208</v>
      </c>
      <c r="C145" s="122" t="s">
        <v>1209</v>
      </c>
      <c r="D145" s="142">
        <v>927.02</v>
      </c>
      <c r="F145" s="139">
        <v>25938.270000000004</v>
      </c>
      <c r="H145" s="124">
        <f t="shared" si="11"/>
        <v>2.3316891760695566</v>
      </c>
    </row>
    <row r="146" spans="1:8">
      <c r="A146" s="152" t="str">
        <f t="shared" si="8"/>
        <v>VanccommercialCC32W1</v>
      </c>
      <c r="B146" s="122" t="s">
        <v>444</v>
      </c>
      <c r="C146" s="122" t="s">
        <v>445</v>
      </c>
      <c r="D146" s="142">
        <v>19.21</v>
      </c>
      <c r="F146" s="139">
        <v>0</v>
      </c>
      <c r="H146" s="124">
        <f t="shared" si="11"/>
        <v>0</v>
      </c>
    </row>
    <row r="147" spans="1:8">
      <c r="A147" s="152" t="str">
        <f t="shared" si="8"/>
        <v>VanccommercialVCA20W</v>
      </c>
      <c r="B147" s="122" t="s">
        <v>1210</v>
      </c>
      <c r="C147" s="122" t="s">
        <v>1211</v>
      </c>
      <c r="D147" s="142">
        <v>14.4</v>
      </c>
      <c r="F147" s="139">
        <v>1183.56</v>
      </c>
      <c r="H147" s="124">
        <f t="shared" si="11"/>
        <v>6.8493055555555555</v>
      </c>
    </row>
    <row r="148" spans="1:8">
      <c r="A148" s="152" t="str">
        <f t="shared" si="8"/>
        <v>VanccommercialVCA32W2</v>
      </c>
      <c r="B148" s="122" t="s">
        <v>1212</v>
      </c>
      <c r="C148" s="122" t="s">
        <v>1213</v>
      </c>
      <c r="D148" s="142">
        <v>38.409999999999997</v>
      </c>
      <c r="F148" s="139">
        <v>3732.04</v>
      </c>
      <c r="H148" s="124">
        <f t="shared" si="11"/>
        <v>8.096936561659291</v>
      </c>
    </row>
    <row r="149" spans="1:8">
      <c r="A149" s="152" t="str">
        <f t="shared" si="8"/>
        <v>VanccommercialVCA64W2</v>
      </c>
      <c r="B149" s="122" t="s">
        <v>1214</v>
      </c>
      <c r="C149" s="122" t="s">
        <v>1215</v>
      </c>
      <c r="D149" s="142">
        <v>76.819999999999993</v>
      </c>
      <c r="F149" s="139">
        <v>11602.18</v>
      </c>
      <c r="H149" s="124">
        <f t="shared" si="11"/>
        <v>12.585893430530247</v>
      </c>
    </row>
    <row r="150" spans="1:8">
      <c r="A150" s="152" t="str">
        <f t="shared" si="8"/>
        <v>VanccommercialVCA32CO</v>
      </c>
      <c r="B150" s="122" t="s">
        <v>1216</v>
      </c>
      <c r="C150" s="122" t="s">
        <v>1217</v>
      </c>
      <c r="D150" s="142">
        <v>28.81</v>
      </c>
      <c r="F150" s="139">
        <v>2629.1099999999997</v>
      </c>
      <c r="H150" s="124">
        <f t="shared" si="11"/>
        <v>7.6047379382158971</v>
      </c>
    </row>
    <row r="151" spans="1:8">
      <c r="A151" s="152" t="str">
        <f t="shared" si="8"/>
        <v>VanccommercialVCA32EOW</v>
      </c>
      <c r="B151" s="122" t="s">
        <v>1218</v>
      </c>
      <c r="C151" s="122" t="s">
        <v>1219</v>
      </c>
      <c r="D151" s="142">
        <v>14.4</v>
      </c>
      <c r="F151" s="139">
        <v>3665.5800000000004</v>
      </c>
      <c r="H151" s="124">
        <f t="shared" si="11"/>
        <v>21.212847222222223</v>
      </c>
    </row>
    <row r="152" spans="1:8">
      <c r="A152" s="152" t="str">
        <f t="shared" si="8"/>
        <v>VanccommercialVCA32W</v>
      </c>
      <c r="B152" s="122" t="s">
        <v>1220</v>
      </c>
      <c r="C152" s="122" t="s">
        <v>1221</v>
      </c>
      <c r="D152" s="142">
        <v>19.21</v>
      </c>
      <c r="F152" s="139">
        <v>48534</v>
      </c>
      <c r="H152" s="124">
        <f t="shared" si="11"/>
        <v>210.54138469547112</v>
      </c>
    </row>
    <row r="153" spans="1:8">
      <c r="A153" s="152" t="str">
        <f t="shared" si="8"/>
        <v>VanccommercialVCA32W3</v>
      </c>
      <c r="B153" s="122" t="s">
        <v>1222</v>
      </c>
      <c r="C153" s="122" t="s">
        <v>1223</v>
      </c>
      <c r="D153" s="142">
        <v>57.62</v>
      </c>
      <c r="F153" s="139">
        <v>1352.76</v>
      </c>
      <c r="H153" s="124">
        <f t="shared" si="11"/>
        <v>1.956438736549809</v>
      </c>
    </row>
    <row r="154" spans="1:8">
      <c r="A154" s="152" t="str">
        <f t="shared" si="8"/>
        <v>VanccommercialVCA32W4</v>
      </c>
      <c r="B154" s="161" t="s">
        <v>1224</v>
      </c>
      <c r="C154" s="161" t="s">
        <v>1225</v>
      </c>
      <c r="D154" s="142">
        <v>76.84</v>
      </c>
      <c r="F154" s="139">
        <v>230.52</v>
      </c>
      <c r="H154" s="124">
        <f t="shared" si="11"/>
        <v>0.25</v>
      </c>
    </row>
    <row r="155" spans="1:8">
      <c r="A155" s="152" t="str">
        <f t="shared" si="8"/>
        <v>VanccommercialVCA64CO</v>
      </c>
      <c r="B155" s="122" t="s">
        <v>1226</v>
      </c>
      <c r="C155" s="122" t="s">
        <v>1227</v>
      </c>
      <c r="D155" s="142">
        <v>48.02</v>
      </c>
      <c r="F155" s="139">
        <v>3946.3199999999997</v>
      </c>
      <c r="H155" s="124">
        <f t="shared" si="11"/>
        <v>6.8483965014577253</v>
      </c>
    </row>
    <row r="156" spans="1:8">
      <c r="A156" s="152" t="str">
        <f t="shared" si="8"/>
        <v>VanccommercialVCA64EOW</v>
      </c>
      <c r="B156" s="122" t="s">
        <v>1228</v>
      </c>
      <c r="C156" s="122" t="s">
        <v>1229</v>
      </c>
      <c r="D156" s="142">
        <v>19.21</v>
      </c>
      <c r="F156" s="139">
        <v>225.48000000000002</v>
      </c>
      <c r="H156" s="124">
        <f t="shared" si="11"/>
        <v>0.97813638729828212</v>
      </c>
    </row>
    <row r="157" spans="1:8">
      <c r="A157" s="152" t="str">
        <f t="shared" si="8"/>
        <v>VanccommercialVCA64W</v>
      </c>
      <c r="B157" s="122" t="s">
        <v>1230</v>
      </c>
      <c r="C157" s="122" t="s">
        <v>1231</v>
      </c>
      <c r="D157" s="142">
        <v>38.409999999999997</v>
      </c>
      <c r="F157" s="139">
        <v>105883.51999999999</v>
      </c>
      <c r="H157" s="124">
        <f t="shared" si="11"/>
        <v>229.72212097544045</v>
      </c>
    </row>
    <row r="158" spans="1:8">
      <c r="A158" s="152" t="str">
        <f t="shared" si="8"/>
        <v>VanccommercialVCA96CO</v>
      </c>
      <c r="B158" s="122" t="s">
        <v>1232</v>
      </c>
      <c r="C158" s="122" t="s">
        <v>1233</v>
      </c>
      <c r="D158" s="142">
        <v>67.23</v>
      </c>
      <c r="F158" s="139">
        <v>22053.54</v>
      </c>
      <c r="H158" s="124">
        <f t="shared" si="11"/>
        <v>27.335936337944371</v>
      </c>
    </row>
    <row r="159" spans="1:8">
      <c r="A159" s="152" t="str">
        <f t="shared" si="8"/>
        <v>VanccommercialVCA96EOW</v>
      </c>
      <c r="B159" s="122" t="s">
        <v>1234</v>
      </c>
      <c r="C159" s="122" t="s">
        <v>1235</v>
      </c>
      <c r="D159" s="142">
        <v>28.88</v>
      </c>
      <c r="F159" s="139">
        <v>1269.3599999999999</v>
      </c>
      <c r="H159" s="124">
        <f t="shared" si="11"/>
        <v>3.662742382271468</v>
      </c>
    </row>
    <row r="160" spans="1:8">
      <c r="A160" s="152" t="str">
        <f t="shared" si="8"/>
        <v>VanccommercialVCA96W</v>
      </c>
      <c r="B160" s="122" t="s">
        <v>1236</v>
      </c>
      <c r="C160" s="122" t="s">
        <v>1237</v>
      </c>
      <c r="D160" s="142">
        <v>57.62</v>
      </c>
      <c r="F160" s="139">
        <v>208649.31</v>
      </c>
      <c r="H160" s="124">
        <f t="shared" si="11"/>
        <v>301.76054321416177</v>
      </c>
    </row>
    <row r="161" spans="1:8">
      <c r="A161" s="152" t="str">
        <f>"Vanc"&amp;"multi-family"&amp;B161</f>
        <v>Vancmulti-familyVMF32CAN</v>
      </c>
      <c r="B161" s="122" t="s">
        <v>1238</v>
      </c>
      <c r="C161" s="122" t="s">
        <v>1239</v>
      </c>
      <c r="D161" s="142">
        <v>17.28</v>
      </c>
      <c r="F161" s="139">
        <v>197311.66999999998</v>
      </c>
      <c r="H161" s="124">
        <f t="shared" si="11"/>
        <v>951.54161844135785</v>
      </c>
    </row>
    <row r="162" spans="1:8">
      <c r="A162" s="152" t="str">
        <f t="shared" si="8"/>
        <v>VanccommercialVACCESS</v>
      </c>
      <c r="B162" s="122" t="s">
        <v>1240</v>
      </c>
      <c r="C162" s="122" t="s">
        <v>506</v>
      </c>
      <c r="D162" s="142">
        <v>14.46</v>
      </c>
      <c r="F162" s="139">
        <v>188178.22999999998</v>
      </c>
    </row>
    <row r="163" spans="1:8">
      <c r="A163" s="152" t="str">
        <f t="shared" si="8"/>
        <v>VanccommercialCACCESS</v>
      </c>
      <c r="B163" s="122" t="s">
        <v>505</v>
      </c>
      <c r="C163" s="122" t="s">
        <v>506</v>
      </c>
      <c r="D163" s="142">
        <v>0</v>
      </c>
      <c r="F163" s="139">
        <v>72.710000000000008</v>
      </c>
    </row>
    <row r="164" spans="1:8">
      <c r="A164" s="152" t="str">
        <f t="shared" si="8"/>
        <v>VanccommercialCCPLACE</v>
      </c>
      <c r="B164" s="122" t="s">
        <v>462</v>
      </c>
      <c r="C164" s="122" t="s">
        <v>463</v>
      </c>
      <c r="D164" s="142">
        <v>26.74</v>
      </c>
      <c r="F164" s="139">
        <v>0</v>
      </c>
    </row>
    <row r="165" spans="1:8">
      <c r="A165" s="152" t="str">
        <f t="shared" si="8"/>
        <v>VanccommercialVCPLACE</v>
      </c>
      <c r="B165" s="122" t="s">
        <v>1241</v>
      </c>
      <c r="C165" s="122" t="s">
        <v>463</v>
      </c>
      <c r="D165" s="142">
        <v>26.74</v>
      </c>
      <c r="F165" s="139">
        <v>5168.1999999999989</v>
      </c>
    </row>
    <row r="166" spans="1:8">
      <c r="A166" s="152" t="str">
        <f t="shared" ref="A166:A206" si="12">"Vanc"&amp;"commercial"&amp;B166</f>
        <v>VanccommercialCCEXCAN</v>
      </c>
      <c r="B166" s="122" t="s">
        <v>454</v>
      </c>
      <c r="C166" s="122" t="s">
        <v>455</v>
      </c>
      <c r="D166" s="142">
        <v>7.54</v>
      </c>
      <c r="F166" s="139">
        <v>12302.650000000001</v>
      </c>
    </row>
    <row r="167" spans="1:8">
      <c r="A167" s="152" t="str">
        <f t="shared" si="12"/>
        <v>VanccommercialCCEXYD</v>
      </c>
      <c r="B167" s="122" t="s">
        <v>456</v>
      </c>
      <c r="C167" s="122" t="s">
        <v>457</v>
      </c>
      <c r="D167" s="142">
        <v>15.01</v>
      </c>
      <c r="F167" s="139">
        <v>101892.83</v>
      </c>
    </row>
    <row r="168" spans="1:8">
      <c r="A168" s="152" t="str">
        <f t="shared" si="12"/>
        <v>VanccommercialVEXBIN</v>
      </c>
      <c r="B168" s="122" t="s">
        <v>1242</v>
      </c>
      <c r="C168" s="122" t="s">
        <v>1243</v>
      </c>
      <c r="D168" s="142">
        <v>93.15</v>
      </c>
      <c r="F168" s="139">
        <v>1652.46</v>
      </c>
    </row>
    <row r="169" spans="1:8">
      <c r="A169" s="152" t="str">
        <f t="shared" si="12"/>
        <v>VanccommercialVLOCK</v>
      </c>
      <c r="B169" s="122" t="s">
        <v>511</v>
      </c>
      <c r="C169" s="122" t="s">
        <v>512</v>
      </c>
      <c r="D169" s="142">
        <v>10.18</v>
      </c>
      <c r="F169" s="139">
        <v>2358.04</v>
      </c>
    </row>
    <row r="170" spans="1:8">
      <c r="A170" s="152" t="str">
        <f t="shared" si="12"/>
        <v>VanccommercialCC1YPR</v>
      </c>
      <c r="B170" s="122" t="s">
        <v>466</v>
      </c>
      <c r="C170" s="122" t="s">
        <v>467</v>
      </c>
      <c r="D170" s="142">
        <v>0</v>
      </c>
      <c r="F170" s="139">
        <v>0</v>
      </c>
    </row>
    <row r="171" spans="1:8">
      <c r="A171" s="152" t="str">
        <f t="shared" si="12"/>
        <v>VanccommercialCC2YPR</v>
      </c>
      <c r="B171" s="122" t="s">
        <v>470</v>
      </c>
      <c r="C171" s="122" t="s">
        <v>471</v>
      </c>
      <c r="D171" s="142">
        <v>0</v>
      </c>
      <c r="F171" s="139">
        <v>0</v>
      </c>
    </row>
    <row r="172" spans="1:8">
      <c r="A172" s="152" t="str">
        <f t="shared" si="12"/>
        <v>VanccommercialCC6YPR</v>
      </c>
      <c r="B172" s="122" t="s">
        <v>478</v>
      </c>
      <c r="C172" s="122" t="s">
        <v>479</v>
      </c>
      <c r="D172" s="142">
        <v>0</v>
      </c>
      <c r="F172" s="139">
        <v>0</v>
      </c>
    </row>
    <row r="173" spans="1:8">
      <c r="A173" s="152" t="str">
        <f t="shared" si="12"/>
        <v>VanccommercialVCROLL15</v>
      </c>
      <c r="B173" s="122" t="s">
        <v>1244</v>
      </c>
      <c r="C173" s="122" t="s">
        <v>1245</v>
      </c>
      <c r="D173" s="142">
        <v>14.46</v>
      </c>
      <c r="F173" s="139">
        <v>169.92000000000002</v>
      </c>
    </row>
    <row r="174" spans="1:8">
      <c r="A174" s="152" t="str">
        <f t="shared" si="12"/>
        <v>VanccommercialVCROLL20</v>
      </c>
      <c r="B174" s="122" t="s">
        <v>1246</v>
      </c>
      <c r="C174" s="122" t="s">
        <v>1247</v>
      </c>
      <c r="D174" s="142">
        <v>23.17</v>
      </c>
      <c r="F174" s="139">
        <v>0</v>
      </c>
    </row>
    <row r="175" spans="1:8">
      <c r="A175" s="152" t="str">
        <f t="shared" si="12"/>
        <v>VanccommercialCROLLOUT</v>
      </c>
      <c r="B175" s="122" t="s">
        <v>517</v>
      </c>
      <c r="C175" s="122" t="s">
        <v>518</v>
      </c>
      <c r="D175" s="142">
        <v>0</v>
      </c>
      <c r="F175" s="139">
        <v>36.200000000000003</v>
      </c>
    </row>
    <row r="176" spans="1:8">
      <c r="A176" s="152" t="str">
        <f t="shared" si="12"/>
        <v>VanccommercialVROLLOUT</v>
      </c>
      <c r="B176" s="122" t="s">
        <v>1248</v>
      </c>
      <c r="C176" s="122" t="s">
        <v>518</v>
      </c>
      <c r="D176" s="142">
        <v>14.46</v>
      </c>
      <c r="F176" s="139">
        <v>162977.59</v>
      </c>
    </row>
    <row r="177" spans="1:6">
      <c r="A177" s="152" t="str">
        <f t="shared" si="12"/>
        <v>VanccommercialCCSP15Y</v>
      </c>
      <c r="B177" s="122" t="s">
        <v>414</v>
      </c>
      <c r="C177" s="122" t="s">
        <v>415</v>
      </c>
      <c r="D177" s="142">
        <v>37.200000000000003</v>
      </c>
      <c r="F177" s="139">
        <v>712.75</v>
      </c>
    </row>
    <row r="178" spans="1:6">
      <c r="A178" s="152" t="str">
        <f t="shared" si="12"/>
        <v>VanccommercialCCSP1Y</v>
      </c>
      <c r="B178" s="122" t="s">
        <v>412</v>
      </c>
      <c r="C178" s="122" t="s">
        <v>413</v>
      </c>
      <c r="D178" s="142">
        <v>29.69</v>
      </c>
      <c r="F178" s="139">
        <v>512.30999999999995</v>
      </c>
    </row>
    <row r="179" spans="1:6">
      <c r="A179" s="152" t="str">
        <f t="shared" si="12"/>
        <v>VanccommercialVCSP2YC</v>
      </c>
      <c r="B179" s="122" t="s">
        <v>420</v>
      </c>
      <c r="C179" s="122" t="s">
        <v>421</v>
      </c>
      <c r="D179" s="142">
        <v>104.71</v>
      </c>
      <c r="F179" s="139">
        <v>100.2</v>
      </c>
    </row>
    <row r="180" spans="1:6">
      <c r="A180" s="152" t="str">
        <f t="shared" si="12"/>
        <v>VanccommercialCCSP2Y</v>
      </c>
      <c r="B180" s="122" t="s">
        <v>416</v>
      </c>
      <c r="C180" s="122" t="s">
        <v>417</v>
      </c>
      <c r="D180" s="142">
        <v>44.7</v>
      </c>
      <c r="F180" s="139">
        <v>2110.08</v>
      </c>
    </row>
    <row r="181" spans="1:6">
      <c r="A181" s="152" t="str">
        <f t="shared" si="12"/>
        <v>VanccommercialVCSP3YC</v>
      </c>
      <c r="B181" s="122" t="s">
        <v>1249</v>
      </c>
      <c r="C181" s="122" t="s">
        <v>1250</v>
      </c>
      <c r="D181" s="142">
        <v>149.72999999999999</v>
      </c>
      <c r="F181" s="139">
        <v>0</v>
      </c>
    </row>
    <row r="182" spans="1:6">
      <c r="A182" s="152" t="str">
        <f t="shared" si="12"/>
        <v>VanccommercialCCSP3Y</v>
      </c>
      <c r="B182" s="122" t="s">
        <v>418</v>
      </c>
      <c r="C182" s="122" t="s">
        <v>419</v>
      </c>
      <c r="D182" s="142">
        <v>59.71</v>
      </c>
      <c r="F182" s="139">
        <v>1934.17</v>
      </c>
    </row>
    <row r="183" spans="1:6">
      <c r="A183" s="152" t="str">
        <f t="shared" si="12"/>
        <v>VanccommercialVCSP4YC</v>
      </c>
      <c r="B183" s="122" t="s">
        <v>422</v>
      </c>
      <c r="C183" s="122" t="s">
        <v>423</v>
      </c>
      <c r="D183" s="142">
        <v>194.75</v>
      </c>
      <c r="F183" s="139">
        <v>8715.19</v>
      </c>
    </row>
    <row r="184" spans="1:6">
      <c r="A184" s="152" t="str">
        <f t="shared" si="12"/>
        <v>VanccommercialCCSP4Y</v>
      </c>
      <c r="B184" s="122" t="s">
        <v>424</v>
      </c>
      <c r="C184" s="122" t="s">
        <v>425</v>
      </c>
      <c r="D184" s="142">
        <v>74.72</v>
      </c>
      <c r="F184" s="139">
        <v>5337.74</v>
      </c>
    </row>
    <row r="185" spans="1:6">
      <c r="A185" s="152" t="str">
        <f t="shared" si="12"/>
        <v>VanccommercialCCSP5Y</v>
      </c>
      <c r="B185" s="122" t="s">
        <v>426</v>
      </c>
      <c r="C185" s="122" t="s">
        <v>427</v>
      </c>
      <c r="D185" s="142">
        <v>89.73</v>
      </c>
      <c r="F185" s="139">
        <v>85.84</v>
      </c>
    </row>
    <row r="186" spans="1:6">
      <c r="A186" s="152" t="str">
        <f t="shared" si="12"/>
        <v>VanccommercialCCSP6Y</v>
      </c>
      <c r="B186" s="122" t="s">
        <v>428</v>
      </c>
      <c r="C186" s="122" t="s">
        <v>429</v>
      </c>
      <c r="D186" s="142">
        <v>104.74</v>
      </c>
      <c r="F186" s="139">
        <v>4070.55</v>
      </c>
    </row>
    <row r="187" spans="1:6">
      <c r="A187" s="152" t="str">
        <f t="shared" si="12"/>
        <v>VanccommercialCCSP8Y</v>
      </c>
      <c r="B187" s="122" t="s">
        <v>430</v>
      </c>
      <c r="C187" s="122" t="s">
        <v>431</v>
      </c>
      <c r="D187" s="142">
        <v>134.76</v>
      </c>
      <c r="F187" s="139">
        <v>1845.7599999999998</v>
      </c>
    </row>
    <row r="188" spans="1:6">
      <c r="A188" s="152" t="str">
        <f t="shared" si="12"/>
        <v>VanccommercialCCSPCN</v>
      </c>
      <c r="B188" s="122" t="s">
        <v>1251</v>
      </c>
      <c r="C188" s="122" t="s">
        <v>1252</v>
      </c>
      <c r="D188" s="142">
        <v>17.57</v>
      </c>
      <c r="F188" s="139">
        <v>0</v>
      </c>
    </row>
    <row r="189" spans="1:6">
      <c r="A189" s="152" t="str">
        <f t="shared" si="12"/>
        <v>VanccommercialCCTP1Y</v>
      </c>
      <c r="B189" s="122" t="s">
        <v>432</v>
      </c>
      <c r="C189" s="122" t="s">
        <v>433</v>
      </c>
      <c r="D189" s="142">
        <v>29.69</v>
      </c>
      <c r="F189" s="139">
        <v>220.86</v>
      </c>
    </row>
    <row r="190" spans="1:6">
      <c r="A190" s="152" t="str">
        <f>"Vanc"&amp;"commercial"&amp;B190</f>
        <v>VanccommercialCCTP15Y</v>
      </c>
      <c r="B190" s="148" t="s">
        <v>434</v>
      </c>
      <c r="C190" s="122" t="s">
        <v>435</v>
      </c>
      <c r="D190" s="142">
        <v>37.200000000000003</v>
      </c>
      <c r="F190" s="139">
        <v>168.32999999999998</v>
      </c>
    </row>
    <row r="191" spans="1:6">
      <c r="A191" s="152" t="str">
        <f t="shared" si="12"/>
        <v>VanccommercialCCTP3Y</v>
      </c>
      <c r="B191" s="122" t="s">
        <v>438</v>
      </c>
      <c r="C191" s="122" t="s">
        <v>439</v>
      </c>
      <c r="D191" s="142">
        <v>59.71</v>
      </c>
      <c r="F191" s="139">
        <v>173.95</v>
      </c>
    </row>
    <row r="192" spans="1:6">
      <c r="A192" s="152" t="str">
        <f t="shared" si="12"/>
        <v>VanccommercialCCTP2Y</v>
      </c>
      <c r="B192" s="122" t="s">
        <v>436</v>
      </c>
      <c r="C192" s="122" t="s">
        <v>437</v>
      </c>
      <c r="D192" s="142">
        <v>44.7</v>
      </c>
      <c r="F192" s="139">
        <v>526.70000000000005</v>
      </c>
    </row>
    <row r="193" spans="1:8">
      <c r="A193" s="152" t="str">
        <f t="shared" si="12"/>
        <v>VanccommercialCCTP4Y</v>
      </c>
      <c r="B193" s="122" t="s">
        <v>440</v>
      </c>
      <c r="C193" s="122" t="s">
        <v>441</v>
      </c>
      <c r="D193" s="142">
        <v>74.72</v>
      </c>
      <c r="F193" s="139">
        <v>146.19999999999999</v>
      </c>
    </row>
    <row r="194" spans="1:8">
      <c r="A194" s="152" t="str">
        <f t="shared" si="12"/>
        <v>VanccommercialCCTP6Y</v>
      </c>
      <c r="B194" s="122" t="s">
        <v>1045</v>
      </c>
      <c r="C194" s="122" t="s">
        <v>1046</v>
      </c>
      <c r="D194" s="142">
        <v>104.74</v>
      </c>
      <c r="F194" s="139">
        <v>305.14</v>
      </c>
    </row>
    <row r="195" spans="1:8">
      <c r="A195" s="152" t="str">
        <f t="shared" si="12"/>
        <v>VanccommercialCCTP8Y</v>
      </c>
      <c r="B195" s="148" t="s">
        <v>442</v>
      </c>
      <c r="C195" s="122" t="s">
        <v>443</v>
      </c>
      <c r="D195" s="142">
        <v>134.76</v>
      </c>
      <c r="F195" s="139">
        <v>0</v>
      </c>
    </row>
    <row r="196" spans="1:8">
      <c r="A196" s="152" t="str">
        <f t="shared" si="12"/>
        <v>VanccommercialCC4YTR</v>
      </c>
      <c r="B196" s="122" t="s">
        <v>1253</v>
      </c>
      <c r="C196" s="122" t="s">
        <v>1254</v>
      </c>
      <c r="D196" s="142">
        <v>94.01</v>
      </c>
      <c r="F196" s="139">
        <v>0</v>
      </c>
      <c r="H196" s="172"/>
    </row>
    <row r="197" spans="1:8">
      <c r="A197" s="152" t="str">
        <f t="shared" si="12"/>
        <v>VanccommercialCTIME1M</v>
      </c>
      <c r="B197" s="122" t="s">
        <v>500</v>
      </c>
      <c r="C197" s="122" t="s">
        <v>312</v>
      </c>
      <c r="D197" s="142">
        <v>1.58</v>
      </c>
      <c r="F197" s="139">
        <v>0</v>
      </c>
    </row>
    <row r="198" spans="1:8">
      <c r="A198" s="152" t="str">
        <f t="shared" si="12"/>
        <v>VanccommercialCTIME2M</v>
      </c>
      <c r="B198" s="122" t="s">
        <v>501</v>
      </c>
      <c r="C198" s="122" t="s">
        <v>314</v>
      </c>
      <c r="D198" s="142">
        <v>1.58</v>
      </c>
      <c r="F198" s="139">
        <v>0</v>
      </c>
    </row>
    <row r="199" spans="1:8">
      <c r="A199" s="152" t="str">
        <f t="shared" si="12"/>
        <v>VanccommercialCRTRIP</v>
      </c>
      <c r="B199" s="122" t="s">
        <v>504</v>
      </c>
      <c r="C199" s="122" t="s">
        <v>318</v>
      </c>
      <c r="D199" s="142">
        <v>10.029999999999999</v>
      </c>
      <c r="F199" s="139">
        <v>140.41999999999999</v>
      </c>
    </row>
    <row r="200" spans="1:8">
      <c r="A200" s="152" t="str">
        <f t="shared" si="12"/>
        <v>VanccommercialCCTRIP</v>
      </c>
      <c r="B200" s="122" t="s">
        <v>502</v>
      </c>
      <c r="C200" s="122" t="s">
        <v>503</v>
      </c>
      <c r="D200" s="142">
        <v>14.68</v>
      </c>
      <c r="F200" s="139">
        <v>6367.4699999999993</v>
      </c>
    </row>
    <row r="201" spans="1:8">
      <c r="A201" s="152" t="str">
        <f t="shared" si="12"/>
        <v>VanccommercialRCOF</v>
      </c>
      <c r="B201" s="122" t="s">
        <v>458</v>
      </c>
      <c r="C201" s="122" t="s">
        <v>459</v>
      </c>
      <c r="D201" s="142">
        <v>15.01</v>
      </c>
      <c r="F201" s="139">
        <v>0</v>
      </c>
    </row>
    <row r="202" spans="1:8">
      <c r="A202" s="152" t="str">
        <f t="shared" si="12"/>
        <v>VanccommercialCWSAN 1-5</v>
      </c>
      <c r="B202" s="122" t="s">
        <v>509</v>
      </c>
      <c r="C202" s="122" t="s">
        <v>510</v>
      </c>
      <c r="D202" s="142">
        <v>40.090000000000003</v>
      </c>
      <c r="F202" s="139">
        <v>786.43999999999994</v>
      </c>
    </row>
    <row r="203" spans="1:8">
      <c r="A203" s="152" t="str">
        <f t="shared" si="12"/>
        <v>VanccommercialCWSAN8</v>
      </c>
      <c r="B203" s="122" t="s">
        <v>1255</v>
      </c>
      <c r="C203" s="122" t="s">
        <v>1256</v>
      </c>
      <c r="D203" s="142">
        <v>40.090000000000003</v>
      </c>
      <c r="F203" s="139">
        <v>40.090000000000003</v>
      </c>
    </row>
    <row r="204" spans="1:8">
      <c r="A204" s="152" t="str">
        <f t="shared" si="12"/>
        <v>VanccommercialCC8YTR</v>
      </c>
      <c r="B204" s="148" t="s">
        <v>498</v>
      </c>
      <c r="C204" s="122" t="s">
        <v>499</v>
      </c>
      <c r="D204" s="142">
        <v>94.01</v>
      </c>
      <c r="F204" s="139">
        <v>191.02</v>
      </c>
    </row>
    <row r="205" spans="1:8">
      <c r="A205" s="152" t="str">
        <f t="shared" si="12"/>
        <v>VanccommercialRROLLOUT</v>
      </c>
      <c r="B205" s="148" t="s">
        <v>1044</v>
      </c>
      <c r="C205" s="122" t="s">
        <v>518</v>
      </c>
      <c r="D205" s="142">
        <v>0</v>
      </c>
      <c r="F205" s="139">
        <v>0</v>
      </c>
    </row>
    <row r="206" spans="1:8">
      <c r="A206" s="152" t="str">
        <f t="shared" si="12"/>
        <v>VanccommercialCWSAN6</v>
      </c>
      <c r="B206" s="148" t="s">
        <v>1257</v>
      </c>
      <c r="C206" s="122" t="s">
        <v>1258</v>
      </c>
      <c r="D206" s="142">
        <v>40.090000000000003</v>
      </c>
      <c r="F206" s="139">
        <v>40.090000000000003</v>
      </c>
    </row>
    <row r="207" spans="1:8">
      <c r="A207" s="152" t="str">
        <f>"Vanc"&amp;"Roll Off"&amp;B207</f>
        <v>VancRoll OffVERDB</v>
      </c>
      <c r="B207" s="122" t="s">
        <v>1259</v>
      </c>
      <c r="C207" s="122" t="s">
        <v>1260</v>
      </c>
      <c r="D207" s="142">
        <v>130.94</v>
      </c>
      <c r="F207" s="139">
        <v>392.82</v>
      </c>
    </row>
    <row r="208" spans="1:8">
      <c r="A208" s="152" t="str">
        <f>"Vanc"&amp;"Roll Off"&amp;B208</f>
        <v>VancRoll OffXPLACE</v>
      </c>
      <c r="B208" s="122" t="s">
        <v>464</v>
      </c>
      <c r="C208" s="122" t="s">
        <v>465</v>
      </c>
      <c r="D208" s="142">
        <v>33.380000000000003</v>
      </c>
      <c r="F208" s="139">
        <v>65.320000000000007</v>
      </c>
    </row>
    <row r="209" spans="1:8">
      <c r="A209" s="152" t="str">
        <f>"Vanc"&amp;"Roll Off"&amp;B209</f>
        <v>VancRoll OffVRVDB</v>
      </c>
      <c r="B209" s="122" t="s">
        <v>1261</v>
      </c>
      <c r="C209" s="122" t="s">
        <v>1262</v>
      </c>
      <c r="D209" s="142">
        <v>130.94</v>
      </c>
      <c r="F209" s="139">
        <v>256.20999999999998</v>
      </c>
      <c r="H209" s="172"/>
    </row>
    <row r="210" spans="1:8">
      <c r="A210" s="152"/>
      <c r="B210" s="168"/>
      <c r="C210" s="168"/>
      <c r="D210" s="142"/>
    </row>
    <row r="211" spans="1:8">
      <c r="A211" s="152"/>
      <c r="B211" s="168"/>
      <c r="C211" s="134" t="s">
        <v>948</v>
      </c>
      <c r="D211" s="142"/>
      <c r="F211" s="158">
        <f>+SUM(F93:F210)</f>
        <v>10413344.829999993</v>
      </c>
      <c r="G211" s="129"/>
      <c r="H211" s="158">
        <f>+SUM(H93:H210)</f>
        <v>3998.5884752059201</v>
      </c>
    </row>
    <row r="212" spans="1:8">
      <c r="A212" s="152"/>
      <c r="B212" s="168"/>
      <c r="C212" s="168"/>
      <c r="D212" s="142"/>
      <c r="F212" s="139"/>
    </row>
    <row r="213" spans="1:8">
      <c r="A213" s="154"/>
      <c r="B213" s="119" t="s">
        <v>700</v>
      </c>
      <c r="C213" s="119"/>
      <c r="D213" s="120"/>
      <c r="E213" s="121"/>
      <c r="F213" s="171"/>
      <c r="G213" s="121"/>
      <c r="H213" s="121"/>
    </row>
    <row r="214" spans="1:8">
      <c r="A214" s="152" t="str">
        <f>"Vanc"&amp;"Recycling"&amp;B214</f>
        <v>VancRecyclingCRY1.5Y1X</v>
      </c>
      <c r="B214" s="122" t="s">
        <v>705</v>
      </c>
      <c r="C214" s="122" t="s">
        <v>706</v>
      </c>
      <c r="D214" s="142">
        <v>108.11</v>
      </c>
      <c r="F214" s="139">
        <v>9917.989999999998</v>
      </c>
      <c r="H214" s="124">
        <f t="shared" ref="H214:H271" si="13">+(F214/D214)/12</f>
        <v>7.6449835044553369</v>
      </c>
    </row>
    <row r="215" spans="1:8">
      <c r="A215" s="152" t="str">
        <f t="shared" ref="A215:A291" si="14">"Vanc"&amp;"Recycling"&amp;B215</f>
        <v>VancRecyclingCRY1.5Y2X</v>
      </c>
      <c r="B215" s="104" t="s">
        <v>707</v>
      </c>
      <c r="C215" s="122" t="s">
        <v>708</v>
      </c>
      <c r="D215" s="142">
        <v>196.2</v>
      </c>
      <c r="F215" s="139">
        <v>3114.5899999999997</v>
      </c>
      <c r="H215" s="124">
        <f t="shared" si="13"/>
        <v>1.3228805640502888</v>
      </c>
    </row>
    <row r="216" spans="1:8">
      <c r="A216" s="152" t="str">
        <f t="shared" si="14"/>
        <v xml:space="preserve">VancRecyclingCRY1.5EOW </v>
      </c>
      <c r="B216" s="122" t="s">
        <v>709</v>
      </c>
      <c r="C216" s="122" t="s">
        <v>710</v>
      </c>
      <c r="D216" s="142">
        <v>66.23</v>
      </c>
      <c r="F216" s="139">
        <v>4507.8099999999995</v>
      </c>
      <c r="H216" s="124">
        <f t="shared" si="13"/>
        <v>5.6719135336453768</v>
      </c>
    </row>
    <row r="217" spans="1:8">
      <c r="A217" s="152" t="str">
        <f t="shared" si="14"/>
        <v>VancRecyclingCRY1Y1X</v>
      </c>
      <c r="B217" s="122" t="s">
        <v>711</v>
      </c>
      <c r="C217" s="122" t="s">
        <v>712</v>
      </c>
      <c r="D217" s="142">
        <v>88.26</v>
      </c>
      <c r="F217" s="139">
        <v>42153.9</v>
      </c>
      <c r="H217" s="124">
        <f t="shared" si="13"/>
        <v>39.800872422388402</v>
      </c>
    </row>
    <row r="218" spans="1:8">
      <c r="A218" s="152" t="str">
        <f t="shared" si="14"/>
        <v>VancRecyclingCRY1Y2X</v>
      </c>
      <c r="B218" s="122" t="s">
        <v>713</v>
      </c>
      <c r="C218" s="122" t="s">
        <v>714</v>
      </c>
      <c r="D218" s="142">
        <v>188.18</v>
      </c>
      <c r="F218" s="139">
        <v>3977.1000000000004</v>
      </c>
      <c r="H218" s="124">
        <f t="shared" si="13"/>
        <v>1.7612126687214369</v>
      </c>
    </row>
    <row r="219" spans="1:8">
      <c r="A219" s="152" t="str">
        <f t="shared" si="14"/>
        <v>VancRecyclingCRY1Y3X</v>
      </c>
      <c r="B219" s="122" t="s">
        <v>1263</v>
      </c>
      <c r="C219" s="122" t="s">
        <v>1264</v>
      </c>
      <c r="D219" s="142">
        <v>272.27999999999997</v>
      </c>
      <c r="F219" s="139">
        <v>3115.92</v>
      </c>
      <c r="H219" s="124">
        <f t="shared" si="13"/>
        <v>0.95365065373879843</v>
      </c>
    </row>
    <row r="220" spans="1:8">
      <c r="A220" s="152" t="str">
        <f t="shared" si="14"/>
        <v>VancRecyclingCRY1YEOW</v>
      </c>
      <c r="B220" s="122" t="s">
        <v>717</v>
      </c>
      <c r="C220" s="122" t="s">
        <v>718</v>
      </c>
      <c r="D220" s="142">
        <v>64.180000000000007</v>
      </c>
      <c r="F220" s="139">
        <v>17669.080000000002</v>
      </c>
      <c r="H220" s="124">
        <f t="shared" si="13"/>
        <v>22.942089955333955</v>
      </c>
    </row>
    <row r="221" spans="1:8">
      <c r="A221" s="152" t="str">
        <f t="shared" si="14"/>
        <v>VancRecyclingCRY2-2Y1X</v>
      </c>
      <c r="B221" s="122" t="s">
        <v>1265</v>
      </c>
      <c r="C221" s="122" t="s">
        <v>1266</v>
      </c>
      <c r="D221" s="142">
        <v>194.2</v>
      </c>
      <c r="F221" s="139">
        <v>229.76</v>
      </c>
      <c r="H221" s="124">
        <f t="shared" si="13"/>
        <v>9.8592516306213532E-2</v>
      </c>
    </row>
    <row r="222" spans="1:8">
      <c r="A222" s="152" t="str">
        <f t="shared" si="14"/>
        <v>VancRecyclingCRY2Y1MO</v>
      </c>
      <c r="B222" s="122" t="s">
        <v>721</v>
      </c>
      <c r="C222" s="122" t="s">
        <v>722</v>
      </c>
      <c r="D222" s="142">
        <v>42.64</v>
      </c>
      <c r="F222" s="139">
        <v>3694.6499999999996</v>
      </c>
      <c r="H222" s="124">
        <f t="shared" si="13"/>
        <v>7.2206261726078793</v>
      </c>
    </row>
    <row r="223" spans="1:8">
      <c r="A223" s="152" t="str">
        <f t="shared" si="14"/>
        <v>VancRecyclingCRY2Y1X</v>
      </c>
      <c r="B223" s="122" t="s">
        <v>723</v>
      </c>
      <c r="C223" s="122" t="s">
        <v>724</v>
      </c>
      <c r="D223" s="142">
        <v>114.09</v>
      </c>
      <c r="F223" s="139">
        <v>121165.35</v>
      </c>
      <c r="H223" s="124">
        <f t="shared" si="13"/>
        <v>88.501292838986771</v>
      </c>
    </row>
    <row r="224" spans="1:8">
      <c r="A224" s="152" t="str">
        <f t="shared" si="14"/>
        <v>VancRecyclingCRY2Y2X</v>
      </c>
      <c r="B224" s="122" t="s">
        <v>725</v>
      </c>
      <c r="C224" s="122" t="s">
        <v>726</v>
      </c>
      <c r="D224" s="142">
        <v>206.22</v>
      </c>
      <c r="F224" s="139">
        <v>34553.31</v>
      </c>
      <c r="H224" s="124">
        <f t="shared" si="13"/>
        <v>13.962964309960235</v>
      </c>
    </row>
    <row r="225" spans="1:8">
      <c r="A225" s="152" t="str">
        <f t="shared" si="14"/>
        <v>VancRecyclingCRY2Y3X</v>
      </c>
      <c r="B225" s="122" t="s">
        <v>1267</v>
      </c>
      <c r="C225" s="122" t="s">
        <v>1268</v>
      </c>
      <c r="D225" s="142">
        <v>298.29000000000002</v>
      </c>
      <c r="F225" s="139">
        <v>13558.279999999999</v>
      </c>
      <c r="H225" s="124">
        <f t="shared" si="13"/>
        <v>3.7877792305027538</v>
      </c>
    </row>
    <row r="226" spans="1:8">
      <c r="A226" s="152" t="str">
        <f>"Vanc"&amp;"Recycling"&amp;B226</f>
        <v>VancRecyclingCRY2-3Y1X</v>
      </c>
      <c r="B226" s="122" t="s">
        <v>751</v>
      </c>
      <c r="C226" s="122" t="s">
        <v>752</v>
      </c>
      <c r="D226" s="142">
        <v>214.23</v>
      </c>
      <c r="F226" s="139">
        <v>2138.4</v>
      </c>
      <c r="H226" s="124">
        <f t="shared" si="13"/>
        <v>0.83181627223078003</v>
      </c>
    </row>
    <row r="227" spans="1:8">
      <c r="A227" s="152" t="str">
        <f>"Vanc"&amp;"Recycling"&amp;B227</f>
        <v>VancRecyclingCRY2-3Y2X</v>
      </c>
      <c r="B227" s="122" t="s">
        <v>1269</v>
      </c>
      <c r="C227" s="122" t="s">
        <v>1270</v>
      </c>
      <c r="D227" s="142">
        <v>428.43</v>
      </c>
      <c r="F227" s="139">
        <v>0</v>
      </c>
      <c r="H227" s="124">
        <f t="shared" si="13"/>
        <v>0</v>
      </c>
    </row>
    <row r="228" spans="1:8">
      <c r="A228" s="152" t="str">
        <f t="shared" si="14"/>
        <v>VancRecyclingCRY2-4Y1X</v>
      </c>
      <c r="B228" s="122" t="s">
        <v>753</v>
      </c>
      <c r="C228" s="122" t="s">
        <v>754</v>
      </c>
      <c r="D228" s="142">
        <v>238.23</v>
      </c>
      <c r="F228" s="139">
        <v>3310.98</v>
      </c>
      <c r="H228" s="124">
        <f t="shared" si="13"/>
        <v>1.1581874658943039</v>
      </c>
    </row>
    <row r="229" spans="1:8">
      <c r="A229" s="152" t="str">
        <f>"Vanc"&amp;"Recycling"&amp;B229</f>
        <v>VancRecyclingCRY2-4Y2X</v>
      </c>
      <c r="B229" s="122" t="s">
        <v>755</v>
      </c>
      <c r="C229" s="122" t="s">
        <v>756</v>
      </c>
      <c r="D229" s="142">
        <v>420.42</v>
      </c>
      <c r="F229" s="139">
        <v>4811.2800000000007</v>
      </c>
      <c r="H229" s="124">
        <f t="shared" si="13"/>
        <v>0.95366538223681097</v>
      </c>
    </row>
    <row r="230" spans="1:8">
      <c r="A230" s="152" t="str">
        <f t="shared" si="14"/>
        <v>VancRecyclingCRY2-6Y1X</v>
      </c>
      <c r="B230" s="122" t="s">
        <v>1271</v>
      </c>
      <c r="C230" s="122" t="s">
        <v>1272</v>
      </c>
      <c r="D230" s="142">
        <v>280.29000000000002</v>
      </c>
      <c r="F230" s="139">
        <v>1541.82</v>
      </c>
      <c r="H230" s="124">
        <f t="shared" si="13"/>
        <v>0.45840022833493871</v>
      </c>
    </row>
    <row r="231" spans="1:8">
      <c r="A231" s="152" t="str">
        <f t="shared" si="14"/>
        <v>VancRecyclingCRY2YEOW</v>
      </c>
      <c r="B231" s="122" t="s">
        <v>727</v>
      </c>
      <c r="C231" s="122" t="s">
        <v>728</v>
      </c>
      <c r="D231" s="142">
        <v>70.36</v>
      </c>
      <c r="F231" s="139">
        <v>39458.18</v>
      </c>
      <c r="H231" s="124">
        <f t="shared" si="13"/>
        <v>46.733679173772977</v>
      </c>
    </row>
    <row r="232" spans="1:8">
      <c r="A232" s="152" t="str">
        <f t="shared" si="14"/>
        <v>VancRecyclingCRY3Y1MO</v>
      </c>
      <c r="B232" s="122" t="s">
        <v>729</v>
      </c>
      <c r="C232" s="122" t="s">
        <v>730</v>
      </c>
      <c r="D232" s="142">
        <v>42.64</v>
      </c>
      <c r="F232" s="139">
        <v>0</v>
      </c>
      <c r="H232" s="124">
        <f t="shared" si="13"/>
        <v>0</v>
      </c>
    </row>
    <row r="233" spans="1:8">
      <c r="A233" s="152" t="str">
        <f t="shared" si="14"/>
        <v>VancRecyclingCRY3Y1X</v>
      </c>
      <c r="B233" s="122" t="s">
        <v>731</v>
      </c>
      <c r="C233" s="122" t="s">
        <v>732</v>
      </c>
      <c r="D233" s="142">
        <v>124.14</v>
      </c>
      <c r="F233" s="139">
        <v>91604.51999999999</v>
      </c>
      <c r="H233" s="124">
        <f t="shared" si="13"/>
        <v>61.49275012083131</v>
      </c>
    </row>
    <row r="234" spans="1:8">
      <c r="A234" s="152" t="str">
        <f t="shared" si="14"/>
        <v>VancRecyclingCRY3Y2X</v>
      </c>
      <c r="B234" s="122" t="s">
        <v>733</v>
      </c>
      <c r="C234" s="122" t="s">
        <v>734</v>
      </c>
      <c r="D234" s="142">
        <v>224.23</v>
      </c>
      <c r="F234" s="139">
        <v>46554.69</v>
      </c>
      <c r="H234" s="124">
        <f t="shared" si="13"/>
        <v>17.301687998929673</v>
      </c>
    </row>
    <row r="235" spans="1:8">
      <c r="A235" s="152" t="str">
        <f t="shared" si="14"/>
        <v>VancRecyclingCRY3Y3X</v>
      </c>
      <c r="B235" s="122" t="s">
        <v>735</v>
      </c>
      <c r="C235" s="122" t="s">
        <v>736</v>
      </c>
      <c r="D235" s="142">
        <v>324.35000000000002</v>
      </c>
      <c r="F235" s="139">
        <v>23860.210000000003</v>
      </c>
      <c r="H235" s="124">
        <f t="shared" si="13"/>
        <v>6.1302630902831305</v>
      </c>
    </row>
    <row r="236" spans="1:8">
      <c r="A236" s="152" t="str">
        <f t="shared" si="14"/>
        <v>VancRecyclingCRY3Y4X</v>
      </c>
      <c r="B236" s="122" t="s">
        <v>737</v>
      </c>
      <c r="C236" s="122" t="s">
        <v>738</v>
      </c>
      <c r="D236" s="142">
        <v>424.45</v>
      </c>
      <c r="F236" s="139">
        <v>7967.2199999999993</v>
      </c>
      <c r="H236" s="124">
        <f t="shared" si="13"/>
        <v>1.5642242902579808</v>
      </c>
    </row>
    <row r="237" spans="1:8">
      <c r="A237" s="152" t="str">
        <f t="shared" si="14"/>
        <v>VancRecyclingCRY3YEOW</v>
      </c>
      <c r="B237" s="122" t="s">
        <v>741</v>
      </c>
      <c r="C237" s="122" t="s">
        <v>742</v>
      </c>
      <c r="D237" s="142">
        <v>76.58</v>
      </c>
      <c r="F237" s="139">
        <v>14778.32</v>
      </c>
      <c r="H237" s="124">
        <f t="shared" si="13"/>
        <v>16.081570470967179</v>
      </c>
    </row>
    <row r="238" spans="1:8">
      <c r="A238" s="152" t="str">
        <f t="shared" si="14"/>
        <v>VancRecyclingCRY4Y1MO</v>
      </c>
      <c r="B238" s="122" t="s">
        <v>1273</v>
      </c>
      <c r="C238" s="122" t="s">
        <v>1274</v>
      </c>
      <c r="D238" s="142">
        <v>42.64</v>
      </c>
      <c r="F238" s="139">
        <v>869.08</v>
      </c>
      <c r="H238" s="124">
        <f t="shared" si="13"/>
        <v>1.6984834271419638</v>
      </c>
    </row>
    <row r="239" spans="1:8">
      <c r="A239" s="152" t="str">
        <f t="shared" si="14"/>
        <v>VancRecyclingCRY4Y1X</v>
      </c>
      <c r="B239" s="122" t="s">
        <v>743</v>
      </c>
      <c r="C239" s="122" t="s">
        <v>744</v>
      </c>
      <c r="D239" s="142">
        <v>136.19</v>
      </c>
      <c r="F239" s="139">
        <v>176593.03</v>
      </c>
      <c r="H239" s="124">
        <f t="shared" si="13"/>
        <v>108.05555351592137</v>
      </c>
    </row>
    <row r="240" spans="1:8">
      <c r="A240" s="152" t="str">
        <f t="shared" si="14"/>
        <v>VancRecyclingCRY4Y2X</v>
      </c>
      <c r="B240" s="122" t="s">
        <v>745</v>
      </c>
      <c r="C240" s="122" t="s">
        <v>746</v>
      </c>
      <c r="D240" s="142">
        <v>244.26</v>
      </c>
      <c r="F240" s="139">
        <v>139830.16999999998</v>
      </c>
      <c r="H240" s="124">
        <f t="shared" si="13"/>
        <v>47.70537200796965</v>
      </c>
    </row>
    <row r="241" spans="1:8">
      <c r="A241" s="152" t="str">
        <f t="shared" si="14"/>
        <v>VancRecyclingCRY4Y3X</v>
      </c>
      <c r="B241" s="122" t="s">
        <v>747</v>
      </c>
      <c r="C241" s="122" t="s">
        <v>748</v>
      </c>
      <c r="D241" s="142">
        <v>352.37</v>
      </c>
      <c r="F241" s="139">
        <v>96927.91</v>
      </c>
      <c r="H241" s="124">
        <f t="shared" si="13"/>
        <v>22.922853345441819</v>
      </c>
    </row>
    <row r="242" spans="1:8">
      <c r="A242" s="152" t="str">
        <f t="shared" si="14"/>
        <v>VancRecyclingCRY4Y4X</v>
      </c>
      <c r="B242" s="122" t="s">
        <v>701</v>
      </c>
      <c r="C242" s="122" t="s">
        <v>702</v>
      </c>
      <c r="D242" s="142">
        <v>516.54</v>
      </c>
      <c r="F242" s="139">
        <v>30547.879999999997</v>
      </c>
      <c r="H242" s="124">
        <f t="shared" si="13"/>
        <v>4.9282856442224547</v>
      </c>
    </row>
    <row r="243" spans="1:8">
      <c r="A243" s="152" t="str">
        <f t="shared" si="14"/>
        <v>VancRecyclingCRY4Y5X</v>
      </c>
      <c r="B243" s="122" t="s">
        <v>703</v>
      </c>
      <c r="C243" s="122" t="s">
        <v>704</v>
      </c>
      <c r="D243" s="142">
        <v>568.61</v>
      </c>
      <c r="F243" s="139">
        <v>15392.179999999998</v>
      </c>
      <c r="H243" s="124">
        <f t="shared" si="13"/>
        <v>2.2558197475715631</v>
      </c>
    </row>
    <row r="244" spans="1:8">
      <c r="A244" s="152" t="str">
        <f t="shared" si="14"/>
        <v>VancRecyclingCRY4YEOW</v>
      </c>
      <c r="B244" s="122" t="s">
        <v>749</v>
      </c>
      <c r="C244" s="122" t="s">
        <v>750</v>
      </c>
      <c r="D244" s="142">
        <v>84.86</v>
      </c>
      <c r="F244" s="139">
        <v>20137.71</v>
      </c>
      <c r="H244" s="124">
        <f t="shared" si="13"/>
        <v>19.775424228140466</v>
      </c>
    </row>
    <row r="245" spans="1:8">
      <c r="A245" s="152" t="str">
        <f t="shared" si="14"/>
        <v>VancRecyclingCRY5Y1X</v>
      </c>
      <c r="B245" s="122" t="s">
        <v>759</v>
      </c>
      <c r="C245" s="122" t="s">
        <v>760</v>
      </c>
      <c r="D245" s="142">
        <v>146.13999999999999</v>
      </c>
      <c r="F245" s="139">
        <v>2798.98</v>
      </c>
      <c r="H245" s="124">
        <f t="shared" si="13"/>
        <v>1.5960608548880071</v>
      </c>
    </row>
    <row r="246" spans="1:8">
      <c r="A246" s="152" t="str">
        <f t="shared" si="14"/>
        <v>VancRecyclingCRY5Y2X</v>
      </c>
      <c r="B246" s="122" t="s">
        <v>761</v>
      </c>
      <c r="C246" s="122" t="s">
        <v>762</v>
      </c>
      <c r="D246" s="142">
        <v>264.27</v>
      </c>
      <c r="F246" s="139">
        <v>4128.5099999999993</v>
      </c>
      <c r="H246" s="124">
        <f t="shared" si="13"/>
        <v>1.3018598403148294</v>
      </c>
    </row>
    <row r="247" spans="1:8">
      <c r="A247" s="152" t="str">
        <f t="shared" si="14"/>
        <v>VancRecyclingCRY5Y3X</v>
      </c>
      <c r="B247" s="122" t="s">
        <v>763</v>
      </c>
      <c r="C247" s="122" t="s">
        <v>764</v>
      </c>
      <c r="D247" s="142">
        <v>378.38</v>
      </c>
      <c r="F247" s="139">
        <v>8052.82</v>
      </c>
      <c r="H247" s="124">
        <f t="shared" si="13"/>
        <v>1.7735301372517929</v>
      </c>
    </row>
    <row r="248" spans="1:8">
      <c r="A248" s="152" t="str">
        <f t="shared" si="14"/>
        <v>VancRecyclingCRY5YEOW</v>
      </c>
      <c r="B248" s="122" t="s">
        <v>949</v>
      </c>
      <c r="C248" s="122" t="s">
        <v>950</v>
      </c>
      <c r="D248" s="142">
        <v>91.06</v>
      </c>
      <c r="F248" s="139">
        <v>1740.59</v>
      </c>
      <c r="H248" s="124">
        <f t="shared" si="13"/>
        <v>1.5928966249359398</v>
      </c>
    </row>
    <row r="249" spans="1:8">
      <c r="A249" s="152" t="str">
        <f t="shared" si="14"/>
        <v>VancRecyclingCRY6Y1X</v>
      </c>
      <c r="B249" s="122" t="s">
        <v>765</v>
      </c>
      <c r="C249" s="122" t="s">
        <v>766</v>
      </c>
      <c r="D249" s="142">
        <v>156.16</v>
      </c>
      <c r="F249" s="139">
        <v>48431.05</v>
      </c>
      <c r="H249" s="124">
        <f t="shared" si="13"/>
        <v>25.844779926571039</v>
      </c>
    </row>
    <row r="250" spans="1:8">
      <c r="A250" s="152" t="str">
        <f t="shared" si="14"/>
        <v>VancRecyclingCRY6Y2X</v>
      </c>
      <c r="B250" s="122" t="s">
        <v>767</v>
      </c>
      <c r="C250" s="122" t="s">
        <v>768</v>
      </c>
      <c r="D250" s="142">
        <v>282.29000000000002</v>
      </c>
      <c r="F250" s="139">
        <v>40398.1</v>
      </c>
      <c r="H250" s="124">
        <f t="shared" si="13"/>
        <v>11.925708786472539</v>
      </c>
    </row>
    <row r="251" spans="1:8">
      <c r="A251" s="152" t="str">
        <f t="shared" si="14"/>
        <v>VancRecyclingCRY6Y3X</v>
      </c>
      <c r="B251" s="122" t="s">
        <v>769</v>
      </c>
      <c r="C251" s="122" t="s">
        <v>770</v>
      </c>
      <c r="D251" s="142">
        <v>406.43</v>
      </c>
      <c r="F251" s="139">
        <v>4833.51</v>
      </c>
      <c r="H251" s="124">
        <f t="shared" si="13"/>
        <v>0.99105011933174225</v>
      </c>
    </row>
    <row r="252" spans="1:8">
      <c r="A252" s="152" t="str">
        <f t="shared" si="14"/>
        <v>VancRecyclingCRY6Y4X</v>
      </c>
      <c r="B252" s="122" t="s">
        <v>1275</v>
      </c>
      <c r="C252" s="122" t="s">
        <v>1276</v>
      </c>
      <c r="D252" s="142">
        <v>528.57000000000005</v>
      </c>
      <c r="F252" s="139">
        <v>3681.1100000000006</v>
      </c>
      <c r="H252" s="124">
        <f t="shared" si="13"/>
        <v>0.58035674871193355</v>
      </c>
    </row>
    <row r="253" spans="1:8">
      <c r="A253" s="152" t="str">
        <f t="shared" si="14"/>
        <v>VancRecyclingCRY6Y5X</v>
      </c>
      <c r="B253" s="122" t="s">
        <v>1277</v>
      </c>
      <c r="C253" s="122" t="s">
        <v>1278</v>
      </c>
      <c r="D253" s="142">
        <v>652.73</v>
      </c>
      <c r="F253" s="139">
        <v>2578.6099999999997</v>
      </c>
      <c r="H253" s="124">
        <f t="shared" si="13"/>
        <v>0.32920835056863734</v>
      </c>
    </row>
    <row r="254" spans="1:8">
      <c r="A254" s="152" t="str">
        <f t="shared" si="14"/>
        <v>VancRecyclingCRY6YEOW</v>
      </c>
      <c r="B254" s="122" t="s">
        <v>771</v>
      </c>
      <c r="C254" s="122" t="s">
        <v>772</v>
      </c>
      <c r="D254" s="142">
        <v>97.25</v>
      </c>
      <c r="F254" s="139">
        <v>11400.79</v>
      </c>
      <c r="H254" s="124">
        <f t="shared" si="13"/>
        <v>9.7693144815766928</v>
      </c>
    </row>
    <row r="255" spans="1:8">
      <c r="A255" s="152" t="str">
        <f t="shared" si="14"/>
        <v>VancRecyclingCRY8Y1X</v>
      </c>
      <c r="B255" s="122" t="s">
        <v>773</v>
      </c>
      <c r="C255" s="122" t="s">
        <v>774</v>
      </c>
      <c r="D255" s="142">
        <v>166.16</v>
      </c>
      <c r="F255" s="139">
        <v>35971.07</v>
      </c>
      <c r="H255" s="124">
        <f t="shared" si="13"/>
        <v>18.040377748354999</v>
      </c>
    </row>
    <row r="256" spans="1:8">
      <c r="A256" s="152" t="str">
        <f t="shared" si="14"/>
        <v>VancRecyclingCRY8Y2X</v>
      </c>
      <c r="B256" s="122" t="s">
        <v>775</v>
      </c>
      <c r="C256" s="122" t="s">
        <v>776</v>
      </c>
      <c r="D256" s="142">
        <v>296.27999999999997</v>
      </c>
      <c r="F256" s="139">
        <v>49045.41</v>
      </c>
      <c r="H256" s="124">
        <f t="shared" si="13"/>
        <v>13.79478027541515</v>
      </c>
    </row>
    <row r="257" spans="1:8">
      <c r="A257" s="152" t="str">
        <f t="shared" si="14"/>
        <v>VancRecyclingCRY8Y3X</v>
      </c>
      <c r="B257" s="122" t="s">
        <v>777</v>
      </c>
      <c r="C257" s="122" t="s">
        <v>778</v>
      </c>
      <c r="D257" s="142">
        <v>556.55999999999995</v>
      </c>
      <c r="F257" s="139">
        <v>54288.119999999995</v>
      </c>
      <c r="H257" s="124">
        <f t="shared" si="13"/>
        <v>8.1285216328877397</v>
      </c>
    </row>
    <row r="258" spans="1:8">
      <c r="A258" s="152" t="str">
        <f t="shared" si="14"/>
        <v>VancRecyclingCRY8Y4X</v>
      </c>
      <c r="B258" s="122" t="s">
        <v>779</v>
      </c>
      <c r="C258" s="122" t="s">
        <v>780</v>
      </c>
      <c r="D258" s="142">
        <v>686.7</v>
      </c>
      <c r="F258" s="139">
        <v>8150.71</v>
      </c>
      <c r="H258" s="124">
        <f t="shared" si="13"/>
        <v>0.98911581962040673</v>
      </c>
    </row>
    <row r="259" spans="1:8">
      <c r="A259" s="152" t="str">
        <f t="shared" si="14"/>
        <v>VancRecyclingCRY8Y5X</v>
      </c>
      <c r="B259" s="122" t="s">
        <v>1279</v>
      </c>
      <c r="C259" s="122" t="s">
        <v>1280</v>
      </c>
      <c r="D259" s="142">
        <v>816.83</v>
      </c>
      <c r="F259" s="139">
        <v>32847.259999999995</v>
      </c>
      <c r="H259" s="124">
        <f t="shared" si="13"/>
        <v>3.3510910062885375</v>
      </c>
    </row>
    <row r="260" spans="1:8">
      <c r="A260" s="152" t="str">
        <f t="shared" si="14"/>
        <v>VancRecyclingCRY8YEOW</v>
      </c>
      <c r="B260" s="122" t="s">
        <v>1281</v>
      </c>
      <c r="C260" s="122" t="s">
        <v>1282</v>
      </c>
      <c r="D260" s="142">
        <v>101.86</v>
      </c>
      <c r="F260" s="139">
        <v>2300.16</v>
      </c>
      <c r="H260" s="124">
        <f t="shared" si="13"/>
        <v>1.8817985470253289</v>
      </c>
    </row>
    <row r="261" spans="1:8">
      <c r="A261" s="152" t="str">
        <f t="shared" si="14"/>
        <v>VancRecyclingCFR32G1X</v>
      </c>
      <c r="B261" s="122" t="s">
        <v>781</v>
      </c>
      <c r="C261" s="122" t="s">
        <v>782</v>
      </c>
      <c r="D261" s="142">
        <v>14.43</v>
      </c>
      <c r="F261" s="139">
        <v>692.6400000000001</v>
      </c>
      <c r="H261" s="124">
        <f t="shared" si="13"/>
        <v>4.0000000000000009</v>
      </c>
    </row>
    <row r="262" spans="1:8">
      <c r="A262" s="152" t="str">
        <f t="shared" si="14"/>
        <v>VancRecyclingCFR65G1X</v>
      </c>
      <c r="B262" s="122" t="s">
        <v>783</v>
      </c>
      <c r="C262" s="122" t="s">
        <v>784</v>
      </c>
      <c r="D262" s="142">
        <v>29.15</v>
      </c>
      <c r="F262" s="139">
        <v>85119.409999999989</v>
      </c>
      <c r="H262" s="124">
        <f t="shared" si="13"/>
        <v>243.33736420811888</v>
      </c>
    </row>
    <row r="263" spans="1:8">
      <c r="A263" s="152" t="str">
        <f t="shared" si="14"/>
        <v>VancRecyclingCFR65G2X</v>
      </c>
      <c r="B263" s="122" t="s">
        <v>785</v>
      </c>
      <c r="C263" s="122" t="s">
        <v>786</v>
      </c>
      <c r="D263" s="142">
        <v>58.3</v>
      </c>
      <c r="F263" s="139">
        <v>31115.750000000007</v>
      </c>
      <c r="H263" s="124">
        <f t="shared" si="13"/>
        <v>44.476486563750733</v>
      </c>
    </row>
    <row r="264" spans="1:8">
      <c r="A264" s="152" t="str">
        <f t="shared" si="14"/>
        <v>VancRecyclingCRY901X2</v>
      </c>
      <c r="B264" s="122" t="s">
        <v>797</v>
      </c>
      <c r="C264" s="122" t="s">
        <v>798</v>
      </c>
      <c r="D264" s="142">
        <v>75.540000000000006</v>
      </c>
      <c r="F264" s="139">
        <v>864.44999999999993</v>
      </c>
      <c r="H264" s="124">
        <f t="shared" si="13"/>
        <v>0.95363383637807775</v>
      </c>
    </row>
    <row r="265" spans="1:8">
      <c r="A265" s="152" t="str">
        <f t="shared" si="14"/>
        <v>VancRecyclingCRY902X2</v>
      </c>
      <c r="B265" s="122" t="s">
        <v>1283</v>
      </c>
      <c r="C265" s="122" t="s">
        <v>1284</v>
      </c>
      <c r="D265" s="142">
        <v>150.94999999999999</v>
      </c>
      <c r="F265" s="139">
        <v>1236.8399999999999</v>
      </c>
      <c r="H265" s="124">
        <f t="shared" si="13"/>
        <v>0.68280887711162641</v>
      </c>
    </row>
    <row r="266" spans="1:8">
      <c r="A266" s="152" t="str">
        <f t="shared" si="14"/>
        <v>VancRecyclingCRY90EOW2</v>
      </c>
      <c r="B266" s="122" t="s">
        <v>799</v>
      </c>
      <c r="C266" s="122" t="s">
        <v>800</v>
      </c>
      <c r="D266" s="142">
        <v>42.71</v>
      </c>
      <c r="F266" s="139">
        <v>1360.97</v>
      </c>
      <c r="H266" s="124">
        <f t="shared" si="13"/>
        <v>2.6554475922890814</v>
      </c>
    </row>
    <row r="267" spans="1:8">
      <c r="A267" s="152" t="str">
        <f t="shared" si="14"/>
        <v>VancRecyclingCRY901X</v>
      </c>
      <c r="B267" s="122" t="s">
        <v>787</v>
      </c>
      <c r="C267" s="122" t="s">
        <v>788</v>
      </c>
      <c r="D267" s="142">
        <v>67.349999999999994</v>
      </c>
      <c r="F267" s="139">
        <v>45955.86</v>
      </c>
      <c r="H267" s="124">
        <f t="shared" si="13"/>
        <v>56.861989606533037</v>
      </c>
    </row>
    <row r="268" spans="1:8">
      <c r="A268" s="152" t="str">
        <f>"Vanc"&amp;"Recycling"&amp;B268</f>
        <v>VancRecyclingCRY902X</v>
      </c>
      <c r="B268" s="122" t="s">
        <v>789</v>
      </c>
      <c r="C268" s="122" t="s">
        <v>790</v>
      </c>
      <c r="D268" s="142">
        <v>127.11</v>
      </c>
      <c r="F268" s="139">
        <v>18409.170000000002</v>
      </c>
      <c r="H268" s="124">
        <f t="shared" si="13"/>
        <v>12.069054362363309</v>
      </c>
    </row>
    <row r="269" spans="1:8">
      <c r="A269" s="152" t="str">
        <f t="shared" si="14"/>
        <v>VancRecyclingCRY901X3</v>
      </c>
      <c r="B269" s="122" t="s">
        <v>793</v>
      </c>
      <c r="C269" s="122" t="s">
        <v>794</v>
      </c>
      <c r="D269" s="142">
        <v>92.16</v>
      </c>
      <c r="F269" s="139">
        <v>10640.58</v>
      </c>
      <c r="H269" s="124">
        <f t="shared" si="13"/>
        <v>9.6214735243055554</v>
      </c>
    </row>
    <row r="270" spans="1:8">
      <c r="A270" s="152" t="str">
        <f t="shared" si="14"/>
        <v>VancRecyclingCRYEX902</v>
      </c>
      <c r="B270" s="122" t="s">
        <v>1285</v>
      </c>
      <c r="C270" s="122" t="s">
        <v>1286</v>
      </c>
      <c r="D270" s="142">
        <v>21.59</v>
      </c>
      <c r="F270" s="139">
        <v>0</v>
      </c>
      <c r="H270" s="124">
        <f t="shared" si="13"/>
        <v>0</v>
      </c>
    </row>
    <row r="271" spans="1:8">
      <c r="A271" s="152" t="str">
        <f t="shared" si="14"/>
        <v>VancRecyclingCRY90EOW</v>
      </c>
      <c r="B271" s="122" t="s">
        <v>791</v>
      </c>
      <c r="C271" s="122" t="s">
        <v>792</v>
      </c>
      <c r="D271" s="142">
        <v>34.479999999999997</v>
      </c>
      <c r="F271" s="139">
        <v>5654.51</v>
      </c>
      <c r="H271" s="124">
        <f t="shared" si="13"/>
        <v>13.66615912606342</v>
      </c>
    </row>
    <row r="272" spans="1:8">
      <c r="A272" s="152" t="str">
        <f t="shared" si="14"/>
        <v>VancRecyclingVRY96FIB</v>
      </c>
      <c r="B272" s="122" t="s">
        <v>1287</v>
      </c>
      <c r="C272" s="122" t="s">
        <v>1288</v>
      </c>
      <c r="D272" s="142">
        <v>0</v>
      </c>
      <c r="F272" s="139">
        <v>0</v>
      </c>
      <c r="H272" s="124">
        <f>+IFERROR((F272/D272)/12,0)</f>
        <v>0</v>
      </c>
    </row>
    <row r="273" spans="1:8">
      <c r="A273" s="152" t="str">
        <f t="shared" si="14"/>
        <v>VancRecyclingCRYGLASS1X</v>
      </c>
      <c r="B273" s="122" t="s">
        <v>803</v>
      </c>
      <c r="C273" s="122" t="s">
        <v>804</v>
      </c>
      <c r="D273" s="142">
        <v>23</v>
      </c>
      <c r="F273" s="139">
        <v>6342.2</v>
      </c>
      <c r="H273" s="124">
        <f>+(F273/D273)/12</f>
        <v>22.978985507246378</v>
      </c>
    </row>
    <row r="274" spans="1:8">
      <c r="A274" s="152" t="str">
        <f t="shared" si="14"/>
        <v>VancRecyclingVRY96TAG</v>
      </c>
      <c r="B274" s="122" t="s">
        <v>1289</v>
      </c>
      <c r="C274" s="122" t="s">
        <v>1290</v>
      </c>
      <c r="D274" s="142">
        <v>0</v>
      </c>
      <c r="F274" s="139">
        <v>0</v>
      </c>
      <c r="H274" s="124">
        <f>+IFERROR((F274/D274)/12,0)</f>
        <v>0</v>
      </c>
    </row>
    <row r="275" spans="1:8">
      <c r="A275" s="174"/>
      <c r="B275" s="130" t="s">
        <v>1291</v>
      </c>
      <c r="C275" s="130"/>
      <c r="D275" s="142">
        <v>26</v>
      </c>
      <c r="F275" s="139">
        <v>381680</v>
      </c>
      <c r="H275" s="124">
        <f>+IFERROR((F275/D275)/12,0)</f>
        <v>1223.3333333333333</v>
      </c>
    </row>
    <row r="276" spans="1:8">
      <c r="A276" s="152" t="str">
        <f t="shared" si="14"/>
        <v>VancRecycling0CRY90OC</v>
      </c>
      <c r="B276" s="122" t="s">
        <v>856</v>
      </c>
      <c r="C276" s="122" t="s">
        <v>857</v>
      </c>
      <c r="D276" s="142">
        <v>8.39</v>
      </c>
      <c r="F276" s="139">
        <v>0</v>
      </c>
    </row>
    <row r="277" spans="1:8">
      <c r="A277" s="152" t="str">
        <f t="shared" si="14"/>
        <v>VancRecyclingCRY90OC</v>
      </c>
      <c r="B277" s="122" t="s">
        <v>858</v>
      </c>
      <c r="C277" s="122" t="s">
        <v>857</v>
      </c>
      <c r="D277" s="142">
        <v>8.39</v>
      </c>
      <c r="F277" s="139">
        <v>263.3</v>
      </c>
    </row>
    <row r="278" spans="1:8">
      <c r="A278" s="152" t="str">
        <f t="shared" si="14"/>
        <v>VancRecyclingCRY90OC2</v>
      </c>
      <c r="B278" s="122" t="s">
        <v>859</v>
      </c>
      <c r="C278" s="122" t="s">
        <v>860</v>
      </c>
      <c r="D278" s="142">
        <v>16.79</v>
      </c>
      <c r="F278" s="139">
        <v>102.86</v>
      </c>
    </row>
    <row r="279" spans="1:8">
      <c r="A279" s="152" t="str">
        <f t="shared" si="14"/>
        <v>VancRecyclingMFPAIL</v>
      </c>
      <c r="B279" s="122" t="s">
        <v>813</v>
      </c>
      <c r="C279" s="122" t="s">
        <v>814</v>
      </c>
      <c r="D279" s="142">
        <v>4.18</v>
      </c>
      <c r="F279" s="139">
        <v>4.18</v>
      </c>
    </row>
    <row r="280" spans="1:8">
      <c r="A280" s="152" t="str">
        <f t="shared" si="14"/>
        <v>VancRecyclingCRY2YRENT</v>
      </c>
      <c r="B280" s="122" t="s">
        <v>848</v>
      </c>
      <c r="C280" s="122" t="s">
        <v>849</v>
      </c>
      <c r="D280" s="142">
        <v>0</v>
      </c>
      <c r="F280" s="139">
        <v>0</v>
      </c>
    </row>
    <row r="281" spans="1:8">
      <c r="A281" s="152" t="str">
        <f t="shared" si="14"/>
        <v>VancRecyclingCRY3YRENT</v>
      </c>
      <c r="B281" s="122" t="s">
        <v>850</v>
      </c>
      <c r="C281" s="122" t="s">
        <v>851</v>
      </c>
      <c r="D281" s="142">
        <v>0</v>
      </c>
      <c r="F281" s="139">
        <v>0</v>
      </c>
    </row>
    <row r="282" spans="1:8">
      <c r="A282" s="152" t="str">
        <f t="shared" si="14"/>
        <v>VancRecyclingCRY4YRENT</v>
      </c>
      <c r="B282" s="122" t="s">
        <v>852</v>
      </c>
      <c r="C282" s="122" t="s">
        <v>853</v>
      </c>
      <c r="D282" s="142">
        <v>0</v>
      </c>
      <c r="F282" s="139">
        <v>0</v>
      </c>
    </row>
    <row r="283" spans="1:8">
      <c r="A283" s="152" t="str">
        <f t="shared" si="14"/>
        <v>VancRecyclingCRY5YRENT</v>
      </c>
      <c r="B283" s="122" t="s">
        <v>854</v>
      </c>
      <c r="C283" s="122" t="s">
        <v>855</v>
      </c>
      <c r="D283" s="142">
        <v>0</v>
      </c>
      <c r="F283" s="139">
        <v>0</v>
      </c>
    </row>
    <row r="284" spans="1:8">
      <c r="A284" s="152" t="str">
        <f t="shared" si="14"/>
        <v>VancRecyclingCRY8YDRENT</v>
      </c>
      <c r="B284" s="122" t="s">
        <v>1292</v>
      </c>
      <c r="C284" s="122" t="s">
        <v>1293</v>
      </c>
      <c r="D284" s="142">
        <v>0</v>
      </c>
      <c r="F284" s="139">
        <v>0</v>
      </c>
    </row>
    <row r="285" spans="1:8">
      <c r="A285" s="152" t="str">
        <f t="shared" si="14"/>
        <v>VancRecyclingCRY1YOC</v>
      </c>
      <c r="B285" s="122" t="s">
        <v>834</v>
      </c>
      <c r="C285" s="122" t="s">
        <v>835</v>
      </c>
      <c r="D285" s="142">
        <v>28.98</v>
      </c>
      <c r="F285" s="139">
        <v>674.57999999999993</v>
      </c>
    </row>
    <row r="286" spans="1:8">
      <c r="A286" s="152" t="str">
        <f>"Vanc"&amp;"Recycling"&amp;B286</f>
        <v>VancRecycling0CRY1YOC</v>
      </c>
      <c r="B286" s="122" t="s">
        <v>1294</v>
      </c>
      <c r="C286" s="122" t="s">
        <v>835</v>
      </c>
      <c r="D286" s="142">
        <v>28.98</v>
      </c>
      <c r="F286" s="139">
        <v>0</v>
      </c>
    </row>
    <row r="287" spans="1:8">
      <c r="A287" s="152" t="str">
        <f t="shared" si="14"/>
        <v>VancRecyclingCRY1.5OC</v>
      </c>
      <c r="B287" s="122" t="s">
        <v>836</v>
      </c>
      <c r="C287" s="122" t="s">
        <v>837</v>
      </c>
      <c r="D287" s="142">
        <v>28.98</v>
      </c>
      <c r="F287" s="139">
        <v>331.65</v>
      </c>
    </row>
    <row r="288" spans="1:8">
      <c r="A288" s="152" t="str">
        <f t="shared" si="14"/>
        <v>VancRecycling0CRY1.5OC</v>
      </c>
      <c r="B288" s="122" t="s">
        <v>1295</v>
      </c>
      <c r="C288" s="122" t="s">
        <v>837</v>
      </c>
      <c r="D288" s="142">
        <v>28.98</v>
      </c>
      <c r="F288" s="139">
        <v>55.2</v>
      </c>
    </row>
    <row r="289" spans="1:6">
      <c r="A289" s="152" t="str">
        <f t="shared" si="14"/>
        <v>VancRecyclingCRY2YOC</v>
      </c>
      <c r="B289" s="122" t="s">
        <v>838</v>
      </c>
      <c r="C289" s="122" t="s">
        <v>839</v>
      </c>
      <c r="D289" s="142">
        <v>31.06</v>
      </c>
      <c r="F289" s="139">
        <v>1592.5099999999998</v>
      </c>
    </row>
    <row r="290" spans="1:6">
      <c r="A290" s="152" t="str">
        <f>"Vanc"&amp;"Recycling"&amp;B290</f>
        <v>VancRecycling0CRY2YOC</v>
      </c>
      <c r="B290" s="122" t="s">
        <v>1296</v>
      </c>
      <c r="C290" s="122" t="s">
        <v>839</v>
      </c>
      <c r="D290" s="142">
        <v>31.06</v>
      </c>
      <c r="F290" s="139">
        <v>0</v>
      </c>
    </row>
    <row r="291" spans="1:6">
      <c r="A291" s="152" t="str">
        <f t="shared" si="14"/>
        <v>VancRecyclingCRY3YOC</v>
      </c>
      <c r="B291" s="122" t="s">
        <v>840</v>
      </c>
      <c r="C291" s="122" t="s">
        <v>841</v>
      </c>
      <c r="D291" s="142">
        <v>33.119999999999997</v>
      </c>
      <c r="F291" s="139">
        <v>908.48</v>
      </c>
    </row>
    <row r="292" spans="1:6">
      <c r="A292" s="152" t="str">
        <f t="shared" ref="A292:A325" si="15">"Vanc"&amp;"Recycling"&amp;B292</f>
        <v>VancRecyclingCRY4YOC</v>
      </c>
      <c r="B292" s="122" t="s">
        <v>842</v>
      </c>
      <c r="C292" s="122" t="s">
        <v>843</v>
      </c>
      <c r="D292" s="142">
        <v>39.32</v>
      </c>
      <c r="F292" s="139">
        <v>3026.5299999999997</v>
      </c>
    </row>
    <row r="293" spans="1:6">
      <c r="A293" s="152" t="str">
        <f t="shared" si="15"/>
        <v>VancRecyclingCRY6YOC</v>
      </c>
      <c r="B293" s="122" t="s">
        <v>844</v>
      </c>
      <c r="C293" s="122" t="s">
        <v>845</v>
      </c>
      <c r="D293" s="142">
        <v>41.4</v>
      </c>
      <c r="F293" s="139">
        <v>0</v>
      </c>
    </row>
    <row r="294" spans="1:6">
      <c r="A294" s="152" t="str">
        <f t="shared" si="15"/>
        <v>VancRecyclingCRY8YOC</v>
      </c>
      <c r="B294" s="122" t="s">
        <v>955</v>
      </c>
      <c r="C294" s="122" t="s">
        <v>956</v>
      </c>
      <c r="D294" s="142">
        <v>45.54</v>
      </c>
      <c r="F294" s="139">
        <v>452.61</v>
      </c>
    </row>
    <row r="295" spans="1:6">
      <c r="A295" s="152" t="str">
        <f t="shared" si="15"/>
        <v>VancRecycling0CRYEX1.5YD</v>
      </c>
      <c r="B295" s="122" t="s">
        <v>818</v>
      </c>
      <c r="C295" s="122" t="s">
        <v>819</v>
      </c>
      <c r="D295" s="142">
        <v>23.97</v>
      </c>
      <c r="F295" s="139">
        <v>160.94999999999999</v>
      </c>
    </row>
    <row r="296" spans="1:6">
      <c r="A296" s="152" t="str">
        <f t="shared" si="15"/>
        <v>VancRecycling0CRYEX90</v>
      </c>
      <c r="B296" s="122" t="s">
        <v>820</v>
      </c>
      <c r="C296" s="122" t="s">
        <v>821</v>
      </c>
      <c r="D296" s="142">
        <v>17.989999999999998</v>
      </c>
      <c r="F296" s="139">
        <v>324.31</v>
      </c>
    </row>
    <row r="297" spans="1:6">
      <c r="A297" s="152" t="str">
        <f t="shared" si="15"/>
        <v>VancRecycling0CRYEX1YD</v>
      </c>
      <c r="B297" s="122" t="s">
        <v>822</v>
      </c>
      <c r="C297" s="122" t="s">
        <v>823</v>
      </c>
      <c r="D297" s="142">
        <v>23.97</v>
      </c>
      <c r="F297" s="139">
        <v>276.61</v>
      </c>
    </row>
    <row r="298" spans="1:6">
      <c r="A298" s="152" t="str">
        <f t="shared" si="15"/>
        <v>VancRecycling0CRYEX902</v>
      </c>
      <c r="B298" s="122" t="s">
        <v>1297</v>
      </c>
      <c r="C298" s="122" t="s">
        <v>1298</v>
      </c>
      <c r="D298" s="142">
        <v>21.59</v>
      </c>
      <c r="F298" s="139">
        <v>0</v>
      </c>
    </row>
    <row r="299" spans="1:6">
      <c r="A299" s="152" t="str">
        <f t="shared" si="15"/>
        <v>VancRecycling0CRYEX2YD</v>
      </c>
      <c r="B299" s="122" t="s">
        <v>824</v>
      </c>
      <c r="C299" s="122" t="s">
        <v>825</v>
      </c>
      <c r="D299" s="142">
        <v>26.38</v>
      </c>
      <c r="F299" s="139">
        <v>832.71</v>
      </c>
    </row>
    <row r="300" spans="1:6">
      <c r="A300" s="152" t="str">
        <f t="shared" si="15"/>
        <v>VancRecycling0CRYEX3YD</v>
      </c>
      <c r="B300" s="122" t="s">
        <v>826</v>
      </c>
      <c r="C300" s="122" t="s">
        <v>827</v>
      </c>
      <c r="D300" s="142">
        <v>29.38</v>
      </c>
      <c r="F300" s="139">
        <v>338.06</v>
      </c>
    </row>
    <row r="301" spans="1:6">
      <c r="A301" s="152" t="str">
        <f t="shared" si="15"/>
        <v>VancRecycling0CRYEX4YD</v>
      </c>
      <c r="B301" s="122" t="s">
        <v>828</v>
      </c>
      <c r="C301" s="122" t="s">
        <v>829</v>
      </c>
      <c r="D301" s="142">
        <v>29.98</v>
      </c>
      <c r="F301" s="139">
        <v>2171.13</v>
      </c>
    </row>
    <row r="302" spans="1:6">
      <c r="A302" s="152" t="str">
        <f t="shared" si="15"/>
        <v>VancRecycling0CRYEX6YD</v>
      </c>
      <c r="B302" s="122" t="s">
        <v>832</v>
      </c>
      <c r="C302" s="122" t="s">
        <v>833</v>
      </c>
      <c r="D302" s="142">
        <v>32.369999999999997</v>
      </c>
      <c r="F302" s="139">
        <v>124.71</v>
      </c>
    </row>
    <row r="303" spans="1:6">
      <c r="A303" s="152" t="str">
        <f t="shared" si="15"/>
        <v>VancRecyclingCRYEXC</v>
      </c>
      <c r="B303" s="122" t="s">
        <v>815</v>
      </c>
      <c r="C303" s="122" t="s">
        <v>816</v>
      </c>
      <c r="D303" s="142">
        <v>21.5</v>
      </c>
      <c r="F303" s="139">
        <v>92466.09</v>
      </c>
    </row>
    <row r="304" spans="1:6">
      <c r="A304" s="152" t="str">
        <f t="shared" si="15"/>
        <v>VancRecycling0CRYEXC</v>
      </c>
      <c r="B304" s="122" t="s">
        <v>817</v>
      </c>
      <c r="C304" s="122" t="s">
        <v>816</v>
      </c>
      <c r="D304" s="142">
        <v>21.5</v>
      </c>
      <c r="F304" s="139">
        <v>2122.2000000000003</v>
      </c>
    </row>
    <row r="305" spans="1:6">
      <c r="A305" s="152" t="str">
        <f t="shared" si="15"/>
        <v>VancRecyclingMFTOTE</v>
      </c>
      <c r="B305" s="122" t="s">
        <v>809</v>
      </c>
      <c r="C305" s="122" t="s">
        <v>810</v>
      </c>
      <c r="D305" s="142">
        <v>5.86</v>
      </c>
      <c r="F305" s="139">
        <v>5052.2400000000007</v>
      </c>
    </row>
    <row r="306" spans="1:6">
      <c r="A306" s="152" t="str">
        <f t="shared" si="15"/>
        <v>VancRecyclingSCHX</v>
      </c>
      <c r="B306" s="122" t="s">
        <v>811</v>
      </c>
      <c r="C306" s="122" t="s">
        <v>812</v>
      </c>
      <c r="D306" s="142">
        <v>6.83</v>
      </c>
      <c r="F306" s="139">
        <v>638.16000000000008</v>
      </c>
    </row>
    <row r="307" spans="1:6">
      <c r="A307" s="152" t="str">
        <f t="shared" si="15"/>
        <v>VancRecyclingCRYACC</v>
      </c>
      <c r="B307" s="122" t="s">
        <v>861</v>
      </c>
      <c r="C307" s="122" t="s">
        <v>862</v>
      </c>
      <c r="D307" s="142">
        <v>8.2200000000000006</v>
      </c>
      <c r="F307" s="139">
        <v>28865.86</v>
      </c>
    </row>
    <row r="308" spans="1:6">
      <c r="A308" s="152" t="str">
        <f t="shared" si="15"/>
        <v>VancRecyclingCRPLACE</v>
      </c>
      <c r="B308" s="122" t="s">
        <v>660</v>
      </c>
      <c r="C308" s="122" t="s">
        <v>661</v>
      </c>
      <c r="D308" s="142">
        <v>12.88</v>
      </c>
      <c r="F308" s="139">
        <v>309.11999999999995</v>
      </c>
    </row>
    <row r="309" spans="1:6">
      <c r="A309" s="152" t="str">
        <f t="shared" si="15"/>
        <v>VancRecyclingCRYPLACE</v>
      </c>
      <c r="B309" s="122" t="s">
        <v>863</v>
      </c>
      <c r="C309" s="122" t="s">
        <v>864</v>
      </c>
      <c r="D309" s="142">
        <v>31.05</v>
      </c>
      <c r="F309" s="139">
        <v>1861.79</v>
      </c>
    </row>
    <row r="310" spans="1:6">
      <c r="A310" s="152" t="str">
        <f t="shared" si="15"/>
        <v>VancRecyclingCRYRO</v>
      </c>
      <c r="B310" s="122" t="s">
        <v>865</v>
      </c>
      <c r="C310" s="122" t="s">
        <v>866</v>
      </c>
      <c r="D310" s="142">
        <v>8.2200000000000006</v>
      </c>
      <c r="F310" s="139">
        <v>28938.969999999998</v>
      </c>
    </row>
    <row r="311" spans="1:6">
      <c r="A311" s="152" t="str">
        <f t="shared" si="15"/>
        <v>VancRecyclingCRYLOCK</v>
      </c>
      <c r="B311" s="122" t="s">
        <v>807</v>
      </c>
      <c r="C311" s="122" t="s">
        <v>808</v>
      </c>
      <c r="D311" s="142">
        <v>3.12</v>
      </c>
      <c r="F311" s="139">
        <v>63.61</v>
      </c>
    </row>
    <row r="312" spans="1:6">
      <c r="A312" s="152" t="str">
        <f t="shared" si="15"/>
        <v>VancRecyclingCOMREC</v>
      </c>
      <c r="B312" s="122" t="s">
        <v>867</v>
      </c>
      <c r="C312" s="122" t="s">
        <v>868</v>
      </c>
      <c r="D312" s="142">
        <v>47.87</v>
      </c>
      <c r="F312" s="139">
        <v>33557.72</v>
      </c>
    </row>
    <row r="313" spans="1:6">
      <c r="A313" s="152" t="str">
        <f t="shared" si="15"/>
        <v>VancRecyclingCRYEX1.5YD</v>
      </c>
      <c r="B313" s="122" t="s">
        <v>869</v>
      </c>
      <c r="C313" s="122" t="s">
        <v>870</v>
      </c>
      <c r="D313" s="142">
        <v>23.97</v>
      </c>
      <c r="F313" s="139">
        <v>45.66</v>
      </c>
    </row>
    <row r="314" spans="1:6">
      <c r="A314" s="152" t="str">
        <f t="shared" si="15"/>
        <v>VancRecyclingCRYEX90</v>
      </c>
      <c r="B314" s="122" t="s">
        <v>871</v>
      </c>
      <c r="C314" s="122" t="s">
        <v>872</v>
      </c>
      <c r="D314" s="142">
        <v>17.989999999999998</v>
      </c>
      <c r="F314" s="139">
        <v>-17.13</v>
      </c>
    </row>
    <row r="315" spans="1:6">
      <c r="A315" s="152" t="str">
        <f t="shared" si="15"/>
        <v>VancRecyclingCRYEX1YD</v>
      </c>
      <c r="B315" s="122" t="s">
        <v>875</v>
      </c>
      <c r="C315" s="122" t="s">
        <v>876</v>
      </c>
      <c r="D315" s="142">
        <v>23.97</v>
      </c>
      <c r="F315" s="139">
        <v>45.66</v>
      </c>
    </row>
    <row r="316" spans="1:6">
      <c r="A316" s="152" t="str">
        <f t="shared" si="15"/>
        <v>VancRecyclingCRYEX2YD</v>
      </c>
      <c r="B316" s="122" t="s">
        <v>877</v>
      </c>
      <c r="C316" s="122" t="s">
        <v>878</v>
      </c>
      <c r="D316" s="142">
        <v>26.38</v>
      </c>
      <c r="F316" s="139">
        <v>126.86</v>
      </c>
    </row>
    <row r="317" spans="1:6">
      <c r="A317" s="152" t="str">
        <f t="shared" si="15"/>
        <v>VancRecyclingCRYEX3YD</v>
      </c>
      <c r="B317" s="122" t="s">
        <v>879</v>
      </c>
      <c r="C317" s="122" t="s">
        <v>880</v>
      </c>
      <c r="D317" s="142">
        <v>29.38</v>
      </c>
      <c r="F317" s="139">
        <v>360.89</v>
      </c>
    </row>
    <row r="318" spans="1:6">
      <c r="A318" s="152" t="str">
        <f t="shared" si="15"/>
        <v>VancRecyclingCRYEX4YD</v>
      </c>
      <c r="B318" s="122" t="s">
        <v>881</v>
      </c>
      <c r="C318" s="122" t="s">
        <v>882</v>
      </c>
      <c r="D318" s="142">
        <v>29.98</v>
      </c>
      <c r="F318" s="139">
        <v>258.38</v>
      </c>
    </row>
    <row r="319" spans="1:6">
      <c r="A319" s="152" t="str">
        <f t="shared" si="15"/>
        <v>VancRecyclingCRYEX5YD</v>
      </c>
      <c r="B319" s="122" t="s">
        <v>883</v>
      </c>
      <c r="C319" s="122" t="s">
        <v>884</v>
      </c>
      <c r="D319" s="142">
        <v>29.6</v>
      </c>
      <c r="F319" s="139">
        <v>0</v>
      </c>
    </row>
    <row r="320" spans="1:6">
      <c r="A320" s="152" t="str">
        <f t="shared" si="15"/>
        <v>VancRecyclingCRYEX6YD</v>
      </c>
      <c r="B320" s="122" t="s">
        <v>885</v>
      </c>
      <c r="C320" s="122" t="s">
        <v>886</v>
      </c>
      <c r="D320" s="142">
        <v>32.369999999999997</v>
      </c>
      <c r="F320" s="139">
        <v>159.07</v>
      </c>
    </row>
    <row r="321" spans="1:8">
      <c r="A321" s="152" t="str">
        <f t="shared" si="15"/>
        <v>VancRecyclingCRYEX8YD</v>
      </c>
      <c r="B321" s="122" t="s">
        <v>887</v>
      </c>
      <c r="C321" s="122" t="s">
        <v>888</v>
      </c>
      <c r="D321" s="142">
        <v>33.619999999999997</v>
      </c>
      <c r="F321" s="139">
        <v>415.18</v>
      </c>
    </row>
    <row r="322" spans="1:8">
      <c r="A322" s="152" t="str">
        <f t="shared" si="15"/>
        <v>VancRecyclingCRYEX903</v>
      </c>
      <c r="B322" s="122" t="s">
        <v>873</v>
      </c>
      <c r="C322" s="122" t="s">
        <v>874</v>
      </c>
      <c r="D322" s="142">
        <v>23.97</v>
      </c>
      <c r="F322" s="139">
        <v>0</v>
      </c>
    </row>
    <row r="323" spans="1:8">
      <c r="A323" s="152" t="str">
        <f t="shared" si="15"/>
        <v>VancRecyclingCRYTRIP</v>
      </c>
      <c r="B323" s="122" t="s">
        <v>889</v>
      </c>
      <c r="C323" s="122" t="s">
        <v>890</v>
      </c>
      <c r="D323" s="142">
        <v>14.97</v>
      </c>
      <c r="F323" s="139">
        <v>1483.63</v>
      </c>
    </row>
    <row r="324" spans="1:8">
      <c r="A324" s="152" t="str">
        <f t="shared" si="15"/>
        <v>VancRecyclingWCCLEAN</v>
      </c>
      <c r="B324" s="122" t="s">
        <v>891</v>
      </c>
      <c r="C324" s="122" t="s">
        <v>892</v>
      </c>
      <c r="D324" s="142">
        <v>10.1</v>
      </c>
      <c r="F324" s="139">
        <v>0</v>
      </c>
    </row>
    <row r="325" spans="1:8">
      <c r="A325" s="152" t="str">
        <f t="shared" si="15"/>
        <v>VancRecyclingRECPUR</v>
      </c>
      <c r="B325" s="102" t="s">
        <v>893</v>
      </c>
      <c r="C325" s="102" t="s">
        <v>894</v>
      </c>
      <c r="D325" s="142">
        <v>0</v>
      </c>
      <c r="F325" s="139">
        <v>-1415.9499999999998</v>
      </c>
    </row>
    <row r="326" spans="1:8">
      <c r="A326" s="150"/>
      <c r="B326" s="126"/>
      <c r="C326" s="126"/>
    </row>
    <row r="327" spans="1:8">
      <c r="A327" s="150"/>
      <c r="B327" s="126"/>
      <c r="C327" s="127" t="s">
        <v>895</v>
      </c>
      <c r="F327" s="128">
        <f>+SUM(F214:F326)</f>
        <v>2080678.8900000001</v>
      </c>
      <c r="G327" s="129"/>
      <c r="H327" s="128">
        <f>+SUM(H214:H326)</f>
        <v>2290.2440822185545</v>
      </c>
    </row>
    <row r="328" spans="1:8">
      <c r="A328" s="150"/>
      <c r="B328" s="102"/>
      <c r="C328" s="102"/>
    </row>
    <row r="329" spans="1:8">
      <c r="A329" s="111"/>
      <c r="B329" s="111" t="s">
        <v>526</v>
      </c>
      <c r="C329" s="113"/>
      <c r="D329" s="114"/>
      <c r="E329" s="114"/>
      <c r="F329" s="114"/>
      <c r="G329" s="114"/>
      <c r="H329" s="114"/>
    </row>
    <row r="330" spans="1:8">
      <c r="A330" s="150"/>
      <c r="B330" s="116"/>
      <c r="C330" s="116"/>
    </row>
    <row r="331" spans="1:8">
      <c r="A331" s="154"/>
      <c r="B331" s="119" t="s">
        <v>1299</v>
      </c>
      <c r="C331" s="119"/>
      <c r="D331" s="120"/>
      <c r="E331" s="121"/>
      <c r="F331" s="171"/>
      <c r="G331" s="121"/>
      <c r="H331" s="121"/>
    </row>
    <row r="332" spans="1:8">
      <c r="A332" s="152" t="str">
        <f>"Vanc"&amp;"Roll Off"&amp;B332</f>
        <v>VancRoll OffCER20YD</v>
      </c>
      <c r="B332" s="122" t="s">
        <v>529</v>
      </c>
      <c r="C332" s="122" t="s">
        <v>530</v>
      </c>
      <c r="D332" s="142">
        <v>130.94</v>
      </c>
      <c r="F332" s="139">
        <v>0</v>
      </c>
      <c r="H332" s="124">
        <f t="shared" ref="H332:H352" si="16">+(F332/D332)/12</f>
        <v>0</v>
      </c>
    </row>
    <row r="333" spans="1:8">
      <c r="A333" s="152" t="str">
        <f t="shared" ref="A333:A382" si="17">"Vanc"&amp;"Roll Off"&amp;B333</f>
        <v>VancRoll OffCER30YD</v>
      </c>
      <c r="B333" s="122" t="s">
        <v>531</v>
      </c>
      <c r="C333" s="122" t="s">
        <v>532</v>
      </c>
      <c r="D333" s="142">
        <v>130.94</v>
      </c>
      <c r="F333" s="139">
        <v>217.2</v>
      </c>
      <c r="H333" s="124">
        <f t="shared" si="16"/>
        <v>0.1382312509546357</v>
      </c>
    </row>
    <row r="334" spans="1:8">
      <c r="A334" s="152" t="str">
        <f t="shared" si="17"/>
        <v>VancRoll OffCER40YD</v>
      </c>
      <c r="B334" s="122" t="s">
        <v>533</v>
      </c>
      <c r="C334" s="122" t="s">
        <v>534</v>
      </c>
      <c r="D334" s="142">
        <v>130.94</v>
      </c>
      <c r="F334" s="139">
        <v>434.4</v>
      </c>
      <c r="H334" s="124">
        <f t="shared" si="16"/>
        <v>0.27646250190927141</v>
      </c>
    </row>
    <row r="335" spans="1:8">
      <c r="A335" s="152" t="str">
        <f t="shared" si="17"/>
        <v>VancRoll OffVHAUL15</v>
      </c>
      <c r="B335" s="122" t="s">
        <v>1300</v>
      </c>
      <c r="C335" s="122" t="s">
        <v>1301</v>
      </c>
      <c r="D335" s="142">
        <v>130.94</v>
      </c>
      <c r="F335" s="139">
        <v>14694.69</v>
      </c>
      <c r="H335" s="124">
        <f t="shared" si="16"/>
        <v>9.3520505575072566</v>
      </c>
    </row>
    <row r="336" spans="1:8">
      <c r="A336" s="152" t="str">
        <f t="shared" si="17"/>
        <v>VancRoll OffVHAUL20</v>
      </c>
      <c r="B336" s="122" t="s">
        <v>535</v>
      </c>
      <c r="C336" s="122" t="s">
        <v>536</v>
      </c>
      <c r="D336" s="142">
        <v>130.94</v>
      </c>
      <c r="F336" s="139">
        <v>256879.59000000003</v>
      </c>
      <c r="H336" s="124">
        <f t="shared" si="16"/>
        <v>163.48428669619673</v>
      </c>
    </row>
    <row r="337" spans="1:8">
      <c r="A337" s="152" t="str">
        <f t="shared" si="17"/>
        <v>VancRoll OffVHAUL30</v>
      </c>
      <c r="B337" s="122" t="s">
        <v>537</v>
      </c>
      <c r="C337" s="122" t="s">
        <v>538</v>
      </c>
      <c r="D337" s="142">
        <v>130.94</v>
      </c>
      <c r="F337" s="139">
        <v>261024.31</v>
      </c>
      <c r="H337" s="124">
        <f t="shared" si="16"/>
        <v>166.12208517896238</v>
      </c>
    </row>
    <row r="338" spans="1:8">
      <c r="A338" s="152" t="str">
        <f t="shared" si="17"/>
        <v>VancRoll OffVHAUL40</v>
      </c>
      <c r="B338" s="122" t="s">
        <v>539</v>
      </c>
      <c r="C338" s="122" t="s">
        <v>540</v>
      </c>
      <c r="D338" s="142">
        <v>130.94</v>
      </c>
      <c r="F338" s="139">
        <v>303052.13</v>
      </c>
      <c r="H338" s="124">
        <f t="shared" si="16"/>
        <v>192.86959039763761</v>
      </c>
    </row>
    <row r="339" spans="1:8">
      <c r="A339" s="152" t="str">
        <f t="shared" si="17"/>
        <v>VancRoll OffCRV15YD</v>
      </c>
      <c r="B339" s="122" t="s">
        <v>1302</v>
      </c>
      <c r="C339" s="122" t="s">
        <v>1303</v>
      </c>
      <c r="D339" s="142">
        <v>130.94</v>
      </c>
      <c r="F339" s="139">
        <v>0</v>
      </c>
      <c r="H339" s="124">
        <f t="shared" si="16"/>
        <v>0</v>
      </c>
    </row>
    <row r="340" spans="1:8">
      <c r="A340" s="152" t="str">
        <f t="shared" si="17"/>
        <v>VancRoll OffCRV20YD</v>
      </c>
      <c r="B340" s="122" t="s">
        <v>541</v>
      </c>
      <c r="C340" s="122" t="s">
        <v>542</v>
      </c>
      <c r="D340" s="142">
        <v>130.94</v>
      </c>
      <c r="F340" s="139">
        <v>0</v>
      </c>
      <c r="H340" s="124">
        <f t="shared" si="16"/>
        <v>0</v>
      </c>
    </row>
    <row r="341" spans="1:8">
      <c r="A341" s="152" t="str">
        <f t="shared" si="17"/>
        <v>VancRoll OffCRV30YD</v>
      </c>
      <c r="B341" s="122" t="s">
        <v>543</v>
      </c>
      <c r="C341" s="122" t="s">
        <v>544</v>
      </c>
      <c r="D341" s="142">
        <v>130.94</v>
      </c>
      <c r="F341" s="139">
        <v>0</v>
      </c>
      <c r="H341" s="124">
        <f t="shared" si="16"/>
        <v>0</v>
      </c>
    </row>
    <row r="342" spans="1:8">
      <c r="A342" s="152" t="str">
        <f t="shared" si="17"/>
        <v>VancRoll OffCRV40YD</v>
      </c>
      <c r="B342" s="122" t="s">
        <v>545</v>
      </c>
      <c r="C342" s="122" t="s">
        <v>546</v>
      </c>
      <c r="D342" s="142">
        <v>130.94</v>
      </c>
      <c r="F342" s="139">
        <v>0</v>
      </c>
      <c r="H342" s="124">
        <f t="shared" si="16"/>
        <v>0</v>
      </c>
    </row>
    <row r="343" spans="1:8">
      <c r="A343" s="152" t="str">
        <f t="shared" ref="A343:A354" si="18">"Vanc"&amp;"compactor"&amp;B343</f>
        <v>VanccompactorVHAUL15C</v>
      </c>
      <c r="B343" s="122" t="s">
        <v>1304</v>
      </c>
      <c r="C343" s="122" t="s">
        <v>1305</v>
      </c>
      <c r="D343" s="142">
        <v>145.47999999999999</v>
      </c>
      <c r="F343" s="139">
        <v>95911.51999999999</v>
      </c>
      <c r="H343" s="124">
        <f t="shared" si="16"/>
        <v>54.939693886903122</v>
      </c>
    </row>
    <row r="344" spans="1:8">
      <c r="A344" s="152" t="str">
        <f t="shared" si="18"/>
        <v>VanccompactorVHAUL20C</v>
      </c>
      <c r="B344" s="122" t="s">
        <v>1306</v>
      </c>
      <c r="C344" s="122" t="s">
        <v>1307</v>
      </c>
      <c r="D344" s="142">
        <v>145.47999999999999</v>
      </c>
      <c r="F344" s="139">
        <v>165634.32</v>
      </c>
      <c r="H344" s="124">
        <f t="shared" si="16"/>
        <v>94.878058839703058</v>
      </c>
    </row>
    <row r="345" spans="1:8">
      <c r="A345" s="152" t="str">
        <f t="shared" si="18"/>
        <v>VanccompactorVHAUL25C</v>
      </c>
      <c r="B345" s="122" t="s">
        <v>1308</v>
      </c>
      <c r="C345" s="122" t="s">
        <v>1309</v>
      </c>
      <c r="D345" s="142">
        <v>145.47999999999999</v>
      </c>
      <c r="F345" s="139">
        <v>110631.94</v>
      </c>
      <c r="H345" s="124">
        <f t="shared" si="16"/>
        <v>63.37179222802677</v>
      </c>
    </row>
    <row r="346" spans="1:8">
      <c r="A346" s="152" t="str">
        <f t="shared" si="18"/>
        <v>VanccompactorVHAUL30C</v>
      </c>
      <c r="B346" s="122" t="s">
        <v>960</v>
      </c>
      <c r="C346" s="122" t="s">
        <v>961</v>
      </c>
      <c r="D346" s="142">
        <v>145.47999999999999</v>
      </c>
      <c r="F346" s="139">
        <v>191627.16</v>
      </c>
      <c r="H346" s="124">
        <f t="shared" si="16"/>
        <v>109.76718449271378</v>
      </c>
    </row>
    <row r="347" spans="1:8">
      <c r="A347" s="152" t="str">
        <f t="shared" si="18"/>
        <v>VanccompactorVHAUL40C</v>
      </c>
      <c r="B347" s="122" t="s">
        <v>1310</v>
      </c>
      <c r="C347" s="122" t="s">
        <v>1311</v>
      </c>
      <c r="D347" s="142">
        <v>145.47999999999999</v>
      </c>
      <c r="F347" s="139">
        <v>59556.939999999995</v>
      </c>
      <c r="H347" s="124">
        <f t="shared" si="16"/>
        <v>34.115193382824671</v>
      </c>
    </row>
    <row r="348" spans="1:8">
      <c r="A348" s="152" t="str">
        <f t="shared" si="18"/>
        <v>VanccompactorCCOMP15</v>
      </c>
      <c r="B348" s="122" t="s">
        <v>563</v>
      </c>
      <c r="C348" s="122" t="s">
        <v>564</v>
      </c>
      <c r="D348" s="142">
        <v>145.47999999999999</v>
      </c>
      <c r="F348" s="139">
        <v>0</v>
      </c>
      <c r="H348" s="124">
        <f t="shared" si="16"/>
        <v>0</v>
      </c>
    </row>
    <row r="349" spans="1:8">
      <c r="A349" s="152" t="str">
        <f t="shared" si="18"/>
        <v>VanccompactorCCOMP20</v>
      </c>
      <c r="B349" s="122" t="s">
        <v>565</v>
      </c>
      <c r="C349" s="122" t="s">
        <v>566</v>
      </c>
      <c r="D349" s="142">
        <v>145.47999999999999</v>
      </c>
      <c r="F349" s="139">
        <v>0</v>
      </c>
      <c r="H349" s="124">
        <f t="shared" si="16"/>
        <v>0</v>
      </c>
    </row>
    <row r="350" spans="1:8">
      <c r="A350" s="152" t="str">
        <f t="shared" si="18"/>
        <v>VanccompactorCCOMP25</v>
      </c>
      <c r="B350" s="122" t="s">
        <v>567</v>
      </c>
      <c r="C350" s="122" t="s">
        <v>568</v>
      </c>
      <c r="D350" s="142">
        <v>145.47999999999999</v>
      </c>
      <c r="F350" s="139">
        <v>264.95</v>
      </c>
      <c r="H350" s="124">
        <f t="shared" si="16"/>
        <v>0.15176771148382368</v>
      </c>
    </row>
    <row r="351" spans="1:8">
      <c r="A351" s="152" t="str">
        <f t="shared" si="18"/>
        <v>VanccompactorCCOMP30</v>
      </c>
      <c r="B351" s="122" t="s">
        <v>569</v>
      </c>
      <c r="C351" s="122" t="s">
        <v>570</v>
      </c>
      <c r="D351" s="142">
        <v>145.47999999999999</v>
      </c>
      <c r="F351" s="139">
        <v>0</v>
      </c>
      <c r="H351" s="124">
        <f t="shared" si="16"/>
        <v>0</v>
      </c>
    </row>
    <row r="352" spans="1:8">
      <c r="A352" s="152" t="str">
        <f t="shared" si="18"/>
        <v>VanccompactorCCOMP40</v>
      </c>
      <c r="B352" s="122" t="s">
        <v>571</v>
      </c>
      <c r="C352" s="122" t="s">
        <v>572</v>
      </c>
      <c r="D352" s="142">
        <v>145.47999999999999</v>
      </c>
      <c r="F352" s="139">
        <v>358.41</v>
      </c>
      <c r="H352" s="124">
        <f t="shared" si="16"/>
        <v>0.205303134451471</v>
      </c>
    </row>
    <row r="353" spans="1:6">
      <c r="A353" s="152" t="str">
        <f t="shared" si="18"/>
        <v>VanccompactorOCC</v>
      </c>
      <c r="B353" s="102" t="s">
        <v>928</v>
      </c>
      <c r="C353" s="102" t="s">
        <v>929</v>
      </c>
      <c r="D353" s="142">
        <v>0</v>
      </c>
      <c r="F353" s="139">
        <v>-863.7</v>
      </c>
    </row>
    <row r="354" spans="1:6">
      <c r="A354" s="152" t="str">
        <f t="shared" si="18"/>
        <v>VanccompactorSPDISCO</v>
      </c>
      <c r="B354" s="122" t="s">
        <v>592</v>
      </c>
      <c r="C354" s="122" t="s">
        <v>593</v>
      </c>
      <c r="D354" s="142">
        <v>0</v>
      </c>
      <c r="F354" s="139">
        <v>34.799999999999997</v>
      </c>
    </row>
    <row r="355" spans="1:6">
      <c r="A355" s="152" t="str">
        <f t="shared" si="17"/>
        <v>VancRoll OffCADEM15</v>
      </c>
      <c r="B355" s="122" t="s">
        <v>964</v>
      </c>
      <c r="C355" s="122" t="s">
        <v>574</v>
      </c>
      <c r="D355" s="142">
        <v>94.01</v>
      </c>
      <c r="F355" s="139">
        <v>0</v>
      </c>
    </row>
    <row r="356" spans="1:6">
      <c r="A356" s="152" t="str">
        <f t="shared" si="17"/>
        <v>VancRoll OffCDEM15</v>
      </c>
      <c r="B356" s="122" t="s">
        <v>573</v>
      </c>
      <c r="C356" s="122" t="s">
        <v>574</v>
      </c>
      <c r="D356" s="142">
        <v>94.01</v>
      </c>
      <c r="F356" s="139">
        <v>0</v>
      </c>
    </row>
    <row r="357" spans="1:6">
      <c r="A357" s="152" t="str">
        <f t="shared" si="17"/>
        <v>VancRoll OffVDEM15</v>
      </c>
      <c r="B357" s="122" t="s">
        <v>1312</v>
      </c>
      <c r="C357" s="122" t="s">
        <v>574</v>
      </c>
      <c r="D357" s="142">
        <v>94.01</v>
      </c>
      <c r="F357" s="139">
        <v>2807.83</v>
      </c>
    </row>
    <row r="358" spans="1:6">
      <c r="A358" s="152" t="str">
        <f t="shared" si="17"/>
        <v>VancRoll OffCADEM20</v>
      </c>
      <c r="B358" s="122" t="s">
        <v>965</v>
      </c>
      <c r="C358" s="122" t="s">
        <v>576</v>
      </c>
      <c r="D358" s="142">
        <v>94.01</v>
      </c>
      <c r="F358" s="139">
        <v>0</v>
      </c>
    </row>
    <row r="359" spans="1:6">
      <c r="A359" s="152" t="str">
        <f t="shared" si="17"/>
        <v>VancRoll OffCDEM20</v>
      </c>
      <c r="B359" s="122" t="s">
        <v>575</v>
      </c>
      <c r="C359" s="122" t="s">
        <v>576</v>
      </c>
      <c r="D359" s="142">
        <v>94.01</v>
      </c>
      <c r="F359" s="139">
        <v>0</v>
      </c>
    </row>
    <row r="360" spans="1:6">
      <c r="A360" s="152" t="str">
        <f t="shared" si="17"/>
        <v>VancRoll OffVDEM20</v>
      </c>
      <c r="B360" s="122" t="s">
        <v>585</v>
      </c>
      <c r="C360" s="122" t="s">
        <v>576</v>
      </c>
      <c r="D360" s="142">
        <v>94.01</v>
      </c>
      <c r="F360" s="139">
        <v>87637.319999999992</v>
      </c>
    </row>
    <row r="361" spans="1:6">
      <c r="A361" s="152" t="str">
        <f t="shared" si="17"/>
        <v>VancRoll OffCDEM30</v>
      </c>
      <c r="B361" s="122" t="s">
        <v>577</v>
      </c>
      <c r="C361" s="122" t="s">
        <v>578</v>
      </c>
      <c r="D361" s="142">
        <v>94.01</v>
      </c>
      <c r="F361" s="139">
        <v>0</v>
      </c>
    </row>
    <row r="362" spans="1:6">
      <c r="A362" s="152" t="str">
        <f t="shared" si="17"/>
        <v>VancRoll OffVDEM30</v>
      </c>
      <c r="B362" s="122" t="s">
        <v>586</v>
      </c>
      <c r="C362" s="122" t="s">
        <v>578</v>
      </c>
      <c r="D362" s="142">
        <v>94.01</v>
      </c>
      <c r="F362" s="139">
        <v>79218.83</v>
      </c>
    </row>
    <row r="363" spans="1:6">
      <c r="A363" s="152" t="str">
        <f t="shared" si="17"/>
        <v>VancRoll OffVDEM40</v>
      </c>
      <c r="B363" s="122" t="s">
        <v>591</v>
      </c>
      <c r="C363" s="122" t="s">
        <v>580</v>
      </c>
      <c r="D363" s="142">
        <v>94.01</v>
      </c>
      <c r="F363" s="139">
        <v>111861.29000000001</v>
      </c>
    </row>
    <row r="364" spans="1:6">
      <c r="A364" s="152" t="str">
        <f t="shared" si="17"/>
        <v>VancRoll OffCTDEM20</v>
      </c>
      <c r="B364" s="122" t="s">
        <v>583</v>
      </c>
      <c r="C364" s="122" t="s">
        <v>584</v>
      </c>
      <c r="D364" s="142">
        <v>94.01</v>
      </c>
      <c r="F364" s="139">
        <v>78.34</v>
      </c>
    </row>
    <row r="365" spans="1:6">
      <c r="A365" s="152" t="str">
        <f t="shared" si="17"/>
        <v>VancRoll OffCTDEM30</v>
      </c>
      <c r="B365" s="122" t="s">
        <v>587</v>
      </c>
      <c r="C365" s="122" t="s">
        <v>588</v>
      </c>
      <c r="D365" s="142">
        <v>94.01</v>
      </c>
      <c r="F365" s="139">
        <v>58.86</v>
      </c>
    </row>
    <row r="366" spans="1:6">
      <c r="A366" s="152" t="str">
        <f t="shared" si="17"/>
        <v>VancRoll OffCPLACE</v>
      </c>
      <c r="B366" s="122" t="s">
        <v>594</v>
      </c>
      <c r="C366" s="122" t="s">
        <v>595</v>
      </c>
      <c r="D366" s="142">
        <v>33.380000000000003</v>
      </c>
      <c r="F366" s="139">
        <v>0</v>
      </c>
    </row>
    <row r="367" spans="1:6">
      <c r="A367" s="152" t="str">
        <f t="shared" si="17"/>
        <v>VancRoll OffVPLACE</v>
      </c>
      <c r="B367" s="122" t="s">
        <v>607</v>
      </c>
      <c r="C367" s="122" t="s">
        <v>595</v>
      </c>
      <c r="D367" s="142">
        <v>33.380000000000003</v>
      </c>
      <c r="F367" s="139">
        <v>44824.06</v>
      </c>
    </row>
    <row r="368" spans="1:6">
      <c r="A368" s="152" t="str">
        <f t="shared" si="17"/>
        <v>VancRoll OffCLIDCHG</v>
      </c>
      <c r="B368" s="122" t="s">
        <v>597</v>
      </c>
      <c r="C368" s="122" t="s">
        <v>598</v>
      </c>
      <c r="D368" s="142">
        <v>40.799999999999997</v>
      </c>
      <c r="F368" s="139">
        <v>0</v>
      </c>
    </row>
    <row r="369" spans="1:6">
      <c r="A369" s="152" t="str">
        <f t="shared" si="17"/>
        <v>VancRoll OffVLIDCHG</v>
      </c>
      <c r="B369" s="122" t="s">
        <v>610</v>
      </c>
      <c r="C369" s="122" t="s">
        <v>598</v>
      </c>
      <c r="D369" s="142">
        <v>40.799999999999997</v>
      </c>
      <c r="F369" s="139">
        <v>36570.980000000003</v>
      </c>
    </row>
    <row r="370" spans="1:6">
      <c r="A370" s="152" t="str">
        <f t="shared" si="17"/>
        <v>VancRoll OffMILE</v>
      </c>
      <c r="B370" s="122" t="s">
        <v>601</v>
      </c>
      <c r="C370" s="122" t="s">
        <v>602</v>
      </c>
      <c r="D370" s="142">
        <v>2.9</v>
      </c>
      <c r="F370" s="139">
        <v>1148.6400000000001</v>
      </c>
    </row>
    <row r="371" spans="1:6">
      <c r="A371" s="152" t="str">
        <f t="shared" si="17"/>
        <v>VancRoll OffLINER-RO</v>
      </c>
      <c r="B371" s="122" t="s">
        <v>1070</v>
      </c>
      <c r="C371" s="122" t="s">
        <v>1071</v>
      </c>
      <c r="D371" s="142">
        <v>0</v>
      </c>
      <c r="F371" s="139">
        <v>1469</v>
      </c>
    </row>
    <row r="372" spans="1:6">
      <c r="A372" s="152" t="str">
        <f t="shared" si="17"/>
        <v>VancRoll OffSTANDBY</v>
      </c>
      <c r="B372" s="122" t="s">
        <v>1313</v>
      </c>
      <c r="C372" s="122" t="s">
        <v>1314</v>
      </c>
      <c r="D372" s="142">
        <v>94.8</v>
      </c>
      <c r="F372" s="139">
        <v>237</v>
      </c>
    </row>
    <row r="373" spans="1:6">
      <c r="A373" s="152" t="str">
        <f t="shared" si="17"/>
        <v>VancRoll OffTARP</v>
      </c>
      <c r="B373" s="122" t="s">
        <v>603</v>
      </c>
      <c r="C373" s="122" t="s">
        <v>604</v>
      </c>
      <c r="D373" s="142">
        <v>0</v>
      </c>
      <c r="F373" s="139">
        <v>27</v>
      </c>
    </row>
    <row r="374" spans="1:6">
      <c r="A374" s="152" t="str">
        <f t="shared" si="17"/>
        <v>VancRoll OffVDTIME</v>
      </c>
      <c r="B374" s="122" t="s">
        <v>605</v>
      </c>
      <c r="C374" s="122" t="s">
        <v>606</v>
      </c>
      <c r="D374" s="142">
        <v>1.58</v>
      </c>
      <c r="F374" s="139">
        <v>11763.73</v>
      </c>
    </row>
    <row r="375" spans="1:6">
      <c r="A375" s="152" t="str">
        <f>"Vanc"&amp;"Roll Off"&amp;B375</f>
        <v>VancRoll OffDBTRIP</v>
      </c>
      <c r="B375" s="122" t="s">
        <v>608</v>
      </c>
      <c r="C375" s="122" t="s">
        <v>609</v>
      </c>
      <c r="D375" s="142">
        <v>26.74</v>
      </c>
      <c r="F375" s="139">
        <v>21385.45</v>
      </c>
    </row>
    <row r="376" spans="1:6">
      <c r="A376" s="152" t="str">
        <f>"Vanc"&amp;"Roll Off"&amp;B376</f>
        <v>VancRoll OffADJQ</v>
      </c>
      <c r="B376" s="122" t="s">
        <v>1315</v>
      </c>
      <c r="C376" s="122" t="s">
        <v>1316</v>
      </c>
      <c r="D376" s="142">
        <v>0</v>
      </c>
      <c r="F376" s="139">
        <v>0</v>
      </c>
    </row>
    <row r="377" spans="1:6">
      <c r="A377" s="152" t="str">
        <f t="shared" si="17"/>
        <v>VancRoll OffDWSAN15</v>
      </c>
      <c r="B377" s="122" t="s">
        <v>1317</v>
      </c>
      <c r="C377" s="122" t="s">
        <v>1318</v>
      </c>
      <c r="D377" s="142">
        <v>88.94</v>
      </c>
      <c r="F377" s="139">
        <v>177.88</v>
      </c>
    </row>
    <row r="378" spans="1:6">
      <c r="A378" s="152" t="str">
        <f t="shared" si="17"/>
        <v>VancRoll OffDWSAN20</v>
      </c>
      <c r="B378" s="122" t="s">
        <v>976</v>
      </c>
      <c r="C378" s="122" t="s">
        <v>977</v>
      </c>
      <c r="D378" s="142">
        <v>106.94</v>
      </c>
      <c r="F378" s="139">
        <v>632.22</v>
      </c>
    </row>
    <row r="379" spans="1:6">
      <c r="A379" s="152" t="str">
        <f t="shared" si="17"/>
        <v>VancRoll OffDWSAN30</v>
      </c>
      <c r="B379" s="122" t="s">
        <v>974</v>
      </c>
      <c r="C379" s="122" t="s">
        <v>975</v>
      </c>
      <c r="D379" s="142">
        <v>142.94</v>
      </c>
      <c r="F379" s="139">
        <v>1677.42</v>
      </c>
    </row>
    <row r="380" spans="1:6">
      <c r="A380" s="152" t="str">
        <f t="shared" si="17"/>
        <v>VancRoll OffDWSAN40</v>
      </c>
      <c r="B380" s="122" t="s">
        <v>1072</v>
      </c>
      <c r="C380" s="122" t="s">
        <v>1073</v>
      </c>
      <c r="D380" s="142">
        <v>178.94</v>
      </c>
      <c r="F380" s="139">
        <v>178.94</v>
      </c>
    </row>
    <row r="381" spans="1:6">
      <c r="A381" s="152" t="str">
        <f t="shared" si="17"/>
        <v>VancRoll OffCACOMPRNT</v>
      </c>
      <c r="B381" s="122" t="s">
        <v>908</v>
      </c>
      <c r="C381" s="122" t="s">
        <v>909</v>
      </c>
      <c r="D381" s="142">
        <v>94.01</v>
      </c>
      <c r="F381" s="139">
        <v>2207.4</v>
      </c>
    </row>
    <row r="382" spans="1:6">
      <c r="A382" s="152" t="str">
        <f t="shared" si="17"/>
        <v>VancRoll OffREPAIR</v>
      </c>
      <c r="B382" s="122" t="s">
        <v>1319</v>
      </c>
      <c r="C382" s="122" t="s">
        <v>1320</v>
      </c>
      <c r="D382" s="142">
        <v>0</v>
      </c>
      <c r="F382" s="139">
        <v>0</v>
      </c>
    </row>
    <row r="383" spans="1:6">
      <c r="A383" s="152" t="str">
        <f>"Vanc"&amp;"compactor"&amp;B383</f>
        <v>VanccompactorFWCOMP</v>
      </c>
      <c r="B383" s="122" t="s">
        <v>906</v>
      </c>
      <c r="C383" s="122" t="s">
        <v>907</v>
      </c>
      <c r="D383" s="142">
        <v>139.38999999999999</v>
      </c>
      <c r="F383" s="139">
        <v>42325.97</v>
      </c>
    </row>
    <row r="384" spans="1:6">
      <c r="A384" s="152" t="str">
        <f t="shared" ref="A384" si="19">"Vanc"&amp;"Roll Off"&amp;B384</f>
        <v>VancRoll OffWAMISC</v>
      </c>
      <c r="B384" s="122" t="s">
        <v>972</v>
      </c>
      <c r="C384" s="126" t="s">
        <v>973</v>
      </c>
      <c r="D384" s="142">
        <v>94.8</v>
      </c>
      <c r="F384" s="139">
        <v>237</v>
      </c>
    </row>
    <row r="385" spans="1:8">
      <c r="A385" s="150"/>
      <c r="B385" s="126"/>
      <c r="C385" s="126"/>
    </row>
    <row r="386" spans="1:8">
      <c r="A386" s="150"/>
      <c r="B386" s="126"/>
      <c r="C386" s="127" t="s">
        <v>978</v>
      </c>
      <c r="F386" s="128">
        <f>+SUM(F332:F385)</f>
        <v>1905983.8199999996</v>
      </c>
      <c r="G386" s="129"/>
      <c r="H386" s="128">
        <f>+SUM(H332:H385)</f>
        <v>889.67170025927453</v>
      </c>
    </row>
    <row r="387" spans="1:8">
      <c r="A387" s="150"/>
      <c r="B387" s="126"/>
      <c r="C387" s="127"/>
    </row>
    <row r="388" spans="1:8">
      <c r="A388" s="154"/>
      <c r="B388" s="119" t="s">
        <v>979</v>
      </c>
      <c r="C388" s="119"/>
      <c r="D388" s="120"/>
      <c r="E388" s="121"/>
      <c r="F388" s="171"/>
      <c r="G388" s="121"/>
      <c r="H388" s="121"/>
    </row>
    <row r="389" spans="1:8">
      <c r="A389" s="152" t="str">
        <f t="shared" ref="A389:A399" si="20">"Vanc"&amp;"Roll Off"&amp;B389</f>
        <v>VancRoll OffDRHAUL15</v>
      </c>
      <c r="B389" s="122" t="s">
        <v>898</v>
      </c>
      <c r="C389" s="122" t="s">
        <v>899</v>
      </c>
      <c r="D389" s="142">
        <v>173.74</v>
      </c>
      <c r="F389" s="139">
        <v>86535.54</v>
      </c>
      <c r="H389" s="124">
        <f>+(F389/D389)/12</f>
        <v>41.506244963738915</v>
      </c>
    </row>
    <row r="390" spans="1:8">
      <c r="A390" s="152" t="str">
        <f t="shared" si="20"/>
        <v>VancRoll OffDRHAUL20</v>
      </c>
      <c r="B390" s="122" t="s">
        <v>900</v>
      </c>
      <c r="C390" s="122" t="s">
        <v>901</v>
      </c>
      <c r="D390" s="142">
        <v>173.74</v>
      </c>
      <c r="F390" s="139">
        <v>48395.19</v>
      </c>
      <c r="H390" s="124">
        <f>+(F390/D390)/12</f>
        <v>23.212458270979624</v>
      </c>
    </row>
    <row r="391" spans="1:8">
      <c r="A391" s="152" t="str">
        <f t="shared" si="20"/>
        <v>VancRoll OffDRHAUL30</v>
      </c>
      <c r="B391" s="122" t="s">
        <v>902</v>
      </c>
      <c r="C391" s="122" t="s">
        <v>903</v>
      </c>
      <c r="D391" s="142">
        <v>173.74</v>
      </c>
      <c r="F391" s="139">
        <v>56462.100000000006</v>
      </c>
      <c r="H391" s="124">
        <f>+(F391/D391)/12</f>
        <v>27.081702544031312</v>
      </c>
    </row>
    <row r="392" spans="1:8">
      <c r="A392" s="152" t="str">
        <f t="shared" si="20"/>
        <v>VancRoll OffDRHAUL40</v>
      </c>
      <c r="B392" s="122" t="s">
        <v>904</v>
      </c>
      <c r="C392" s="122" t="s">
        <v>905</v>
      </c>
      <c r="D392" s="142">
        <v>173.74</v>
      </c>
      <c r="F392" s="139">
        <v>83353.59</v>
      </c>
      <c r="H392" s="124">
        <f>+(F392/D392)/12</f>
        <v>39.980042016806721</v>
      </c>
    </row>
    <row r="393" spans="1:8">
      <c r="A393" s="152" t="str">
        <f t="shared" si="20"/>
        <v>VancRoll OffDRDEM15</v>
      </c>
      <c r="B393" s="122" t="s">
        <v>912</v>
      </c>
      <c r="C393" s="122" t="s">
        <v>913</v>
      </c>
      <c r="D393" s="142">
        <v>0</v>
      </c>
      <c r="F393" s="139">
        <v>0</v>
      </c>
    </row>
    <row r="394" spans="1:8">
      <c r="A394" s="152" t="str">
        <f t="shared" si="20"/>
        <v>VancRoll OffDRDEM20</v>
      </c>
      <c r="B394" s="122" t="s">
        <v>914</v>
      </c>
      <c r="C394" s="122" t="s">
        <v>915</v>
      </c>
      <c r="D394" s="142">
        <v>0</v>
      </c>
      <c r="F394" s="139">
        <v>834.58000000000015</v>
      </c>
    </row>
    <row r="395" spans="1:8">
      <c r="A395" s="152" t="str">
        <f t="shared" si="20"/>
        <v>VancRoll OffDRDEM30</v>
      </c>
      <c r="B395" s="122" t="s">
        <v>916</v>
      </c>
      <c r="C395" s="122" t="s">
        <v>917</v>
      </c>
      <c r="D395" s="142">
        <v>0</v>
      </c>
      <c r="F395" s="139">
        <v>0</v>
      </c>
    </row>
    <row r="396" spans="1:8">
      <c r="A396" s="152" t="str">
        <f t="shared" si="20"/>
        <v>VancRoll OffDRDEM40</v>
      </c>
      <c r="B396" s="122" t="s">
        <v>918</v>
      </c>
      <c r="C396" s="122" t="s">
        <v>919</v>
      </c>
      <c r="D396" s="142">
        <v>0</v>
      </c>
      <c r="F396" s="139">
        <v>0</v>
      </c>
    </row>
    <row r="397" spans="1:8">
      <c r="A397" s="152" t="str">
        <f t="shared" si="20"/>
        <v>VancRoll OffHAULWD/YD</v>
      </c>
      <c r="B397" s="122" t="s">
        <v>920</v>
      </c>
      <c r="C397" s="122" t="s">
        <v>921</v>
      </c>
      <c r="D397" s="142">
        <v>300.93</v>
      </c>
      <c r="F397" s="139">
        <v>7723.88</v>
      </c>
    </row>
    <row r="398" spans="1:8">
      <c r="A398" s="152" t="str">
        <f t="shared" si="20"/>
        <v>VancRoll OffDRPLACE</v>
      </c>
      <c r="B398" s="122" t="s">
        <v>922</v>
      </c>
      <c r="C398" s="122" t="s">
        <v>923</v>
      </c>
      <c r="D398" s="142">
        <v>0</v>
      </c>
      <c r="F398" s="139">
        <v>205.5</v>
      </c>
    </row>
    <row r="399" spans="1:8">
      <c r="A399" s="152" t="str">
        <f t="shared" si="20"/>
        <v>VancRoll OffDRTARP</v>
      </c>
      <c r="B399" s="122" t="s">
        <v>924</v>
      </c>
      <c r="C399" s="122" t="s">
        <v>925</v>
      </c>
      <c r="D399" s="142">
        <v>0</v>
      </c>
      <c r="F399" s="139">
        <v>71.42</v>
      </c>
    </row>
    <row r="400" spans="1:8">
      <c r="A400" s="152"/>
      <c r="D400" s="142"/>
    </row>
    <row r="401" spans="1:8">
      <c r="A401" s="152"/>
      <c r="C401" s="127" t="s">
        <v>984</v>
      </c>
      <c r="D401" s="142"/>
      <c r="F401" s="128">
        <f>+SUM(F389:F400)</f>
        <v>283581.8</v>
      </c>
      <c r="G401" s="129"/>
      <c r="H401" s="128">
        <f>+SUM(H389:H400)</f>
        <v>131.78044779555657</v>
      </c>
    </row>
    <row r="402" spans="1:8">
      <c r="A402" s="150"/>
      <c r="B402" s="126"/>
      <c r="C402" s="126"/>
    </row>
    <row r="403" spans="1:8">
      <c r="A403" s="111"/>
      <c r="B403" s="111" t="s">
        <v>612</v>
      </c>
      <c r="C403" s="113"/>
      <c r="D403" s="114"/>
      <c r="E403" s="114"/>
      <c r="F403" s="114"/>
      <c r="G403" s="114"/>
      <c r="H403" s="114"/>
    </row>
    <row r="404" spans="1:8">
      <c r="A404" s="152" t="str">
        <f t="shared" ref="A404:A409" si="21">"Vanc"&amp;"Roll Off"&amp;B404</f>
        <v>VancRoll OffFOOD</v>
      </c>
      <c r="B404" s="122" t="s">
        <v>933</v>
      </c>
      <c r="C404" s="122" t="s">
        <v>934</v>
      </c>
      <c r="D404" s="142">
        <v>62.32</v>
      </c>
      <c r="F404" s="139">
        <v>18318.710000000003</v>
      </c>
    </row>
    <row r="405" spans="1:8">
      <c r="A405" s="152" t="str">
        <f t="shared" si="21"/>
        <v>VancRoll OffDISP</v>
      </c>
      <c r="B405" s="122" t="s">
        <v>613</v>
      </c>
      <c r="C405" s="122" t="s">
        <v>614</v>
      </c>
      <c r="D405" s="142">
        <v>78.760000000000005</v>
      </c>
      <c r="F405" s="139">
        <v>3166646.57</v>
      </c>
    </row>
    <row r="406" spans="1:8">
      <c r="A406" s="152" t="str">
        <f t="shared" si="21"/>
        <v>VancRoll OffPTRAN</v>
      </c>
      <c r="B406" s="122" t="s">
        <v>935</v>
      </c>
      <c r="C406" s="122" t="s">
        <v>936</v>
      </c>
      <c r="D406" s="142">
        <v>10</v>
      </c>
      <c r="F406" s="139">
        <v>4156</v>
      </c>
    </row>
    <row r="407" spans="1:8">
      <c r="A407" s="152" t="str">
        <f t="shared" si="21"/>
        <v>VancRoll OffFEE</v>
      </c>
      <c r="B407" s="122" t="s">
        <v>615</v>
      </c>
      <c r="C407" s="122" t="s">
        <v>616</v>
      </c>
      <c r="D407" s="142">
        <v>10</v>
      </c>
      <c r="F407" s="139">
        <v>108880</v>
      </c>
    </row>
    <row r="408" spans="1:8">
      <c r="A408" s="152" t="str">
        <f t="shared" si="21"/>
        <v>VancRoll OffPTON</v>
      </c>
      <c r="B408" s="122" t="s">
        <v>931</v>
      </c>
      <c r="C408" s="122" t="s">
        <v>932</v>
      </c>
      <c r="D408" s="142">
        <v>0</v>
      </c>
      <c r="F408" s="139">
        <v>154482.12000000002</v>
      </c>
    </row>
    <row r="409" spans="1:8">
      <c r="A409" s="152" t="str">
        <f t="shared" si="21"/>
        <v>VancRoll OffDRMIX</v>
      </c>
      <c r="B409" s="122" t="s">
        <v>910</v>
      </c>
      <c r="C409" s="122" t="s">
        <v>911</v>
      </c>
      <c r="D409" s="142">
        <v>0</v>
      </c>
      <c r="F409" s="139">
        <v>0</v>
      </c>
    </row>
    <row r="410" spans="1:8">
      <c r="A410" s="152" t="str">
        <f>"Vanc"&amp;"residential extras"&amp;B410</f>
        <v>Vancresidential extrasWTTIRE</v>
      </c>
      <c r="B410" s="161" t="s">
        <v>621</v>
      </c>
      <c r="C410" s="161" t="s">
        <v>622</v>
      </c>
      <c r="D410" s="142">
        <v>20.25</v>
      </c>
      <c r="F410" s="139">
        <v>0</v>
      </c>
    </row>
    <row r="411" spans="1:8">
      <c r="A411" s="152" t="str">
        <f t="shared" ref="A411:A416" si="22">"Vanc"&amp;"residential extras"&amp;B411</f>
        <v>Vancresidential extrasWTTIRE/RIM</v>
      </c>
      <c r="B411" s="161" t="s">
        <v>1321</v>
      </c>
      <c r="C411" s="161" t="s">
        <v>1322</v>
      </c>
      <c r="D411" s="142">
        <v>33.409999999999997</v>
      </c>
      <c r="F411" s="139">
        <v>0</v>
      </c>
    </row>
    <row r="412" spans="1:8">
      <c r="A412" s="152" t="str">
        <f t="shared" si="22"/>
        <v>Vancresidential extrasWCTIRE/RIM</v>
      </c>
      <c r="B412" s="161" t="s">
        <v>623</v>
      </c>
      <c r="C412" s="161" t="s">
        <v>624</v>
      </c>
      <c r="D412" s="142">
        <v>9.99</v>
      </c>
      <c r="F412" s="139">
        <v>9.56</v>
      </c>
    </row>
    <row r="413" spans="1:8">
      <c r="A413" s="152" t="str">
        <f t="shared" si="22"/>
        <v>Vancresidential extrasWCTIRE</v>
      </c>
      <c r="B413" s="161" t="s">
        <v>625</v>
      </c>
      <c r="C413" s="161" t="s">
        <v>626</v>
      </c>
      <c r="D413" s="142">
        <v>6.46</v>
      </c>
      <c r="F413" s="139">
        <v>106.74</v>
      </c>
    </row>
    <row r="414" spans="1:8">
      <c r="A414" s="152" t="str">
        <f t="shared" si="22"/>
        <v>Vancresidential extrasWBWASHER</v>
      </c>
      <c r="B414" s="161" t="s">
        <v>627</v>
      </c>
      <c r="C414" s="161" t="s">
        <v>628</v>
      </c>
      <c r="D414" s="142">
        <v>16.399999999999999</v>
      </c>
      <c r="F414" s="139">
        <v>354.41</v>
      </c>
    </row>
    <row r="415" spans="1:8">
      <c r="A415" s="152" t="str">
        <f t="shared" si="22"/>
        <v>Vancresidential extrasWBWTRHTR</v>
      </c>
      <c r="B415" s="161" t="s">
        <v>629</v>
      </c>
      <c r="C415" s="161" t="s">
        <v>630</v>
      </c>
      <c r="D415" s="142">
        <v>16.670000000000002</v>
      </c>
      <c r="F415" s="139">
        <v>64.52000000000001</v>
      </c>
    </row>
    <row r="416" spans="1:8">
      <c r="A416" s="152" t="str">
        <f t="shared" si="22"/>
        <v>Vancresidential extrasWBREFRIGE</v>
      </c>
      <c r="B416" s="161" t="s">
        <v>619</v>
      </c>
      <c r="C416" s="161" t="s">
        <v>620</v>
      </c>
      <c r="D416" s="142">
        <v>27.11</v>
      </c>
      <c r="F416" s="139">
        <v>3223.69</v>
      </c>
    </row>
    <row r="418" spans="1:8">
      <c r="B418" s="126"/>
      <c r="C418" s="127" t="s">
        <v>631</v>
      </c>
      <c r="F418" s="128">
        <f>+SUM(F404:F417)</f>
        <v>3456242.3200000003</v>
      </c>
      <c r="G418" s="129"/>
      <c r="H418" s="128">
        <f>+SUM(H404:H417)</f>
        <v>0</v>
      </c>
    </row>
    <row r="419" spans="1:8">
      <c r="B419" s="126"/>
      <c r="C419" s="127"/>
    </row>
    <row r="420" spans="1:8">
      <c r="A420" s="111"/>
      <c r="B420" s="111" t="s">
        <v>24</v>
      </c>
      <c r="C420" s="113"/>
      <c r="D420" s="114"/>
      <c r="E420" s="114"/>
      <c r="F420" s="114"/>
      <c r="G420" s="114"/>
      <c r="H420" s="114"/>
    </row>
    <row r="421" spans="1:8">
      <c r="A421" s="102" t="str">
        <f>"Vanc"&amp;"Accounting"&amp;B421</f>
        <v>VancAccountingFINCHG</v>
      </c>
      <c r="B421" s="122" t="s">
        <v>632</v>
      </c>
      <c r="C421" s="122" t="s">
        <v>633</v>
      </c>
      <c r="D421" s="142">
        <v>0</v>
      </c>
      <c r="F421" s="139">
        <v>26812.949999999997</v>
      </c>
    </row>
    <row r="422" spans="1:8">
      <c r="A422" s="102" t="str">
        <f t="shared" ref="A422:A425" si="23">"Vanc"&amp;"Account Adjustments"&amp;B422</f>
        <v>VancAccount AdjustmentsADJ</v>
      </c>
      <c r="B422" s="122" t="s">
        <v>521</v>
      </c>
      <c r="C422" s="122" t="s">
        <v>522</v>
      </c>
      <c r="D422" s="142">
        <v>0</v>
      </c>
      <c r="F422" s="139">
        <v>-117.22</v>
      </c>
    </row>
    <row r="423" spans="1:8">
      <c r="A423" s="102" t="str">
        <f t="shared" si="23"/>
        <v>VancAccount AdjustmentsGWC</v>
      </c>
      <c r="B423" s="168" t="s">
        <v>523</v>
      </c>
      <c r="C423" s="168" t="s">
        <v>524</v>
      </c>
      <c r="D423" s="142">
        <v>0</v>
      </c>
      <c r="F423" s="139">
        <v>-2197.7200000000003</v>
      </c>
    </row>
    <row r="424" spans="1:8">
      <c r="A424" s="102" t="str">
        <f t="shared" si="23"/>
        <v>VancAccount AdjustmentsMM</v>
      </c>
      <c r="B424" s="168" t="s">
        <v>993</v>
      </c>
      <c r="C424" s="168" t="s">
        <v>994</v>
      </c>
      <c r="D424" s="142">
        <v>0</v>
      </c>
      <c r="F424" s="139">
        <v>154.45999999999975</v>
      </c>
    </row>
    <row r="425" spans="1:8">
      <c r="A425" s="102" t="str">
        <f t="shared" si="23"/>
        <v>VancAccount AdjustmentsPRICEADJ</v>
      </c>
      <c r="B425" s="168" t="s">
        <v>1323</v>
      </c>
      <c r="C425" s="168" t="s">
        <v>1324</v>
      </c>
      <c r="D425" s="142">
        <v>0</v>
      </c>
      <c r="F425" s="139">
        <v>0</v>
      </c>
    </row>
    <row r="426" spans="1:8">
      <c r="A426" s="102" t="str">
        <f>"Vanc"&amp;"Accounting"&amp;B426</f>
        <v>VancAccountingNSF FEES</v>
      </c>
      <c r="B426" s="122" t="s">
        <v>991</v>
      </c>
      <c r="C426" s="122" t="s">
        <v>992</v>
      </c>
      <c r="D426" s="142">
        <v>0</v>
      </c>
      <c r="F426" s="139">
        <v>0</v>
      </c>
    </row>
    <row r="427" spans="1:8">
      <c r="A427" s="102" t="str">
        <f>"Vanc"&amp;"Account Adjustments"&amp;B427</f>
        <v>VancAccount AdjustmentsDAMAGE</v>
      </c>
      <c r="B427" s="122" t="s">
        <v>519</v>
      </c>
      <c r="C427" s="122" t="s">
        <v>520</v>
      </c>
      <c r="D427" s="142">
        <v>0</v>
      </c>
      <c r="F427" s="139">
        <v>0</v>
      </c>
    </row>
    <row r="428" spans="1:8">
      <c r="A428" s="102" t="str">
        <f>"Vanc"&amp;"Account Adjustments"&amp;B428</f>
        <v>VancAccount AdjustmentsRETCKC</v>
      </c>
      <c r="B428" s="122" t="s">
        <v>634</v>
      </c>
      <c r="C428" s="122" t="s">
        <v>635</v>
      </c>
      <c r="D428" s="142">
        <v>0</v>
      </c>
      <c r="F428" s="139">
        <v>575</v>
      </c>
    </row>
    <row r="429" spans="1:8">
      <c r="A429" s="102"/>
      <c r="B429" s="122"/>
      <c r="C429" s="122"/>
      <c r="D429" s="142"/>
    </row>
    <row r="430" spans="1:8">
      <c r="A430" s="102"/>
      <c r="B430" s="126"/>
      <c r="C430" s="127" t="s">
        <v>636</v>
      </c>
      <c r="D430" s="142"/>
      <c r="F430" s="128">
        <f>+SUM(F421:F429)</f>
        <v>25227.469999999994</v>
      </c>
      <c r="G430" s="129"/>
      <c r="H430" s="128">
        <f>+SUM(H421:H429)</f>
        <v>0</v>
      </c>
    </row>
    <row r="431" spans="1:8">
      <c r="B431" s="126"/>
      <c r="C431" s="127"/>
    </row>
    <row r="432" spans="1:8" ht="13.5" thickBot="1">
      <c r="B432" s="135"/>
      <c r="C432" s="134" t="s">
        <v>637</v>
      </c>
      <c r="F432" s="137">
        <f>+F430+F418+F401+F386+F327+F211+F88+F73+F51+F67</f>
        <v>32168055.984999992</v>
      </c>
      <c r="G432" s="164"/>
      <c r="H432" s="137">
        <f>+H430+H418+H401+H386+H327+H211+H88+H73+H51+H67</f>
        <v>138835.08728418133</v>
      </c>
    </row>
    <row r="433" spans="1:4" ht="13.5" thickTop="1">
      <c r="B433" s="135"/>
      <c r="C433" s="135"/>
    </row>
    <row r="435" spans="1:4">
      <c r="A435" s="123"/>
      <c r="B435" s="123"/>
      <c r="C435" s="123"/>
      <c r="D435" s="123"/>
    </row>
  </sheetData>
  <mergeCells count="2">
    <mergeCell ref="B5:H5"/>
    <mergeCell ref="F6:H6"/>
  </mergeCells>
  <pageMargins left="0.7" right="0.7" top="0.75" bottom="0.75" header="0.3" footer="0.3"/>
  <pageSetup pageOrder="overThenDown" orientation="portrait" r:id="rId1"/>
  <headerFooter>
    <oddFooter xml:space="preserve">&amp;L&amp;F - &amp;A
&amp;RPage &amp;P of &amp;N
</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H261"/>
  <sheetViews>
    <sheetView view="pageBreakPreview" topLeftCell="B35" zoomScale="85" zoomScaleNormal="100" zoomScaleSheetLayoutView="85" workbookViewId="0">
      <selection activeCell="P22" sqref="P22"/>
    </sheetView>
  </sheetViews>
  <sheetFormatPr defaultRowHeight="12.75" outlineLevelCol="1"/>
  <cols>
    <col min="1" max="1" width="26.140625" style="104" hidden="1" customWidth="1" outlineLevel="1"/>
    <col min="2" max="2" width="22.7109375" style="104" customWidth="1" collapsed="1"/>
    <col min="3" max="3" width="27.5703125" style="104" bestFit="1" customWidth="1"/>
    <col min="4" max="4" width="12.140625" style="104" bestFit="1" customWidth="1"/>
    <col min="5" max="5" width="9.140625" style="104"/>
    <col min="6" max="6" width="12.42578125" style="104" bestFit="1" customWidth="1"/>
    <col min="7" max="7" width="3.42578125" style="104" customWidth="1"/>
    <col min="8" max="8" width="12.28515625" style="104" customWidth="1"/>
    <col min="9" max="16384" width="9.140625" style="104"/>
  </cols>
  <sheetData>
    <row r="1" spans="1:8">
      <c r="B1" s="101" t="s">
        <v>251</v>
      </c>
      <c r="C1" s="102"/>
      <c r="D1" s="140"/>
    </row>
    <row r="2" spans="1:8">
      <c r="B2" s="101" t="s">
        <v>1325</v>
      </c>
      <c r="C2" s="102"/>
      <c r="D2" s="140"/>
    </row>
    <row r="3" spans="1:8">
      <c r="B3" s="135" t="str">
        <f>+'Clark Co'!A3</f>
        <v>October 1, 2016 - September 30, 2017</v>
      </c>
      <c r="C3" s="102"/>
      <c r="D3" s="140"/>
    </row>
    <row r="4" spans="1:8" ht="12.75" customHeight="1">
      <c r="B4" s="204" t="s">
        <v>254</v>
      </c>
      <c r="C4" s="204"/>
      <c r="D4" s="204"/>
      <c r="E4" s="204"/>
      <c r="F4" s="204"/>
      <c r="G4" s="204"/>
      <c r="H4" s="204"/>
    </row>
    <row r="5" spans="1:8">
      <c r="B5" s="204"/>
      <c r="C5" s="204"/>
      <c r="D5" s="204"/>
      <c r="E5" s="204"/>
      <c r="F5" s="204"/>
      <c r="G5" s="204"/>
      <c r="H5" s="204"/>
    </row>
    <row r="6" spans="1:8" ht="15" customHeight="1">
      <c r="A6" s="102"/>
      <c r="B6" s="102"/>
      <c r="C6" s="102"/>
      <c r="D6" s="140"/>
      <c r="F6" s="206" t="s">
        <v>1326</v>
      </c>
      <c r="G6" s="206"/>
      <c r="H6" s="206"/>
    </row>
    <row r="7" spans="1:8" ht="27" customHeight="1">
      <c r="A7" s="102"/>
      <c r="B7" s="106" t="s">
        <v>256</v>
      </c>
      <c r="C7" s="107" t="s">
        <v>257</v>
      </c>
      <c r="D7" s="108" t="s">
        <v>258</v>
      </c>
      <c r="F7" s="143" t="s">
        <v>51</v>
      </c>
      <c r="G7" s="101"/>
      <c r="H7" s="166" t="s">
        <v>259</v>
      </c>
    </row>
    <row r="8" spans="1:8">
      <c r="A8" s="111"/>
      <c r="B8" s="111" t="s">
        <v>260</v>
      </c>
      <c r="C8" s="113"/>
      <c r="D8" s="114"/>
      <c r="E8" s="114"/>
      <c r="F8" s="114"/>
      <c r="G8" s="114"/>
      <c r="H8" s="114"/>
    </row>
    <row r="9" spans="1:8">
      <c r="A9" s="102"/>
      <c r="B9" s="115"/>
      <c r="C9" s="115"/>
      <c r="D9" s="140"/>
    </row>
    <row r="10" spans="1:8">
      <c r="A10" s="154"/>
      <c r="B10" s="119" t="s">
        <v>939</v>
      </c>
      <c r="C10" s="119"/>
      <c r="D10" s="120"/>
      <c r="E10" s="121"/>
      <c r="F10" s="171"/>
      <c r="G10" s="121"/>
      <c r="H10" s="121"/>
    </row>
    <row r="11" spans="1:8">
      <c r="A11" s="102" t="str">
        <f>"Wash"&amp;"residential"&amp;B11</f>
        <v>WashresidentialWRG40EOWHEL15</v>
      </c>
      <c r="B11" s="122" t="s">
        <v>1327</v>
      </c>
      <c r="C11" s="122" t="s">
        <v>1328</v>
      </c>
      <c r="D11" s="142">
        <v>4.46</v>
      </c>
      <c r="F11" s="123">
        <v>248.79500000000002</v>
      </c>
      <c r="H11" s="124">
        <f t="shared" ref="H11:H22" si="0">+(F11/D11)/12</f>
        <v>4.6486360239162936</v>
      </c>
    </row>
    <row r="12" spans="1:8">
      <c r="A12" s="102" t="str">
        <f t="shared" ref="A12:A21" si="1">"Wash"&amp;"residential"&amp;B12</f>
        <v>WashresidentialWRG40EOWHEL20</v>
      </c>
      <c r="B12" s="122" t="s">
        <v>1329</v>
      </c>
      <c r="C12" s="122" t="s">
        <v>1330</v>
      </c>
      <c r="D12" s="142">
        <v>7.78</v>
      </c>
      <c r="F12" s="123">
        <v>1056.25</v>
      </c>
      <c r="H12" s="124">
        <f t="shared" si="0"/>
        <v>11.313731790916881</v>
      </c>
    </row>
    <row r="13" spans="1:8">
      <c r="A13" s="102" t="str">
        <f t="shared" si="1"/>
        <v>WashresidentialWRG40EOWROL</v>
      </c>
      <c r="B13" s="122" t="s">
        <v>1331</v>
      </c>
      <c r="C13" s="122" t="s">
        <v>1332</v>
      </c>
      <c r="D13" s="142">
        <v>20.78</v>
      </c>
      <c r="F13" s="123">
        <v>583.58000000000004</v>
      </c>
      <c r="H13" s="124">
        <f t="shared" si="0"/>
        <v>2.3403111966634582</v>
      </c>
    </row>
    <row r="14" spans="1:8">
      <c r="A14" s="102" t="str">
        <f t="shared" si="1"/>
        <v>WashresidentialWRG40EOW</v>
      </c>
      <c r="B14" s="122" t="s">
        <v>1333</v>
      </c>
      <c r="C14" s="122" t="s">
        <v>1334</v>
      </c>
      <c r="D14" s="142">
        <v>11.7</v>
      </c>
      <c r="F14" s="123">
        <v>151307.1</v>
      </c>
      <c r="H14" s="124">
        <f t="shared" si="0"/>
        <v>1077.6858974358977</v>
      </c>
    </row>
    <row r="15" spans="1:8">
      <c r="A15" s="102" t="str">
        <f t="shared" si="1"/>
        <v>WashresidentialWRG40MTHHEL</v>
      </c>
      <c r="B15" s="122" t="s">
        <v>1335</v>
      </c>
      <c r="C15" s="122" t="s">
        <v>1336</v>
      </c>
      <c r="D15" s="142">
        <v>4.2699999999999996</v>
      </c>
      <c r="F15" s="123">
        <v>526.4899999999999</v>
      </c>
      <c r="H15" s="124">
        <f t="shared" si="0"/>
        <v>10.274980483996876</v>
      </c>
    </row>
    <row r="16" spans="1:8">
      <c r="A16" s="102" t="str">
        <f t="shared" si="1"/>
        <v>WashresidentialWRG40MTH</v>
      </c>
      <c r="B16" s="122" t="s">
        <v>1337</v>
      </c>
      <c r="C16" s="122" t="s">
        <v>1338</v>
      </c>
      <c r="D16" s="142">
        <v>8.01</v>
      </c>
      <c r="F16" s="123">
        <v>15247.594999999998</v>
      </c>
      <c r="H16" s="124">
        <f t="shared" si="0"/>
        <v>158.63082605076985</v>
      </c>
    </row>
    <row r="17" spans="1:8">
      <c r="A17" s="102" t="str">
        <f t="shared" si="1"/>
        <v>WashresidentialWRG40WKHEL15</v>
      </c>
      <c r="B17" s="122" t="s">
        <v>1339</v>
      </c>
      <c r="C17" s="122" t="s">
        <v>1340</v>
      </c>
      <c r="D17" s="142">
        <v>5.13</v>
      </c>
      <c r="F17" s="123">
        <v>686.37</v>
      </c>
      <c r="H17" s="124">
        <f t="shared" si="0"/>
        <v>11.149610136452241</v>
      </c>
    </row>
    <row r="18" spans="1:8">
      <c r="A18" s="102" t="str">
        <f t="shared" si="1"/>
        <v>WashresidentialWRG40WKHEL20</v>
      </c>
      <c r="B18" s="122" t="s">
        <v>1341</v>
      </c>
      <c r="C18" s="122" t="s">
        <v>1342</v>
      </c>
      <c r="D18" s="142">
        <v>10.18</v>
      </c>
      <c r="F18" s="123">
        <v>0</v>
      </c>
      <c r="H18" s="124">
        <f t="shared" si="0"/>
        <v>0</v>
      </c>
    </row>
    <row r="19" spans="1:8">
      <c r="A19" s="102" t="str">
        <f t="shared" si="1"/>
        <v>WashresidentialWRG40WKROL</v>
      </c>
      <c r="B19" s="122" t="s">
        <v>1343</v>
      </c>
      <c r="C19" s="122" t="s">
        <v>1344</v>
      </c>
      <c r="D19" s="142">
        <v>25.08</v>
      </c>
      <c r="F19" s="123">
        <v>631.93499999999995</v>
      </c>
      <c r="H19" s="124">
        <f t="shared" si="0"/>
        <v>2.0997308612440189</v>
      </c>
    </row>
    <row r="20" spans="1:8">
      <c r="A20" s="102" t="str">
        <f t="shared" si="1"/>
        <v>WashresidentialWRG40WK</v>
      </c>
      <c r="B20" s="122" t="s">
        <v>1345</v>
      </c>
      <c r="C20" s="122" t="s">
        <v>1346</v>
      </c>
      <c r="D20" s="142">
        <v>17.18</v>
      </c>
      <c r="F20" s="123">
        <v>688510.59499999997</v>
      </c>
      <c r="H20" s="124">
        <f t="shared" si="0"/>
        <v>3339.690507372914</v>
      </c>
    </row>
    <row r="21" spans="1:8">
      <c r="A21" s="102" t="str">
        <f t="shared" si="1"/>
        <v>WashresidentialWRG90WK</v>
      </c>
      <c r="B21" s="122" t="s">
        <v>1347</v>
      </c>
      <c r="C21" s="122" t="s">
        <v>1348</v>
      </c>
      <c r="D21" s="142">
        <v>32.4</v>
      </c>
      <c r="F21" s="123">
        <v>201405.18</v>
      </c>
      <c r="H21" s="124">
        <f t="shared" si="0"/>
        <v>518.01743827160487</v>
      </c>
    </row>
    <row r="22" spans="1:8">
      <c r="A22" s="102" t="str">
        <f>"Wash"&amp;"residential"&amp;B22</f>
        <v>WashresidentialWRG90WKROL</v>
      </c>
      <c r="B22" s="122" t="s">
        <v>1349</v>
      </c>
      <c r="C22" s="122" t="s">
        <v>1350</v>
      </c>
      <c r="D22" s="142">
        <v>40.14</v>
      </c>
      <c r="F22" s="123">
        <v>0</v>
      </c>
      <c r="H22" s="124">
        <f t="shared" si="0"/>
        <v>0</v>
      </c>
    </row>
    <row r="23" spans="1:8">
      <c r="A23" s="102" t="str">
        <f>"Wash"&amp;"residential Extras"&amp;B23</f>
        <v>Washresidential ExtrasWBMISC</v>
      </c>
      <c r="B23" s="122" t="s">
        <v>319</v>
      </c>
      <c r="C23" s="122" t="s">
        <v>320</v>
      </c>
      <c r="D23" s="142">
        <v>22.78</v>
      </c>
      <c r="F23" s="123">
        <v>1318.61</v>
      </c>
    </row>
    <row r="24" spans="1:8">
      <c r="A24" s="102" t="str">
        <f t="shared" ref="A24:A38" si="2">"Wash"&amp;"residential Extras"&amp;B24</f>
        <v>Washresidential ExtrasWBCHAIR</v>
      </c>
      <c r="B24" s="122" t="s">
        <v>321</v>
      </c>
      <c r="C24" s="122" t="s">
        <v>322</v>
      </c>
      <c r="D24" s="142">
        <v>11.4</v>
      </c>
      <c r="F24" s="123">
        <v>240.40000000000003</v>
      </c>
    </row>
    <row r="25" spans="1:8">
      <c r="A25" s="102" t="str">
        <f t="shared" si="2"/>
        <v>Washresidential ExtrasRREXHEL</v>
      </c>
      <c r="B25" s="122" t="s">
        <v>1351</v>
      </c>
      <c r="C25" s="122" t="s">
        <v>1352</v>
      </c>
      <c r="D25" s="142">
        <v>6.5</v>
      </c>
      <c r="F25" s="123">
        <v>0</v>
      </c>
    </row>
    <row r="26" spans="1:8">
      <c r="A26" s="102" t="str">
        <f t="shared" si="2"/>
        <v>Washresidential ExtrasRREXC</v>
      </c>
      <c r="B26" s="122" t="s">
        <v>286</v>
      </c>
      <c r="C26" s="122" t="s">
        <v>287</v>
      </c>
      <c r="D26" s="142">
        <v>7.88</v>
      </c>
      <c r="F26" s="123">
        <v>21264.92</v>
      </c>
    </row>
    <row r="27" spans="1:8">
      <c r="A27" s="102" t="str">
        <f t="shared" si="2"/>
        <v>Washresidential ExtrasWBMATT</v>
      </c>
      <c r="B27" s="122" t="s">
        <v>327</v>
      </c>
      <c r="C27" s="122" t="s">
        <v>328</v>
      </c>
      <c r="D27" s="142">
        <v>17.079999999999998</v>
      </c>
      <c r="F27" s="123">
        <v>1361.97</v>
      </c>
    </row>
    <row r="28" spans="1:8">
      <c r="A28" s="102" t="str">
        <f t="shared" si="2"/>
        <v>Washresidential ExtrasRRCALL</v>
      </c>
      <c r="B28" s="122" t="s">
        <v>288</v>
      </c>
      <c r="C28" s="122" t="s">
        <v>289</v>
      </c>
      <c r="D28" s="142">
        <v>8.01</v>
      </c>
      <c r="F28" s="123">
        <v>0</v>
      </c>
    </row>
    <row r="29" spans="1:8">
      <c r="A29" s="102" t="str">
        <f t="shared" si="2"/>
        <v>Washresidential ExtrasCOFOW</v>
      </c>
      <c r="B29" s="122" t="s">
        <v>292</v>
      </c>
      <c r="C29" s="122" t="s">
        <v>291</v>
      </c>
      <c r="D29" s="142">
        <v>7.88</v>
      </c>
      <c r="F29" s="123">
        <v>7.88</v>
      </c>
    </row>
    <row r="30" spans="1:8">
      <c r="A30" s="102" t="str">
        <f t="shared" si="2"/>
        <v>Washresidential ExtrasROFOW</v>
      </c>
      <c r="B30" s="122" t="s">
        <v>290</v>
      </c>
      <c r="C30" s="122" t="s">
        <v>291</v>
      </c>
      <c r="D30" s="142">
        <v>7.88</v>
      </c>
      <c r="F30" s="123">
        <v>4475.84</v>
      </c>
    </row>
    <row r="31" spans="1:8">
      <c r="A31" s="102" t="str">
        <f t="shared" si="2"/>
        <v>Washresidential ExtrasWBSOFA</v>
      </c>
      <c r="B31" s="122" t="s">
        <v>325</v>
      </c>
      <c r="C31" s="122" t="s">
        <v>326</v>
      </c>
      <c r="D31" s="142">
        <v>22.78</v>
      </c>
      <c r="F31" s="123">
        <v>1051.3900000000001</v>
      </c>
    </row>
    <row r="32" spans="1:8">
      <c r="A32" s="102" t="str">
        <f t="shared" si="2"/>
        <v>Washresidential ExtrasWBWASHER</v>
      </c>
      <c r="B32" s="122" t="s">
        <v>627</v>
      </c>
      <c r="C32" s="122" t="s">
        <v>628</v>
      </c>
      <c r="D32" s="142">
        <v>22.78</v>
      </c>
      <c r="F32" s="123">
        <v>434.38</v>
      </c>
    </row>
    <row r="33" spans="1:8">
      <c r="A33" s="102" t="str">
        <f t="shared" si="2"/>
        <v>Washresidential ExtrasWBTIME</v>
      </c>
      <c r="B33" s="122" t="s">
        <v>315</v>
      </c>
      <c r="C33" s="122" t="s">
        <v>316</v>
      </c>
      <c r="D33" s="142">
        <v>1.37</v>
      </c>
      <c r="F33" s="123">
        <v>82.2</v>
      </c>
    </row>
    <row r="34" spans="1:8">
      <c r="A34" s="102" t="str">
        <f t="shared" si="2"/>
        <v>Washresidential ExtrasRRTRIP</v>
      </c>
      <c r="B34" s="122" t="s">
        <v>317</v>
      </c>
      <c r="C34" s="122" t="s">
        <v>318</v>
      </c>
      <c r="D34" s="142">
        <v>34.57</v>
      </c>
      <c r="F34" s="123">
        <v>450.27</v>
      </c>
    </row>
    <row r="35" spans="1:8">
      <c r="A35" s="102" t="str">
        <f t="shared" si="2"/>
        <v>Washresidential ExtrasWBWTRHTR</v>
      </c>
      <c r="B35" s="122" t="s">
        <v>629</v>
      </c>
      <c r="C35" s="122" t="s">
        <v>630</v>
      </c>
      <c r="D35" s="142">
        <v>22.78</v>
      </c>
      <c r="F35" s="123">
        <v>45.56</v>
      </c>
    </row>
    <row r="36" spans="1:8">
      <c r="A36" s="102" t="str">
        <f t="shared" si="2"/>
        <v>Washresidential ExtrasCRTIME1</v>
      </c>
      <c r="B36" s="122" t="s">
        <v>311</v>
      </c>
      <c r="C36" s="122" t="s">
        <v>312</v>
      </c>
      <c r="D36" s="142">
        <v>1.47</v>
      </c>
      <c r="F36" s="123">
        <v>132.30000000000001</v>
      </c>
    </row>
    <row r="37" spans="1:8">
      <c r="A37" s="102" t="str">
        <f t="shared" si="2"/>
        <v>Washresidential ExtrasTOTEPUR</v>
      </c>
      <c r="B37" s="122" t="s">
        <v>668</v>
      </c>
      <c r="C37" s="122" t="s">
        <v>669</v>
      </c>
      <c r="D37" s="142">
        <v>50</v>
      </c>
      <c r="F37" s="123">
        <v>46</v>
      </c>
    </row>
    <row r="38" spans="1:8">
      <c r="A38" s="102" t="str">
        <f t="shared" si="2"/>
        <v>Washresidential ExtrasWBSTOVE</v>
      </c>
      <c r="B38" s="122" t="s">
        <v>323</v>
      </c>
      <c r="C38" s="122" t="s">
        <v>324</v>
      </c>
      <c r="D38" s="142">
        <v>22.78</v>
      </c>
      <c r="F38" s="123">
        <v>159.46</v>
      </c>
    </row>
    <row r="39" spans="1:8">
      <c r="A39" s="102"/>
      <c r="B39" s="122"/>
      <c r="C39" s="122"/>
      <c r="D39" s="142"/>
    </row>
    <row r="40" spans="1:8">
      <c r="A40" s="102"/>
      <c r="B40" s="126"/>
      <c r="C40" s="127" t="s">
        <v>941</v>
      </c>
      <c r="D40" s="142"/>
      <c r="F40" s="128">
        <f>+SUM(F11:F39)</f>
        <v>1091275.0699999996</v>
      </c>
      <c r="G40" s="129"/>
      <c r="H40" s="128">
        <f>+SUM(H11:H39)</f>
        <v>5135.8516696243769</v>
      </c>
    </row>
    <row r="41" spans="1:8">
      <c r="A41" s="102"/>
      <c r="B41" s="115"/>
      <c r="C41" s="116"/>
      <c r="D41" s="142"/>
    </row>
    <row r="42" spans="1:8">
      <c r="A42" s="154"/>
      <c r="B42" s="119" t="s">
        <v>639</v>
      </c>
      <c r="C42" s="119"/>
      <c r="D42" s="120"/>
      <c r="E42" s="121"/>
      <c r="F42" s="171"/>
      <c r="G42" s="121"/>
      <c r="H42" s="121"/>
    </row>
    <row r="43" spans="1:8">
      <c r="A43" s="102" t="str">
        <f t="shared" ref="A43:A46" si="3">"Wash"&amp;"residential"&amp;B43</f>
        <v>WashresidentialWRREC65</v>
      </c>
      <c r="B43" s="122" t="s">
        <v>1353</v>
      </c>
      <c r="C43" s="122" t="s">
        <v>1354</v>
      </c>
      <c r="D43" s="142">
        <v>4</v>
      </c>
      <c r="F43" s="123">
        <v>7749.06</v>
      </c>
      <c r="H43" s="124">
        <f>+(F43/D43)/12</f>
        <v>161.43875</v>
      </c>
    </row>
    <row r="44" spans="1:8">
      <c r="A44" s="102" t="str">
        <f>"Wash"&amp;"residential"&amp;B44</f>
        <v>WashresidentialCRREC65</v>
      </c>
      <c r="B44" s="122" t="s">
        <v>646</v>
      </c>
      <c r="C44" s="122" t="s">
        <v>647</v>
      </c>
      <c r="D44" s="142">
        <v>4</v>
      </c>
      <c r="F44" s="123">
        <v>0</v>
      </c>
      <c r="H44" s="124">
        <f>+(F44/D44)/12</f>
        <v>0</v>
      </c>
    </row>
    <row r="45" spans="1:8">
      <c r="A45" s="102" t="str">
        <f t="shared" si="3"/>
        <v>WashresidentialWRREC95</v>
      </c>
      <c r="B45" s="122" t="s">
        <v>1137</v>
      </c>
      <c r="C45" s="122" t="s">
        <v>1138</v>
      </c>
      <c r="D45" s="142">
        <v>4</v>
      </c>
      <c r="F45" s="123">
        <v>233037.90000000002</v>
      </c>
      <c r="H45" s="124">
        <f>+(F45/D45)/12</f>
        <v>4854.9562500000002</v>
      </c>
    </row>
    <row r="46" spans="1:8">
      <c r="A46" s="102" t="str">
        <f t="shared" si="3"/>
        <v>WashresidentialVRREC95</v>
      </c>
      <c r="B46" s="122" t="s">
        <v>650</v>
      </c>
      <c r="C46" s="122" t="s">
        <v>651</v>
      </c>
      <c r="D46" s="142">
        <v>4</v>
      </c>
      <c r="F46" s="123">
        <v>4</v>
      </c>
      <c r="H46" s="124">
        <f>+(F46/D46)/12</f>
        <v>8.3333333333333329E-2</v>
      </c>
    </row>
    <row r="47" spans="1:8">
      <c r="A47" s="102"/>
      <c r="B47" s="155"/>
      <c r="D47" s="142"/>
    </row>
    <row r="48" spans="1:8">
      <c r="A48" s="102"/>
      <c r="B48" s="126"/>
      <c r="C48" s="127" t="s">
        <v>670</v>
      </c>
      <c r="D48" s="142"/>
      <c r="F48" s="128">
        <f>+SUM(F43:F47)</f>
        <v>240790.96000000002</v>
      </c>
      <c r="G48" s="129"/>
      <c r="H48" s="128">
        <f>+SUM(H43:H47)</f>
        <v>5016.4783333333335</v>
      </c>
    </row>
    <row r="49" spans="1:8">
      <c r="A49" s="102"/>
      <c r="B49" s="126"/>
      <c r="C49" s="126"/>
      <c r="D49" s="142"/>
    </row>
    <row r="50" spans="1:8">
      <c r="A50" s="154"/>
      <c r="B50" s="119" t="s">
        <v>675</v>
      </c>
      <c r="C50" s="119"/>
      <c r="D50" s="120"/>
      <c r="E50" s="121"/>
      <c r="F50" s="171"/>
      <c r="G50" s="121"/>
      <c r="H50" s="121"/>
    </row>
    <row r="51" spans="1:8">
      <c r="A51" s="102" t="str">
        <f t="shared" ref="A51:A54" si="4">"Wash"&amp;"residential"&amp;B51</f>
        <v>WashresidentialWYDA</v>
      </c>
      <c r="B51" s="122" t="s">
        <v>1144</v>
      </c>
      <c r="C51" s="122" t="s">
        <v>944</v>
      </c>
      <c r="D51" s="142">
        <v>64.44</v>
      </c>
      <c r="F51" s="123">
        <v>5433.94</v>
      </c>
      <c r="H51" s="124">
        <f>+(F51/D51)/12</f>
        <v>7.0271311814607893</v>
      </c>
    </row>
    <row r="52" spans="1:8">
      <c r="A52" s="102" t="str">
        <f t="shared" si="4"/>
        <v>WashresidentialVYDBM</v>
      </c>
      <c r="B52" s="122" t="s">
        <v>678</v>
      </c>
      <c r="C52" s="122" t="s">
        <v>677</v>
      </c>
      <c r="D52" s="142">
        <v>6.77</v>
      </c>
      <c r="F52" s="123">
        <v>-3.39</v>
      </c>
      <c r="H52" s="124">
        <f>+(F52/D52)/12</f>
        <v>-4.1728212703101925E-2</v>
      </c>
    </row>
    <row r="53" spans="1:8">
      <c r="A53" s="102" t="str">
        <f t="shared" si="4"/>
        <v>WashresidentialWYDBM</v>
      </c>
      <c r="B53" s="122" t="s">
        <v>1355</v>
      </c>
      <c r="C53" s="122" t="s">
        <v>677</v>
      </c>
      <c r="D53" s="142">
        <v>6.77</v>
      </c>
      <c r="F53" s="123">
        <v>167032.51999999999</v>
      </c>
      <c r="H53" s="124">
        <f>+(F53/D53)/12</f>
        <v>2056.0379123584439</v>
      </c>
    </row>
    <row r="54" spans="1:8">
      <c r="A54" s="102" t="str">
        <f t="shared" si="4"/>
        <v>WashresidentialCYDBM64</v>
      </c>
      <c r="B54" s="122" t="s">
        <v>679</v>
      </c>
      <c r="C54" s="122" t="s">
        <v>680</v>
      </c>
      <c r="D54" s="142">
        <v>6.77</v>
      </c>
      <c r="F54" s="123">
        <v>0</v>
      </c>
      <c r="H54" s="124">
        <f>+(F54/D54)/12</f>
        <v>0</v>
      </c>
    </row>
    <row r="55" spans="1:8">
      <c r="A55" s="102" t="str">
        <f>"Wash"&amp;"residential"&amp;B55</f>
        <v>WashresidentialCYDBM96</v>
      </c>
      <c r="B55" s="122" t="s">
        <v>681</v>
      </c>
      <c r="C55" s="122" t="s">
        <v>682</v>
      </c>
      <c r="D55" s="142">
        <v>6.77</v>
      </c>
      <c r="F55" s="123">
        <v>0</v>
      </c>
      <c r="H55" s="124">
        <f>+(F55/D55)/12</f>
        <v>0</v>
      </c>
    </row>
    <row r="56" spans="1:8">
      <c r="A56" s="102" t="str">
        <f>"Wash"&amp;"residential extras"&amp;B56</f>
        <v>Washresidential extrasYDX</v>
      </c>
      <c r="B56" s="122" t="s">
        <v>683</v>
      </c>
      <c r="C56" s="122" t="s">
        <v>684</v>
      </c>
      <c r="D56" s="142">
        <v>2.37</v>
      </c>
      <c r="F56" s="123">
        <v>572.37000000000012</v>
      </c>
    </row>
    <row r="57" spans="1:8">
      <c r="A57" s="102" t="str">
        <f t="shared" ref="A57:A60" si="5">"Wash"&amp;"residential extras"&amp;B57</f>
        <v>Washresidential extrasYDPLACE</v>
      </c>
      <c r="B57" s="122" t="s">
        <v>691</v>
      </c>
      <c r="C57" s="122" t="s">
        <v>692</v>
      </c>
      <c r="D57" s="142">
        <v>0</v>
      </c>
      <c r="F57" s="123">
        <v>0</v>
      </c>
    </row>
    <row r="58" spans="1:8">
      <c r="A58" s="102" t="str">
        <f t="shared" si="5"/>
        <v>Washresidential extrasYDOC</v>
      </c>
      <c r="B58" s="122" t="s">
        <v>693</v>
      </c>
      <c r="C58" s="122" t="s">
        <v>694</v>
      </c>
      <c r="D58" s="142">
        <v>4.92</v>
      </c>
      <c r="F58" s="123">
        <v>197.2</v>
      </c>
    </row>
    <row r="59" spans="1:8">
      <c r="A59" s="102" t="str">
        <f t="shared" si="5"/>
        <v>Washresidential extrasYDRESTART</v>
      </c>
      <c r="B59" s="122" t="s">
        <v>695</v>
      </c>
      <c r="C59" s="122" t="s">
        <v>696</v>
      </c>
      <c r="D59" s="142">
        <v>21.17</v>
      </c>
      <c r="F59" s="123">
        <v>53.36</v>
      </c>
    </row>
    <row r="60" spans="1:8">
      <c r="A60" s="102" t="str">
        <f t="shared" si="5"/>
        <v>Washresidential extrasYDRENT64</v>
      </c>
      <c r="B60" s="122" t="s">
        <v>685</v>
      </c>
      <c r="C60" s="122" t="s">
        <v>686</v>
      </c>
      <c r="D60" s="142">
        <v>1.55</v>
      </c>
      <c r="F60" s="123">
        <v>0</v>
      </c>
    </row>
    <row r="61" spans="1:8">
      <c r="A61" s="102" t="str">
        <f t="shared" ref="A61" si="6">"Wash"&amp;"residential"&amp;B61</f>
        <v>WashresidentialYDRENT96</v>
      </c>
      <c r="B61" s="122" t="s">
        <v>687</v>
      </c>
      <c r="C61" s="122" t="s">
        <v>688</v>
      </c>
      <c r="D61" s="142">
        <v>1.55</v>
      </c>
      <c r="F61" s="123">
        <v>0</v>
      </c>
    </row>
    <row r="62" spans="1:8">
      <c r="A62" s="102" t="str">
        <f>"Wash"&amp;"residential"&amp;B62</f>
        <v>WashresidentialYDRENT</v>
      </c>
      <c r="B62" s="122" t="s">
        <v>689</v>
      </c>
      <c r="C62" s="122" t="s">
        <v>690</v>
      </c>
      <c r="D62" s="142">
        <v>1.55</v>
      </c>
      <c r="F62" s="123">
        <v>132.47</v>
      </c>
    </row>
    <row r="63" spans="1:8">
      <c r="A63" s="102"/>
      <c r="B63" s="122"/>
      <c r="C63" s="122"/>
      <c r="D63" s="142"/>
    </row>
    <row r="64" spans="1:8">
      <c r="A64" s="102"/>
      <c r="B64" s="126"/>
      <c r="C64" s="127" t="s">
        <v>699</v>
      </c>
      <c r="D64" s="142"/>
      <c r="F64" s="128">
        <f>+SUM(F51:F63)</f>
        <v>173418.46999999997</v>
      </c>
      <c r="G64" s="129"/>
      <c r="H64" s="128">
        <f>+SUM(H51:H63)</f>
        <v>2063.0233153272015</v>
      </c>
    </row>
    <row r="65" spans="1:8">
      <c r="A65" s="102"/>
      <c r="B65" s="126"/>
      <c r="C65" s="127"/>
      <c r="D65" s="142"/>
      <c r="F65" s="175"/>
      <c r="H65" s="172"/>
    </row>
    <row r="66" spans="1:8">
      <c r="A66" s="111"/>
      <c r="B66" s="111" t="s">
        <v>671</v>
      </c>
      <c r="C66" s="113"/>
      <c r="D66" s="114"/>
      <c r="E66" s="114"/>
      <c r="F66" s="114"/>
      <c r="G66" s="114"/>
      <c r="H66" s="114"/>
    </row>
    <row r="67" spans="1:8">
      <c r="A67" s="102"/>
      <c r="B67" s="122"/>
      <c r="C67" s="122"/>
      <c r="D67" s="142"/>
    </row>
    <row r="68" spans="1:8">
      <c r="A68" s="102"/>
      <c r="B68" s="122" t="s">
        <v>1139</v>
      </c>
      <c r="C68" s="122" t="s">
        <v>1140</v>
      </c>
      <c r="D68" s="142">
        <v>2.88</v>
      </c>
      <c r="F68" s="124">
        <v>17429.579999999998</v>
      </c>
      <c r="H68" s="124">
        <f>+(F68/D68)/12</f>
        <v>504.328125</v>
      </c>
    </row>
    <row r="69" spans="1:8">
      <c r="A69" s="102"/>
      <c r="B69" s="126"/>
      <c r="C69" s="126"/>
      <c r="D69" s="142"/>
    </row>
    <row r="70" spans="1:8">
      <c r="A70" s="102"/>
      <c r="B70" s="126"/>
      <c r="C70" s="127" t="s">
        <v>674</v>
      </c>
      <c r="D70" s="142"/>
      <c r="F70" s="128">
        <f>+SUM(F68:F69)</f>
        <v>17429.579999999998</v>
      </c>
      <c r="G70" s="129"/>
      <c r="H70" s="128">
        <f>+SUM(H68:H69)</f>
        <v>504.328125</v>
      </c>
    </row>
    <row r="71" spans="1:8">
      <c r="A71" s="102"/>
      <c r="B71" s="102"/>
      <c r="C71" s="102"/>
      <c r="D71" s="142"/>
    </row>
    <row r="72" spans="1:8">
      <c r="A72" s="111"/>
      <c r="B72" s="111" t="s">
        <v>1145</v>
      </c>
      <c r="C72" s="113"/>
      <c r="D72" s="114"/>
      <c r="E72" s="114"/>
      <c r="F72" s="114"/>
      <c r="G72" s="114"/>
      <c r="H72" s="114"/>
    </row>
    <row r="73" spans="1:8">
      <c r="B73" s="115"/>
      <c r="C73" s="115"/>
    </row>
    <row r="74" spans="1:8">
      <c r="A74" s="154"/>
      <c r="B74" s="119" t="s">
        <v>947</v>
      </c>
      <c r="C74" s="119"/>
      <c r="D74" s="120"/>
      <c r="E74" s="121"/>
      <c r="F74" s="171"/>
      <c r="G74" s="121"/>
      <c r="H74" s="121"/>
    </row>
    <row r="75" spans="1:8">
      <c r="A75" s="102" t="str">
        <f>"Wash"&amp;"commercial"&amp;B75</f>
        <v>WashcommercialWC15Y1W</v>
      </c>
      <c r="B75" s="122" t="s">
        <v>1356</v>
      </c>
      <c r="C75" s="122" t="s">
        <v>339</v>
      </c>
      <c r="D75" s="142">
        <v>155.71</v>
      </c>
      <c r="F75" s="123">
        <v>25709.5</v>
      </c>
      <c r="H75" s="124">
        <f t="shared" ref="H75:H96" si="7">+(F75/D75)/12</f>
        <v>13.75928542375784</v>
      </c>
    </row>
    <row r="76" spans="1:8">
      <c r="A76" s="102" t="str">
        <f t="shared" ref="A76:A133" si="8">"Wash"&amp;"commercial"&amp;B76</f>
        <v>WashcommercialWC1Y1W</v>
      </c>
      <c r="B76" s="122" t="s">
        <v>1357</v>
      </c>
      <c r="C76" s="122" t="s">
        <v>333</v>
      </c>
      <c r="D76" s="142">
        <v>105.52</v>
      </c>
      <c r="F76" s="123">
        <v>37373.68</v>
      </c>
      <c r="H76" s="124">
        <f t="shared" si="7"/>
        <v>29.51547889815517</v>
      </c>
    </row>
    <row r="77" spans="1:8">
      <c r="A77" s="102" t="str">
        <f t="shared" si="8"/>
        <v>WashcommercialWC1Y2W</v>
      </c>
      <c r="B77" s="122" t="s">
        <v>1358</v>
      </c>
      <c r="C77" s="122" t="s">
        <v>335</v>
      </c>
      <c r="D77" s="142">
        <v>210.72</v>
      </c>
      <c r="F77" s="123">
        <v>2538.7799999999997</v>
      </c>
      <c r="H77" s="124">
        <f t="shared" si="7"/>
        <v>1.0040100607441154</v>
      </c>
    </row>
    <row r="78" spans="1:8">
      <c r="A78" s="102" t="str">
        <f t="shared" si="8"/>
        <v>WashcommercialWC2Y1W</v>
      </c>
      <c r="B78" s="122" t="s">
        <v>1359</v>
      </c>
      <c r="C78" s="122" t="s">
        <v>345</v>
      </c>
      <c r="D78" s="142">
        <v>208.16</v>
      </c>
      <c r="F78" s="123">
        <v>56614.89</v>
      </c>
      <c r="H78" s="124">
        <f t="shared" si="7"/>
        <v>22.664813124519601</v>
      </c>
    </row>
    <row r="79" spans="1:8">
      <c r="A79" s="102" t="str">
        <f t="shared" si="8"/>
        <v>WashcommercialWC2Y2W</v>
      </c>
      <c r="B79" s="122" t="s">
        <v>1360</v>
      </c>
      <c r="C79" s="122" t="s">
        <v>347</v>
      </c>
      <c r="D79" s="142">
        <v>415.76</v>
      </c>
      <c r="F79" s="123">
        <v>1267.2900000000004</v>
      </c>
      <c r="H79" s="124">
        <f t="shared" si="7"/>
        <v>0.25401072734269781</v>
      </c>
    </row>
    <row r="80" spans="1:8">
      <c r="A80" s="102" t="str">
        <f t="shared" si="8"/>
        <v>WashcommercialWC2Y3W</v>
      </c>
      <c r="B80" s="122" t="s">
        <v>1361</v>
      </c>
      <c r="C80" s="122" t="s">
        <v>349</v>
      </c>
      <c r="D80" s="142">
        <v>623.35</v>
      </c>
      <c r="F80" s="123">
        <v>0</v>
      </c>
      <c r="H80" s="124">
        <f t="shared" si="7"/>
        <v>0</v>
      </c>
    </row>
    <row r="81" spans="1:8">
      <c r="A81" s="102" t="str">
        <f t="shared" si="8"/>
        <v>WashcommercialWC3Y1W</v>
      </c>
      <c r="B81" s="122" t="s">
        <v>1362</v>
      </c>
      <c r="C81" s="122" t="s">
        <v>357</v>
      </c>
      <c r="D81" s="142">
        <v>263.51</v>
      </c>
      <c r="F81" s="123">
        <v>63281.159999999996</v>
      </c>
      <c r="H81" s="124">
        <f t="shared" si="7"/>
        <v>20.012257599332091</v>
      </c>
    </row>
    <row r="82" spans="1:8">
      <c r="A82" s="102" t="str">
        <f t="shared" si="8"/>
        <v>WashcommercialWC3Y2W</v>
      </c>
      <c r="B82" s="122" t="s">
        <v>1363</v>
      </c>
      <c r="C82" s="122" t="s">
        <v>359</v>
      </c>
      <c r="D82" s="142">
        <v>526.16</v>
      </c>
      <c r="F82" s="123">
        <v>38033.459999999992</v>
      </c>
      <c r="H82" s="124">
        <f t="shared" si="7"/>
        <v>6.023747529268662</v>
      </c>
    </row>
    <row r="83" spans="1:8">
      <c r="A83" s="102" t="str">
        <f t="shared" si="8"/>
        <v>WashcommercialWC3Y3W</v>
      </c>
      <c r="B83" s="122" t="s">
        <v>1364</v>
      </c>
      <c r="C83" s="122" t="s">
        <v>361</v>
      </c>
      <c r="D83" s="142">
        <v>788.88</v>
      </c>
      <c r="F83" s="123">
        <v>9504.69</v>
      </c>
      <c r="H83" s="124">
        <f t="shared" si="7"/>
        <v>1.0040278622857723</v>
      </c>
    </row>
    <row r="84" spans="1:8">
      <c r="A84" s="102" t="str">
        <f t="shared" si="8"/>
        <v>WashcommercialWC4Y1W</v>
      </c>
      <c r="B84" s="122" t="s">
        <v>1365</v>
      </c>
      <c r="C84" s="122" t="s">
        <v>369</v>
      </c>
      <c r="D84" s="142">
        <v>334.34</v>
      </c>
      <c r="F84" s="123">
        <v>71835.899999999994</v>
      </c>
      <c r="H84" s="124">
        <f t="shared" si="7"/>
        <v>17.904902195369981</v>
      </c>
    </row>
    <row r="85" spans="1:8">
      <c r="A85" s="102" t="str">
        <f t="shared" si="8"/>
        <v>WashcommercialWC4Y2W</v>
      </c>
      <c r="B85" s="122" t="s">
        <v>1366</v>
      </c>
      <c r="C85" s="122" t="s">
        <v>371</v>
      </c>
      <c r="D85" s="142">
        <v>667.61</v>
      </c>
      <c r="F85" s="123">
        <v>32171.519999999997</v>
      </c>
      <c r="H85" s="124">
        <f t="shared" si="7"/>
        <v>4.0157577028504656</v>
      </c>
    </row>
    <row r="86" spans="1:8">
      <c r="A86" s="102" t="str">
        <f t="shared" si="8"/>
        <v>WashcommercialWC4Y3W</v>
      </c>
      <c r="B86" s="122" t="s">
        <v>1367</v>
      </c>
      <c r="C86" s="122" t="s">
        <v>373</v>
      </c>
      <c r="D86" s="142">
        <v>1000.86</v>
      </c>
      <c r="F86" s="123">
        <v>23116.199999999997</v>
      </c>
      <c r="H86" s="124">
        <f t="shared" si="7"/>
        <v>1.9246947625042461</v>
      </c>
    </row>
    <row r="87" spans="1:8">
      <c r="A87" s="102" t="str">
        <f t="shared" si="8"/>
        <v>WashcommercialWC6Y1W</v>
      </c>
      <c r="B87" s="122" t="s">
        <v>1368</v>
      </c>
      <c r="C87" s="122" t="s">
        <v>387</v>
      </c>
      <c r="D87" s="142">
        <v>445.48</v>
      </c>
      <c r="F87" s="123">
        <v>29629.870000000003</v>
      </c>
      <c r="H87" s="124">
        <f t="shared" si="7"/>
        <v>5.5426861662326781</v>
      </c>
    </row>
    <row r="88" spans="1:8">
      <c r="A88" s="102" t="str">
        <f t="shared" si="8"/>
        <v>WashcommercialWC6Y2W</v>
      </c>
      <c r="B88" s="122" t="s">
        <v>1369</v>
      </c>
      <c r="C88" s="122" t="s">
        <v>389</v>
      </c>
      <c r="D88" s="142">
        <v>889.33</v>
      </c>
      <c r="F88" s="123">
        <v>10046.540000000001</v>
      </c>
      <c r="H88" s="124">
        <f t="shared" si="7"/>
        <v>0.94139595725621161</v>
      </c>
    </row>
    <row r="89" spans="1:8">
      <c r="A89" s="102" t="str">
        <f t="shared" si="8"/>
        <v>WashcommercialWC6Y3W</v>
      </c>
      <c r="B89" s="122" t="s">
        <v>1370</v>
      </c>
      <c r="C89" s="122" t="s">
        <v>391</v>
      </c>
      <c r="D89" s="142">
        <v>1333.16</v>
      </c>
      <c r="F89" s="123">
        <v>31456.7</v>
      </c>
      <c r="H89" s="124">
        <f t="shared" si="7"/>
        <v>1.9662993689179593</v>
      </c>
    </row>
    <row r="90" spans="1:8">
      <c r="A90" s="102" t="str">
        <f t="shared" si="8"/>
        <v>WashcommercialWC8Y1W</v>
      </c>
      <c r="B90" s="122" t="s">
        <v>1371</v>
      </c>
      <c r="C90" s="122" t="s">
        <v>397</v>
      </c>
      <c r="D90" s="142">
        <v>583.35</v>
      </c>
      <c r="F90" s="123">
        <v>24431.09</v>
      </c>
      <c r="H90" s="124">
        <f t="shared" si="7"/>
        <v>3.4900559984000457</v>
      </c>
    </row>
    <row r="91" spans="1:8">
      <c r="A91" s="102" t="str">
        <f t="shared" si="8"/>
        <v>WashcommercialWC8Y2W</v>
      </c>
      <c r="B91" s="122" t="s">
        <v>1372</v>
      </c>
      <c r="C91" s="122" t="s">
        <v>399</v>
      </c>
      <c r="D91" s="142">
        <v>1137.77</v>
      </c>
      <c r="F91" s="123">
        <v>0</v>
      </c>
      <c r="H91" s="124">
        <f t="shared" si="7"/>
        <v>0</v>
      </c>
    </row>
    <row r="92" spans="1:8">
      <c r="A92" s="102" t="str">
        <f t="shared" si="8"/>
        <v>WashcommercialWC8Y3W</v>
      </c>
      <c r="B92" s="122" t="s">
        <v>1373</v>
      </c>
      <c r="C92" s="122" t="s">
        <v>401</v>
      </c>
      <c r="D92" s="142">
        <v>1692.19</v>
      </c>
      <c r="F92" s="123">
        <v>0</v>
      </c>
      <c r="H92" s="124">
        <f t="shared" si="7"/>
        <v>0</v>
      </c>
    </row>
    <row r="93" spans="1:8">
      <c r="A93" s="102" t="str">
        <f t="shared" si="8"/>
        <v>WashcommercialWCG40WKROL</v>
      </c>
      <c r="B93" s="122" t="s">
        <v>1374</v>
      </c>
      <c r="C93" s="122" t="s">
        <v>1375</v>
      </c>
      <c r="D93" s="142">
        <v>28.39</v>
      </c>
      <c r="F93" s="123">
        <v>341.7299999999999</v>
      </c>
      <c r="H93" s="124">
        <f t="shared" si="7"/>
        <v>1.0030820711518136</v>
      </c>
    </row>
    <row r="94" spans="1:8">
      <c r="A94" s="102" t="str">
        <f t="shared" si="8"/>
        <v>WashcommercialWCG40WK</v>
      </c>
      <c r="B94" s="122" t="s">
        <v>1376</v>
      </c>
      <c r="C94" s="122" t="s">
        <v>1377</v>
      </c>
      <c r="D94" s="142">
        <v>20.47</v>
      </c>
      <c r="F94" s="123">
        <v>7647.63</v>
      </c>
      <c r="H94" s="124">
        <f t="shared" si="7"/>
        <v>31.133488031265269</v>
      </c>
    </row>
    <row r="95" spans="1:8">
      <c r="A95" s="102" t="str">
        <f t="shared" si="8"/>
        <v>WashcommercialWCG90WK</v>
      </c>
      <c r="B95" s="122" t="s">
        <v>1378</v>
      </c>
      <c r="C95" s="122" t="s">
        <v>1379</v>
      </c>
      <c r="D95" s="142">
        <v>35.700000000000003</v>
      </c>
      <c r="F95" s="123">
        <v>20470.07</v>
      </c>
      <c r="H95" s="124">
        <f t="shared" si="7"/>
        <v>47.782609710550879</v>
      </c>
    </row>
    <row r="96" spans="1:8">
      <c r="A96" s="102" t="str">
        <f t="shared" si="8"/>
        <v>WashcommercialWCG90WKROL</v>
      </c>
      <c r="B96" s="122" t="s">
        <v>1380</v>
      </c>
      <c r="C96" s="122" t="s">
        <v>1381</v>
      </c>
      <c r="D96" s="142">
        <v>43.44</v>
      </c>
      <c r="F96" s="123">
        <v>1829.4000000000003</v>
      </c>
      <c r="H96" s="124">
        <f t="shared" si="7"/>
        <v>3.509438305709025</v>
      </c>
    </row>
    <row r="97" spans="1:6">
      <c r="A97" s="102" t="str">
        <f t="shared" si="8"/>
        <v>WashcommercialWCACCESS</v>
      </c>
      <c r="B97" s="122" t="s">
        <v>1382</v>
      </c>
      <c r="C97" s="122" t="s">
        <v>506</v>
      </c>
      <c r="D97" s="142">
        <v>6.68</v>
      </c>
      <c r="F97" s="123">
        <v>1775.44</v>
      </c>
    </row>
    <row r="98" spans="1:6">
      <c r="A98" s="102" t="str">
        <f t="shared" si="8"/>
        <v>WashcommercialCACCESS</v>
      </c>
      <c r="B98" s="122" t="s">
        <v>505</v>
      </c>
      <c r="C98" s="122" t="s">
        <v>506</v>
      </c>
      <c r="D98" s="142">
        <v>0</v>
      </c>
      <c r="F98" s="123">
        <v>0</v>
      </c>
    </row>
    <row r="99" spans="1:6">
      <c r="A99" s="102" t="str">
        <f t="shared" si="8"/>
        <v>WashcommercialCCPLACE</v>
      </c>
      <c r="B99" s="122" t="s">
        <v>462</v>
      </c>
      <c r="C99" s="122" t="s">
        <v>463</v>
      </c>
      <c r="D99" s="142">
        <v>23.21</v>
      </c>
      <c r="F99" s="123">
        <v>0</v>
      </c>
    </row>
    <row r="100" spans="1:6">
      <c r="A100" s="102" t="str">
        <f t="shared" si="8"/>
        <v>WashcommercialWCPLACE</v>
      </c>
      <c r="B100" s="122" t="s">
        <v>1383</v>
      </c>
      <c r="C100" s="122" t="s">
        <v>463</v>
      </c>
      <c r="D100" s="142">
        <v>23.21</v>
      </c>
      <c r="F100" s="123">
        <v>441.39000000000004</v>
      </c>
    </row>
    <row r="101" spans="1:6">
      <c r="A101" s="102" t="str">
        <f t="shared" si="8"/>
        <v>WashcommercialWCRENT</v>
      </c>
      <c r="B101" s="122" t="s">
        <v>1384</v>
      </c>
      <c r="C101" s="122" t="s">
        <v>1385</v>
      </c>
      <c r="D101" s="142">
        <v>0</v>
      </c>
      <c r="F101" s="123">
        <v>0</v>
      </c>
    </row>
    <row r="102" spans="1:6">
      <c r="A102" s="102" t="str">
        <f t="shared" si="8"/>
        <v>WashcommercialCCEXCAN</v>
      </c>
      <c r="B102" s="122" t="s">
        <v>454</v>
      </c>
      <c r="C102" s="122" t="s">
        <v>455</v>
      </c>
      <c r="D102" s="142">
        <v>7.88</v>
      </c>
      <c r="F102" s="123">
        <v>504.32</v>
      </c>
    </row>
    <row r="103" spans="1:6">
      <c r="A103" s="102" t="str">
        <f t="shared" si="8"/>
        <v>WashcommercialCCEXYD</v>
      </c>
      <c r="B103" s="122" t="s">
        <v>456</v>
      </c>
      <c r="C103" s="122" t="s">
        <v>457</v>
      </c>
      <c r="D103" s="142">
        <v>28.03</v>
      </c>
      <c r="F103" s="123">
        <v>5282.6999999999989</v>
      </c>
    </row>
    <row r="104" spans="1:6">
      <c r="A104" s="102" t="str">
        <f t="shared" si="8"/>
        <v>WashcommercialWCROL</v>
      </c>
      <c r="B104" s="122" t="s">
        <v>1386</v>
      </c>
      <c r="C104" s="122" t="s">
        <v>1387</v>
      </c>
      <c r="D104" s="142">
        <v>11.65</v>
      </c>
      <c r="F104" s="123">
        <v>5292.1100000000006</v>
      </c>
    </row>
    <row r="105" spans="1:6">
      <c r="A105" s="102" t="str">
        <f t="shared" si="8"/>
        <v>WashcommercialCCSPCN</v>
      </c>
      <c r="B105" s="122" t="s">
        <v>1251</v>
      </c>
      <c r="C105" s="122" t="s">
        <v>1252</v>
      </c>
      <c r="D105" s="142">
        <v>34.57</v>
      </c>
      <c r="F105" s="123">
        <v>0</v>
      </c>
    </row>
    <row r="106" spans="1:6">
      <c r="A106" s="102" t="str">
        <f t="shared" si="8"/>
        <v>WashcommercialCCSP1Y</v>
      </c>
      <c r="B106" s="122" t="s">
        <v>412</v>
      </c>
      <c r="C106" s="122" t="s">
        <v>413</v>
      </c>
      <c r="D106" s="142">
        <v>28.03</v>
      </c>
      <c r="F106" s="123">
        <v>0</v>
      </c>
    </row>
    <row r="107" spans="1:6">
      <c r="A107" s="102" t="str">
        <f t="shared" si="8"/>
        <v>WashcommercialCCSP2Y</v>
      </c>
      <c r="B107" s="122" t="s">
        <v>416</v>
      </c>
      <c r="C107" s="122" t="s">
        <v>417</v>
      </c>
      <c r="D107" s="142">
        <v>56.06</v>
      </c>
      <c r="F107" s="123">
        <v>281.42</v>
      </c>
    </row>
    <row r="108" spans="1:6">
      <c r="A108" s="102" t="str">
        <f t="shared" si="8"/>
        <v>WashcommercialCCSP3Y</v>
      </c>
      <c r="B108" s="122" t="s">
        <v>418</v>
      </c>
      <c r="C108" s="122" t="s">
        <v>419</v>
      </c>
      <c r="D108" s="142">
        <v>84.09</v>
      </c>
      <c r="F108" s="123">
        <v>252.27</v>
      </c>
    </row>
    <row r="109" spans="1:6">
      <c r="A109" s="102" t="str">
        <f t="shared" si="8"/>
        <v>WashcommercialCCSP4Y</v>
      </c>
      <c r="B109" s="122" t="s">
        <v>424</v>
      </c>
      <c r="C109" s="122" t="s">
        <v>425</v>
      </c>
      <c r="D109" s="142">
        <v>112.12</v>
      </c>
      <c r="F109" s="123">
        <v>1798.4</v>
      </c>
    </row>
    <row r="110" spans="1:6">
      <c r="A110" s="102" t="str">
        <f t="shared" si="8"/>
        <v>WashcommercialCCSP6Y</v>
      </c>
      <c r="B110" s="122" t="s">
        <v>428</v>
      </c>
      <c r="C110" s="122" t="s">
        <v>429</v>
      </c>
      <c r="D110" s="142">
        <v>168.18</v>
      </c>
      <c r="F110" s="123">
        <v>168.18</v>
      </c>
    </row>
    <row r="111" spans="1:6">
      <c r="A111" s="102" t="str">
        <f t="shared" si="8"/>
        <v>WashcommercialCCSP8Y</v>
      </c>
      <c r="B111" s="122" t="s">
        <v>430</v>
      </c>
      <c r="C111" s="122" t="s">
        <v>431</v>
      </c>
      <c r="D111" s="142">
        <v>224.24</v>
      </c>
      <c r="F111" s="123">
        <v>0</v>
      </c>
    </row>
    <row r="112" spans="1:6">
      <c r="A112" s="102" t="str">
        <f t="shared" si="8"/>
        <v>WashcommercialCC1YTR</v>
      </c>
      <c r="B112" s="122" t="s">
        <v>488</v>
      </c>
      <c r="C112" s="122" t="s">
        <v>489</v>
      </c>
      <c r="D112" s="142">
        <v>42.6</v>
      </c>
      <c r="F112" s="123">
        <v>0</v>
      </c>
    </row>
    <row r="113" spans="1:6">
      <c r="A113" s="102" t="str">
        <f t="shared" si="8"/>
        <v>WashcommercialCC2YTR</v>
      </c>
      <c r="B113" s="122" t="s">
        <v>492</v>
      </c>
      <c r="C113" s="122" t="s">
        <v>493</v>
      </c>
      <c r="D113" s="142">
        <v>42.6</v>
      </c>
      <c r="F113" s="123">
        <v>5.68</v>
      </c>
    </row>
    <row r="114" spans="1:6">
      <c r="A114" s="102" t="str">
        <f t="shared" si="8"/>
        <v>WashcommercialCC3YTR</v>
      </c>
      <c r="B114" s="122" t="s">
        <v>494</v>
      </c>
      <c r="C114" s="122" t="s">
        <v>495</v>
      </c>
      <c r="D114" s="142">
        <v>42.6</v>
      </c>
      <c r="F114" s="123">
        <v>411.8</v>
      </c>
    </row>
    <row r="115" spans="1:6">
      <c r="A115" s="102" t="str">
        <f t="shared" si="8"/>
        <v>WashcommercialCC4YTR</v>
      </c>
      <c r="B115" s="122" t="s">
        <v>1253</v>
      </c>
      <c r="C115" s="122" t="s">
        <v>1254</v>
      </c>
      <c r="D115" s="142">
        <v>42.6</v>
      </c>
      <c r="F115" s="123">
        <v>671.52</v>
      </c>
    </row>
    <row r="116" spans="1:6">
      <c r="A116" s="102" t="str">
        <f t="shared" si="8"/>
        <v>WashcommercialCC6YTR</v>
      </c>
      <c r="B116" s="122" t="s">
        <v>496</v>
      </c>
      <c r="C116" s="122" t="s">
        <v>497</v>
      </c>
      <c r="D116" s="142">
        <v>42.6</v>
      </c>
      <c r="F116" s="123">
        <v>44.02</v>
      </c>
    </row>
    <row r="117" spans="1:6">
      <c r="A117" s="102" t="str">
        <f t="shared" si="8"/>
        <v>WashcommercialCC8YTR</v>
      </c>
      <c r="B117" s="122" t="s">
        <v>498</v>
      </c>
      <c r="C117" s="122" t="s">
        <v>499</v>
      </c>
      <c r="D117" s="142">
        <v>42.6</v>
      </c>
      <c r="F117" s="123">
        <v>0</v>
      </c>
    </row>
    <row r="118" spans="1:6">
      <c r="A118" s="102" t="str">
        <f t="shared" si="8"/>
        <v>WashcommercialCC1YOC</v>
      </c>
      <c r="B118" s="122" t="s">
        <v>482</v>
      </c>
      <c r="C118" s="122" t="s">
        <v>483</v>
      </c>
      <c r="D118" s="142">
        <v>42.6</v>
      </c>
      <c r="F118" s="123">
        <v>0</v>
      </c>
    </row>
    <row r="119" spans="1:6">
      <c r="A119" s="102" t="str">
        <f t="shared" si="8"/>
        <v>WashcommercialCC3YOC</v>
      </c>
      <c r="B119" s="122" t="s">
        <v>486</v>
      </c>
      <c r="C119" s="122" t="s">
        <v>487</v>
      </c>
      <c r="D119" s="142">
        <v>42.6</v>
      </c>
      <c r="F119" s="123">
        <v>130.5</v>
      </c>
    </row>
    <row r="120" spans="1:6">
      <c r="A120" s="102" t="str">
        <f t="shared" si="8"/>
        <v>WashcommercialCCTP1Y</v>
      </c>
      <c r="B120" s="122" t="s">
        <v>432</v>
      </c>
      <c r="C120" s="122" t="s">
        <v>433</v>
      </c>
      <c r="D120" s="142">
        <v>28.03</v>
      </c>
      <c r="F120" s="123">
        <v>0</v>
      </c>
    </row>
    <row r="121" spans="1:6">
      <c r="A121" s="102" t="str">
        <f t="shared" si="8"/>
        <v>WashcommercialCCTP2Y</v>
      </c>
      <c r="B121" s="122" t="s">
        <v>436</v>
      </c>
      <c r="C121" s="122" t="s">
        <v>437</v>
      </c>
      <c r="D121" s="142">
        <v>56.06</v>
      </c>
      <c r="F121" s="123">
        <v>56.06</v>
      </c>
    </row>
    <row r="122" spans="1:6">
      <c r="A122" s="102" t="str">
        <f t="shared" si="8"/>
        <v>WashcommercialCCTP3Y</v>
      </c>
      <c r="B122" s="122" t="s">
        <v>438</v>
      </c>
      <c r="C122" s="122" t="s">
        <v>439</v>
      </c>
      <c r="D122" s="142">
        <v>84.09</v>
      </c>
      <c r="F122" s="123">
        <v>589.47</v>
      </c>
    </row>
    <row r="123" spans="1:6">
      <c r="A123" s="102" t="str">
        <f t="shared" si="8"/>
        <v>WashcommercialCCTP4Y</v>
      </c>
      <c r="B123" s="122" t="s">
        <v>440</v>
      </c>
      <c r="C123" s="122" t="s">
        <v>441</v>
      </c>
      <c r="D123" s="142">
        <v>112.12</v>
      </c>
      <c r="F123" s="123">
        <v>2920.7200000000003</v>
      </c>
    </row>
    <row r="124" spans="1:6">
      <c r="A124" s="102" t="str">
        <f t="shared" si="8"/>
        <v>WashcommercialCCTP6Y</v>
      </c>
      <c r="B124" s="122" t="s">
        <v>1045</v>
      </c>
      <c r="C124" s="122" t="s">
        <v>1046</v>
      </c>
      <c r="D124" s="142">
        <v>168.18</v>
      </c>
      <c r="F124" s="123">
        <v>1177.26</v>
      </c>
    </row>
    <row r="125" spans="1:6">
      <c r="A125" s="102" t="str">
        <f t="shared" si="8"/>
        <v>WashcommercialCCTP8Y</v>
      </c>
      <c r="B125" s="122" t="s">
        <v>442</v>
      </c>
      <c r="C125" s="122" t="s">
        <v>443</v>
      </c>
      <c r="D125" s="142">
        <v>224.24</v>
      </c>
      <c r="F125" s="123">
        <v>0</v>
      </c>
    </row>
    <row r="126" spans="1:6">
      <c r="A126" s="102" t="str">
        <f t="shared" si="8"/>
        <v>WashcommercialCTIME1M</v>
      </c>
      <c r="B126" s="122" t="s">
        <v>500</v>
      </c>
      <c r="C126" s="122" t="s">
        <v>312</v>
      </c>
      <c r="D126" s="142">
        <v>1.47</v>
      </c>
      <c r="F126" s="123">
        <v>0</v>
      </c>
    </row>
    <row r="127" spans="1:6">
      <c r="A127" s="102" t="str">
        <f t="shared" si="8"/>
        <v>WashcommercialCRTRIP</v>
      </c>
      <c r="B127" s="122" t="s">
        <v>504</v>
      </c>
      <c r="C127" s="122" t="s">
        <v>318</v>
      </c>
      <c r="D127" s="142">
        <v>34.57</v>
      </c>
      <c r="F127" s="123">
        <v>0</v>
      </c>
    </row>
    <row r="128" spans="1:6">
      <c r="A128" s="102" t="str">
        <f t="shared" si="8"/>
        <v>WashcommercialCCTRIP</v>
      </c>
      <c r="B128" s="122" t="s">
        <v>502</v>
      </c>
      <c r="C128" s="122" t="s">
        <v>503</v>
      </c>
      <c r="D128" s="142">
        <v>34.57</v>
      </c>
      <c r="F128" s="123">
        <v>935.11</v>
      </c>
    </row>
    <row r="129" spans="1:8">
      <c r="A129" s="102" t="str">
        <f t="shared" si="8"/>
        <v>WashcommercialCWSAN 1-5</v>
      </c>
      <c r="B129" s="122" t="s">
        <v>509</v>
      </c>
      <c r="C129" s="122" t="s">
        <v>510</v>
      </c>
      <c r="D129" s="142">
        <v>29.38</v>
      </c>
      <c r="F129" s="123">
        <v>29.88</v>
      </c>
    </row>
    <row r="130" spans="1:8">
      <c r="A130" s="102" t="str">
        <f t="shared" si="8"/>
        <v>WashcommercialCWSAN8</v>
      </c>
      <c r="B130" s="122" t="s">
        <v>1255</v>
      </c>
      <c r="C130" s="122" t="s">
        <v>1256</v>
      </c>
      <c r="D130" s="142">
        <v>29.38</v>
      </c>
      <c r="F130" s="123">
        <v>0</v>
      </c>
    </row>
    <row r="131" spans="1:8">
      <c r="A131" s="102" t="str">
        <f t="shared" si="8"/>
        <v>WashcommercialWSGL</v>
      </c>
      <c r="B131" s="122" t="s">
        <v>1388</v>
      </c>
      <c r="C131" s="122" t="s">
        <v>1389</v>
      </c>
      <c r="D131" s="142">
        <v>4</v>
      </c>
      <c r="F131" s="123">
        <v>1747.72</v>
      </c>
    </row>
    <row r="132" spans="1:8">
      <c r="A132" s="102" t="str">
        <f t="shared" si="8"/>
        <v>WashcommercialDAMAGE</v>
      </c>
      <c r="B132" s="148" t="s">
        <v>519</v>
      </c>
      <c r="C132" s="122" t="s">
        <v>520</v>
      </c>
      <c r="D132" s="142">
        <v>0</v>
      </c>
      <c r="F132" s="123">
        <v>0</v>
      </c>
    </row>
    <row r="133" spans="1:8">
      <c r="A133" s="102" t="str">
        <f t="shared" si="8"/>
        <v>WashcommercialRCOF</v>
      </c>
      <c r="B133" s="148" t="s">
        <v>458</v>
      </c>
      <c r="C133" s="122" t="s">
        <v>459</v>
      </c>
      <c r="D133" s="142">
        <v>28.03</v>
      </c>
      <c r="F133" s="123">
        <v>0</v>
      </c>
    </row>
    <row r="134" spans="1:8">
      <c r="A134" s="102"/>
      <c r="B134" s="148"/>
      <c r="C134" s="122"/>
      <c r="D134" s="142"/>
    </row>
    <row r="135" spans="1:8">
      <c r="A135" s="102"/>
      <c r="B135" s="168"/>
      <c r="C135" s="134" t="s">
        <v>948</v>
      </c>
      <c r="D135" s="142"/>
      <c r="F135" s="128">
        <f>+SUM(F75:F134)</f>
        <v>511816.07</v>
      </c>
      <c r="G135" s="129"/>
      <c r="H135" s="128">
        <f>+SUM(H75:H134)</f>
        <v>213.45204149561451</v>
      </c>
    </row>
    <row r="136" spans="1:8">
      <c r="A136" s="102"/>
      <c r="B136" s="168"/>
      <c r="C136" s="168"/>
      <c r="D136" s="142"/>
    </row>
    <row r="137" spans="1:8">
      <c r="A137" s="154"/>
      <c r="B137" s="119" t="s">
        <v>700</v>
      </c>
      <c r="C137" s="119"/>
      <c r="D137" s="120"/>
      <c r="E137" s="121"/>
      <c r="F137" s="171"/>
      <c r="G137" s="121"/>
      <c r="H137" s="121"/>
    </row>
    <row r="138" spans="1:8">
      <c r="A138" s="102" t="str">
        <f>"Wash"&amp;"recycling"&amp;B138</f>
        <v>WashrecyclingCRY1.5Y1X</v>
      </c>
      <c r="B138" s="122" t="s">
        <v>705</v>
      </c>
      <c r="C138" s="122" t="s">
        <v>706</v>
      </c>
      <c r="D138" s="142">
        <v>108.11</v>
      </c>
      <c r="F138" s="123">
        <v>309.10000000000002</v>
      </c>
      <c r="H138" s="124">
        <f t="shared" ref="H138:H167" si="9">+(F138/D138)/12</f>
        <v>0.23826041377609228</v>
      </c>
    </row>
    <row r="139" spans="1:8">
      <c r="A139" s="102" t="str">
        <f t="shared" ref="A139:A196" si="10">"Wash"&amp;"recycling"&amp;B139</f>
        <v>WashrecyclingCRY1Y1X</v>
      </c>
      <c r="B139" s="122" t="s">
        <v>711</v>
      </c>
      <c r="C139" s="122" t="s">
        <v>712</v>
      </c>
      <c r="D139" s="142">
        <v>88.26</v>
      </c>
      <c r="F139" s="123">
        <v>7918.5199999999995</v>
      </c>
      <c r="H139" s="124">
        <f t="shared" si="9"/>
        <v>7.4765087997582889</v>
      </c>
    </row>
    <row r="140" spans="1:8">
      <c r="A140" s="102" t="str">
        <f t="shared" si="10"/>
        <v>WashrecyclingCRY1Y2X</v>
      </c>
      <c r="B140" s="122" t="s">
        <v>713</v>
      </c>
      <c r="C140" s="122" t="s">
        <v>714</v>
      </c>
      <c r="D140" s="142">
        <v>188.18</v>
      </c>
      <c r="F140" s="123">
        <v>0</v>
      </c>
      <c r="H140" s="124">
        <f t="shared" si="9"/>
        <v>0</v>
      </c>
    </row>
    <row r="141" spans="1:8">
      <c r="A141" s="102" t="str">
        <f t="shared" si="10"/>
        <v>WashrecyclingCRY1YEOW</v>
      </c>
      <c r="B141" s="122" t="s">
        <v>717</v>
      </c>
      <c r="C141" s="122" t="s">
        <v>718</v>
      </c>
      <c r="D141" s="142">
        <v>64.180000000000007</v>
      </c>
      <c r="F141" s="123">
        <v>2830.79</v>
      </c>
      <c r="H141" s="124">
        <f t="shared" si="9"/>
        <v>3.6755868910356284</v>
      </c>
    </row>
    <row r="142" spans="1:8">
      <c r="A142" s="102" t="str">
        <f t="shared" si="10"/>
        <v xml:space="preserve">WashrecyclingCRY1.5EOW </v>
      </c>
      <c r="B142" s="122" t="s">
        <v>709</v>
      </c>
      <c r="C142" s="122" t="s">
        <v>710</v>
      </c>
      <c r="D142" s="142">
        <v>66.23</v>
      </c>
      <c r="F142" s="123">
        <v>658.33000000000015</v>
      </c>
      <c r="H142" s="124">
        <f t="shared" si="9"/>
        <v>0.82833811465096396</v>
      </c>
    </row>
    <row r="143" spans="1:8">
      <c r="A143" s="102" t="str">
        <f t="shared" si="10"/>
        <v>WashrecyclingCRY2Y1X</v>
      </c>
      <c r="B143" s="122" t="s">
        <v>723</v>
      </c>
      <c r="C143" s="122" t="s">
        <v>724</v>
      </c>
      <c r="D143" s="142">
        <v>114.09</v>
      </c>
      <c r="F143" s="123">
        <v>10161.259999999998</v>
      </c>
      <c r="H143" s="124">
        <f t="shared" si="9"/>
        <v>7.421962193589855</v>
      </c>
    </row>
    <row r="144" spans="1:8">
      <c r="A144" s="102" t="str">
        <f t="shared" si="10"/>
        <v>WashrecyclingCRY2Y2X</v>
      </c>
      <c r="B144" s="122" t="s">
        <v>725</v>
      </c>
      <c r="C144" s="122" t="s">
        <v>726</v>
      </c>
      <c r="D144" s="142">
        <v>206.22</v>
      </c>
      <c r="F144" s="123">
        <v>0</v>
      </c>
      <c r="H144" s="124">
        <f t="shared" si="9"/>
        <v>0</v>
      </c>
    </row>
    <row r="145" spans="1:8">
      <c r="A145" s="102" t="str">
        <f t="shared" si="10"/>
        <v>WashrecyclingCRY2YEOW</v>
      </c>
      <c r="B145" s="122" t="s">
        <v>727</v>
      </c>
      <c r="C145" s="122" t="s">
        <v>728</v>
      </c>
      <c r="D145" s="142">
        <v>70.36</v>
      </c>
      <c r="F145" s="123">
        <v>5211.41</v>
      </c>
      <c r="H145" s="124">
        <f t="shared" si="9"/>
        <v>6.1723161834375588</v>
      </c>
    </row>
    <row r="146" spans="1:8">
      <c r="A146" s="102" t="str">
        <f t="shared" si="10"/>
        <v>WashrecyclingCRY3Y1X</v>
      </c>
      <c r="B146" s="122" t="s">
        <v>731</v>
      </c>
      <c r="C146" s="122" t="s">
        <v>732</v>
      </c>
      <c r="D146" s="142">
        <v>124.14</v>
      </c>
      <c r="F146" s="123">
        <v>6387.61</v>
      </c>
      <c r="H146" s="124">
        <f t="shared" si="9"/>
        <v>4.2879074700606834</v>
      </c>
    </row>
    <row r="147" spans="1:8">
      <c r="A147" s="102" t="str">
        <f t="shared" si="10"/>
        <v>WashrecyclingCRY3Y2X</v>
      </c>
      <c r="B147" s="122" t="s">
        <v>733</v>
      </c>
      <c r="C147" s="122" t="s">
        <v>734</v>
      </c>
      <c r="D147" s="142">
        <v>224.23</v>
      </c>
      <c r="F147" s="123">
        <v>0</v>
      </c>
      <c r="H147" s="124">
        <f t="shared" si="9"/>
        <v>0</v>
      </c>
    </row>
    <row r="148" spans="1:8">
      <c r="A148" s="102" t="str">
        <f t="shared" si="10"/>
        <v>WashrecyclingCRY3YEOW</v>
      </c>
      <c r="B148" s="122" t="s">
        <v>741</v>
      </c>
      <c r="C148" s="122" t="s">
        <v>742</v>
      </c>
      <c r="D148" s="142">
        <v>76.58</v>
      </c>
      <c r="F148" s="123">
        <v>1521.9</v>
      </c>
      <c r="H148" s="124">
        <f t="shared" si="9"/>
        <v>1.6561112562026639</v>
      </c>
    </row>
    <row r="149" spans="1:8">
      <c r="A149" s="102" t="str">
        <f t="shared" si="10"/>
        <v>WashrecyclingCRY4Y1X</v>
      </c>
      <c r="B149" s="122" t="s">
        <v>743</v>
      </c>
      <c r="C149" s="122" t="s">
        <v>744</v>
      </c>
      <c r="D149" s="142">
        <v>136.19</v>
      </c>
      <c r="F149" s="123">
        <v>6462.4499999999989</v>
      </c>
      <c r="H149" s="124">
        <f t="shared" si="9"/>
        <v>3.9543101549306114</v>
      </c>
    </row>
    <row r="150" spans="1:8">
      <c r="A150" s="102" t="str">
        <f t="shared" si="10"/>
        <v>WashrecyclingCRY4Y2X</v>
      </c>
      <c r="B150" s="122" t="s">
        <v>745</v>
      </c>
      <c r="C150" s="122" t="s">
        <v>746</v>
      </c>
      <c r="D150" s="142">
        <v>244.26</v>
      </c>
      <c r="F150" s="123">
        <v>14533.609999999999</v>
      </c>
      <c r="H150" s="124">
        <f t="shared" si="9"/>
        <v>4.9583810966456507</v>
      </c>
    </row>
    <row r="151" spans="1:8">
      <c r="A151" s="102" t="str">
        <f t="shared" si="10"/>
        <v>WashrecyclingCRY4YEOW</v>
      </c>
      <c r="B151" s="122" t="s">
        <v>749</v>
      </c>
      <c r="C151" s="122" t="s">
        <v>750</v>
      </c>
      <c r="D151" s="142">
        <v>84.86</v>
      </c>
      <c r="F151" s="123">
        <v>1375.33</v>
      </c>
      <c r="H151" s="124">
        <f t="shared" si="9"/>
        <v>1.3505872417314793</v>
      </c>
    </row>
    <row r="152" spans="1:8">
      <c r="A152" s="102" t="str">
        <f t="shared" si="10"/>
        <v>WashrecyclingCRY2-4Y1X</v>
      </c>
      <c r="B152" s="122" t="s">
        <v>753</v>
      </c>
      <c r="C152" s="122" t="s">
        <v>754</v>
      </c>
      <c r="D152" s="142">
        <v>238.23</v>
      </c>
      <c r="F152" s="123">
        <v>0</v>
      </c>
      <c r="H152" s="124">
        <f t="shared" si="9"/>
        <v>0</v>
      </c>
    </row>
    <row r="153" spans="1:8">
      <c r="A153" s="102" t="str">
        <f t="shared" si="10"/>
        <v>WashrecyclingCRY2-4Y2X</v>
      </c>
      <c r="B153" s="122" t="s">
        <v>755</v>
      </c>
      <c r="C153" s="122" t="s">
        <v>756</v>
      </c>
      <c r="D153" s="142">
        <v>420.42</v>
      </c>
      <c r="F153" s="123">
        <v>0</v>
      </c>
      <c r="H153" s="124">
        <f t="shared" si="9"/>
        <v>0</v>
      </c>
    </row>
    <row r="154" spans="1:8">
      <c r="A154" s="102" t="str">
        <f t="shared" si="10"/>
        <v>WashrecyclingCRY6Y1X</v>
      </c>
      <c r="B154" s="122" t="s">
        <v>765</v>
      </c>
      <c r="C154" s="122" t="s">
        <v>766</v>
      </c>
      <c r="D154" s="142">
        <v>156.16</v>
      </c>
      <c r="F154" s="123">
        <v>0</v>
      </c>
      <c r="H154" s="124">
        <f t="shared" si="9"/>
        <v>0</v>
      </c>
    </row>
    <row r="155" spans="1:8">
      <c r="A155" s="102" t="str">
        <f t="shared" si="10"/>
        <v>WashrecyclingCRY6Y2X</v>
      </c>
      <c r="B155" s="122" t="s">
        <v>767</v>
      </c>
      <c r="C155" s="122" t="s">
        <v>768</v>
      </c>
      <c r="D155" s="142">
        <v>282.29000000000002</v>
      </c>
      <c r="F155" s="123">
        <v>0</v>
      </c>
      <c r="H155" s="124">
        <f t="shared" si="9"/>
        <v>0</v>
      </c>
    </row>
    <row r="156" spans="1:8">
      <c r="A156" s="102" t="str">
        <f t="shared" si="10"/>
        <v>WashrecyclingCRY6YEOW</v>
      </c>
      <c r="B156" s="122" t="s">
        <v>771</v>
      </c>
      <c r="C156" s="122" t="s">
        <v>772</v>
      </c>
      <c r="D156" s="142">
        <v>97.25</v>
      </c>
      <c r="F156" s="123">
        <v>1112.94</v>
      </c>
      <c r="H156" s="124">
        <f t="shared" si="9"/>
        <v>0.95367609254498709</v>
      </c>
    </row>
    <row r="157" spans="1:8">
      <c r="A157" s="102" t="str">
        <f t="shared" si="10"/>
        <v>WashrecyclingCRY8YEOW</v>
      </c>
      <c r="B157" s="102" t="s">
        <v>1281</v>
      </c>
      <c r="C157" s="102" t="s">
        <v>1282</v>
      </c>
      <c r="D157" s="142">
        <v>101.86</v>
      </c>
      <c r="F157" s="123">
        <v>1071.96</v>
      </c>
      <c r="H157" s="124">
        <f t="shared" si="9"/>
        <v>0.87698802277635979</v>
      </c>
    </row>
    <row r="158" spans="1:8">
      <c r="A158" s="102" t="str">
        <f t="shared" si="10"/>
        <v>WashrecyclingCRY8Y1X</v>
      </c>
      <c r="B158" s="122" t="s">
        <v>773</v>
      </c>
      <c r="C158" s="122" t="s">
        <v>774</v>
      </c>
      <c r="D158" s="142">
        <v>166.16</v>
      </c>
      <c r="F158" s="123">
        <v>205.72</v>
      </c>
      <c r="H158" s="124">
        <f t="shared" si="9"/>
        <v>0.10317364788958433</v>
      </c>
    </row>
    <row r="159" spans="1:8">
      <c r="A159" s="102" t="str">
        <f t="shared" si="10"/>
        <v>WashrecyclingCRY8Y2X</v>
      </c>
      <c r="B159" s="122" t="s">
        <v>775</v>
      </c>
      <c r="C159" s="122" t="s">
        <v>776</v>
      </c>
      <c r="D159" s="142">
        <v>296.27999999999997</v>
      </c>
      <c r="F159" s="123">
        <v>3390.6100000000006</v>
      </c>
      <c r="H159" s="124">
        <f t="shared" si="9"/>
        <v>0.95366151388326381</v>
      </c>
    </row>
    <row r="160" spans="1:8">
      <c r="A160" s="102" t="str">
        <f t="shared" si="10"/>
        <v>WashrecyclingCRY901X</v>
      </c>
      <c r="B160" s="122" t="s">
        <v>787</v>
      </c>
      <c r="C160" s="122" t="s">
        <v>788</v>
      </c>
      <c r="D160" s="142">
        <v>67.349999999999994</v>
      </c>
      <c r="F160" s="123">
        <v>4304.9400000000005</v>
      </c>
      <c r="H160" s="124">
        <f t="shared" si="9"/>
        <v>5.3265775798069797</v>
      </c>
    </row>
    <row r="161" spans="1:8">
      <c r="A161" s="102" t="str">
        <f t="shared" si="10"/>
        <v>WashrecyclingCRY90EOW</v>
      </c>
      <c r="B161" s="122" t="s">
        <v>791</v>
      </c>
      <c r="C161" s="122" t="s">
        <v>792</v>
      </c>
      <c r="D161" s="142">
        <v>34.479999999999997</v>
      </c>
      <c r="F161" s="123">
        <v>5120.6099999999997</v>
      </c>
      <c r="H161" s="124">
        <f t="shared" si="9"/>
        <v>12.375797563805106</v>
      </c>
    </row>
    <row r="162" spans="1:8">
      <c r="A162" s="102" t="str">
        <f t="shared" si="10"/>
        <v>WashrecyclingCRY901X2</v>
      </c>
      <c r="B162" s="122" t="s">
        <v>797</v>
      </c>
      <c r="C162" s="122" t="s">
        <v>798</v>
      </c>
      <c r="D162" s="142">
        <v>75.540000000000006</v>
      </c>
      <c r="F162" s="123">
        <v>933.95999999999992</v>
      </c>
      <c r="H162" s="124">
        <f t="shared" si="9"/>
        <v>1.0303150648662958</v>
      </c>
    </row>
    <row r="163" spans="1:8">
      <c r="A163" s="102" t="str">
        <f t="shared" si="10"/>
        <v>WashrecyclingCRY902X2</v>
      </c>
      <c r="B163" s="122" t="s">
        <v>1283</v>
      </c>
      <c r="C163" s="122" t="s">
        <v>1284</v>
      </c>
      <c r="D163" s="142">
        <v>150.94999999999999</v>
      </c>
      <c r="F163" s="123">
        <v>1516.67</v>
      </c>
      <c r="H163" s="124">
        <f t="shared" si="9"/>
        <v>0.83729159765926919</v>
      </c>
    </row>
    <row r="164" spans="1:8">
      <c r="A164" s="102" t="str">
        <f>"Wash"&amp;"recycling"&amp;B164</f>
        <v>WashrecyclingCRY90EOW2</v>
      </c>
      <c r="B164" s="122" t="s">
        <v>799</v>
      </c>
      <c r="C164" s="122" t="s">
        <v>800</v>
      </c>
      <c r="D164" s="142">
        <v>42.71</v>
      </c>
      <c r="F164" s="123">
        <v>0</v>
      </c>
      <c r="H164" s="124">
        <f t="shared" si="9"/>
        <v>0</v>
      </c>
    </row>
    <row r="165" spans="1:8">
      <c r="A165" s="102" t="str">
        <f t="shared" si="10"/>
        <v>WashrecyclingCRY901X3</v>
      </c>
      <c r="B165" s="122" t="s">
        <v>793</v>
      </c>
      <c r="C165" s="122" t="s">
        <v>794</v>
      </c>
      <c r="D165" s="142">
        <v>92.16</v>
      </c>
      <c r="F165" s="123">
        <v>1315</v>
      </c>
      <c r="H165" s="124">
        <f t="shared" si="9"/>
        <v>1.1890552662037037</v>
      </c>
    </row>
    <row r="166" spans="1:8">
      <c r="A166" s="102" t="str">
        <f t="shared" si="10"/>
        <v>WashrecyclingCFR65G1X</v>
      </c>
      <c r="B166" s="122" t="s">
        <v>783</v>
      </c>
      <c r="C166" s="122" t="s">
        <v>784</v>
      </c>
      <c r="D166" s="142">
        <v>29.15</v>
      </c>
      <c r="F166" s="123">
        <v>2295.3000000000002</v>
      </c>
      <c r="H166" s="124">
        <f t="shared" si="9"/>
        <v>6.5617495711835341</v>
      </c>
    </row>
    <row r="167" spans="1:8">
      <c r="A167" s="102" t="str">
        <f t="shared" si="10"/>
        <v>WashrecyclingCRYGLASS1X</v>
      </c>
      <c r="B167" s="122" t="s">
        <v>803</v>
      </c>
      <c r="C167" s="122" t="s">
        <v>804</v>
      </c>
      <c r="D167" s="142">
        <v>23</v>
      </c>
      <c r="F167" s="123">
        <v>367.87</v>
      </c>
      <c r="H167" s="124">
        <f t="shared" si="9"/>
        <v>1.3328623188405797</v>
      </c>
    </row>
    <row r="168" spans="1:8">
      <c r="A168" s="102" t="str">
        <f t="shared" si="10"/>
        <v>WashrecyclingCRY90OC</v>
      </c>
      <c r="B168" s="122" t="s">
        <v>858</v>
      </c>
      <c r="C168" s="122" t="s">
        <v>857</v>
      </c>
      <c r="D168" s="142">
        <v>8.39</v>
      </c>
      <c r="F168" s="123">
        <v>461.90000000000009</v>
      </c>
      <c r="H168" s="124"/>
    </row>
    <row r="169" spans="1:8">
      <c r="A169" s="102" t="str">
        <f t="shared" si="10"/>
        <v>WashrecyclingCRY1YRENT</v>
      </c>
      <c r="B169" s="122" t="s">
        <v>1390</v>
      </c>
      <c r="C169" s="122" t="s">
        <v>1391</v>
      </c>
      <c r="D169" s="142">
        <v>0</v>
      </c>
      <c r="F169" s="123">
        <v>0</v>
      </c>
      <c r="H169" s="124"/>
    </row>
    <row r="170" spans="1:8">
      <c r="A170" s="102" t="str">
        <f t="shared" si="10"/>
        <v>WashrecyclingCRY1YOC</v>
      </c>
      <c r="B170" s="122" t="s">
        <v>834</v>
      </c>
      <c r="C170" s="122" t="s">
        <v>835</v>
      </c>
      <c r="D170" s="142">
        <v>28.98</v>
      </c>
      <c r="F170" s="123">
        <v>0</v>
      </c>
      <c r="H170" s="124"/>
    </row>
    <row r="171" spans="1:8">
      <c r="A171" s="102" t="str">
        <f t="shared" si="10"/>
        <v>WashrecyclingCRY3YOC</v>
      </c>
      <c r="B171" s="122" t="s">
        <v>840</v>
      </c>
      <c r="C171" s="122" t="s">
        <v>841</v>
      </c>
      <c r="D171" s="142">
        <v>33.119999999999997</v>
      </c>
      <c r="F171" s="123">
        <v>273.29000000000002</v>
      </c>
      <c r="H171" s="124"/>
    </row>
    <row r="172" spans="1:8">
      <c r="A172" s="102" t="str">
        <f t="shared" si="10"/>
        <v>WashrecyclingCRY4YOC</v>
      </c>
      <c r="B172" s="122" t="s">
        <v>842</v>
      </c>
      <c r="C172" s="122" t="s">
        <v>843</v>
      </c>
      <c r="D172" s="142">
        <v>39.32</v>
      </c>
      <c r="F172" s="123">
        <v>1036.71</v>
      </c>
      <c r="H172" s="124"/>
    </row>
    <row r="173" spans="1:8">
      <c r="A173" s="102" t="str">
        <f t="shared" si="10"/>
        <v>WashrecyclingCRY6YOC</v>
      </c>
      <c r="B173" s="122" t="s">
        <v>844</v>
      </c>
      <c r="C173" s="122" t="s">
        <v>845</v>
      </c>
      <c r="D173" s="142">
        <v>41.4</v>
      </c>
      <c r="F173" s="123">
        <v>0</v>
      </c>
      <c r="H173" s="124"/>
    </row>
    <row r="174" spans="1:8">
      <c r="A174" s="102" t="str">
        <f t="shared" si="10"/>
        <v>WashrecyclingCRY8YOC</v>
      </c>
      <c r="B174" s="122" t="s">
        <v>955</v>
      </c>
      <c r="C174" s="122" t="s">
        <v>956</v>
      </c>
      <c r="D174" s="142">
        <v>45.54</v>
      </c>
      <c r="F174" s="123">
        <v>0</v>
      </c>
      <c r="H174" s="124"/>
    </row>
    <row r="175" spans="1:8">
      <c r="A175" s="102" t="str">
        <f t="shared" si="10"/>
        <v>Washrecycling0CRYEX90</v>
      </c>
      <c r="B175" s="122" t="s">
        <v>820</v>
      </c>
      <c r="C175" s="122" t="s">
        <v>821</v>
      </c>
      <c r="D175" s="142">
        <v>17.989999999999998</v>
      </c>
      <c r="F175" s="123">
        <v>429.96999999999997</v>
      </c>
    </row>
    <row r="176" spans="1:8">
      <c r="A176" s="102" t="str">
        <f t="shared" si="10"/>
        <v>Washrecycling0CRYEX1YD</v>
      </c>
      <c r="B176" s="122" t="s">
        <v>822</v>
      </c>
      <c r="C176" s="122" t="s">
        <v>823</v>
      </c>
      <c r="D176" s="142">
        <v>23.97</v>
      </c>
      <c r="F176" s="123">
        <v>0</v>
      </c>
    </row>
    <row r="177" spans="1:6">
      <c r="A177" s="102" t="str">
        <f t="shared" si="10"/>
        <v>Washrecycling0CRYEX3YD</v>
      </c>
      <c r="B177" s="122" t="s">
        <v>826</v>
      </c>
      <c r="C177" s="122" t="s">
        <v>827</v>
      </c>
      <c r="D177" s="142">
        <v>29.38</v>
      </c>
      <c r="F177" s="123">
        <v>44.47</v>
      </c>
    </row>
    <row r="178" spans="1:6">
      <c r="A178" s="102" t="str">
        <f t="shared" si="10"/>
        <v>Washrecycling0CRYEX4YD</v>
      </c>
      <c r="B178" s="122" t="s">
        <v>828</v>
      </c>
      <c r="C178" s="122" t="s">
        <v>829</v>
      </c>
      <c r="D178" s="142">
        <v>29.98</v>
      </c>
      <c r="F178" s="123">
        <v>600.0100000000001</v>
      </c>
    </row>
    <row r="179" spans="1:6">
      <c r="A179" s="102" t="str">
        <f t="shared" si="10"/>
        <v>Washrecycling0CRYEX6YD</v>
      </c>
      <c r="B179" s="122" t="s">
        <v>832</v>
      </c>
      <c r="C179" s="122" t="s">
        <v>833</v>
      </c>
      <c r="D179" s="142">
        <v>32.369999999999997</v>
      </c>
      <c r="F179" s="123">
        <v>0</v>
      </c>
    </row>
    <row r="180" spans="1:6">
      <c r="A180" s="102" t="str">
        <f t="shared" si="10"/>
        <v>WashrecyclingCRYEXC</v>
      </c>
      <c r="B180" s="122" t="s">
        <v>815</v>
      </c>
      <c r="C180" s="122" t="s">
        <v>816</v>
      </c>
      <c r="D180" s="142">
        <v>21.5</v>
      </c>
      <c r="F180" s="123">
        <v>1968.08</v>
      </c>
    </row>
    <row r="181" spans="1:6">
      <c r="A181" s="102" t="str">
        <f t="shared" si="10"/>
        <v>WashrecyclingMFPAIL</v>
      </c>
      <c r="B181" s="122" t="s">
        <v>813</v>
      </c>
      <c r="C181" s="122" t="s">
        <v>1392</v>
      </c>
      <c r="D181" s="142">
        <v>4.18</v>
      </c>
      <c r="F181" s="123">
        <v>0</v>
      </c>
    </row>
    <row r="182" spans="1:6">
      <c r="A182" s="102" t="str">
        <f t="shared" si="10"/>
        <v>WashrecyclingCRYEX90</v>
      </c>
      <c r="B182" s="122" t="s">
        <v>871</v>
      </c>
      <c r="C182" s="122" t="s">
        <v>872</v>
      </c>
      <c r="D182" s="142">
        <v>17.989999999999998</v>
      </c>
      <c r="F182" s="123">
        <v>0</v>
      </c>
    </row>
    <row r="183" spans="1:6">
      <c r="A183" s="102" t="str">
        <f t="shared" si="10"/>
        <v>Washrecycling0CRYEXC</v>
      </c>
      <c r="B183" s="122" t="s">
        <v>817</v>
      </c>
      <c r="C183" s="122" t="s">
        <v>816</v>
      </c>
      <c r="D183" s="142">
        <v>21.5</v>
      </c>
      <c r="F183" s="123">
        <v>0</v>
      </c>
    </row>
    <row r="184" spans="1:6">
      <c r="A184" s="102" t="str">
        <f t="shared" si="10"/>
        <v>WashrecyclingMFTOTE</v>
      </c>
      <c r="B184" s="159" t="s">
        <v>809</v>
      </c>
      <c r="C184" s="159" t="s">
        <v>810</v>
      </c>
      <c r="D184" s="142">
        <v>5.86</v>
      </c>
      <c r="F184" s="123">
        <v>5.86</v>
      </c>
    </row>
    <row r="185" spans="1:6">
      <c r="A185" s="152" t="str">
        <f t="shared" si="10"/>
        <v>WashrecyclingSCHX</v>
      </c>
      <c r="B185" s="161" t="s">
        <v>811</v>
      </c>
      <c r="C185" s="161" t="s">
        <v>812</v>
      </c>
      <c r="D185" s="142">
        <v>6.83</v>
      </c>
      <c r="F185" s="123">
        <v>109.28</v>
      </c>
    </row>
    <row r="186" spans="1:6">
      <c r="A186" s="102" t="str">
        <f t="shared" si="10"/>
        <v>WashrecyclingCRYACC</v>
      </c>
      <c r="B186" s="122" t="s">
        <v>861</v>
      </c>
      <c r="C186" s="122" t="s">
        <v>862</v>
      </c>
      <c r="D186" s="142">
        <v>8.2200000000000006</v>
      </c>
      <c r="F186" s="123">
        <v>1099.82</v>
      </c>
    </row>
    <row r="187" spans="1:6">
      <c r="A187" s="102" t="str">
        <f t="shared" si="10"/>
        <v>WashrecyclingCRYPLACE</v>
      </c>
      <c r="B187" s="122" t="s">
        <v>863</v>
      </c>
      <c r="C187" s="122" t="s">
        <v>864</v>
      </c>
      <c r="D187" s="142">
        <v>31.05</v>
      </c>
      <c r="F187" s="123">
        <v>265.13</v>
      </c>
    </row>
    <row r="188" spans="1:6">
      <c r="A188" s="102" t="str">
        <f t="shared" si="10"/>
        <v>WashrecyclingCRYRO</v>
      </c>
      <c r="B188" s="122" t="s">
        <v>865</v>
      </c>
      <c r="C188" s="122" t="s">
        <v>866</v>
      </c>
      <c r="D188" s="142">
        <v>8.2200000000000006</v>
      </c>
      <c r="F188" s="123">
        <v>1268.7999999999997</v>
      </c>
    </row>
    <row r="189" spans="1:6">
      <c r="A189" s="102" t="str">
        <f t="shared" si="10"/>
        <v>WashrecyclingCOMREC</v>
      </c>
      <c r="B189" s="122" t="s">
        <v>867</v>
      </c>
      <c r="C189" s="122" t="s">
        <v>868</v>
      </c>
      <c r="D189" s="142">
        <v>47.87</v>
      </c>
      <c r="F189" s="123">
        <v>6187.8200000000006</v>
      </c>
    </row>
    <row r="190" spans="1:6">
      <c r="A190" s="102" t="str">
        <f>"Wash"&amp;"recycling"&amp;B190</f>
        <v>WashrecyclingCRYEX902</v>
      </c>
      <c r="B190" s="122" t="s">
        <v>1285</v>
      </c>
      <c r="C190" s="122" t="s">
        <v>1286</v>
      </c>
      <c r="D190" s="142">
        <v>21.59</v>
      </c>
      <c r="F190" s="123">
        <v>0</v>
      </c>
    </row>
    <row r="191" spans="1:6">
      <c r="A191" s="102" t="str">
        <f t="shared" ref="A191" si="11">"Wash"&amp;"recycling"&amp;B191</f>
        <v>WashrecyclingCRYEX1YD</v>
      </c>
      <c r="B191" s="122" t="s">
        <v>875</v>
      </c>
      <c r="C191" s="122" t="s">
        <v>876</v>
      </c>
      <c r="D191" s="142">
        <v>23.97</v>
      </c>
      <c r="F191" s="123">
        <v>0</v>
      </c>
    </row>
    <row r="192" spans="1:6">
      <c r="A192" s="102" t="str">
        <f t="shared" si="10"/>
        <v>WashrecyclingCRYEX2YD</v>
      </c>
      <c r="B192" s="122" t="s">
        <v>877</v>
      </c>
      <c r="C192" s="122" t="s">
        <v>878</v>
      </c>
      <c r="D192" s="142">
        <v>26.38</v>
      </c>
      <c r="F192" s="123">
        <v>0</v>
      </c>
    </row>
    <row r="193" spans="1:8">
      <c r="A193" s="102" t="str">
        <f t="shared" si="10"/>
        <v>WashrecyclingCRYEX4YD</v>
      </c>
      <c r="B193" s="122" t="s">
        <v>881</v>
      </c>
      <c r="C193" s="122" t="s">
        <v>882</v>
      </c>
      <c r="D193" s="142">
        <v>29.98</v>
      </c>
      <c r="F193" s="123">
        <v>0</v>
      </c>
    </row>
    <row r="194" spans="1:8">
      <c r="A194" s="102" t="str">
        <f t="shared" si="10"/>
        <v>WashrecyclingCRYEX8YD</v>
      </c>
      <c r="B194" s="122" t="s">
        <v>887</v>
      </c>
      <c r="C194" s="122" t="s">
        <v>888</v>
      </c>
      <c r="D194" s="142">
        <v>33.619999999999997</v>
      </c>
      <c r="F194" s="123">
        <v>0</v>
      </c>
    </row>
    <row r="195" spans="1:8">
      <c r="A195" s="102" t="str">
        <f t="shared" si="10"/>
        <v>WashrecyclingCRYTRIP</v>
      </c>
      <c r="B195" s="122" t="s">
        <v>889</v>
      </c>
      <c r="C195" s="122" t="s">
        <v>890</v>
      </c>
      <c r="D195" s="142">
        <v>14.97</v>
      </c>
      <c r="F195" s="123">
        <v>42.78</v>
      </c>
    </row>
    <row r="196" spans="1:8">
      <c r="A196" s="102" t="str">
        <f t="shared" si="10"/>
        <v>WashrecyclingRECPUR</v>
      </c>
      <c r="B196" s="122" t="s">
        <v>893</v>
      </c>
      <c r="C196" s="122" t="s">
        <v>894</v>
      </c>
      <c r="D196" s="142">
        <v>0</v>
      </c>
      <c r="F196" s="123">
        <v>-160.35</v>
      </c>
    </row>
    <row r="197" spans="1:8">
      <c r="B197" s="122"/>
      <c r="C197" s="122"/>
    </row>
    <row r="198" spans="1:8">
      <c r="B198" s="126"/>
      <c r="C198" s="127" t="s">
        <v>895</v>
      </c>
      <c r="F198" s="128">
        <f>+SUM(F138:F197)</f>
        <v>92639.46</v>
      </c>
      <c r="G198" s="129"/>
      <c r="H198" s="128">
        <f>+SUM(H138:H197)</f>
        <v>73.561418055279162</v>
      </c>
    </row>
    <row r="199" spans="1:8">
      <c r="B199" s="102"/>
      <c r="C199" s="102"/>
    </row>
    <row r="200" spans="1:8">
      <c r="A200" s="111"/>
      <c r="B200" s="111" t="s">
        <v>526</v>
      </c>
      <c r="C200" s="113"/>
      <c r="D200" s="114"/>
      <c r="E200" s="114"/>
      <c r="F200" s="114"/>
      <c r="G200" s="114"/>
      <c r="H200" s="114"/>
    </row>
    <row r="201" spans="1:8">
      <c r="B201" s="116"/>
      <c r="C201" s="116"/>
    </row>
    <row r="202" spans="1:8">
      <c r="A202" s="154"/>
      <c r="B202" s="119" t="s">
        <v>1299</v>
      </c>
      <c r="C202" s="119"/>
      <c r="D202" s="120"/>
      <c r="E202" s="121"/>
      <c r="F202" s="171"/>
      <c r="G202" s="121"/>
      <c r="H202" s="121"/>
    </row>
    <row r="203" spans="1:8">
      <c r="A203" s="102" t="str">
        <f>"Wash"&amp;"roll off"&amp;B203</f>
        <v>Washroll offWAHAUL20</v>
      </c>
      <c r="B203" s="122" t="s">
        <v>1393</v>
      </c>
      <c r="C203" s="122" t="s">
        <v>1394</v>
      </c>
      <c r="D203" s="142">
        <v>217.45</v>
      </c>
      <c r="F203" s="123">
        <v>34652.879999999997</v>
      </c>
      <c r="H203" s="124">
        <f t="shared" ref="H203:H207" si="12">+(F203/D203)/12</f>
        <v>13.280018395033339</v>
      </c>
    </row>
    <row r="204" spans="1:8">
      <c r="A204" s="102" t="str">
        <f t="shared" ref="A204:A216" si="13">"Wash"&amp;"roll off"&amp;B204</f>
        <v>Washroll offWAHAUL30</v>
      </c>
      <c r="B204" s="122" t="s">
        <v>1395</v>
      </c>
      <c r="C204" s="122" t="s">
        <v>1396</v>
      </c>
      <c r="D204" s="142">
        <v>260.32</v>
      </c>
      <c r="F204" s="123">
        <v>71074.64</v>
      </c>
      <c r="H204" s="124">
        <f t="shared" si="12"/>
        <v>22.752330465068635</v>
      </c>
    </row>
    <row r="205" spans="1:8">
      <c r="A205" s="102" t="str">
        <f t="shared" si="13"/>
        <v>Washroll offWAHAUL40</v>
      </c>
      <c r="B205" s="122" t="s">
        <v>1397</v>
      </c>
      <c r="C205" s="122" t="s">
        <v>1398</v>
      </c>
      <c r="D205" s="142">
        <v>303.95</v>
      </c>
      <c r="F205" s="123">
        <v>49720.99</v>
      </c>
      <c r="H205" s="124">
        <f t="shared" si="12"/>
        <v>13.631899435214125</v>
      </c>
    </row>
    <row r="206" spans="1:8">
      <c r="A206" s="102" t="str">
        <f t="shared" si="13"/>
        <v>Washroll offCTER20YD</v>
      </c>
      <c r="B206" s="122" t="s">
        <v>549</v>
      </c>
      <c r="C206" s="122" t="s">
        <v>550</v>
      </c>
      <c r="D206" s="142">
        <v>217.45</v>
      </c>
      <c r="F206" s="123">
        <v>0</v>
      </c>
      <c r="H206" s="124">
        <f t="shared" si="12"/>
        <v>0</v>
      </c>
    </row>
    <row r="207" spans="1:8">
      <c r="A207" s="102" t="str">
        <f>"Wash"&amp;"compactor"&amp;B207</f>
        <v>WashcompactorWAHAULC</v>
      </c>
      <c r="B207" s="122" t="s">
        <v>1399</v>
      </c>
      <c r="C207" s="122" t="s">
        <v>1400</v>
      </c>
      <c r="D207" s="142">
        <v>325.39999999999998</v>
      </c>
      <c r="F207" s="123">
        <v>17649.580000000002</v>
      </c>
      <c r="H207" s="124">
        <f t="shared" si="12"/>
        <v>4.5199702929727517</v>
      </c>
    </row>
    <row r="208" spans="1:8">
      <c r="A208" s="102" t="str">
        <f t="shared" si="13"/>
        <v>Washroll offWADEM20</v>
      </c>
      <c r="B208" s="122" t="s">
        <v>1401</v>
      </c>
      <c r="C208" s="122" t="s">
        <v>1402</v>
      </c>
      <c r="D208" s="142">
        <v>78.78</v>
      </c>
      <c r="F208" s="123">
        <v>10943.96</v>
      </c>
      <c r="H208" s="124"/>
    </row>
    <row r="209" spans="1:8">
      <c r="A209" s="102" t="str">
        <f t="shared" si="13"/>
        <v>Washroll offWADEM30</v>
      </c>
      <c r="B209" s="122" t="s">
        <v>1403</v>
      </c>
      <c r="C209" s="122" t="s">
        <v>1404</v>
      </c>
      <c r="D209" s="142">
        <v>99.63</v>
      </c>
      <c r="F209" s="123">
        <v>10075.209999999999</v>
      </c>
      <c r="H209" s="124"/>
    </row>
    <row r="210" spans="1:8">
      <c r="A210" s="102" t="str">
        <f t="shared" si="13"/>
        <v>Washroll offWADEM40</v>
      </c>
      <c r="B210" s="122" t="s">
        <v>1405</v>
      </c>
      <c r="C210" s="122" t="s">
        <v>1406</v>
      </c>
      <c r="D210" s="142">
        <v>115.45</v>
      </c>
      <c r="F210" s="123">
        <v>8725.8299999999981</v>
      </c>
      <c r="H210" s="124"/>
    </row>
    <row r="211" spans="1:8">
      <c r="A211" s="102" t="str">
        <f t="shared" si="13"/>
        <v>Washroll offWADEMLID30</v>
      </c>
      <c r="B211" s="122" t="s">
        <v>1407</v>
      </c>
      <c r="C211" s="122" t="s">
        <v>971</v>
      </c>
      <c r="D211" s="142">
        <v>127.95</v>
      </c>
      <c r="F211" s="123">
        <v>4629.33</v>
      </c>
    </row>
    <row r="212" spans="1:8">
      <c r="A212" s="102" t="str">
        <f>"Wash"&amp;"roll off"&amp;B212</f>
        <v>Washroll offCADEMLID</v>
      </c>
      <c r="B212" s="122" t="s">
        <v>970</v>
      </c>
      <c r="C212" s="122" t="s">
        <v>971</v>
      </c>
      <c r="D212" s="142">
        <v>0</v>
      </c>
      <c r="F212" s="123">
        <v>0</v>
      </c>
    </row>
    <row r="213" spans="1:8">
      <c r="A213" s="102" t="str">
        <f t="shared" si="13"/>
        <v>Washroll offVDTIME</v>
      </c>
      <c r="B213" s="122" t="s">
        <v>605</v>
      </c>
      <c r="C213" s="122" t="s">
        <v>606</v>
      </c>
      <c r="D213" s="142">
        <v>1.47</v>
      </c>
      <c r="F213" s="123">
        <v>622.04999999999995</v>
      </c>
    </row>
    <row r="214" spans="1:8">
      <c r="A214" s="102" t="str">
        <f t="shared" si="13"/>
        <v>Washroll offDBTRIP</v>
      </c>
      <c r="B214" s="122" t="s">
        <v>608</v>
      </c>
      <c r="C214" s="122" t="s">
        <v>609</v>
      </c>
      <c r="D214" s="142">
        <v>34.57</v>
      </c>
      <c r="F214" s="123">
        <v>1037.04</v>
      </c>
    </row>
    <row r="215" spans="1:8">
      <c r="A215" s="102" t="str">
        <f t="shared" si="13"/>
        <v>Washroll offVLIDCHG</v>
      </c>
      <c r="B215" s="122" t="s">
        <v>610</v>
      </c>
      <c r="C215" s="122" t="s">
        <v>598</v>
      </c>
      <c r="D215" s="142">
        <v>28.32</v>
      </c>
      <c r="F215" s="123">
        <v>702.15</v>
      </c>
    </row>
    <row r="216" spans="1:8">
      <c r="A216" s="102" t="str">
        <f t="shared" si="13"/>
        <v>Washroll offPTRAN</v>
      </c>
      <c r="B216" s="122" t="s">
        <v>935</v>
      </c>
      <c r="C216" s="122" t="s">
        <v>983</v>
      </c>
      <c r="D216" s="142">
        <v>10</v>
      </c>
      <c r="F216" s="123">
        <v>0</v>
      </c>
    </row>
    <row r="217" spans="1:8">
      <c r="B217" s="126"/>
      <c r="C217" s="126"/>
    </row>
    <row r="218" spans="1:8">
      <c r="B218" s="126"/>
      <c r="C218" s="127" t="s">
        <v>978</v>
      </c>
      <c r="F218" s="128">
        <f>+SUM(F203:F217)</f>
        <v>209833.65999999992</v>
      </c>
      <c r="G218" s="129"/>
      <c r="H218" s="128">
        <f>+SUM(H203:H217)</f>
        <v>54.18421858828885</v>
      </c>
    </row>
    <row r="219" spans="1:8">
      <c r="B219" s="126"/>
      <c r="C219" s="127"/>
    </row>
    <row r="220" spans="1:8">
      <c r="A220" s="154"/>
      <c r="B220" s="119" t="s">
        <v>979</v>
      </c>
      <c r="C220" s="119"/>
      <c r="D220" s="120"/>
      <c r="E220" s="121"/>
      <c r="F220" s="171"/>
      <c r="G220" s="121"/>
      <c r="H220" s="121"/>
    </row>
    <row r="221" spans="1:8">
      <c r="A221" s="102" t="str">
        <f t="shared" ref="A221:A231" si="14">"Wash"&amp;"roll off"&amp;B221</f>
        <v>Washroll offDRHAUL15</v>
      </c>
      <c r="B221" s="122" t="s">
        <v>898</v>
      </c>
      <c r="C221" s="122" t="s">
        <v>899</v>
      </c>
      <c r="D221" s="142">
        <v>173.74</v>
      </c>
      <c r="F221" s="123">
        <v>1150.8</v>
      </c>
      <c r="H221" s="124">
        <f>+(F221/D221)/12</f>
        <v>0.55197421434327154</v>
      </c>
    </row>
    <row r="222" spans="1:8">
      <c r="A222" s="102" t="str">
        <f t="shared" si="14"/>
        <v>Washroll offDRHAUL20</v>
      </c>
      <c r="B222" s="122" t="s">
        <v>900</v>
      </c>
      <c r="C222" s="122" t="s">
        <v>901</v>
      </c>
      <c r="D222" s="142">
        <v>173.74</v>
      </c>
      <c r="F222" s="123">
        <v>3171.88</v>
      </c>
      <c r="H222" s="124">
        <f>+(F222/D222)/12</f>
        <v>1.5213729327347378</v>
      </c>
    </row>
    <row r="223" spans="1:8">
      <c r="A223" s="102" t="str">
        <f t="shared" si="14"/>
        <v>Washroll offDRHAUL30</v>
      </c>
      <c r="B223" s="122" t="s">
        <v>902</v>
      </c>
      <c r="C223" s="122" t="s">
        <v>903</v>
      </c>
      <c r="D223" s="142">
        <v>173.74</v>
      </c>
      <c r="F223" s="123">
        <v>7412.5300000000007</v>
      </c>
      <c r="H223" s="124">
        <f>+(F223/D223)/12</f>
        <v>3.5553748896819002</v>
      </c>
    </row>
    <row r="224" spans="1:8">
      <c r="A224" s="102" t="str">
        <f t="shared" si="14"/>
        <v>Washroll offDRHAUL40</v>
      </c>
      <c r="B224" s="122" t="s">
        <v>904</v>
      </c>
      <c r="C224" s="122" t="s">
        <v>905</v>
      </c>
      <c r="D224" s="142">
        <v>173.74</v>
      </c>
      <c r="F224" s="123">
        <v>18159.830000000002</v>
      </c>
      <c r="H224" s="124">
        <f>+(F224/D224)/12</f>
        <v>8.7102519089827712</v>
      </c>
    </row>
    <row r="225" spans="1:8">
      <c r="A225" s="102" t="str">
        <f t="shared" si="14"/>
        <v>Washroll offDRDEM15</v>
      </c>
      <c r="B225" s="122" t="s">
        <v>912</v>
      </c>
      <c r="C225" s="122" t="s">
        <v>913</v>
      </c>
      <c r="D225" s="142">
        <v>0</v>
      </c>
      <c r="F225" s="123">
        <v>0</v>
      </c>
    </row>
    <row r="226" spans="1:8">
      <c r="A226" s="102" t="str">
        <f t="shared" si="14"/>
        <v>Washroll offDRDEM20</v>
      </c>
      <c r="B226" s="122" t="s">
        <v>914</v>
      </c>
      <c r="C226" s="122" t="s">
        <v>915</v>
      </c>
      <c r="D226" s="142">
        <v>0</v>
      </c>
      <c r="F226" s="123">
        <v>0</v>
      </c>
    </row>
    <row r="227" spans="1:8">
      <c r="A227" s="102" t="str">
        <f t="shared" si="14"/>
        <v>Washroll offDRDEM30</v>
      </c>
      <c r="B227" s="122" t="s">
        <v>916</v>
      </c>
      <c r="C227" s="122" t="s">
        <v>917</v>
      </c>
      <c r="D227" s="142">
        <v>0</v>
      </c>
      <c r="F227" s="123">
        <v>0</v>
      </c>
    </row>
    <row r="228" spans="1:8">
      <c r="A228" s="102" t="str">
        <f t="shared" si="14"/>
        <v>Washroll offDRDEM40</v>
      </c>
      <c r="B228" s="122" t="s">
        <v>918</v>
      </c>
      <c r="C228" s="122" t="s">
        <v>919</v>
      </c>
      <c r="D228" s="142">
        <v>0</v>
      </c>
      <c r="F228" s="123">
        <v>0</v>
      </c>
    </row>
    <row r="229" spans="1:8">
      <c r="A229" s="102" t="str">
        <f t="shared" si="14"/>
        <v>Washroll offDRPLACE</v>
      </c>
      <c r="B229" s="122" t="s">
        <v>922</v>
      </c>
      <c r="C229" s="122" t="s">
        <v>923</v>
      </c>
      <c r="D229" s="142">
        <v>0</v>
      </c>
      <c r="F229" s="123">
        <v>0</v>
      </c>
    </row>
    <row r="230" spans="1:8">
      <c r="A230" s="102" t="str">
        <f t="shared" si="14"/>
        <v>Washroll offDRTARP</v>
      </c>
      <c r="B230" s="122" t="s">
        <v>924</v>
      </c>
      <c r="C230" s="122" t="s">
        <v>925</v>
      </c>
      <c r="D230" s="142">
        <v>0</v>
      </c>
      <c r="F230" s="123">
        <v>0</v>
      </c>
    </row>
    <row r="231" spans="1:8">
      <c r="A231" s="102" t="str">
        <f t="shared" si="14"/>
        <v>Washroll offHAULWD/YD</v>
      </c>
      <c r="B231" s="122" t="s">
        <v>920</v>
      </c>
      <c r="C231" s="122" t="s">
        <v>921</v>
      </c>
      <c r="D231" s="142">
        <v>300.93</v>
      </c>
      <c r="F231" s="123">
        <v>0</v>
      </c>
    </row>
    <row r="232" spans="1:8">
      <c r="A232" s="102"/>
      <c r="D232" s="142"/>
    </row>
    <row r="233" spans="1:8">
      <c r="A233" s="102"/>
      <c r="C233" s="127" t="s">
        <v>984</v>
      </c>
      <c r="D233" s="142"/>
      <c r="F233" s="128">
        <f>+SUM(F221:F232)</f>
        <v>29895.040000000001</v>
      </c>
      <c r="G233" s="129"/>
      <c r="H233" s="128">
        <f>+SUM(H221:H232)</f>
        <v>14.33897394574268</v>
      </c>
    </row>
    <row r="234" spans="1:8">
      <c r="B234" s="126"/>
      <c r="C234" s="126"/>
    </row>
    <row r="235" spans="1:8">
      <c r="A235" s="111"/>
      <c r="B235" s="111" t="s">
        <v>612</v>
      </c>
      <c r="C235" s="113"/>
      <c r="D235" s="114"/>
      <c r="E235" s="114"/>
      <c r="F235" s="114"/>
      <c r="G235" s="114"/>
      <c r="H235" s="114"/>
    </row>
    <row r="236" spans="1:8">
      <c r="A236" s="102" t="str">
        <f t="shared" ref="A236:A241" si="15">"Wash"&amp;"roll off"&amp;B236</f>
        <v>Washroll offFOOD</v>
      </c>
      <c r="B236" s="122" t="s">
        <v>933</v>
      </c>
      <c r="C236" s="122" t="s">
        <v>934</v>
      </c>
      <c r="D236" s="142">
        <v>62.32</v>
      </c>
      <c r="F236" s="123">
        <v>0</v>
      </c>
    </row>
    <row r="237" spans="1:8">
      <c r="A237" s="102" t="str">
        <f t="shared" si="15"/>
        <v>Washroll offDISP</v>
      </c>
      <c r="B237" s="122" t="s">
        <v>613</v>
      </c>
      <c r="C237" s="122" t="s">
        <v>614</v>
      </c>
      <c r="D237" s="142">
        <v>78.760000000000005</v>
      </c>
      <c r="F237" s="123">
        <v>166073.52000000002</v>
      </c>
    </row>
    <row r="238" spans="1:8">
      <c r="A238" s="102" t="str">
        <f t="shared" si="15"/>
        <v>Washroll offFEE</v>
      </c>
      <c r="B238" s="122" t="s">
        <v>615</v>
      </c>
      <c r="C238" s="122" t="s">
        <v>616</v>
      </c>
      <c r="D238" s="142">
        <v>10</v>
      </c>
      <c r="F238" s="123">
        <v>6560</v>
      </c>
    </row>
    <row r="239" spans="1:8">
      <c r="A239" s="102" t="str">
        <f t="shared" si="15"/>
        <v>Washroll offWAFEE</v>
      </c>
      <c r="B239" s="122" t="s">
        <v>1408</v>
      </c>
      <c r="C239" s="122" t="s">
        <v>1409</v>
      </c>
      <c r="D239" s="142">
        <v>0</v>
      </c>
      <c r="F239" s="123">
        <v>0</v>
      </c>
    </row>
    <row r="240" spans="1:8">
      <c r="A240" s="102" t="str">
        <f t="shared" si="15"/>
        <v>Washroll offPTON</v>
      </c>
      <c r="B240" s="122" t="s">
        <v>931</v>
      </c>
      <c r="C240" s="122" t="s">
        <v>932</v>
      </c>
      <c r="D240" s="142">
        <v>0</v>
      </c>
      <c r="F240" s="123">
        <v>16648.43</v>
      </c>
    </row>
    <row r="241" spans="1:8">
      <c r="A241" s="102" t="str">
        <f t="shared" si="15"/>
        <v>Washroll offWADISP</v>
      </c>
      <c r="B241" s="122" t="s">
        <v>1410</v>
      </c>
      <c r="C241" s="122" t="s">
        <v>1411</v>
      </c>
      <c r="D241" s="142">
        <v>0</v>
      </c>
      <c r="F241" s="123">
        <v>0</v>
      </c>
    </row>
    <row r="242" spans="1:8">
      <c r="A242" s="152" t="str">
        <f>"Wash"&amp;"residential"&amp;B242</f>
        <v>WashresidentialWBREFRIGE</v>
      </c>
      <c r="B242" s="122" t="s">
        <v>619</v>
      </c>
      <c r="C242" s="122" t="s">
        <v>620</v>
      </c>
      <c r="D242" s="142">
        <v>45.55</v>
      </c>
      <c r="F242" s="123">
        <v>684.03000000000009</v>
      </c>
    </row>
    <row r="243" spans="1:8">
      <c r="A243" s="152" t="str">
        <f t="shared" ref="A243:A246" si="16">"Wash"&amp;"residential"&amp;B243</f>
        <v>WashresidentialWBDRYER</v>
      </c>
      <c r="B243" s="122" t="s">
        <v>617</v>
      </c>
      <c r="C243" s="122" t="s">
        <v>618</v>
      </c>
      <c r="D243" s="142">
        <v>22.78</v>
      </c>
      <c r="F243" s="123">
        <v>91.12</v>
      </c>
    </row>
    <row r="244" spans="1:8">
      <c r="A244" s="152" t="str">
        <f t="shared" si="16"/>
        <v>WashresidentialWTTIRE</v>
      </c>
      <c r="B244" s="122" t="s">
        <v>621</v>
      </c>
      <c r="C244" s="122" t="s">
        <v>622</v>
      </c>
      <c r="D244" s="142">
        <v>18.38</v>
      </c>
      <c r="F244" s="123">
        <v>0</v>
      </c>
    </row>
    <row r="245" spans="1:8">
      <c r="A245" s="152" t="str">
        <f t="shared" si="16"/>
        <v>WashresidentialWCTIRE/RIM</v>
      </c>
      <c r="B245" s="122" t="s">
        <v>623</v>
      </c>
      <c r="C245" s="122" t="s">
        <v>624</v>
      </c>
      <c r="D245" s="142">
        <v>9.1999999999999993</v>
      </c>
      <c r="F245" s="123">
        <v>0</v>
      </c>
    </row>
    <row r="246" spans="1:8">
      <c r="A246" s="152" t="str">
        <f t="shared" si="16"/>
        <v>WashresidentialWCTIRE</v>
      </c>
      <c r="B246" s="122" t="s">
        <v>625</v>
      </c>
      <c r="C246" s="122" t="s">
        <v>626</v>
      </c>
      <c r="D246" s="142">
        <v>6.13</v>
      </c>
      <c r="F246" s="123">
        <v>6.13</v>
      </c>
    </row>
    <row r="248" spans="1:8">
      <c r="B248" s="126"/>
      <c r="C248" s="127" t="s">
        <v>631</v>
      </c>
      <c r="F248" s="128">
        <f>+SUM(F236:F247)</f>
        <v>190063.23</v>
      </c>
      <c r="G248" s="129"/>
      <c r="H248" s="128">
        <f>+SUM(H236:H247)</f>
        <v>0</v>
      </c>
    </row>
    <row r="249" spans="1:8">
      <c r="B249" s="126"/>
      <c r="C249" s="127"/>
    </row>
    <row r="250" spans="1:8">
      <c r="A250" s="111"/>
      <c r="B250" s="111" t="s">
        <v>24</v>
      </c>
      <c r="C250" s="113"/>
      <c r="D250" s="114"/>
      <c r="E250" s="114"/>
      <c r="F250" s="114"/>
      <c r="G250" s="114"/>
      <c r="H250" s="114"/>
    </row>
    <row r="251" spans="1:8">
      <c r="A251" s="102" t="str">
        <f>"Wash"&amp;"Accounting"&amp;B251</f>
        <v>WashAccountingFINCHG</v>
      </c>
      <c r="B251" s="122" t="s">
        <v>632</v>
      </c>
      <c r="C251" s="122" t="s">
        <v>633</v>
      </c>
      <c r="D251" s="142">
        <v>0</v>
      </c>
      <c r="F251" s="123">
        <v>0</v>
      </c>
    </row>
    <row r="252" spans="1:8">
      <c r="A252" s="102" t="str">
        <f>"Wash"&amp;"Account Adjustments"&amp;B252</f>
        <v>WashAccount AdjustmentsMM</v>
      </c>
      <c r="B252" s="122" t="s">
        <v>993</v>
      </c>
      <c r="C252" s="122" t="s">
        <v>522</v>
      </c>
      <c r="D252" s="142">
        <v>0</v>
      </c>
      <c r="F252" s="123">
        <v>-782.32999999999993</v>
      </c>
    </row>
    <row r="253" spans="1:8">
      <c r="A253" s="102" t="str">
        <f>"Wash"&amp;"Account Adjustments"&amp;B253</f>
        <v>WashAccount AdjustmentsADJ</v>
      </c>
      <c r="B253" s="122" t="s">
        <v>521</v>
      </c>
      <c r="C253" s="122" t="s">
        <v>522</v>
      </c>
      <c r="D253" s="142">
        <v>0</v>
      </c>
      <c r="F253" s="123">
        <v>-10.130000000000001</v>
      </c>
    </row>
    <row r="254" spans="1:8">
      <c r="A254" s="102" t="str">
        <f>"Wash"&amp;"Account Adjustments"&amp;B254</f>
        <v>WashAccount AdjustmentsGWC</v>
      </c>
      <c r="B254" s="122" t="s">
        <v>523</v>
      </c>
      <c r="C254" s="122" t="s">
        <v>524</v>
      </c>
      <c r="D254" s="142">
        <v>0</v>
      </c>
      <c r="F254" s="123">
        <v>-55.61</v>
      </c>
    </row>
    <row r="255" spans="1:8">
      <c r="A255" s="102" t="str">
        <f>"Wash"&amp;"Accounting"&amp;B255</f>
        <v>WashAccountingNSF FEES</v>
      </c>
      <c r="B255" s="122" t="s">
        <v>991</v>
      </c>
      <c r="C255" s="122" t="s">
        <v>992</v>
      </c>
      <c r="D255" s="142">
        <v>0</v>
      </c>
      <c r="F255" s="123">
        <v>0</v>
      </c>
    </row>
    <row r="256" spans="1:8">
      <c r="A256" s="102" t="str">
        <f>"Wash"&amp;"Account Adjustments"&amp;B256</f>
        <v>WashAccount AdjustmentsRETCKC</v>
      </c>
      <c r="B256" s="122" t="s">
        <v>634</v>
      </c>
      <c r="C256" s="122" t="s">
        <v>635</v>
      </c>
      <c r="D256" s="142">
        <v>0</v>
      </c>
      <c r="F256" s="123">
        <v>100</v>
      </c>
    </row>
    <row r="257" spans="1:8">
      <c r="A257" s="102"/>
      <c r="B257" s="122"/>
      <c r="C257" s="122"/>
      <c r="D257" s="142"/>
    </row>
    <row r="258" spans="1:8">
      <c r="A258" s="102"/>
      <c r="B258" s="126"/>
      <c r="C258" s="127" t="s">
        <v>636</v>
      </c>
      <c r="D258" s="142"/>
      <c r="F258" s="128">
        <f>+SUM(F251:F257)</f>
        <v>-748.06999999999994</v>
      </c>
      <c r="G258" s="129"/>
      <c r="H258" s="128">
        <f>+SUM(H251:H257)</f>
        <v>0</v>
      </c>
    </row>
    <row r="259" spans="1:8">
      <c r="B259" s="126"/>
      <c r="C259" s="127"/>
    </row>
    <row r="260" spans="1:8" ht="13.5" thickBot="1">
      <c r="B260" s="135"/>
      <c r="C260" s="134" t="s">
        <v>637</v>
      </c>
      <c r="F260" s="137">
        <f>+F258+F248+F233+F218+F198+F135+F64+F70+F48+F40</f>
        <v>2556413.4699999997</v>
      </c>
      <c r="G260" s="138"/>
      <c r="H260" s="137">
        <f>+H258+H248+H233+H218+H198+H135+H64+H70+H48+H40</f>
        <v>13075.218095369837</v>
      </c>
    </row>
    <row r="261" spans="1:8" ht="13.5" thickTop="1">
      <c r="B261" s="135"/>
      <c r="C261" s="135"/>
    </row>
  </sheetData>
  <mergeCells count="2">
    <mergeCell ref="F6:H6"/>
    <mergeCell ref="B4:H5"/>
  </mergeCells>
  <pageMargins left="0.7" right="0.7" top="0.75" bottom="0.75" header="0.3" footer="0.3"/>
  <pageSetup scale="90" pageOrder="overThenDown" orientation="portrait" r:id="rId1"/>
  <headerFooter>
    <oddFooter xml:space="preserve">&amp;L&amp;F - &amp;A
&amp;RPage &amp;P of &amp;N
</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1F48B17BD9B3844A9590C90A9422838" ma:contentTypeVersion="92" ma:contentTypeDescription="" ma:contentTypeScope="" ma:versionID="71825307194bd7908736c7519c75092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89c495a0c88ffde05ae816fb4d76b5d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2017-11-15T08:00:00+00:00</OpenedDate>
    <Date1 xmlns="dc463f71-b30c-4ab2-9473-d307f9d35888">2017-11-15T08:00:00+00:00</Date1>
    <IsDocumentOrder xmlns="dc463f71-b30c-4ab2-9473-d307f9d35888">false</IsDocumentOrder>
    <IsHighlyConfidential xmlns="dc463f71-b30c-4ab2-9473-d307f9d35888">false</IsHighlyConfidential>
    <CaseCompanyNames xmlns="dc463f71-b30c-4ab2-9473-d307f9d35888">WASTE CONNECTIONS OF WASHINGTON, INC.</CaseCompanyNames>
    <Nickname xmlns="http://schemas.microsoft.com/sharepoint/v3" xsi:nil="true"/>
    <DocketNumber xmlns="dc463f71-b30c-4ab2-9473-d307f9d35888">171140</DocketNumber>
    <DelegatedOrder xmlns="dc463f71-b30c-4ab2-9473-d307f9d35888">false</DelegatedOrder>
    <SignificantOrder xmlns="dc463f71-b30c-4ab2-9473-d307f9d35888">false</SignificantOrder>
  </documentManagement>
</p:properties>
</file>

<file path=customXml/itemProps1.xml><?xml version="1.0" encoding="utf-8"?>
<ds:datastoreItem xmlns:ds="http://schemas.openxmlformats.org/officeDocument/2006/customXml" ds:itemID="{93FBD573-620A-487A-8CB3-D434566F956D}"/>
</file>

<file path=customXml/itemProps2.xml><?xml version="1.0" encoding="utf-8"?>
<ds:datastoreItem xmlns:ds="http://schemas.openxmlformats.org/officeDocument/2006/customXml" ds:itemID="{052AAB81-5817-456A-83CB-E1CD5BB04368}"/>
</file>

<file path=customXml/itemProps3.xml><?xml version="1.0" encoding="utf-8"?>
<ds:datastoreItem xmlns:ds="http://schemas.openxmlformats.org/officeDocument/2006/customXml" ds:itemID="{2392C9C0-E3D3-4AF8-AD13-088258EE2D57}"/>
</file>

<file path=customXml/itemProps4.xml><?xml version="1.0" encoding="utf-8"?>
<ds:datastoreItem xmlns:ds="http://schemas.openxmlformats.org/officeDocument/2006/customXml" ds:itemID="{15862C90-B932-41C6-BDC8-1727D81C01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17</vt:i4>
      </vt:variant>
    </vt:vector>
  </HeadingPairs>
  <TitlesOfParts>
    <vt:vector size="28" baseType="lpstr">
      <vt:lpstr>Revenue Summary</vt:lpstr>
      <vt:lpstr>Customer Count Summary</vt:lpstr>
      <vt:lpstr>2010_IS210</vt:lpstr>
      <vt:lpstr>Clark Co</vt:lpstr>
      <vt:lpstr>UTC Non-REg</vt:lpstr>
      <vt:lpstr>Camas Non-Reg</vt:lpstr>
      <vt:lpstr>Ridgefield Non-Reg</vt:lpstr>
      <vt:lpstr>Vancouver Non-Reg</vt:lpstr>
      <vt:lpstr>Washougal Non-Reg</vt:lpstr>
      <vt:lpstr>West Van Non-Reg</vt:lpstr>
      <vt:lpstr>Shred Non-Reg</vt:lpstr>
      <vt:lpstr>'2010_IS210'!District</vt:lpstr>
      <vt:lpstr>'2010_IS210'!DistrictName</vt:lpstr>
      <vt:lpstr>'2010_IS210'!ExcludeIC</vt:lpstr>
      <vt:lpstr>'2010_IS210'!Print_Area</vt:lpstr>
      <vt:lpstr>'Clark Co'!Print_Area</vt:lpstr>
      <vt:lpstr>'Shred Non-Reg'!Print_Area</vt:lpstr>
      <vt:lpstr>'UTC Non-REg'!Print_Area</vt:lpstr>
      <vt:lpstr>'2010_IS210'!Print_Titles</vt:lpstr>
      <vt:lpstr>'Camas Non-Reg'!Print_Titles</vt:lpstr>
      <vt:lpstr>'Clark Co'!Print_Titles</vt:lpstr>
      <vt:lpstr>'Ridgefield Non-Reg'!Print_Titles</vt:lpstr>
      <vt:lpstr>'UTC Non-REg'!Print_Titles</vt:lpstr>
      <vt:lpstr>'Vancouver Non-Reg'!Print_Titles</vt:lpstr>
      <vt:lpstr>'Washougal Non-Reg'!Print_Titles</vt:lpstr>
      <vt:lpstr>'West Van Non-Reg'!Print_Titles</vt:lpstr>
      <vt:lpstr>'2010_IS210'!System</vt:lpstr>
      <vt:lpstr>'2010_IS210'!YearMonth</vt:lpstr>
    </vt:vector>
  </TitlesOfParts>
  <Company>R360 Environmental Solutions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Lindsay Waldram</dc:creator>
  <cp:lastModifiedBy>Lindsay Waldram</cp:lastModifiedBy>
  <cp:lastPrinted>2017-11-14T00:22:08Z</cp:lastPrinted>
  <dcterms:created xsi:type="dcterms:W3CDTF">2017-11-13T23:37:56Z</dcterms:created>
  <dcterms:modified xsi:type="dcterms:W3CDTF">2017-11-14T00:35:27Z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0x0101006E56B4D1795A2E4DB2F0B01679ED314A0091F48B17BD9B3844A9590C90A9422838</vt:lpwstr>
  </property>
  <property fmtid="{D5CDD505-2E9C-101B-9397-08002B2CF9AE}" pid="3" name="_docset_NoMedatataSyncRequired">
    <vt:lpwstr>False</vt:lpwstr>
  </property>
  <property fmtid="{D5CDD505-2E9C-101B-9397-08002B2CF9AE}" pid="4" name="IsEFSEC">
    <vt:bool>false</vt:bool>
  </property>
</Properties>
</file>