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11.xml" ContentType="application/vnd.openxmlformats-officedocument.spreadsheetml.comments+xml"/>
  <Override PartName="/xl/comments10.xml" ContentType="application/vnd.openxmlformats-officedocument.spreadsheetml.comments+xml"/>
  <Override PartName="/xl/comments9.xml" ContentType="application/vnd.openxmlformats-officedocument.spreadsheetml.comment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September 2017\Sept 29 Friday\Cascade Tariff Revision 7924\"/>
    </mc:Choice>
  </mc:AlternateContent>
  <bookViews>
    <workbookView xWindow="3300" yWindow="90" windowWidth="12930" windowHeight="9285"/>
  </bookViews>
  <sheets>
    <sheet name="WA 2016-Post Revision" sheetId="13" r:id="rId1"/>
    <sheet name="WA 2016-Pre Revision" sheetId="12" r:id="rId2"/>
    <sheet name="WA 2015" sheetId="11" r:id="rId3"/>
    <sheet name="WA 2014" sheetId="10" r:id="rId4"/>
    <sheet name="WA 2013" sheetId="9" r:id="rId5"/>
    <sheet name="WA 2012" sheetId="8" r:id="rId6"/>
    <sheet name="WA 2011" sheetId="7" r:id="rId7"/>
    <sheet name="WA CY2010" sheetId="6" r:id="rId8"/>
    <sheet name="WA CY2009" sheetId="5" r:id="rId9"/>
    <sheet name="WA CY2008" sheetId="4" r:id="rId10"/>
    <sheet name="WA FY2007" sheetId="1" r:id="rId11"/>
    <sheet name="PUT CR Appl" sheetId="3" r:id="rId12"/>
  </sheets>
  <calcPr calcId="152511"/>
</workbook>
</file>

<file path=xl/calcChain.xml><?xml version="1.0" encoding="utf-8"?>
<calcChain xmlns="http://schemas.openxmlformats.org/spreadsheetml/2006/main">
  <c r="N24" i="13" l="1"/>
  <c r="N28" i="13"/>
  <c r="M24" i="13" l="1"/>
  <c r="M28" i="13"/>
  <c r="L24" i="13" l="1"/>
  <c r="L28" i="13"/>
  <c r="K28" i="13" l="1"/>
  <c r="K24" i="13"/>
  <c r="J28" i="13" l="1"/>
  <c r="J24" i="13"/>
  <c r="I28" i="13" l="1"/>
  <c r="I24" i="13"/>
  <c r="Q26" i="13" l="1"/>
  <c r="H28" i="13"/>
  <c r="H24" i="13"/>
  <c r="G24" i="13" l="1"/>
  <c r="G28" i="13"/>
  <c r="F28" i="13" l="1"/>
  <c r="F24" i="13"/>
  <c r="E25" i="13" l="1"/>
  <c r="E24" i="13"/>
  <c r="E28" i="13" l="1"/>
  <c r="D25" i="13" l="1"/>
  <c r="D24" i="13" l="1"/>
  <c r="D28" i="13"/>
  <c r="O27" i="13" l="1"/>
  <c r="N27" i="13"/>
  <c r="M27" i="13"/>
  <c r="L27" i="13"/>
  <c r="K27" i="13"/>
  <c r="J27" i="13"/>
  <c r="I27" i="13"/>
  <c r="H27" i="13"/>
  <c r="G27" i="13"/>
  <c r="F27" i="13"/>
  <c r="E27" i="13"/>
  <c r="D27" i="13"/>
  <c r="Q27" i="13" l="1"/>
  <c r="C28" i="13"/>
  <c r="C24" i="13"/>
  <c r="J29" i="12" l="1"/>
  <c r="F21" i="12" l="1"/>
  <c r="Q30" i="13" l="1"/>
  <c r="Q29" i="13"/>
  <c r="Q28" i="13"/>
  <c r="Q25" i="13"/>
  <c r="Q24" i="13"/>
  <c r="C31" i="13"/>
  <c r="D23" i="13" s="1"/>
  <c r="Q23" i="13" s="1"/>
  <c r="D22" i="13"/>
  <c r="E22" i="13" s="1"/>
  <c r="F22" i="13" s="1"/>
  <c r="G22" i="13" s="1"/>
  <c r="H22" i="13" s="1"/>
  <c r="I22" i="13" s="1"/>
  <c r="J22" i="13" s="1"/>
  <c r="K22" i="13" s="1"/>
  <c r="L22" i="13" s="1"/>
  <c r="M22" i="13" s="1"/>
  <c r="N22" i="13" s="1"/>
  <c r="O22" i="13" s="1"/>
  <c r="Q31" i="13" l="1"/>
  <c r="D31" i="13"/>
  <c r="E23" i="13" s="1"/>
  <c r="E31" i="13" s="1"/>
  <c r="C33" i="13"/>
  <c r="I29" i="12"/>
  <c r="D33" i="13" l="1"/>
  <c r="E33" i="13"/>
  <c r="F23" i="13"/>
  <c r="F31" i="13" s="1"/>
  <c r="G23" i="13" l="1"/>
  <c r="G31" i="13" s="1"/>
  <c r="F33" i="13"/>
  <c r="H29" i="12"/>
  <c r="H23" i="13" l="1"/>
  <c r="H31" i="13" s="1"/>
  <c r="G33" i="13"/>
  <c r="G29" i="12"/>
  <c r="I23" i="13" l="1"/>
  <c r="I31" i="13" s="1"/>
  <c r="H33" i="13"/>
  <c r="F29" i="12"/>
  <c r="I33" i="13" l="1"/>
  <c r="J23" i="13"/>
  <c r="J31" i="13" s="1"/>
  <c r="E29" i="12"/>
  <c r="K23" i="13" l="1"/>
  <c r="K31" i="13" s="1"/>
  <c r="J33" i="13"/>
  <c r="D29" i="12"/>
  <c r="L23" i="13" l="1"/>
  <c r="L31" i="13" s="1"/>
  <c r="K33" i="13"/>
  <c r="C29" i="12"/>
  <c r="M23" i="13" l="1"/>
  <c r="M31" i="13" s="1"/>
  <c r="L33" i="13"/>
  <c r="F21" i="11"/>
  <c r="M33" i="13" l="1"/>
  <c r="N23" i="13"/>
  <c r="N31" i="13" s="1"/>
  <c r="B51" i="12"/>
  <c r="P31" i="12"/>
  <c r="P30" i="12"/>
  <c r="P29" i="12"/>
  <c r="C32" i="12"/>
  <c r="P28" i="12"/>
  <c r="D26" i="12"/>
  <c r="E26" i="12" s="1"/>
  <c r="F26" i="12" s="1"/>
  <c r="G26" i="12" s="1"/>
  <c r="H26" i="12" s="1"/>
  <c r="I26" i="12" s="1"/>
  <c r="J26" i="12" s="1"/>
  <c r="K26" i="12" s="1"/>
  <c r="L26" i="12" s="1"/>
  <c r="M26" i="12" s="1"/>
  <c r="N26" i="12" s="1"/>
  <c r="G22" i="12"/>
  <c r="N33" i="13" l="1"/>
  <c r="O23" i="13"/>
  <c r="O31" i="13" s="1"/>
  <c r="O33" i="13" s="1"/>
  <c r="P32" i="12"/>
  <c r="D27" i="12"/>
  <c r="D32" i="12" s="1"/>
  <c r="C34" i="12"/>
  <c r="M29" i="11"/>
  <c r="E27" i="12" l="1"/>
  <c r="E32" i="12" s="1"/>
  <c r="D34" i="12"/>
  <c r="F27" i="12" l="1"/>
  <c r="F32" i="12" s="1"/>
  <c r="E34" i="12"/>
  <c r="L29" i="11"/>
  <c r="F34" i="12" l="1"/>
  <c r="G27" i="12"/>
  <c r="G32" i="12" s="1"/>
  <c r="K29" i="11"/>
  <c r="H27" i="12" l="1"/>
  <c r="H32" i="12" s="1"/>
  <c r="G34" i="12"/>
  <c r="J29" i="11"/>
  <c r="I27" i="12" l="1"/>
  <c r="I32" i="12" s="1"/>
  <c r="H34" i="12"/>
  <c r="I29" i="11"/>
  <c r="J27" i="12" l="1"/>
  <c r="J32" i="12" s="1"/>
  <c r="I34" i="12"/>
  <c r="H29" i="11"/>
  <c r="J34" i="12" l="1"/>
  <c r="K27" i="12"/>
  <c r="K32" i="12" s="1"/>
  <c r="G29" i="11"/>
  <c r="L27" i="12" l="1"/>
  <c r="L32" i="12" s="1"/>
  <c r="K34" i="12"/>
  <c r="F29" i="11"/>
  <c r="M27" i="12" l="1"/>
  <c r="M32" i="12" s="1"/>
  <c r="L34" i="12"/>
  <c r="E29" i="11"/>
  <c r="N27" i="12" l="1"/>
  <c r="N32" i="12" s="1"/>
  <c r="N34" i="12" s="1"/>
  <c r="M34" i="12"/>
  <c r="D29" i="11"/>
  <c r="C29" i="11" l="1"/>
  <c r="N29" i="10" l="1"/>
  <c r="G22" i="11" l="1"/>
  <c r="B52" i="11"/>
  <c r="C32" i="11"/>
  <c r="C34" i="11" s="1"/>
  <c r="P31" i="11"/>
  <c r="P30" i="11"/>
  <c r="P29" i="11"/>
  <c r="P28" i="11"/>
  <c r="D26" i="11"/>
  <c r="E26" i="11" s="1"/>
  <c r="F26" i="11" s="1"/>
  <c r="G26" i="11" s="1"/>
  <c r="H26" i="11" s="1"/>
  <c r="I26" i="11" s="1"/>
  <c r="J26" i="11" s="1"/>
  <c r="K26" i="11" s="1"/>
  <c r="L26" i="11" s="1"/>
  <c r="M26" i="11" s="1"/>
  <c r="N26" i="11" s="1"/>
  <c r="D27" i="11" l="1"/>
  <c r="D32" i="11" s="1"/>
  <c r="E27" i="11" s="1"/>
  <c r="E32" i="11" s="1"/>
  <c r="P32" i="11"/>
  <c r="F21" i="10"/>
  <c r="D34" i="11" l="1"/>
  <c r="E34" i="11"/>
  <c r="F27" i="11"/>
  <c r="F32" i="11" s="1"/>
  <c r="M29" i="10"/>
  <c r="F34" i="11" l="1"/>
  <c r="G27" i="11"/>
  <c r="G32" i="11" s="1"/>
  <c r="K29" i="10"/>
  <c r="H27" i="11" l="1"/>
  <c r="H32" i="11" s="1"/>
  <c r="G34" i="11"/>
  <c r="J29" i="10"/>
  <c r="P31" i="10"/>
  <c r="P30" i="10"/>
  <c r="P29" i="9"/>
  <c r="P28" i="9"/>
  <c r="P27" i="9"/>
  <c r="P28" i="8"/>
  <c r="P27" i="8"/>
  <c r="P29" i="7"/>
  <c r="P27" i="6"/>
  <c r="P33" i="5"/>
  <c r="P29" i="5"/>
  <c r="P28" i="4"/>
  <c r="I27" i="11" l="1"/>
  <c r="I32" i="11" s="1"/>
  <c r="H34" i="11"/>
  <c r="I29" i="10"/>
  <c r="J27" i="11" l="1"/>
  <c r="J32" i="11" s="1"/>
  <c r="I34" i="11"/>
  <c r="H29" i="10"/>
  <c r="P29" i="10" s="1"/>
  <c r="J34" i="11" l="1"/>
  <c r="K27" i="11"/>
  <c r="K32" i="11" s="1"/>
  <c r="P28" i="10"/>
  <c r="P32" i="10" s="1"/>
  <c r="L27" i="11" l="1"/>
  <c r="L32" i="11" s="1"/>
  <c r="K34" i="11"/>
  <c r="E33" i="10"/>
  <c r="M27" i="11" l="1"/>
  <c r="M32" i="11" s="1"/>
  <c r="L34" i="11"/>
  <c r="F19" i="9"/>
  <c r="B51" i="10"/>
  <c r="C32" i="10"/>
  <c r="C34" i="10" s="1"/>
  <c r="D26" i="10"/>
  <c r="E26" i="10" s="1"/>
  <c r="F26" i="10" s="1"/>
  <c r="G26" i="10" s="1"/>
  <c r="H26" i="10" s="1"/>
  <c r="I26" i="10" s="1"/>
  <c r="J26" i="10" s="1"/>
  <c r="K26" i="10" s="1"/>
  <c r="L26" i="10" s="1"/>
  <c r="M26" i="10" s="1"/>
  <c r="N26" i="10" s="1"/>
  <c r="G22" i="10"/>
  <c r="M34" i="11" l="1"/>
  <c r="N27" i="11"/>
  <c r="N32" i="11" s="1"/>
  <c r="N34" i="11" s="1"/>
  <c r="D27" i="10"/>
  <c r="D32" i="10" s="1"/>
  <c r="D34" i="10" s="1"/>
  <c r="P26" i="9"/>
  <c r="P30" i="9" s="1"/>
  <c r="E27" i="10" l="1"/>
  <c r="E32" i="10" s="1"/>
  <c r="E34" i="10" s="1"/>
  <c r="F27" i="10" l="1"/>
  <c r="F32" i="10" s="1"/>
  <c r="F34" i="10" s="1"/>
  <c r="G20" i="9"/>
  <c r="G27" i="10" l="1"/>
  <c r="G32" i="10" s="1"/>
  <c r="H27" i="10" s="1"/>
  <c r="H32" i="10" s="1"/>
  <c r="K26" i="8"/>
  <c r="C25" i="9"/>
  <c r="C30" i="9" s="1"/>
  <c r="B49" i="9"/>
  <c r="D24" i="9"/>
  <c r="E24" i="9" s="1"/>
  <c r="F24" i="9" s="1"/>
  <c r="G24" i="9" s="1"/>
  <c r="H24" i="9" s="1"/>
  <c r="I24" i="9" s="1"/>
  <c r="J24" i="9" s="1"/>
  <c r="K24" i="9" s="1"/>
  <c r="L24" i="9" s="1"/>
  <c r="M24" i="9" s="1"/>
  <c r="N24" i="9" s="1"/>
  <c r="P26" i="8"/>
  <c r="P30" i="8" s="1"/>
  <c r="D24" i="8"/>
  <c r="E24" i="8"/>
  <c r="F24" i="8" s="1"/>
  <c r="G24" i="8" s="1"/>
  <c r="H24" i="8" s="1"/>
  <c r="I24" i="8" s="1"/>
  <c r="J24" i="8" s="1"/>
  <c r="K24" i="8" s="1"/>
  <c r="L24" i="8" s="1"/>
  <c r="B48" i="8"/>
  <c r="G20" i="8"/>
  <c r="K27" i="7"/>
  <c r="P27" i="7" s="1"/>
  <c r="G34" i="10" l="1"/>
  <c r="H34" i="10"/>
  <c r="I27" i="10"/>
  <c r="I32" i="10" s="1"/>
  <c r="N24" i="8"/>
  <c r="M24" i="8"/>
  <c r="D25" i="9"/>
  <c r="D30" i="9" s="1"/>
  <c r="C32" i="9"/>
  <c r="J28" i="7"/>
  <c r="P28" i="7" s="1"/>
  <c r="P31" i="7" s="1"/>
  <c r="I34" i="10" l="1"/>
  <c r="J27" i="10"/>
  <c r="J32" i="10" s="1"/>
  <c r="D32" i="9"/>
  <c r="E25" i="9"/>
  <c r="E30" i="9" s="1"/>
  <c r="B49" i="7"/>
  <c r="C31" i="7"/>
  <c r="G20" i="7"/>
  <c r="H28" i="6"/>
  <c r="F28" i="6"/>
  <c r="F29" i="6"/>
  <c r="E29" i="6"/>
  <c r="P29" i="6" s="1"/>
  <c r="E28" i="6"/>
  <c r="D28" i="6"/>
  <c r="B36" i="6"/>
  <c r="C31" i="6"/>
  <c r="C34" i="6"/>
  <c r="G20" i="6"/>
  <c r="L31" i="5"/>
  <c r="P31" i="5" s="1"/>
  <c r="I27" i="5"/>
  <c r="P27" i="5" s="1"/>
  <c r="F46" i="3"/>
  <c r="F45" i="3"/>
  <c r="F47" i="3" s="1"/>
  <c r="F50" i="3" s="1"/>
  <c r="C34" i="3"/>
  <c r="C42" i="3" s="1"/>
  <c r="D34" i="3" s="1"/>
  <c r="D42" i="3" s="1"/>
  <c r="E34" i="3" s="1"/>
  <c r="E36" i="3"/>
  <c r="C30" i="3"/>
  <c r="D22" i="3" s="1"/>
  <c r="D30" i="3" s="1"/>
  <c r="E22" i="3" s="1"/>
  <c r="E30" i="3" s="1"/>
  <c r="F22" i="3" s="1"/>
  <c r="F30" i="3" s="1"/>
  <c r="G22" i="3" s="1"/>
  <c r="G30" i="3" s="1"/>
  <c r="H22" i="3" s="1"/>
  <c r="H30" i="3" s="1"/>
  <c r="I22" i="3" s="1"/>
  <c r="I30" i="3" s="1"/>
  <c r="J22" i="3" s="1"/>
  <c r="J30" i="3" s="1"/>
  <c r="K22" i="3" s="1"/>
  <c r="K30" i="3" s="1"/>
  <c r="L22" i="3" s="1"/>
  <c r="L30" i="3" s="1"/>
  <c r="M22" i="3" s="1"/>
  <c r="M30" i="3" s="1"/>
  <c r="N22" i="3" s="1"/>
  <c r="N30" i="3" s="1"/>
  <c r="G16" i="3"/>
  <c r="G19" i="5"/>
  <c r="C35" i="5"/>
  <c r="D25" i="5" s="1"/>
  <c r="D35" i="5" s="1"/>
  <c r="E25" i="5" s="1"/>
  <c r="E35" i="5" s="1"/>
  <c r="F25" i="5" s="1"/>
  <c r="F35" i="5" s="1"/>
  <c r="G25" i="5" s="1"/>
  <c r="G35" i="5" s="1"/>
  <c r="H25" i="5" s="1"/>
  <c r="H35" i="5" s="1"/>
  <c r="I25" i="5" s="1"/>
  <c r="A39" i="5"/>
  <c r="K24" i="4"/>
  <c r="P24" i="4" s="1"/>
  <c r="F26" i="4"/>
  <c r="E26" i="4"/>
  <c r="A34" i="4"/>
  <c r="D26" i="4"/>
  <c r="C30" i="4"/>
  <c r="D22" i="4" s="1"/>
  <c r="D30" i="4" s="1"/>
  <c r="E22" i="4" s="1"/>
  <c r="E30" i="4" s="1"/>
  <c r="F22" i="4" s="1"/>
  <c r="F30" i="4" s="1"/>
  <c r="G22" i="4" s="1"/>
  <c r="G30" i="4" s="1"/>
  <c r="H22" i="4" s="1"/>
  <c r="H30" i="4" s="1"/>
  <c r="I22" i="4" s="1"/>
  <c r="I30" i="4" s="1"/>
  <c r="J22" i="4" s="1"/>
  <c r="J30" i="4" s="1"/>
  <c r="K22" i="4" s="1"/>
  <c r="K30" i="4" s="1"/>
  <c r="L22" i="4" s="1"/>
  <c r="L30" i="4" s="1"/>
  <c r="M22" i="4" s="1"/>
  <c r="M30" i="4" s="1"/>
  <c r="N22" i="4" s="1"/>
  <c r="N30" i="4" s="1"/>
  <c r="C30" i="1"/>
  <c r="D22" i="1" s="1"/>
  <c r="D30" i="1"/>
  <c r="E22" i="1" s="1"/>
  <c r="E30" i="1" s="1"/>
  <c r="F22" i="1" s="1"/>
  <c r="F26" i="1"/>
  <c r="H28" i="1"/>
  <c r="P28" i="1" s="1"/>
  <c r="I26" i="1"/>
  <c r="J24" i="1"/>
  <c r="P24" i="1" s="1"/>
  <c r="J26" i="1"/>
  <c r="G16" i="1"/>
  <c r="F15" i="1"/>
  <c r="P35" i="5" l="1"/>
  <c r="F30" i="1"/>
  <c r="G22" i="1" s="1"/>
  <c r="G30" i="1" s="1"/>
  <c r="H22" i="1" s="1"/>
  <c r="H30" i="1" s="1"/>
  <c r="I22" i="1" s="1"/>
  <c r="I30" i="1" s="1"/>
  <c r="J22" i="1" s="1"/>
  <c r="J30" i="1" s="1"/>
  <c r="K22" i="1" s="1"/>
  <c r="K30" i="1" s="1"/>
  <c r="L22" i="1" s="1"/>
  <c r="L30" i="1" s="1"/>
  <c r="M22" i="1" s="1"/>
  <c r="M30" i="1" s="1"/>
  <c r="N22" i="1" s="1"/>
  <c r="N30" i="1" s="1"/>
  <c r="P26" i="1"/>
  <c r="P30" i="1" s="1"/>
  <c r="P26" i="4"/>
  <c r="P30" i="4" s="1"/>
  <c r="E42" i="3"/>
  <c r="F34" i="3" s="1"/>
  <c r="F42" i="3" s="1"/>
  <c r="G34" i="3" s="1"/>
  <c r="G42" i="3" s="1"/>
  <c r="H34" i="3" s="1"/>
  <c r="H42" i="3" s="1"/>
  <c r="I35" i="5"/>
  <c r="J25" i="5" s="1"/>
  <c r="J35" i="5" s="1"/>
  <c r="K25" i="5" s="1"/>
  <c r="K35" i="5" s="1"/>
  <c r="L25" i="5" s="1"/>
  <c r="L35" i="5" s="1"/>
  <c r="M25" i="5" s="1"/>
  <c r="M35" i="5" s="1"/>
  <c r="N25" i="5" s="1"/>
  <c r="N35" i="5" s="1"/>
  <c r="D31" i="6"/>
  <c r="P28" i="6"/>
  <c r="P31" i="6" s="1"/>
  <c r="J34" i="10"/>
  <c r="K27" i="10"/>
  <c r="K32" i="10" s="1"/>
  <c r="F25" i="9"/>
  <c r="F30" i="9" s="1"/>
  <c r="E32" i="9"/>
  <c r="C33" i="7"/>
  <c r="D26" i="7"/>
  <c r="D31" i="7" s="1"/>
  <c r="E26" i="6" l="1"/>
  <c r="E31" i="6" s="1"/>
  <c r="D34" i="6"/>
  <c r="K34" i="10"/>
  <c r="L27" i="10"/>
  <c r="L32" i="10" s="1"/>
  <c r="F32" i="9"/>
  <c r="G25" i="9"/>
  <c r="G30" i="9" s="1"/>
  <c r="E26" i="7"/>
  <c r="E31" i="7" s="1"/>
  <c r="F26" i="7" s="1"/>
  <c r="F31" i="7" s="1"/>
  <c r="G26" i="7" s="1"/>
  <c r="D33" i="7"/>
  <c r="F26" i="6" l="1"/>
  <c r="F31" i="6" s="1"/>
  <c r="E34" i="6"/>
  <c r="L34" i="10"/>
  <c r="M27" i="10"/>
  <c r="M32" i="10" s="1"/>
  <c r="H25" i="9"/>
  <c r="H30" i="9" s="1"/>
  <c r="G32" i="9"/>
  <c r="E33" i="7"/>
  <c r="F33" i="7"/>
  <c r="G31" i="7"/>
  <c r="H26" i="7" s="1"/>
  <c r="F34" i="6" l="1"/>
  <c r="G26" i="6"/>
  <c r="G31" i="6" s="1"/>
  <c r="M34" i="10"/>
  <c r="N27" i="10"/>
  <c r="N32" i="10" s="1"/>
  <c r="N34" i="10" s="1"/>
  <c r="H32" i="9"/>
  <c r="I25" i="9"/>
  <c r="I30" i="9" s="1"/>
  <c r="H31" i="7"/>
  <c r="G33" i="7"/>
  <c r="G34" i="6" l="1"/>
  <c r="H26" i="6"/>
  <c r="H31" i="6" s="1"/>
  <c r="J25" i="9"/>
  <c r="J30" i="9" s="1"/>
  <c r="I32" i="9"/>
  <c r="H33" i="7"/>
  <c r="I26" i="7"/>
  <c r="I31" i="7" s="1"/>
  <c r="I26" i="6" l="1"/>
  <c r="I31" i="6" s="1"/>
  <c r="H34" i="6"/>
  <c r="J32" i="9"/>
  <c r="K25" i="9"/>
  <c r="K30" i="9" s="1"/>
  <c r="J26" i="7"/>
  <c r="J31" i="7" s="1"/>
  <c r="I33" i="7"/>
  <c r="J26" i="6" l="1"/>
  <c r="J31" i="6" s="1"/>
  <c r="I34" i="6"/>
  <c r="L25" i="9"/>
  <c r="L30" i="9" s="1"/>
  <c r="K32" i="9"/>
  <c r="J33" i="7"/>
  <c r="K26" i="7"/>
  <c r="K31" i="7" s="1"/>
  <c r="K26" i="6" l="1"/>
  <c r="K31" i="6" s="1"/>
  <c r="J34" i="6"/>
  <c r="L32" i="9"/>
  <c r="M25" i="9"/>
  <c r="M30" i="9" s="1"/>
  <c r="L26" i="7"/>
  <c r="L31" i="7" s="1"/>
  <c r="K33" i="7"/>
  <c r="K34" i="6" l="1"/>
  <c r="L26" i="6"/>
  <c r="L31" i="6" s="1"/>
  <c r="N25" i="9"/>
  <c r="N30" i="9" s="1"/>
  <c r="N32" i="9" s="1"/>
  <c r="M32" i="9"/>
  <c r="L33" i="7"/>
  <c r="M26" i="7"/>
  <c r="M31" i="7" s="1"/>
  <c r="L34" i="6" l="1"/>
  <c r="M26" i="6"/>
  <c r="M31" i="6" s="1"/>
  <c r="N26" i="7"/>
  <c r="N31" i="7" s="1"/>
  <c r="C25" i="8" s="1"/>
  <c r="M33" i="7"/>
  <c r="N26" i="6" l="1"/>
  <c r="N31" i="6" s="1"/>
  <c r="N34" i="6" s="1"/>
  <c r="M34" i="6"/>
  <c r="N33" i="7"/>
  <c r="C30" i="8"/>
  <c r="D25" i="8" l="1"/>
  <c r="D30" i="8" s="1"/>
  <c r="C32" i="8"/>
  <c r="D32" i="8" l="1"/>
  <c r="E25" i="8"/>
  <c r="E30" i="8" s="1"/>
  <c r="F25" i="8" l="1"/>
  <c r="F30" i="8" s="1"/>
  <c r="E32" i="8"/>
  <c r="F32" i="8" l="1"/>
  <c r="G25" i="8"/>
  <c r="G30" i="8" s="1"/>
  <c r="H25" i="8" l="1"/>
  <c r="H30" i="8" s="1"/>
  <c r="G32" i="8"/>
  <c r="H32" i="8" l="1"/>
  <c r="I25" i="8"/>
  <c r="I30" i="8" s="1"/>
  <c r="J25" i="8" l="1"/>
  <c r="J30" i="8" s="1"/>
  <c r="I32" i="8"/>
  <c r="K25" i="8" l="1"/>
  <c r="K30" i="8" s="1"/>
  <c r="J32" i="8"/>
  <c r="K32" i="8" l="1"/>
  <c r="L25" i="8"/>
  <c r="L30" i="8" s="1"/>
  <c r="L32" i="8" l="1"/>
  <c r="M25" i="8"/>
  <c r="M30" i="8" s="1"/>
  <c r="M32" i="8" l="1"/>
  <c r="N25" i="8"/>
  <c r="N30" i="8" s="1"/>
  <c r="N32" i="8" s="1"/>
</calcChain>
</file>

<file path=xl/comments1.xml><?xml version="1.0" encoding="utf-8"?>
<comments xmlns="http://schemas.openxmlformats.org/spreadsheetml/2006/main">
  <authors>
    <author>user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10.xml><?xml version="1.0" encoding="utf-8"?>
<comments xmlns="http://schemas.openxmlformats.org/spreadsheetml/2006/main">
  <authors>
    <author>Alesa Cullens</author>
  </authors>
  <commentList>
    <comment ref="C24" authorId="0" shapeId="0">
      <text>
        <r>
          <rPr>
            <b/>
            <sz val="8"/>
            <color indexed="81"/>
            <rFont val="Tahoma"/>
            <family val="2"/>
          </rPr>
          <t>Alesa Cullens:</t>
        </r>
        <r>
          <rPr>
            <sz val="8"/>
            <color indexed="81"/>
            <rFont val="Tahoma"/>
            <family val="2"/>
          </rPr>
          <t xml:space="preserve">
Partial accrual, program began 1/19/07, 13/31 days in January</t>
        </r>
      </text>
    </comment>
  </commentList>
</comments>
</file>

<file path=xl/comments11.xml><?xml version="1.0" encoding="utf-8"?>
<comments xmlns="http://schemas.openxmlformats.org/spreadsheetml/2006/main">
  <authors>
    <author>Carla Miller</author>
  </authors>
  <commentList>
    <comment ref="E36" authorId="0" shapeId="0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H36" authorId="0" shapeId="0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K26" authorId="0" shapeId="0">
      <text>
        <r>
          <rPr>
            <sz val="11"/>
            <color indexed="81"/>
            <rFont val="Tahoma"/>
            <family val="2"/>
          </rPr>
          <t xml:space="preserve">
Brian Hoyle:
$49,904.47 CREDIT received from WA state for LIHEAP (credit will be deducted From Excise tax return paid in Sep).</t>
        </r>
      </text>
    </comment>
  </commentList>
</comments>
</file>

<file path=xl/comments6.xml><?xml version="1.0" encoding="utf-8"?>
<comments xmlns="http://schemas.openxmlformats.org/spreadsheetml/2006/main">
  <authors>
    <author>Carla Miller</author>
  </authors>
  <commentList>
    <comment ref="K27" authorId="0" shapeId="0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$78,908.95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Sep)
</t>
        </r>
      </text>
    </comment>
  </commentList>
</comments>
</file>

<file path=xl/comments7.xml><?xml version="1.0" encoding="utf-8"?>
<comments xmlns="http://schemas.openxmlformats.org/spreadsheetml/2006/main">
  <authors>
    <author>Carla Miller</author>
    <author>alesa.cullens</author>
  </authors>
  <commentList>
    <comment ref="J27" authorId="0" shapeId="0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$74,863.79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Aug)</t>
        </r>
      </text>
    </comment>
    <comment ref="F28" authorId="1" shapeId="0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Reduced by $423.48 double payment, one should have been voided in GL, watch for this to happen in May.</t>
        </r>
      </text>
    </comment>
    <comment ref="G28" authorId="1" shapeId="0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Additional payment of $423.48 to OIC of WA - Moses Lake, monthly 20% allocation fee should be voided in May, but already subtracted out of April since it was reissued in April.</t>
        </r>
      </text>
    </comment>
  </commentList>
</comments>
</file>

<file path=xl/comments8.xml><?xml version="1.0" encoding="utf-8"?>
<comments xmlns="http://schemas.openxmlformats.org/spreadsheetml/2006/main">
  <authors>
    <author>Carla Miller</author>
    <author>carla.miller</author>
  </authors>
  <commentList>
    <comment ref="I27" authorId="0" shapeId="0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12"/>
            <rFont val="Tahoma"/>
            <family val="2"/>
          </rPr>
          <t>July's accrual includes $95,854.34 (non-cash) CREDIT received from WA state for LIHEAP (credit will be deducted From Excise tax return paid in Aug)</t>
        </r>
      </text>
    </comment>
    <comment ref="N27" authorId="1" shapeId="0">
      <text>
        <r>
          <rPr>
            <b/>
            <sz val="10"/>
            <color indexed="81"/>
            <rFont val="Tahoma"/>
            <family val="2"/>
          </rPr>
          <t>carla.miller:</t>
        </r>
        <r>
          <rPr>
            <sz val="10"/>
            <color indexed="81"/>
            <rFont val="Tahoma"/>
            <family val="2"/>
          </rPr>
          <t xml:space="preserve">
Dec 2009's accrual was reduced by 4 cents in order to keep the annual contribution correct ($800K per year)
</t>
        </r>
      </text>
    </comment>
  </commentList>
</comments>
</file>

<file path=xl/comments9.xml><?xml version="1.0" encoding="utf-8"?>
<comments xmlns="http://schemas.openxmlformats.org/spreadsheetml/2006/main">
  <authors>
    <author>Carla Miller</author>
  </authors>
  <commentList>
    <comment ref="K24" authorId="0" shapeId="0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N24" authorId="0" shapeId="0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sharedStrings.xml><?xml version="1.0" encoding="utf-8"?>
<sst xmlns="http://schemas.openxmlformats.org/spreadsheetml/2006/main" count="425" uniqueCount="118">
  <si>
    <t>CNGC agreed to pay $800,000/year to WA low income programs</t>
  </si>
  <si>
    <t>Per Kathie Barnard &amp; Debbie Banry, these payments will be made 2 ways:</t>
  </si>
  <si>
    <t>1) Payments made to assistance agencies, processed thru the AP system</t>
  </si>
  <si>
    <t>to be charged to accrual account 24208504-WL01</t>
  </si>
  <si>
    <t>2) Payments made directly to customer accounts as directed by the agencies.</t>
  </si>
  <si>
    <t>These payments will be processed in the customer accounting department and</t>
  </si>
  <si>
    <t>charged to 24208504-WL01 thru the monthly Customer adjustments JE</t>
  </si>
  <si>
    <t>Each month, Corporate accounting will accrue 1/12 of the $800K as follows:</t>
  </si>
  <si>
    <t>DR S003-115-9080-00000-665042</t>
  </si>
  <si>
    <t>CR 24208504-WL01</t>
  </si>
  <si>
    <t>WA Low Inc Bill Assist Expense</t>
  </si>
  <si>
    <t>WA Low Inc Program Liability</t>
  </si>
  <si>
    <t>Each month, Corporate accounting will send the following account reconciliation to Debbie Banry</t>
  </si>
  <si>
    <t>and Kathie Barnard to assist them in monitoring the funds distributed</t>
  </si>
  <si>
    <t>Jan. 07</t>
  </si>
  <si>
    <t>Feb. 07</t>
  </si>
  <si>
    <t>March 07</t>
  </si>
  <si>
    <t>April 07</t>
  </si>
  <si>
    <t>May 07</t>
  </si>
  <si>
    <t>June 07</t>
  </si>
  <si>
    <t>July 07</t>
  </si>
  <si>
    <t>Aug 07</t>
  </si>
  <si>
    <t>Sept 07</t>
  </si>
  <si>
    <t>Beg GL Balance</t>
  </si>
  <si>
    <t>Monthly accrual for Bill Assistance</t>
  </si>
  <si>
    <t>Payments to agencies thru AP</t>
  </si>
  <si>
    <t>Payments to Customer accounts processed in Cust Acctg</t>
  </si>
  <si>
    <t>Ending Balance</t>
  </si>
  <si>
    <t>Per agreement made in Jan 07 in connection with settling the WA 2005 Rate Case</t>
  </si>
  <si>
    <t>Accrual for WA Low Income Bill Assistance - 24208504-WL01</t>
  </si>
  <si>
    <t>Oct 07</t>
  </si>
  <si>
    <t>Nov 07</t>
  </si>
  <si>
    <t>Dec 07</t>
  </si>
  <si>
    <t>CY 2008</t>
  </si>
  <si>
    <t>Distribution List:</t>
  </si>
  <si>
    <t>Kathie Barnard</t>
  </si>
  <si>
    <t>Allison Spector</t>
  </si>
  <si>
    <t>Debbie Banry</t>
  </si>
  <si>
    <t>Holly Mulvenon</t>
  </si>
  <si>
    <t>email monthly</t>
  </si>
  <si>
    <t>Dec 08 reounding difference adjusted</t>
  </si>
  <si>
    <t>CY 2009</t>
  </si>
  <si>
    <t>Jim Abrahamson</t>
  </si>
  <si>
    <t>monthly</t>
  </si>
  <si>
    <t>email</t>
  </si>
  <si>
    <t>DR 47601WA.5981.29080</t>
  </si>
  <si>
    <t xml:space="preserve">   CR 47WA.2429.02</t>
  </si>
  <si>
    <t>July - Dec 2008</t>
  </si>
  <si>
    <t>Jan - May 2009</t>
  </si>
  <si>
    <t>Winter Help - Corporate Contributions</t>
  </si>
  <si>
    <t>Total Contributions for 2009 L/I Credit Appl</t>
  </si>
  <si>
    <t>June 2009 data not available in time to include in credit application - cjm</t>
  </si>
  <si>
    <t>to be charged to accrual account 47WA.2429.02</t>
  </si>
  <si>
    <t>charged to 47WA.2429.02 thru the monthly Customer adjustments JE</t>
  </si>
  <si>
    <t>Accrual for WA Low Income Bill Assistance - 47WA.2429.02</t>
  </si>
  <si>
    <t>Customer Contrib - Per Holly</t>
  </si>
  <si>
    <t>Prepared By:  Carla Miller</t>
  </si>
  <si>
    <t>Reconciliation Date:</t>
  </si>
  <si>
    <t>CY 2010</t>
  </si>
  <si>
    <t>GL Balance</t>
  </si>
  <si>
    <t>Difference</t>
  </si>
  <si>
    <t>Crystal Anderton</t>
  </si>
  <si>
    <t>Del Herner</t>
  </si>
  <si>
    <t>Lucinda Meeds</t>
  </si>
  <si>
    <t>Brian Hoyle</t>
  </si>
  <si>
    <t xml:space="preserve">Prepared By:  </t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</si>
  <si>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>Payments made to assistance agencies, processed thru the AP system</t>
    </r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</si>
  <si>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Payments made directly to customer accounts as directed by the agencies.</t>
    </r>
  </si>
  <si>
    <t xml:space="preserve">Accrual for WA Low Income Bill Assistance </t>
  </si>
  <si>
    <t>47WA.2429.02</t>
  </si>
  <si>
    <t>Chris Rivas</t>
  </si>
  <si>
    <t>Email Monthly</t>
  </si>
  <si>
    <t xml:space="preserve">     to be charged to accrual account 24208504-WL01</t>
  </si>
  <si>
    <t xml:space="preserve">     These payments will be processed in the customer accounting department and</t>
  </si>
  <si>
    <t xml:space="preserve">     charged to 24208504-WL01 thru the monthly Customer adjustments JE</t>
  </si>
  <si>
    <t>CY 2011</t>
  </si>
  <si>
    <t>Tammy Nygard</t>
  </si>
  <si>
    <t>Mike Parvinen</t>
  </si>
  <si>
    <t>CY 2012</t>
  </si>
  <si>
    <t>Per Mike Parvinen, these payments will be made 2 ways:</t>
  </si>
  <si>
    <t>Jenifer Moffett</t>
  </si>
  <si>
    <t>Jacqueline Schaible</t>
  </si>
  <si>
    <t>Department of Revenue-WA</t>
  </si>
  <si>
    <t>Tony Durado</t>
  </si>
  <si>
    <t>DR   47601WA.5981.29080</t>
  </si>
  <si>
    <t xml:space="preserve">   CR   47WA.2429.02</t>
  </si>
  <si>
    <t>Annual WA Dept of Revenue LIHEAP Tax Credit is added to $800K base.</t>
  </si>
  <si>
    <t>WA Dept of Revenue (LIHEAP Tax Credit)</t>
  </si>
  <si>
    <t xml:space="preserve">     to be charged to accrual account 47WA.2429.02</t>
  </si>
  <si>
    <t xml:space="preserve">     charged to 47WA.2429.02 thru the monthly Customer adjustments JE</t>
  </si>
  <si>
    <t>Per agreement made in Jan 07 (Docket # UG-060256) in connection with settling the WA 2005 Rate Case</t>
  </si>
  <si>
    <t>CNGC agreed to pay $800,000/year to WA Low Income Assistance Programs.  Per same agreement</t>
  </si>
  <si>
    <t>Per Jennifer Moffet - On 10/1 we switched from a flat rate payment to a fee for service ($/applicaion or % of assistance)</t>
  </si>
  <si>
    <t xml:space="preserve">                              Thus Oct 14' has no agency payments issued.  They will be calculated and paid in Nov 14' based upon October's activity level.</t>
  </si>
  <si>
    <t>Shannon Steed</t>
  </si>
  <si>
    <t>Per Jennifer Moffet - On 10/1/14 we switched from a flat rate payment to a fee for service ($/applicaion or % of assistance)</t>
  </si>
  <si>
    <t>Payments to Customer Accounts (CC&amp;B Interface)</t>
  </si>
  <si>
    <t>Jennifer Gross</t>
  </si>
  <si>
    <t>Payments to Customer Accounts (CC&amp;B Interface) (CC&amp;B CI1573)</t>
  </si>
  <si>
    <t xml:space="preserve"> WA Energy Assistance Fund (Low Income Bill Assistance) </t>
  </si>
  <si>
    <t>CNGC will bill WA customers in rate schedules 502, 503, 504, 505, 511, 512, 570, 577, &amp; 663 a rate (adjusted annually) to be used for WEAF.</t>
  </si>
  <si>
    <t>Collected funds will be used in 3 ways:</t>
  </si>
  <si>
    <t xml:space="preserve">    system and charged to the accrual account 47WA.2429.02.</t>
  </si>
  <si>
    <t xml:space="preserve">      to be charged to accrual account 47WA.2429.02</t>
  </si>
  <si>
    <t>Annual WA Dept of Revenue LIHEAP Tax Credits are to be added to collected amounts for program expense availabity.</t>
  </si>
  <si>
    <t xml:space="preserve">     charged to 47WA.2429.02 thru the monthly Customer Billing Interface JE</t>
  </si>
  <si>
    <t xml:space="preserve">     connecting customers with needs to appropriate resources:  Payments to be made thru the AP</t>
  </si>
  <si>
    <t>Other Program Costs</t>
  </si>
  <si>
    <r>
      <rPr>
        <b/>
        <sz val="11"/>
        <rFont val="Arial"/>
        <family val="2"/>
      </rPr>
      <t>3)</t>
    </r>
    <r>
      <rPr>
        <sz val="11"/>
        <rFont val="Arial"/>
        <family val="2"/>
      </rPr>
      <t xml:space="preserve"> Other Program Costs, such as conducting needs studies and targeted marketing costs,</t>
    </r>
  </si>
  <si>
    <t>16'-17'
Program Yr *</t>
  </si>
  <si>
    <t>16'-17' Program Year does not include September 2016.</t>
  </si>
  <si>
    <t>*</t>
  </si>
  <si>
    <t>2016-2017 Program Year</t>
  </si>
  <si>
    <t>Customer Billings (CC&amp;B CI1573)</t>
  </si>
  <si>
    <t>Payments to Customer Accounts (CC&amp;B CI1573)</t>
  </si>
  <si>
    <t>WEAF Accrual on Unbilled Revenues</t>
  </si>
  <si>
    <t>Reversal of Prior month Accrual</t>
  </si>
  <si>
    <t>Per agreement effective 9-1-16 (Docket # UG-152286) in connection with settling the WA 2016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</si>
</sst>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;@"/>
    <numFmt numFmtId="165" formatCode="m/d/yy;@"/>
    <numFmt numFmtId="166" formatCode="[$-409]mmmm\ d\,\ yyyy;@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u val="singleAccounting"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1"/>
      <color indexed="12"/>
      <name val="Tahoma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b/>
      <sz val="11"/>
      <color rgb="FF006100"/>
      <name val="Arial"/>
      <family val="2"/>
    </font>
    <font>
      <b/>
      <sz val="12"/>
      <color rgb="FFC00000"/>
      <name val="Arial"/>
      <family val="2"/>
    </font>
    <font>
      <b/>
      <sz val="11.5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name val="Arial"/>
      <family val="2"/>
    </font>
    <font>
      <b/>
      <sz val="16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</cellStyleXfs>
  <cellXfs count="145">
    <xf numFmtId="0" fontId="0" fillId="0" borderId="0" xfId="0"/>
    <xf numFmtId="0" fontId="2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/>
    </xf>
    <xf numFmtId="16" fontId="2" fillId="0" borderId="1" xfId="0" quotePrefix="1" applyNumberFormat="1" applyFont="1" applyBorder="1" applyAlignment="1">
      <alignment horizontal="center"/>
    </xf>
    <xf numFmtId="43" fontId="2" fillId="0" borderId="1" xfId="1" quotePrefix="1" applyFont="1" applyBorder="1" applyAlignment="1">
      <alignment horizontal="center"/>
    </xf>
    <xf numFmtId="0" fontId="0" fillId="0" borderId="0" xfId="0" applyAlignment="1">
      <alignment wrapText="1"/>
    </xf>
    <xf numFmtId="43" fontId="0" fillId="0" borderId="2" xfId="0" applyNumberFormat="1" applyBorder="1"/>
    <xf numFmtId="43" fontId="0" fillId="0" borderId="0" xfId="0" applyNumberFormat="1" applyFill="1"/>
    <xf numFmtId="43" fontId="2" fillId="0" borderId="1" xfId="1" quotePrefix="1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3" fontId="0" fillId="0" borderId="0" xfId="1" applyFont="1"/>
    <xf numFmtId="0" fontId="5" fillId="0" borderId="3" xfId="0" applyFont="1" applyBorder="1" applyAlignment="1">
      <alignment horizontal="center"/>
    </xf>
    <xf numFmtId="43" fontId="6" fillId="2" borderId="4" xfId="0" applyNumberFormat="1" applyFont="1" applyFill="1" applyBorder="1"/>
    <xf numFmtId="43" fontId="0" fillId="2" borderId="5" xfId="0" applyNumberFormat="1" applyFill="1" applyBorder="1"/>
    <xf numFmtId="43" fontId="0" fillId="2" borderId="6" xfId="0" applyNumberFormat="1" applyFill="1" applyBorder="1"/>
    <xf numFmtId="43" fontId="0" fillId="2" borderId="7" xfId="0" applyNumberFormat="1" applyFill="1" applyBorder="1"/>
    <xf numFmtId="43" fontId="0" fillId="2" borderId="7" xfId="0" applyNumberFormat="1" applyFill="1" applyBorder="1" applyAlignment="1">
      <alignment horizontal="right"/>
    </xf>
    <xf numFmtId="43" fontId="0" fillId="2" borderId="8" xfId="0" applyNumberFormat="1" applyFill="1" applyBorder="1"/>
    <xf numFmtId="43" fontId="0" fillId="2" borderId="9" xfId="0" applyNumberFormat="1" applyFill="1" applyBorder="1"/>
    <xf numFmtId="43" fontId="1" fillId="0" borderId="0" xfId="1"/>
    <xf numFmtId="0" fontId="9" fillId="0" borderId="0" xfId="0" applyFont="1"/>
    <xf numFmtId="43" fontId="6" fillId="0" borderId="0" xfId="0" applyNumberFormat="1" applyFont="1" applyFill="1" applyBorder="1"/>
    <xf numFmtId="43" fontId="0" fillId="0" borderId="0" xfId="0" applyNumberFormat="1" applyFill="1" applyBorder="1"/>
    <xf numFmtId="43" fontId="0" fillId="0" borderId="0" xfId="0" applyNumberFormat="1" applyFill="1" applyBorder="1" applyAlignment="1">
      <alignment horizontal="right"/>
    </xf>
    <xf numFmtId="43" fontId="0" fillId="2" borderId="0" xfId="0" applyNumberFormat="1" applyFill="1"/>
    <xf numFmtId="43" fontId="0" fillId="0" borderId="3" xfId="0" applyNumberFormat="1" applyBorder="1"/>
    <xf numFmtId="43" fontId="2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164" fontId="13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0" fillId="2" borderId="0" xfId="0" applyNumberFormat="1" applyFill="1" applyBorder="1"/>
    <xf numFmtId="43" fontId="14" fillId="2" borderId="0" xfId="0" applyNumberFormat="1" applyFont="1" applyFill="1" applyBorder="1"/>
    <xf numFmtId="0" fontId="12" fillId="5" borderId="0" xfId="0" applyFont="1" applyFill="1"/>
    <xf numFmtId="43" fontId="16" fillId="0" borderId="0" xfId="0" applyNumberFormat="1" applyFont="1" applyBorder="1"/>
    <xf numFmtId="43" fontId="0" fillId="0" borderId="0" xfId="0" applyNumberFormat="1" applyBorder="1"/>
    <xf numFmtId="43" fontId="14" fillId="2" borderId="0" xfId="0" applyNumberFormat="1" applyFont="1" applyFill="1" applyBorder="1" applyAlignment="1">
      <alignment horizontal="left"/>
    </xf>
    <xf numFmtId="43" fontId="0" fillId="2" borderId="0" xfId="0" applyNumberFormat="1" applyFill="1" applyBorder="1" applyAlignment="1">
      <alignment horizontal="left"/>
    </xf>
    <xf numFmtId="43" fontId="16" fillId="6" borderId="0" xfId="0" applyNumberFormat="1" applyFont="1" applyFill="1"/>
    <xf numFmtId="164" fontId="12" fillId="5" borderId="0" xfId="0" applyNumberFormat="1" applyFont="1" applyFill="1" applyBorder="1" applyAlignment="1">
      <alignment horizontal="left"/>
    </xf>
    <xf numFmtId="43" fontId="21" fillId="3" borderId="11" xfId="2" applyNumberFormat="1" applyFont="1" applyBorder="1"/>
    <xf numFmtId="43" fontId="22" fillId="4" borderId="12" xfId="3" applyNumberFormat="1" applyFont="1" applyBorder="1"/>
    <xf numFmtId="43" fontId="22" fillId="4" borderId="13" xfId="3" applyNumberFormat="1" applyFont="1" applyBorder="1"/>
    <xf numFmtId="43" fontId="16" fillId="7" borderId="14" xfId="0" applyNumberFormat="1" applyFont="1" applyFill="1" applyBorder="1"/>
    <xf numFmtId="43" fontId="16" fillId="7" borderId="15" xfId="0" applyNumberFormat="1" applyFont="1" applyFill="1" applyBorder="1"/>
    <xf numFmtId="43" fontId="16" fillId="7" borderId="13" xfId="0" applyNumberFormat="1" applyFont="1" applyFill="1" applyBorder="1"/>
    <xf numFmtId="43" fontId="23" fillId="3" borderId="16" xfId="2" applyNumberFormat="1" applyFont="1" applyBorder="1"/>
    <xf numFmtId="43" fontId="16" fillId="7" borderId="17" xfId="0" applyNumberFormat="1" applyFont="1" applyFill="1" applyBorder="1"/>
    <xf numFmtId="43" fontId="16" fillId="7" borderId="18" xfId="0" applyNumberFormat="1" applyFont="1" applyFill="1" applyBorder="1"/>
    <xf numFmtId="43" fontId="16" fillId="7" borderId="12" xfId="0" applyNumberFormat="1" applyFont="1" applyFill="1" applyBorder="1"/>
    <xf numFmtId="43" fontId="21" fillId="3" borderId="19" xfId="2" applyNumberFormat="1" applyFont="1" applyBorder="1"/>
    <xf numFmtId="43" fontId="16" fillId="7" borderId="20" xfId="0" applyNumberFormat="1" applyFont="1" applyFill="1" applyBorder="1"/>
    <xf numFmtId="43" fontId="16" fillId="7" borderId="21" xfId="0" applyNumberFormat="1" applyFont="1" applyFill="1" applyBorder="1"/>
    <xf numFmtId="43" fontId="21" fillId="3" borderId="22" xfId="2" applyNumberFormat="1" applyFont="1" applyBorder="1"/>
    <xf numFmtId="43" fontId="22" fillId="4" borderId="21" xfId="3" applyNumberFormat="1" applyFont="1" applyBorder="1"/>
    <xf numFmtId="0" fontId="15" fillId="7" borderId="5" xfId="0" applyFont="1" applyFill="1" applyBorder="1" applyAlignment="1">
      <alignment horizontal="left"/>
    </xf>
    <xf numFmtId="0" fontId="16" fillId="7" borderId="7" xfId="0" applyFont="1" applyFill="1" applyBorder="1" applyAlignment="1">
      <alignment vertical="center"/>
    </xf>
    <xf numFmtId="0" fontId="16" fillId="7" borderId="9" xfId="0" applyFont="1" applyFill="1" applyBorder="1" applyAlignment="1">
      <alignment vertical="center" wrapText="1"/>
    </xf>
    <xf numFmtId="0" fontId="0" fillId="0" borderId="0" xfId="0" applyBorder="1"/>
    <xf numFmtId="17" fontId="15" fillId="8" borderId="13" xfId="0" applyNumberFormat="1" applyFont="1" applyFill="1" applyBorder="1" applyAlignment="1">
      <alignment horizontal="center"/>
    </xf>
    <xf numFmtId="17" fontId="15" fillId="8" borderId="12" xfId="0" applyNumberFormat="1" applyFont="1" applyFill="1" applyBorder="1" applyAlignment="1">
      <alignment horizontal="center"/>
    </xf>
    <xf numFmtId="17" fontId="15" fillId="8" borderId="21" xfId="0" applyNumberFormat="1" applyFont="1" applyFill="1" applyBorder="1" applyAlignment="1">
      <alignment horizontal="center"/>
    </xf>
    <xf numFmtId="0" fontId="0" fillId="0" borderId="3" xfId="0" applyBorder="1"/>
    <xf numFmtId="0" fontId="0" fillId="8" borderId="10" xfId="0" applyFill="1" applyBorder="1"/>
    <xf numFmtId="0" fontId="21" fillId="3" borderId="7" xfId="2" applyFont="1" applyBorder="1"/>
    <xf numFmtId="0" fontId="22" fillId="4" borderId="9" xfId="3" applyFont="1" applyBorder="1"/>
    <xf numFmtId="0" fontId="17" fillId="0" borderId="0" xfId="0" applyFont="1" applyAlignment="1"/>
    <xf numFmtId="0" fontId="5" fillId="0" borderId="0" xfId="0" applyFont="1" applyBorder="1" applyAlignment="1">
      <alignment horizontal="left"/>
    </xf>
    <xf numFmtId="0" fontId="16" fillId="9" borderId="7" xfId="0" applyFont="1" applyFill="1" applyBorder="1" applyAlignment="1">
      <alignment wrapText="1"/>
    </xf>
    <xf numFmtId="43" fontId="16" fillId="9" borderId="15" xfId="0" applyNumberFormat="1" applyFont="1" applyFill="1" applyBorder="1"/>
    <xf numFmtId="43" fontId="16" fillId="9" borderId="18" xfId="0" applyNumberFormat="1" applyFont="1" applyFill="1" applyBorder="1"/>
    <xf numFmtId="43" fontId="16" fillId="9" borderId="20" xfId="0" applyNumberFormat="1" applyFont="1" applyFill="1" applyBorder="1"/>
    <xf numFmtId="0" fontId="24" fillId="5" borderId="0" xfId="0" applyFont="1" applyFill="1" applyBorder="1"/>
    <xf numFmtId="0" fontId="16" fillId="5" borderId="0" xfId="0" applyFont="1" applyFill="1" applyBorder="1"/>
    <xf numFmtId="43" fontId="16" fillId="5" borderId="0" xfId="0" applyNumberFormat="1" applyFont="1" applyFill="1" applyBorder="1"/>
    <xf numFmtId="0" fontId="17" fillId="0" borderId="0" xfId="0" applyFont="1"/>
    <xf numFmtId="43" fontId="14" fillId="2" borderId="0" xfId="0" applyNumberFormat="1" applyFont="1" applyFill="1" applyBorder="1" applyAlignment="1">
      <alignment horizontal="left" vertical="center" wrapText="1"/>
    </xf>
    <xf numFmtId="165" fontId="12" fillId="10" borderId="0" xfId="0" applyNumberFormat="1" applyFont="1" applyFill="1" applyBorder="1" applyAlignment="1">
      <alignment horizontal="left"/>
    </xf>
    <xf numFmtId="17" fontId="15" fillId="8" borderId="24" xfId="0" applyNumberFormat="1" applyFont="1" applyFill="1" applyBorder="1" applyAlignment="1">
      <alignment horizontal="center"/>
    </xf>
    <xf numFmtId="43" fontId="16" fillId="7" borderId="23" xfId="0" applyNumberFormat="1" applyFont="1" applyFill="1" applyBorder="1"/>
    <xf numFmtId="4" fontId="0" fillId="0" borderId="0" xfId="0" applyNumberFormat="1"/>
    <xf numFmtId="43" fontId="1" fillId="2" borderId="0" xfId="0" applyNumberFormat="1" applyFont="1" applyFill="1" applyBorder="1" applyAlignment="1">
      <alignment horizontal="left"/>
    </xf>
    <xf numFmtId="43" fontId="15" fillId="7" borderId="14" xfId="0" applyNumberFormat="1" applyFont="1" applyFill="1" applyBorder="1"/>
    <xf numFmtId="17" fontId="25" fillId="8" borderId="13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165" fontId="12" fillId="11" borderId="0" xfId="0" applyNumberFormat="1" applyFont="1" applyFill="1" applyBorder="1" applyAlignment="1">
      <alignment horizontal="left"/>
    </xf>
    <xf numFmtId="17" fontId="25" fillId="8" borderId="24" xfId="0" applyNumberFormat="1" applyFont="1" applyFill="1" applyBorder="1" applyAlignment="1">
      <alignment horizontal="center"/>
    </xf>
    <xf numFmtId="165" fontId="12" fillId="11" borderId="0" xfId="0" applyNumberFormat="1" applyFont="1" applyFill="1" applyBorder="1" applyAlignment="1">
      <alignment horizontal="center"/>
    </xf>
    <xf numFmtId="43" fontId="1" fillId="2" borderId="0" xfId="0" applyNumberFormat="1" applyFont="1" applyFill="1" applyBorder="1" applyAlignment="1">
      <alignment horizontal="left" indent="2"/>
    </xf>
    <xf numFmtId="0" fontId="30" fillId="0" borderId="0" xfId="0" applyFont="1" applyBorder="1" applyAlignment="1">
      <alignment horizontal="left"/>
    </xf>
    <xf numFmtId="0" fontId="10" fillId="11" borderId="25" xfId="0" applyFont="1" applyFill="1" applyBorder="1"/>
    <xf numFmtId="0" fontId="10" fillId="11" borderId="0" xfId="0" applyFont="1" applyFill="1" applyBorder="1"/>
    <xf numFmtId="0" fontId="0" fillId="0" borderId="27" xfId="0" applyBorder="1"/>
    <xf numFmtId="0" fontId="0" fillId="0" borderId="25" xfId="0" applyBorder="1"/>
    <xf numFmtId="0" fontId="12" fillId="11" borderId="25" xfId="0" applyFont="1" applyFill="1" applyBorder="1"/>
    <xf numFmtId="0" fontId="12" fillId="11" borderId="0" xfId="0" applyFont="1" applyFill="1" applyBorder="1"/>
    <xf numFmtId="17" fontId="2" fillId="0" borderId="0" xfId="0" applyNumberFormat="1" applyFont="1" applyBorder="1" applyAlignment="1">
      <alignment horizontal="center"/>
    </xf>
    <xf numFmtId="43" fontId="1" fillId="0" borderId="0" xfId="0" applyNumberFormat="1" applyFont="1"/>
    <xf numFmtId="43" fontId="1" fillId="2" borderId="0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vertical="center" wrapText="1"/>
    </xf>
    <xf numFmtId="0" fontId="24" fillId="0" borderId="0" xfId="0" applyFont="1" applyFill="1" applyBorder="1"/>
    <xf numFmtId="43" fontId="16" fillId="0" borderId="0" xfId="0" applyNumberFormat="1" applyFont="1" applyFill="1" applyBorder="1"/>
    <xf numFmtId="0" fontId="16" fillId="9" borderId="7" xfId="0" applyFont="1" applyFill="1" applyBorder="1" applyAlignment="1">
      <alignment vertical="center" wrapText="1"/>
    </xf>
    <xf numFmtId="43" fontId="21" fillId="3" borderId="11" xfId="2" applyNumberFormat="1" applyFont="1" applyBorder="1" applyAlignment="1">
      <alignment vertical="center"/>
    </xf>
    <xf numFmtId="43" fontId="21" fillId="3" borderId="22" xfId="2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16" fillId="7" borderId="18" xfId="0" applyNumberFormat="1" applyFont="1" applyFill="1" applyBorder="1" applyAlignment="1">
      <alignment vertical="center"/>
    </xf>
    <xf numFmtId="43" fontId="16" fillId="7" borderId="20" xfId="0" applyNumberFormat="1" applyFont="1" applyFill="1" applyBorder="1" applyAlignment="1">
      <alignment vertical="center"/>
    </xf>
    <xf numFmtId="43" fontId="16" fillId="9" borderId="30" xfId="0" applyNumberFormat="1" applyFont="1" applyFill="1" applyBorder="1" applyAlignment="1">
      <alignment vertical="center"/>
    </xf>
    <xf numFmtId="43" fontId="16" fillId="9" borderId="31" xfId="0" applyNumberFormat="1" applyFont="1" applyFill="1" applyBorder="1" applyAlignment="1">
      <alignment vertical="center"/>
    </xf>
    <xf numFmtId="43" fontId="22" fillId="4" borderId="13" xfId="3" applyNumberFormat="1" applyFont="1" applyBorder="1" applyAlignment="1">
      <alignment vertical="center"/>
    </xf>
    <xf numFmtId="43" fontId="22" fillId="4" borderId="12" xfId="3" applyNumberFormat="1" applyFont="1" applyBorder="1" applyAlignment="1">
      <alignment vertical="center"/>
    </xf>
    <xf numFmtId="43" fontId="22" fillId="4" borderId="21" xfId="3" applyNumberFormat="1" applyFont="1" applyBorder="1" applyAlignment="1">
      <alignment vertical="center"/>
    </xf>
    <xf numFmtId="43" fontId="23" fillId="3" borderId="34" xfId="2" applyNumberFormat="1" applyFont="1" applyBorder="1" applyAlignment="1">
      <alignment vertical="center"/>
    </xf>
    <xf numFmtId="43" fontId="16" fillId="7" borderId="35" xfId="0" applyNumberFormat="1" applyFont="1" applyFill="1" applyBorder="1" applyAlignment="1">
      <alignment vertical="center"/>
    </xf>
    <xf numFmtId="43" fontId="16" fillId="9" borderId="36" xfId="0" applyNumberFormat="1" applyFont="1" applyFill="1" applyBorder="1" applyAlignment="1">
      <alignment vertical="center"/>
    </xf>
    <xf numFmtId="43" fontId="22" fillId="4" borderId="32" xfId="3" applyNumberFormat="1" applyFont="1" applyBorder="1" applyAlignment="1">
      <alignment vertical="center"/>
    </xf>
    <xf numFmtId="0" fontId="21" fillId="3" borderId="7" xfId="2" applyFont="1" applyBorder="1" applyAlignment="1">
      <alignment vertical="center"/>
    </xf>
    <xf numFmtId="0" fontId="22" fillId="4" borderId="9" xfId="3" applyFont="1" applyBorder="1" applyAlignment="1">
      <alignment vertical="center"/>
    </xf>
    <xf numFmtId="17" fontId="25" fillId="8" borderId="29" xfId="0" applyNumberFormat="1" applyFont="1" applyFill="1" applyBorder="1" applyAlignment="1">
      <alignment horizontal="center" vertical="center"/>
    </xf>
    <xf numFmtId="17" fontId="25" fillId="8" borderId="33" xfId="0" applyNumberFormat="1" applyFont="1" applyFill="1" applyBorder="1" applyAlignment="1">
      <alignment horizontal="center" vertical="center"/>
    </xf>
    <xf numFmtId="17" fontId="25" fillId="8" borderId="24" xfId="0" applyNumberFormat="1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right"/>
    </xf>
    <xf numFmtId="43" fontId="21" fillId="3" borderId="34" xfId="2" applyNumberFormat="1" applyFont="1" applyBorder="1" applyAlignment="1">
      <alignment vertical="center"/>
    </xf>
    <xf numFmtId="43" fontId="22" fillId="0" borderId="0" xfId="3" applyNumberFormat="1" applyFont="1" applyFill="1" applyBorder="1" applyAlignment="1">
      <alignment vertical="center"/>
    </xf>
    <xf numFmtId="17" fontId="25" fillId="8" borderId="1" xfId="0" applyNumberFormat="1" applyFont="1" applyFill="1" applyBorder="1" applyAlignment="1">
      <alignment horizontal="center" wrapText="1"/>
    </xf>
    <xf numFmtId="43" fontId="21" fillId="3" borderId="37" xfId="2" applyNumberFormat="1" applyFont="1" applyBorder="1" applyAlignment="1">
      <alignment vertical="center"/>
    </xf>
    <xf numFmtId="43" fontId="16" fillId="7" borderId="38" xfId="0" applyNumberFormat="1" applyFont="1" applyFill="1" applyBorder="1" applyAlignment="1">
      <alignment vertical="center"/>
    </xf>
    <xf numFmtId="43" fontId="16" fillId="9" borderId="39" xfId="0" applyNumberFormat="1" applyFont="1" applyFill="1" applyBorder="1" applyAlignment="1">
      <alignment vertical="center"/>
    </xf>
    <xf numFmtId="43" fontId="21" fillId="3" borderId="40" xfId="2" applyNumberFormat="1" applyFont="1" applyBorder="1" applyAlignment="1">
      <alignment vertical="center"/>
    </xf>
    <xf numFmtId="43" fontId="16" fillId="7" borderId="41" xfId="0" applyNumberFormat="1" applyFont="1" applyFill="1" applyBorder="1" applyAlignment="1">
      <alignment vertical="center"/>
    </xf>
    <xf numFmtId="43" fontId="1" fillId="2" borderId="0" xfId="0" applyNumberFormat="1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left"/>
    </xf>
    <xf numFmtId="0" fontId="17" fillId="0" borderId="0" xfId="0" applyFont="1" applyAlignment="1">
      <alignment horizontal="left" vertical="center" indent="16"/>
    </xf>
    <xf numFmtId="166" fontId="12" fillId="11" borderId="26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43" fontId="29" fillId="2" borderId="28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0" fillId="11" borderId="25" xfId="0" applyFont="1" applyFill="1" applyBorder="1" applyAlignment="1">
      <alignment horizontal="left"/>
    </xf>
    <xf numFmtId="166" fontId="10" fillId="11" borderId="26" xfId="0" applyNumberFormat="1" applyFont="1" applyFill="1" applyBorder="1" applyAlignment="1">
      <alignment horizontal="left"/>
    </xf>
    <xf numFmtId="43" fontId="6" fillId="2" borderId="0" xfId="0" applyNumberFormat="1" applyFont="1" applyFill="1" applyBorder="1" applyAlignment="1">
      <alignment horizontal="center"/>
    </xf>
  </cellXfs>
  <cellStyles count="4"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93500" y="78609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36</xdr:row>
      <xdr:rowOff>0</xdr:rowOff>
    </xdr:from>
    <xdr:to>
      <xdr:col>7</xdr:col>
      <xdr:colOff>38100</xdr:colOff>
      <xdr:row>40</xdr:row>
      <xdr:rowOff>9525</xdr:rowOff>
    </xdr:to>
    <xdr:sp macro="" textlink="">
      <xdr:nvSpPr>
        <xdr:cNvPr id="2194" name="AutoShape 3"/>
        <xdr:cNvSpPr>
          <a:spLocks/>
        </xdr:cNvSpPr>
      </xdr:nvSpPr>
      <xdr:spPr bwMode="auto">
        <a:xfrm>
          <a:off x="6953250" y="6429375"/>
          <a:ext cx="95250" cy="65722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93500" y="7851401"/>
          <a:ext cx="302559" cy="133069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93500" y="785140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93500" y="74037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35</xdr:row>
      <xdr:rowOff>40901</xdr:rowOff>
    </xdr:from>
    <xdr:to>
      <xdr:col>1</xdr:col>
      <xdr:colOff>1972234</xdr:colOff>
      <xdr:row>42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92940" y="7414372"/>
          <a:ext cx="302559" cy="1135716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35</xdr:row>
      <xdr:rowOff>40901</xdr:rowOff>
    </xdr:from>
    <xdr:to>
      <xdr:col>1</xdr:col>
      <xdr:colOff>1355912</xdr:colOff>
      <xdr:row>40</xdr:row>
      <xdr:rowOff>112059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84195" y="7508501"/>
          <a:ext cx="195542" cy="871258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36</xdr:row>
      <xdr:rowOff>40901</xdr:rowOff>
    </xdr:from>
    <xdr:to>
      <xdr:col>1</xdr:col>
      <xdr:colOff>1355912</xdr:colOff>
      <xdr:row>41</xdr:row>
      <xdr:rowOff>112059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83635" y="7571254"/>
          <a:ext cx="195542" cy="855570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38</xdr:row>
      <xdr:rowOff>85725</xdr:rowOff>
    </xdr:from>
    <xdr:to>
      <xdr:col>1</xdr:col>
      <xdr:colOff>1390650</xdr:colOff>
      <xdr:row>45</xdr:row>
      <xdr:rowOff>114300</xdr:rowOff>
    </xdr:to>
    <xdr:sp macro="" textlink="">
      <xdr:nvSpPr>
        <xdr:cNvPr id="5253" name="AutoShape 1"/>
        <xdr:cNvSpPr>
          <a:spLocks/>
        </xdr:cNvSpPr>
      </xdr:nvSpPr>
      <xdr:spPr bwMode="auto">
        <a:xfrm>
          <a:off x="1295400" y="7629525"/>
          <a:ext cx="219075" cy="1152525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40</xdr:row>
      <xdr:rowOff>76200</xdr:rowOff>
    </xdr:from>
    <xdr:to>
      <xdr:col>7</xdr:col>
      <xdr:colOff>200025</xdr:colOff>
      <xdr:row>46</xdr:row>
      <xdr:rowOff>0</xdr:rowOff>
    </xdr:to>
    <xdr:sp macro="" textlink="">
      <xdr:nvSpPr>
        <xdr:cNvPr id="3218" name="AutoShape 1"/>
        <xdr:cNvSpPr>
          <a:spLocks/>
        </xdr:cNvSpPr>
      </xdr:nvSpPr>
      <xdr:spPr bwMode="auto">
        <a:xfrm>
          <a:off x="7115175" y="7200900"/>
          <a:ext cx="95250" cy="923925"/>
        </a:xfrm>
        <a:prstGeom prst="rightBrace">
          <a:avLst>
            <a:gd name="adj1" fmla="val 8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showGridLines="0" tabSelected="1" zoomScaleNormal="100" workbookViewId="0">
      <selection activeCell="C4" sqref="C4"/>
    </sheetView>
  </sheetViews>
  <sheetFormatPr defaultRowHeight="12.75" x14ac:dyDescent="0.2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 x14ac:dyDescent="0.25">
      <c r="B1" s="95"/>
      <c r="C1" s="95"/>
      <c r="D1" s="95"/>
    </row>
    <row r="2" spans="2:17" ht="20.25" customHeight="1" thickTop="1" thickBot="1" x14ac:dyDescent="0.3">
      <c r="B2" s="96" t="s">
        <v>65</v>
      </c>
      <c r="C2" s="136" t="s">
        <v>83</v>
      </c>
      <c r="D2" s="136"/>
      <c r="E2" s="137" t="s">
        <v>99</v>
      </c>
      <c r="F2" s="137"/>
      <c r="G2" s="137"/>
      <c r="H2" s="137"/>
      <c r="I2" s="137"/>
      <c r="J2" s="137"/>
      <c r="K2" s="137"/>
      <c r="L2" s="137"/>
      <c r="M2" s="137"/>
    </row>
    <row r="3" spans="2:17" ht="20.25" customHeight="1" thickTop="1" thickBot="1" x14ac:dyDescent="0.3">
      <c r="B3" s="97" t="s">
        <v>57</v>
      </c>
      <c r="C3" s="138">
        <v>42985</v>
      </c>
      <c r="D3" s="138"/>
      <c r="E3" s="137"/>
      <c r="F3" s="137"/>
      <c r="G3" s="137"/>
      <c r="H3" s="137"/>
      <c r="I3" s="137"/>
      <c r="J3" s="137"/>
      <c r="K3" s="137"/>
      <c r="L3" s="137"/>
      <c r="M3" s="137"/>
    </row>
    <row r="4" spans="2:17" ht="7.5" customHeight="1" thickTop="1" x14ac:dyDescent="0.2">
      <c r="B4" s="94"/>
    </row>
    <row r="5" spans="2:17" ht="20.25" customHeight="1" x14ac:dyDescent="0.3">
      <c r="B5" s="91" t="s">
        <v>112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  <c r="O5" s="68"/>
      <c r="Q5" s="68"/>
    </row>
    <row r="6" spans="2:17" ht="18" x14ac:dyDescent="0.25">
      <c r="B6" s="77" t="s">
        <v>69</v>
      </c>
    </row>
    <row r="7" spans="2:17" ht="14.25" x14ac:dyDescent="0.2">
      <c r="B7" s="32" t="s">
        <v>117</v>
      </c>
    </row>
    <row r="8" spans="2:17" ht="14.25" x14ac:dyDescent="0.2">
      <c r="B8" s="32" t="s">
        <v>100</v>
      </c>
    </row>
    <row r="9" spans="2:17" ht="14.25" x14ac:dyDescent="0.2">
      <c r="B9" s="32" t="s">
        <v>104</v>
      </c>
    </row>
    <row r="10" spans="2:17" ht="14.25" x14ac:dyDescent="0.2">
      <c r="B10" s="32"/>
    </row>
    <row r="11" spans="2:17" ht="14.25" x14ac:dyDescent="0.2">
      <c r="B11" s="32" t="s">
        <v>101</v>
      </c>
    </row>
    <row r="12" spans="2:17" ht="15" x14ac:dyDescent="0.25">
      <c r="B12" s="32" t="s">
        <v>66</v>
      </c>
    </row>
    <row r="13" spans="2:17" ht="14.25" x14ac:dyDescent="0.2">
      <c r="B13" s="32" t="s">
        <v>103</v>
      </c>
    </row>
    <row r="14" spans="2:17" ht="15" x14ac:dyDescent="0.25">
      <c r="B14" s="32" t="s">
        <v>67</v>
      </c>
    </row>
    <row r="15" spans="2:17" ht="14.25" x14ac:dyDescent="0.2">
      <c r="B15" s="32" t="s">
        <v>73</v>
      </c>
    </row>
    <row r="16" spans="2:17" ht="14.25" x14ac:dyDescent="0.2">
      <c r="B16" s="32" t="s">
        <v>105</v>
      </c>
    </row>
    <row r="17" spans="1:18" ht="15" customHeight="1" x14ac:dyDescent="0.25">
      <c r="B17" s="32" t="s">
        <v>108</v>
      </c>
    </row>
    <row r="18" spans="1:18" ht="14.25" x14ac:dyDescent="0.2">
      <c r="B18" s="32" t="s">
        <v>106</v>
      </c>
    </row>
    <row r="19" spans="1:18" ht="14.25" x14ac:dyDescent="0.2">
      <c r="B19" s="32" t="s">
        <v>102</v>
      </c>
    </row>
    <row r="20" spans="1:18" ht="15.75" x14ac:dyDescent="0.25">
      <c r="B20" s="104"/>
      <c r="C20" s="139"/>
      <c r="D20" s="139"/>
      <c r="E20" s="139"/>
      <c r="F20" s="105"/>
      <c r="G20" s="105"/>
    </row>
    <row r="21" spans="1:18" ht="15.75" x14ac:dyDescent="0.25">
      <c r="B21" s="104"/>
      <c r="C21" s="139"/>
      <c r="D21" s="139"/>
      <c r="E21" s="139"/>
      <c r="F21" s="105"/>
      <c r="G21" s="105"/>
    </row>
    <row r="22" spans="1:18" ht="39.75" customHeight="1" x14ac:dyDescent="0.25">
      <c r="A22" s="60"/>
      <c r="B22" s="65"/>
      <c r="C22" s="123">
        <v>42614</v>
      </c>
      <c r="D22" s="124">
        <f>C22+34</f>
        <v>42648</v>
      </c>
      <c r="E22" s="124">
        <f t="shared" ref="E22:O22" si="0">D22+30</f>
        <v>42678</v>
      </c>
      <c r="F22" s="124">
        <f t="shared" si="0"/>
        <v>42708</v>
      </c>
      <c r="G22" s="124">
        <f t="shared" si="0"/>
        <v>42738</v>
      </c>
      <c r="H22" s="124">
        <f t="shared" si="0"/>
        <v>42768</v>
      </c>
      <c r="I22" s="124">
        <f t="shared" si="0"/>
        <v>42798</v>
      </c>
      <c r="J22" s="124">
        <f t="shared" si="0"/>
        <v>42828</v>
      </c>
      <c r="K22" s="124">
        <f t="shared" si="0"/>
        <v>42858</v>
      </c>
      <c r="L22" s="124">
        <f t="shared" si="0"/>
        <v>42888</v>
      </c>
      <c r="M22" s="124">
        <f>L22+31</f>
        <v>42919</v>
      </c>
      <c r="N22" s="125">
        <f t="shared" si="0"/>
        <v>42949</v>
      </c>
      <c r="O22" s="125">
        <f t="shared" si="0"/>
        <v>42979</v>
      </c>
      <c r="Q22" s="129" t="s">
        <v>109</v>
      </c>
    </row>
    <row r="23" spans="1:18" ht="29.25" customHeight="1" x14ac:dyDescent="0.2">
      <c r="A23" s="60"/>
      <c r="B23" s="121" t="s">
        <v>23</v>
      </c>
      <c r="C23" s="117">
        <v>-439588.96</v>
      </c>
      <c r="D23" s="107">
        <f>C31</f>
        <v>-444840.23</v>
      </c>
      <c r="E23" s="107">
        <f>D31</f>
        <v>-470185.19000000006</v>
      </c>
      <c r="F23" s="107">
        <f>E31</f>
        <v>-507488.89000000013</v>
      </c>
      <c r="G23" s="107">
        <f>F31</f>
        <v>-618515.05000000016</v>
      </c>
      <c r="H23" s="107">
        <f>G31</f>
        <v>-727443.3400000002</v>
      </c>
      <c r="I23" s="107">
        <f t="shared" ref="I23:J23" si="1">H31</f>
        <v>-759685.2000000003</v>
      </c>
      <c r="J23" s="107">
        <f t="shared" si="1"/>
        <v>-759958.24000000034</v>
      </c>
      <c r="K23" s="107">
        <f>J31</f>
        <v>-736808.71000000031</v>
      </c>
      <c r="L23" s="107">
        <f>K31</f>
        <v>-683214.08000000031</v>
      </c>
      <c r="M23" s="107">
        <f>L31</f>
        <v>-648993.88000000035</v>
      </c>
      <c r="N23" s="108">
        <f>M31</f>
        <v>-621212.53000000026</v>
      </c>
      <c r="O23" s="108">
        <f>N31</f>
        <v>-610514.36000000034</v>
      </c>
      <c r="P23" s="109"/>
      <c r="Q23" s="130">
        <f>+D23</f>
        <v>-444840.23</v>
      </c>
    </row>
    <row r="24" spans="1:18" ht="27.75" customHeight="1" x14ac:dyDescent="0.2">
      <c r="A24" s="60"/>
      <c r="B24" s="58" t="s">
        <v>113</v>
      </c>
      <c r="C24" s="118">
        <f>-11220.41+2.11</f>
        <v>-11218.3</v>
      </c>
      <c r="D24" s="110">
        <f>-60208.98+8.39</f>
        <v>-60200.590000000004</v>
      </c>
      <c r="E24" s="110">
        <f>-74803.19+17.64</f>
        <v>-74785.55</v>
      </c>
      <c r="F24" s="110">
        <f>-136786.69+58.13</f>
        <v>-136728.56</v>
      </c>
      <c r="G24" s="110">
        <f>-228949.54+87.27</f>
        <v>-228862.27000000002</v>
      </c>
      <c r="H24" s="110">
        <f>-184296.25+92.06</f>
        <v>-184204.19</v>
      </c>
      <c r="I24" s="110">
        <f>-165554.23+150.62</f>
        <v>-165403.61000000002</v>
      </c>
      <c r="J24" s="110">
        <f>-105016.27+108.69</f>
        <v>-104907.58</v>
      </c>
      <c r="K24" s="110">
        <f>-81102.29-44.05</f>
        <v>-81146.34</v>
      </c>
      <c r="L24" s="110">
        <f>-53898.13+38.26</f>
        <v>-53859.869999999995</v>
      </c>
      <c r="M24" s="110">
        <f>-39599.37-567.8</f>
        <v>-40167.170000000006</v>
      </c>
      <c r="N24" s="111">
        <f>-45431.35+33.17-10.85</f>
        <v>-45409.03</v>
      </c>
      <c r="O24" s="111"/>
      <c r="P24" s="109"/>
      <c r="Q24" s="131">
        <f>SUM(D24:O24)</f>
        <v>-1175674.76</v>
      </c>
    </row>
    <row r="25" spans="1:18" ht="30" customHeight="1" x14ac:dyDescent="0.2">
      <c r="A25" s="60"/>
      <c r="B25" s="106" t="s">
        <v>114</v>
      </c>
      <c r="C25" s="119">
        <v>34832.93</v>
      </c>
      <c r="D25" s="112">
        <f>44834.54+209</f>
        <v>45043.54</v>
      </c>
      <c r="E25" s="112">
        <f>58130.66-209</f>
        <v>57921.66</v>
      </c>
      <c r="F25" s="112">
        <v>78591.710000000006</v>
      </c>
      <c r="G25" s="112">
        <v>90026.75</v>
      </c>
      <c r="H25" s="112">
        <v>98211.61</v>
      </c>
      <c r="I25" s="112">
        <v>107807.83</v>
      </c>
      <c r="J25" s="112">
        <v>93488.46</v>
      </c>
      <c r="K25" s="112">
        <v>89198.76</v>
      </c>
      <c r="L25" s="112">
        <v>42949.67</v>
      </c>
      <c r="M25" s="112">
        <v>44952.77</v>
      </c>
      <c r="N25" s="113">
        <v>45691.42</v>
      </c>
      <c r="O25" s="113"/>
      <c r="P25" s="109"/>
      <c r="Q25" s="132">
        <f t="shared" ref="Q25:Q30" si="2">SUM(D25:O25)</f>
        <v>793884.18000000017</v>
      </c>
    </row>
    <row r="26" spans="1:18" ht="29.25" customHeight="1" x14ac:dyDescent="0.2">
      <c r="A26" s="60"/>
      <c r="B26" s="103" t="s">
        <v>115</v>
      </c>
      <c r="C26" s="118">
        <v>-38512.300000000003</v>
      </c>
      <c r="D26" s="110">
        <v>-56537.61</v>
      </c>
      <c r="E26" s="110">
        <v>-86077.42</v>
      </c>
      <c r="F26" s="110">
        <v>-154366.73000000001</v>
      </c>
      <c r="G26" s="110">
        <v>-144034.5</v>
      </c>
      <c r="H26" s="110">
        <v>-119461.78</v>
      </c>
      <c r="I26" s="110">
        <v>-83039.039999999994</v>
      </c>
      <c r="J26" s="110">
        <v>-71420.39</v>
      </c>
      <c r="K26" s="110">
        <v>-51887.38</v>
      </c>
      <c r="L26" s="110">
        <v>-30222.560000000001</v>
      </c>
      <c r="M26" s="110">
        <v>-35002.33</v>
      </c>
      <c r="N26" s="111">
        <v>-33811.550000000003</v>
      </c>
      <c r="O26" s="111"/>
      <c r="P26" s="109"/>
      <c r="Q26" s="131">
        <f t="shared" si="2"/>
        <v>-865861.29000000015</v>
      </c>
      <c r="R26" s="82"/>
    </row>
    <row r="27" spans="1:18" ht="30" customHeight="1" x14ac:dyDescent="0.2">
      <c r="A27" s="60"/>
      <c r="B27" s="106" t="s">
        <v>116</v>
      </c>
      <c r="C27" s="119">
        <v>0</v>
      </c>
      <c r="D27" s="112">
        <f>-C26</f>
        <v>38512.300000000003</v>
      </c>
      <c r="E27" s="112">
        <f t="shared" ref="E27:O27" si="3">-D26</f>
        <v>56537.61</v>
      </c>
      <c r="F27" s="112">
        <f t="shared" si="3"/>
        <v>86077.42</v>
      </c>
      <c r="G27" s="112">
        <f t="shared" si="3"/>
        <v>154366.73000000001</v>
      </c>
      <c r="H27" s="112">
        <f t="shared" si="3"/>
        <v>144034.5</v>
      </c>
      <c r="I27" s="112">
        <f t="shared" si="3"/>
        <v>119461.78</v>
      </c>
      <c r="J27" s="112">
        <f t="shared" si="3"/>
        <v>83039.039999999994</v>
      </c>
      <c r="K27" s="112">
        <f t="shared" si="3"/>
        <v>71420.39</v>
      </c>
      <c r="L27" s="112">
        <f t="shared" si="3"/>
        <v>51887.38</v>
      </c>
      <c r="M27" s="112">
        <f t="shared" si="3"/>
        <v>30222.560000000001</v>
      </c>
      <c r="N27" s="113">
        <f t="shared" si="3"/>
        <v>35002.33</v>
      </c>
      <c r="O27" s="113">
        <f t="shared" si="3"/>
        <v>33811.550000000003</v>
      </c>
      <c r="P27" s="109"/>
      <c r="Q27" s="132">
        <f t="shared" si="2"/>
        <v>904373.5900000002</v>
      </c>
    </row>
    <row r="28" spans="1:18" ht="29.25" customHeight="1" x14ac:dyDescent="0.2">
      <c r="A28" s="60"/>
      <c r="B28" s="103" t="s">
        <v>25</v>
      </c>
      <c r="C28" s="118">
        <f>33261.03-23614.63</f>
        <v>9646.3999999999978</v>
      </c>
      <c r="D28" s="110">
        <f>46349.7-38512.3</f>
        <v>7837.3999999999942</v>
      </c>
      <c r="E28" s="110">
        <f>1200+1200+5125+1575</f>
        <v>9100</v>
      </c>
      <c r="F28" s="110">
        <f>101477.42-86077.42</f>
        <v>15400</v>
      </c>
      <c r="G28" s="110">
        <f>375+2250+3975+1950+2925+4050+75+75+675+1650+1575</f>
        <v>19575</v>
      </c>
      <c r="H28" s="110">
        <f>225+1425+2775+1950+75+450+3750+6578+1650+300</f>
        <v>19178</v>
      </c>
      <c r="I28" s="110">
        <f>140361.78-119461.78</f>
        <v>20900</v>
      </c>
      <c r="J28" s="110">
        <f>105989.04-83039.04</f>
        <v>22950</v>
      </c>
      <c r="K28" s="110">
        <f>105482.01-7109.2-71420.39-8052.42</f>
        <v>18900</v>
      </c>
      <c r="L28" s="110">
        <f>75352.96-51887.38-5465.58</f>
        <v>18000.000000000007</v>
      </c>
      <c r="M28" s="110">
        <f>3425.52+2625+75+1125+2475+525+1350+1425</f>
        <v>13025.52</v>
      </c>
      <c r="N28" s="111">
        <f>375+75+900+75+1200+525+3675+1800+75+525</f>
        <v>9225</v>
      </c>
      <c r="O28" s="111"/>
      <c r="P28" s="109"/>
      <c r="Q28" s="131">
        <f t="shared" si="2"/>
        <v>174090.91999999998</v>
      </c>
      <c r="R28" s="82"/>
    </row>
    <row r="29" spans="1:18" ht="30" customHeight="1" x14ac:dyDescent="0.2">
      <c r="A29" s="60"/>
      <c r="B29" s="106" t="s">
        <v>107</v>
      </c>
      <c r="C29" s="119"/>
      <c r="D29" s="112"/>
      <c r="E29" s="112"/>
      <c r="F29" s="112"/>
      <c r="G29" s="112"/>
      <c r="H29" s="112">
        <v>10000</v>
      </c>
      <c r="I29" s="112"/>
      <c r="J29" s="112"/>
      <c r="K29" s="112">
        <v>7109.2</v>
      </c>
      <c r="L29" s="112">
        <v>5465.58</v>
      </c>
      <c r="M29" s="112">
        <v>14750</v>
      </c>
      <c r="N29" s="113"/>
      <c r="O29" s="113"/>
      <c r="P29" s="109"/>
      <c r="Q29" s="132">
        <f t="shared" si="2"/>
        <v>37324.78</v>
      </c>
    </row>
    <row r="30" spans="1:18" ht="29.25" customHeight="1" x14ac:dyDescent="0.2">
      <c r="A30" s="60"/>
      <c r="B30" s="103" t="s">
        <v>87</v>
      </c>
      <c r="C30" s="118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  <c r="O30" s="111"/>
      <c r="P30" s="109"/>
      <c r="Q30" s="134">
        <f t="shared" si="2"/>
        <v>0</v>
      </c>
      <c r="R30" s="82"/>
    </row>
    <row r="31" spans="1:18" ht="27" customHeight="1" x14ac:dyDescent="0.2">
      <c r="A31" s="60"/>
      <c r="B31" s="121" t="s">
        <v>27</v>
      </c>
      <c r="C31" s="127">
        <f t="shared" ref="C31:O31" si="4">SUM(C23:C30)</f>
        <v>-444840.23</v>
      </c>
      <c r="D31" s="107">
        <f t="shared" si="4"/>
        <v>-470185.19000000006</v>
      </c>
      <c r="E31" s="107">
        <f t="shared" si="4"/>
        <v>-507488.89000000013</v>
      </c>
      <c r="F31" s="107">
        <f t="shared" si="4"/>
        <v>-618515.05000000016</v>
      </c>
      <c r="G31" s="107">
        <f t="shared" si="4"/>
        <v>-727443.3400000002</v>
      </c>
      <c r="H31" s="107">
        <f t="shared" si="4"/>
        <v>-759685.2000000003</v>
      </c>
      <c r="I31" s="107">
        <f t="shared" si="4"/>
        <v>-759958.24000000034</v>
      </c>
      <c r="J31" s="107">
        <f t="shared" si="4"/>
        <v>-736808.71000000031</v>
      </c>
      <c r="K31" s="107">
        <f t="shared" si="4"/>
        <v>-683214.08000000031</v>
      </c>
      <c r="L31" s="107">
        <f t="shared" si="4"/>
        <v>-648993.88000000035</v>
      </c>
      <c r="M31" s="107">
        <f t="shared" si="4"/>
        <v>-621212.53000000026</v>
      </c>
      <c r="N31" s="108">
        <f t="shared" si="4"/>
        <v>-610514.36000000034</v>
      </c>
      <c r="O31" s="108">
        <f t="shared" si="4"/>
        <v>-576702.81000000029</v>
      </c>
      <c r="P31" s="109"/>
      <c r="Q31" s="133">
        <f>SUM(Q23:Q30)</f>
        <v>-576702.80999999982</v>
      </c>
    </row>
    <row r="32" spans="1:18" ht="25.5" customHeight="1" x14ac:dyDescent="0.2">
      <c r="A32" s="60"/>
      <c r="B32" s="122" t="s">
        <v>59</v>
      </c>
      <c r="C32" s="120">
        <v>-444840.23</v>
      </c>
      <c r="D32" s="114">
        <v>-470185.19</v>
      </c>
      <c r="E32" s="115">
        <v>-507488.89</v>
      </c>
      <c r="F32" s="115">
        <v>-618515.05000000005</v>
      </c>
      <c r="G32" s="115">
        <v>-727443.34</v>
      </c>
      <c r="H32" s="115">
        <v>-759685.2</v>
      </c>
      <c r="I32" s="115">
        <v>-759958.24</v>
      </c>
      <c r="J32" s="115">
        <v>-736808.71</v>
      </c>
      <c r="K32" s="114">
        <v>-683214.08</v>
      </c>
      <c r="L32" s="115">
        <v>-648993.88</v>
      </c>
      <c r="M32" s="115">
        <v>-621212.53</v>
      </c>
      <c r="N32" s="116">
        <v>-610514.36</v>
      </c>
      <c r="O32" s="116"/>
      <c r="P32" s="109"/>
      <c r="Q32" s="128"/>
      <c r="R32" s="82"/>
    </row>
    <row r="33" spans="2:18" ht="15.75" customHeight="1" x14ac:dyDescent="0.2">
      <c r="B33" s="32" t="s">
        <v>60</v>
      </c>
      <c r="C33" s="2">
        <f t="shared" ref="C33:N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ref="O33" si="6">O31-O32</f>
        <v>-576702.81000000029</v>
      </c>
      <c r="P33" s="2"/>
      <c r="Q33" s="2"/>
    </row>
    <row r="34" spans="2:18" ht="15.75" customHeight="1" x14ac:dyDescent="0.2">
      <c r="B34" s="3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82"/>
    </row>
    <row r="35" spans="2:18" s="32" customFormat="1" ht="14.25" x14ac:dyDescent="0.2">
      <c r="C35" s="31"/>
      <c r="D35" s="31"/>
      <c r="E35" s="40"/>
      <c r="F35" s="31"/>
      <c r="G35" s="31"/>
      <c r="H35" s="31"/>
      <c r="I35" s="31"/>
      <c r="J35" s="31"/>
      <c r="K35" s="31"/>
      <c r="L35" s="36"/>
      <c r="P35" s="31"/>
      <c r="R35" s="82"/>
    </row>
    <row r="36" spans="2:18" ht="18" customHeight="1" thickBot="1" x14ac:dyDescent="0.4">
      <c r="B36" s="140" t="s">
        <v>34</v>
      </c>
      <c r="C36" s="140"/>
      <c r="D36" s="2"/>
      <c r="E36" s="126" t="s">
        <v>111</v>
      </c>
      <c r="F36" s="99" t="s">
        <v>110</v>
      </c>
      <c r="G36" s="2"/>
      <c r="I36" s="2"/>
      <c r="J36" s="2"/>
      <c r="K36" s="37"/>
      <c r="P36" s="2"/>
    </row>
    <row r="37" spans="2:18" ht="13.5" customHeight="1" x14ac:dyDescent="0.2">
      <c r="B37" s="90" t="s">
        <v>77</v>
      </c>
      <c r="C37" s="33"/>
      <c r="D37" s="2"/>
      <c r="E37" s="99"/>
      <c r="F37" s="2"/>
      <c r="I37" s="2"/>
      <c r="J37" s="2"/>
      <c r="K37" s="37"/>
      <c r="P37" s="2"/>
      <c r="R37" s="82"/>
    </row>
    <row r="38" spans="2:18" ht="13.5" customHeight="1" x14ac:dyDescent="0.2">
      <c r="B38" s="90" t="s">
        <v>42</v>
      </c>
      <c r="C38" s="33"/>
      <c r="D38" s="2"/>
      <c r="E38" s="99"/>
      <c r="F38" s="2"/>
      <c r="I38" s="2"/>
      <c r="J38" s="2"/>
      <c r="K38" s="37"/>
      <c r="P38" s="2"/>
      <c r="R38" s="11"/>
    </row>
    <row r="39" spans="2:18" ht="13.5" customHeight="1" x14ac:dyDescent="0.2">
      <c r="B39" s="90" t="s">
        <v>62</v>
      </c>
      <c r="C39" s="135" t="s">
        <v>71</v>
      </c>
      <c r="D39" s="2"/>
      <c r="E39" s="2"/>
      <c r="F39" s="2"/>
      <c r="I39" s="2"/>
      <c r="J39" s="2"/>
      <c r="K39" s="37"/>
      <c r="P39" s="2"/>
    </row>
    <row r="40" spans="2:18" ht="13.5" customHeight="1" x14ac:dyDescent="0.2">
      <c r="B40" s="90" t="s">
        <v>94</v>
      </c>
      <c r="C40" s="135"/>
      <c r="D40" s="2"/>
      <c r="E40" s="2"/>
      <c r="F40" s="2"/>
      <c r="I40" s="2"/>
      <c r="J40" s="2"/>
      <c r="K40" s="37"/>
      <c r="P40" s="2"/>
    </row>
    <row r="41" spans="2:18" ht="13.5" customHeight="1" x14ac:dyDescent="0.2">
      <c r="B41" s="90" t="s">
        <v>97</v>
      </c>
      <c r="C41" s="102"/>
      <c r="D41" s="2"/>
      <c r="E41" s="2"/>
      <c r="F41" s="2"/>
      <c r="I41" s="2"/>
      <c r="J41" s="2"/>
      <c r="K41" s="37"/>
      <c r="P41" s="2"/>
    </row>
    <row r="42" spans="2:18" ht="13.5" customHeight="1" x14ac:dyDescent="0.2">
      <c r="B42" s="90" t="s">
        <v>81</v>
      </c>
      <c r="C42" s="34"/>
      <c r="D42" s="2"/>
      <c r="E42" s="2"/>
      <c r="F42" s="2"/>
      <c r="I42" s="2"/>
      <c r="J42" s="2"/>
      <c r="K42" s="37"/>
      <c r="P42" s="2"/>
    </row>
    <row r="43" spans="2:18" ht="13.5" customHeight="1" x14ac:dyDescent="0.2">
      <c r="B43" s="90" t="s">
        <v>36</v>
      </c>
      <c r="C43" s="34"/>
      <c r="D43" s="2"/>
      <c r="E43" s="2"/>
      <c r="F43" s="2"/>
      <c r="I43" s="2"/>
      <c r="J43" s="2"/>
      <c r="K43" s="37"/>
      <c r="P43" s="2"/>
    </row>
    <row r="50" spans="2:2" ht="14.25" x14ac:dyDescent="0.2">
      <c r="B50" s="86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1" orientation="landscape" cellComments="asDisplayed" r:id="rId1"/>
  <headerFooter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5" zoomScaleNormal="85" workbookViewId="0">
      <selection activeCell="A29" sqref="A29"/>
    </sheetView>
  </sheetViews>
  <sheetFormatPr defaultRowHeight="12.75" x14ac:dyDescent="0.2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2.28515625" bestFit="1" customWidth="1"/>
    <col min="11" max="12" width="12" customWidth="1"/>
    <col min="13" max="13" width="12.85546875" customWidth="1"/>
    <col min="14" max="14" width="12.28515625" customWidth="1"/>
    <col min="15" max="15" width="2.42578125" customWidth="1"/>
    <col min="16" max="16" width="12.28515625" bestFit="1" customWidth="1"/>
  </cols>
  <sheetData>
    <row r="1" spans="1:8" ht="18" x14ac:dyDescent="0.25">
      <c r="A1" s="1" t="s">
        <v>29</v>
      </c>
      <c r="F1" s="12" t="s">
        <v>33</v>
      </c>
    </row>
    <row r="3" spans="1:8" x14ac:dyDescent="0.2">
      <c r="A3" t="s">
        <v>28</v>
      </c>
    </row>
    <row r="4" spans="1:8" x14ac:dyDescent="0.2">
      <c r="A4" t="s">
        <v>0</v>
      </c>
    </row>
    <row r="6" spans="1:8" x14ac:dyDescent="0.2">
      <c r="A6" t="s">
        <v>1</v>
      </c>
    </row>
    <row r="7" spans="1:8" x14ac:dyDescent="0.2">
      <c r="A7" t="s">
        <v>2</v>
      </c>
    </row>
    <row r="8" spans="1:8" x14ac:dyDescent="0.2">
      <c r="A8" t="s">
        <v>3</v>
      </c>
    </row>
    <row r="9" spans="1:8" x14ac:dyDescent="0.2">
      <c r="A9" t="s">
        <v>4</v>
      </c>
    </row>
    <row r="10" spans="1:8" x14ac:dyDescent="0.2">
      <c r="A10" t="s">
        <v>5</v>
      </c>
    </row>
    <row r="11" spans="1:8" x14ac:dyDescent="0.2">
      <c r="A11" t="s">
        <v>6</v>
      </c>
    </row>
    <row r="13" spans="1:8" x14ac:dyDescent="0.2">
      <c r="A13" t="s">
        <v>7</v>
      </c>
    </row>
    <row r="15" spans="1:8" x14ac:dyDescent="0.2">
      <c r="A15" t="s">
        <v>8</v>
      </c>
      <c r="D15" t="s">
        <v>10</v>
      </c>
      <c r="F15" s="2">
        <v>66666.63</v>
      </c>
      <c r="G15" s="2"/>
      <c r="H15" t="s">
        <v>40</v>
      </c>
    </row>
    <row r="16" spans="1:8" x14ac:dyDescent="0.2">
      <c r="A16" t="s">
        <v>9</v>
      </c>
      <c r="D16" t="s">
        <v>11</v>
      </c>
      <c r="F16" s="2"/>
      <c r="G16" s="2">
        <v>-66666.63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10">
        <v>39448</v>
      </c>
      <c r="D21" s="10">
        <v>39479</v>
      </c>
      <c r="E21" s="10">
        <v>39508</v>
      </c>
      <c r="F21" s="10">
        <v>39539</v>
      </c>
      <c r="G21" s="10">
        <v>39569</v>
      </c>
      <c r="H21" s="10">
        <v>39600</v>
      </c>
      <c r="I21" s="10">
        <v>39630</v>
      </c>
      <c r="J21" s="10">
        <v>39661</v>
      </c>
      <c r="K21" s="10">
        <v>39692</v>
      </c>
      <c r="L21" s="10">
        <v>39722</v>
      </c>
      <c r="M21" s="10">
        <v>39753</v>
      </c>
      <c r="N21" s="10">
        <v>39783</v>
      </c>
    </row>
    <row r="22" spans="1:16" x14ac:dyDescent="0.2">
      <c r="A22" t="s">
        <v>23</v>
      </c>
      <c r="B22" s="11"/>
      <c r="C22" s="2">
        <v>-174757.13</v>
      </c>
      <c r="D22" s="2">
        <f t="shared" ref="D22:N22" si="0">C30</f>
        <v>-178491.15</v>
      </c>
      <c r="E22" s="2">
        <f t="shared" si="0"/>
        <v>-172039.12</v>
      </c>
      <c r="F22" s="2">
        <f t="shared" si="0"/>
        <v>-169693.33</v>
      </c>
      <c r="G22" s="2">
        <f t="shared" si="0"/>
        <v>-148242.96000000002</v>
      </c>
      <c r="H22" s="2">
        <f t="shared" si="0"/>
        <v>-154397.93000000002</v>
      </c>
      <c r="I22" s="2">
        <f t="shared" si="0"/>
        <v>-180514.60000000003</v>
      </c>
      <c r="J22" s="2">
        <f t="shared" si="0"/>
        <v>-183013.59000000003</v>
      </c>
      <c r="K22" s="2">
        <f t="shared" si="0"/>
        <v>-195066.42</v>
      </c>
      <c r="L22" s="2">
        <f t="shared" si="0"/>
        <v>-269103.26</v>
      </c>
      <c r="M22" s="2">
        <f t="shared" si="0"/>
        <v>-289659.26999999996</v>
      </c>
      <c r="N22" s="2">
        <f t="shared" si="0"/>
        <v>-242471.90999999992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 x14ac:dyDescent="0.2">
      <c r="A24" s="6" t="s">
        <v>24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v>-66666.67</v>
      </c>
      <c r="K24" s="2">
        <f>-85312.17-66666.67</f>
        <v>-151978.84</v>
      </c>
      <c r="L24" s="2">
        <v>-66666.67</v>
      </c>
      <c r="M24" s="2">
        <v>-66666.67</v>
      </c>
      <c r="N24" s="2">
        <v>-66666.63</v>
      </c>
      <c r="O24" s="2"/>
      <c r="P24" s="2">
        <f>SUM(C24:O24)</f>
        <v>-885312.17</v>
      </c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">
        <v>13333.33</v>
      </c>
      <c r="D26" s="2">
        <f>13333.33+1150+2326.02</f>
        <v>16809.349999999999</v>
      </c>
      <c r="E26" s="2">
        <f>9857.31-2326.02-1150+2326.02+1150</f>
        <v>9857.31</v>
      </c>
      <c r="F26" s="8">
        <f>10410+2923.33</f>
        <v>13333.33</v>
      </c>
      <c r="G26" s="8">
        <v>13333.33</v>
      </c>
      <c r="H26" s="2">
        <v>13333.33</v>
      </c>
      <c r="I26" s="2">
        <v>13333.33</v>
      </c>
      <c r="J26" s="2">
        <v>30395.78</v>
      </c>
      <c r="K26" s="2">
        <v>13333.33</v>
      </c>
      <c r="L26" s="2">
        <v>13333.33</v>
      </c>
      <c r="M26" s="2">
        <v>13333.33</v>
      </c>
      <c r="N26" s="2">
        <v>13333.33</v>
      </c>
      <c r="O26" s="2"/>
      <c r="P26" s="2">
        <f>SUM(C26:O26)</f>
        <v>177062.40999999995</v>
      </c>
    </row>
    <row r="27" spans="1:16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 x14ac:dyDescent="0.2">
      <c r="A28" s="6" t="s">
        <v>26</v>
      </c>
      <c r="C28" s="2">
        <v>49599.32</v>
      </c>
      <c r="D28" s="2">
        <v>56309.35</v>
      </c>
      <c r="E28" s="2">
        <v>59155.15</v>
      </c>
      <c r="F28" s="2">
        <v>74783.710000000006</v>
      </c>
      <c r="G28" s="8">
        <v>47178.37</v>
      </c>
      <c r="H28" s="2">
        <v>27216.67</v>
      </c>
      <c r="I28" s="2">
        <v>50834.35</v>
      </c>
      <c r="J28" s="2">
        <v>24218.06</v>
      </c>
      <c r="K28" s="2">
        <v>64608.67</v>
      </c>
      <c r="L28" s="2">
        <v>32777.33</v>
      </c>
      <c r="M28" s="2">
        <v>100520.7</v>
      </c>
      <c r="N28" s="2">
        <v>43286.46</v>
      </c>
      <c r="O28" s="2"/>
      <c r="P28" s="2">
        <f>SUM(C28:O28)</f>
        <v>630488.1399999999</v>
      </c>
    </row>
    <row r="29" spans="1:16" x14ac:dyDescent="0.2">
      <c r="A29" s="6"/>
      <c r="C29" s="2"/>
      <c r="D29" s="2"/>
      <c r="E29" s="2"/>
      <c r="F29" s="2"/>
      <c r="G29" s="8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P30" si="1">SUM(C22:C29)</f>
        <v>-178491.15</v>
      </c>
      <c r="D30" s="7">
        <f t="shared" si="1"/>
        <v>-172039.12</v>
      </c>
      <c r="E30" s="7">
        <f t="shared" si="1"/>
        <v>-169693.33</v>
      </c>
      <c r="F30" s="7">
        <f t="shared" si="1"/>
        <v>-148242.96000000002</v>
      </c>
      <c r="G30" s="7">
        <f t="shared" si="1"/>
        <v>-154397.93000000002</v>
      </c>
      <c r="H30" s="7">
        <f t="shared" si="1"/>
        <v>-180514.60000000003</v>
      </c>
      <c r="I30" s="7">
        <f t="shared" si="1"/>
        <v>-183013.59000000003</v>
      </c>
      <c r="J30" s="7">
        <f t="shared" si="1"/>
        <v>-195066.42</v>
      </c>
      <c r="K30" s="7">
        <f t="shared" si="1"/>
        <v>-269103.26</v>
      </c>
      <c r="L30" s="7">
        <f t="shared" si="1"/>
        <v>-289659.26999999996</v>
      </c>
      <c r="M30" s="7">
        <f t="shared" si="1"/>
        <v>-242471.90999999992</v>
      </c>
      <c r="N30" s="7">
        <f t="shared" si="1"/>
        <v>-252518.74999999991</v>
      </c>
      <c r="O30" s="2"/>
      <c r="P30" s="7">
        <f t="shared" si="1"/>
        <v>-77761.620000000228</v>
      </c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t="str">
        <f ca="1">CELL("filename")</f>
        <v>http://apps.utc.wa.gov/apps/rsc/EFilingDocuments/[NEW CNGC Advice No. W17-09-04, Attch A, 9.29.17.xlsx]WA 2016-Post Revision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" x14ac:dyDescent="0.35">
      <c r="C36" s="2"/>
      <c r="D36" s="2"/>
      <c r="E36" s="2"/>
      <c r="F36" s="2"/>
      <c r="G36" s="13" t="s">
        <v>34</v>
      </c>
      <c r="H36" s="14"/>
      <c r="I36" s="2"/>
      <c r="J36" s="2"/>
      <c r="K36" s="2"/>
      <c r="L36" s="2"/>
      <c r="M36" s="2"/>
      <c r="N36" s="2"/>
      <c r="O36" s="2"/>
    </row>
    <row r="37" spans="1:15" x14ac:dyDescent="0.2">
      <c r="C37" s="2"/>
      <c r="D37" s="2"/>
      <c r="E37" s="2"/>
      <c r="F37" s="2"/>
      <c r="G37" s="15" t="s">
        <v>35</v>
      </c>
      <c r="H37" s="16"/>
      <c r="I37" s="2"/>
      <c r="J37" s="2"/>
      <c r="K37" s="2"/>
      <c r="L37" s="2"/>
      <c r="M37" s="2"/>
      <c r="N37" s="2"/>
      <c r="O37" s="2"/>
    </row>
    <row r="38" spans="1:15" x14ac:dyDescent="0.2">
      <c r="C38" s="2"/>
      <c r="D38" s="2"/>
      <c r="E38" s="2"/>
      <c r="F38" s="2"/>
      <c r="G38" s="15" t="s">
        <v>36</v>
      </c>
      <c r="H38" s="17" t="s">
        <v>39</v>
      </c>
      <c r="I38" s="2"/>
      <c r="J38" s="2"/>
      <c r="K38" s="2"/>
      <c r="L38" s="2"/>
      <c r="M38" s="2"/>
      <c r="N38" s="2"/>
      <c r="O38" s="2"/>
    </row>
    <row r="39" spans="1:15" x14ac:dyDescent="0.2">
      <c r="C39" s="2"/>
      <c r="D39" s="2"/>
      <c r="E39" s="2"/>
      <c r="F39" s="2"/>
      <c r="G39" s="15" t="s">
        <v>37</v>
      </c>
      <c r="H39" s="16"/>
      <c r="I39" s="2"/>
      <c r="J39" s="2"/>
      <c r="K39" s="2"/>
      <c r="L39" s="2"/>
      <c r="M39" s="2"/>
      <c r="N39" s="2"/>
      <c r="O39" s="2"/>
    </row>
    <row r="40" spans="1:15" x14ac:dyDescent="0.2">
      <c r="C40" s="2"/>
      <c r="D40" s="2"/>
      <c r="E40" s="2"/>
      <c r="F40" s="2"/>
      <c r="G40" s="18" t="s">
        <v>38</v>
      </c>
      <c r="H40" s="19"/>
      <c r="I40" s="2"/>
      <c r="J40" s="2"/>
      <c r="K40" s="2"/>
      <c r="L40" s="2"/>
      <c r="M40" s="2"/>
      <c r="N40" s="2"/>
      <c r="O40" s="2"/>
    </row>
    <row r="41" spans="1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</sheetData>
  <phoneticPr fontId="0" type="noConversion"/>
  <pageMargins left="0.75" right="0.75" top="1" bottom="1" header="0.5" footer="0.5"/>
  <pageSetup paperSize="5" scale="84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Normal="100" workbookViewId="0">
      <selection activeCell="A29" sqref="A29"/>
    </sheetView>
  </sheetViews>
  <sheetFormatPr defaultRowHeight="12.75" x14ac:dyDescent="0.2"/>
  <cols>
    <col min="1" max="1" width="26.7109375" customWidth="1"/>
    <col min="2" max="2" width="2.28515625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2" customWidth="1"/>
    <col min="16" max="16" width="11.85546875" bestFit="1" customWidth="1"/>
  </cols>
  <sheetData>
    <row r="1" spans="1:7" x14ac:dyDescent="0.2">
      <c r="A1" s="1" t="s">
        <v>29</v>
      </c>
    </row>
    <row r="3" spans="1:7" x14ac:dyDescent="0.2">
      <c r="A3" t="s">
        <v>28</v>
      </c>
    </row>
    <row r="4" spans="1:7" x14ac:dyDescent="0.2">
      <c r="A4" t="s">
        <v>0</v>
      </c>
    </row>
    <row r="6" spans="1:7" x14ac:dyDescent="0.2">
      <c r="A6" t="s">
        <v>1</v>
      </c>
    </row>
    <row r="7" spans="1:7" x14ac:dyDescent="0.2">
      <c r="A7" t="s">
        <v>2</v>
      </c>
    </row>
    <row r="8" spans="1:7" x14ac:dyDescent="0.2">
      <c r="A8" t="s">
        <v>3</v>
      </c>
    </row>
    <row r="9" spans="1:7" x14ac:dyDescent="0.2">
      <c r="A9" t="s">
        <v>4</v>
      </c>
    </row>
    <row r="10" spans="1:7" x14ac:dyDescent="0.2">
      <c r="A10" t="s">
        <v>5</v>
      </c>
    </row>
    <row r="11" spans="1:7" x14ac:dyDescent="0.2">
      <c r="A11" t="s">
        <v>6</v>
      </c>
    </row>
    <row r="13" spans="1:7" x14ac:dyDescent="0.2">
      <c r="A13" t="s">
        <v>7</v>
      </c>
    </row>
    <row r="15" spans="1:7" x14ac:dyDescent="0.2">
      <c r="A15" t="s">
        <v>8</v>
      </c>
      <c r="D15" t="s">
        <v>10</v>
      </c>
      <c r="F15" s="2">
        <f>800000/12</f>
        <v>66666.666666666672</v>
      </c>
      <c r="G15" s="2"/>
    </row>
    <row r="16" spans="1:7" x14ac:dyDescent="0.2">
      <c r="A16" t="s">
        <v>9</v>
      </c>
      <c r="D16" t="s">
        <v>11</v>
      </c>
      <c r="F16" s="2"/>
      <c r="G16" s="2">
        <f>-800000/12</f>
        <v>-66666.666666666672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3" t="s">
        <v>14</v>
      </c>
      <c r="D21" s="3" t="s">
        <v>15</v>
      </c>
      <c r="E21" s="4" t="s">
        <v>16</v>
      </c>
      <c r="F21" s="4" t="s">
        <v>17</v>
      </c>
      <c r="G21" s="4" t="s">
        <v>18</v>
      </c>
      <c r="H21" s="4" t="s">
        <v>19</v>
      </c>
      <c r="I21" s="5" t="s">
        <v>20</v>
      </c>
      <c r="J21" s="5" t="s">
        <v>21</v>
      </c>
      <c r="K21" s="5" t="s">
        <v>22</v>
      </c>
      <c r="L21" s="9" t="s">
        <v>30</v>
      </c>
      <c r="M21" s="9" t="s">
        <v>31</v>
      </c>
      <c r="N21" s="9" t="s">
        <v>32</v>
      </c>
    </row>
    <row r="22" spans="1:16" x14ac:dyDescent="0.2">
      <c r="A22" t="s">
        <v>23</v>
      </c>
      <c r="C22" s="2">
        <v>0</v>
      </c>
      <c r="D22" s="2">
        <f t="shared" ref="D22:K22" si="0">C30</f>
        <v>-27957.02</v>
      </c>
      <c r="E22" s="2">
        <f t="shared" si="0"/>
        <v>-94623.69</v>
      </c>
      <c r="F22" s="2">
        <f t="shared" si="0"/>
        <v>-151374.22999999998</v>
      </c>
      <c r="G22" s="2">
        <f t="shared" si="0"/>
        <v>-187336.01999999996</v>
      </c>
      <c r="H22" s="2">
        <f t="shared" si="0"/>
        <v>-180131.85999999993</v>
      </c>
      <c r="I22" s="2">
        <f t="shared" si="0"/>
        <v>-152768.8599999999</v>
      </c>
      <c r="J22" s="2">
        <f t="shared" si="0"/>
        <v>-149668.4199999999</v>
      </c>
      <c r="K22" s="2">
        <f t="shared" si="0"/>
        <v>-227451.34999999989</v>
      </c>
      <c r="L22" s="2">
        <f>K30</f>
        <v>-244996.65999999992</v>
      </c>
      <c r="M22" s="2">
        <f>L30</f>
        <v>-189203.29999999987</v>
      </c>
      <c r="N22" s="2">
        <f>M30</f>
        <v>-171970.27999999985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 x14ac:dyDescent="0.2">
      <c r="A24" s="6" t="s">
        <v>24</v>
      </c>
      <c r="C24" s="2">
        <v>-27957.02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f>-66666.67-99165.41</f>
        <v>-165832.08000000002</v>
      </c>
      <c r="K24" s="2">
        <v>-66666.67</v>
      </c>
      <c r="L24" s="2">
        <v>-66666.67</v>
      </c>
      <c r="M24" s="2">
        <v>-66666.67</v>
      </c>
      <c r="N24" s="2">
        <v>-66666.67</v>
      </c>
      <c r="O24" s="2"/>
      <c r="P24" s="2">
        <f>SUM(C24:O24)</f>
        <v>-860455.8</v>
      </c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"/>
      <c r="D26" s="2"/>
      <c r="E26" s="2">
        <v>9916.1299999999992</v>
      </c>
      <c r="F26" s="8">
        <f>26050.94+1768.94</f>
        <v>27819.879999999997</v>
      </c>
      <c r="G26" s="8">
        <v>19868.830000000002</v>
      </c>
      <c r="H26" s="2">
        <v>13034.67</v>
      </c>
      <c r="I26" s="2">
        <f>13034.67-248.28+1150</f>
        <v>13936.39</v>
      </c>
      <c r="J26" s="2">
        <f>13034.67+19601.02</f>
        <v>32635.690000000002</v>
      </c>
      <c r="K26" s="2">
        <v>13034.67</v>
      </c>
      <c r="L26" s="2">
        <v>11220.46</v>
      </c>
      <c r="M26" s="2">
        <v>16320.5</v>
      </c>
      <c r="N26" s="2">
        <v>13660.21</v>
      </c>
      <c r="O26" s="2"/>
      <c r="P26" s="2">
        <f>SUM(C26:O26)</f>
        <v>171447.43</v>
      </c>
    </row>
    <row r="27" spans="1:16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 x14ac:dyDescent="0.2">
      <c r="A28" s="6" t="s">
        <v>26</v>
      </c>
      <c r="C28" s="2"/>
      <c r="D28" s="2"/>
      <c r="E28" s="2"/>
      <c r="F28" s="2">
        <v>2885</v>
      </c>
      <c r="G28" s="8">
        <v>54002</v>
      </c>
      <c r="H28" s="2">
        <f>75227+5768</f>
        <v>80995</v>
      </c>
      <c r="I28" s="2">
        <v>55830.720000000001</v>
      </c>
      <c r="J28" s="2">
        <v>55413.46</v>
      </c>
      <c r="K28" s="2">
        <v>36086.69</v>
      </c>
      <c r="L28" s="2">
        <v>111239.57</v>
      </c>
      <c r="M28" s="2">
        <v>67579.19</v>
      </c>
      <c r="N28" s="2">
        <v>50219.61</v>
      </c>
      <c r="O28" s="2"/>
      <c r="P28" s="2">
        <f>SUM(C28:O28)</f>
        <v>514251.24</v>
      </c>
    </row>
    <row r="29" spans="1:16" x14ac:dyDescent="0.2">
      <c r="A29" s="6"/>
      <c r="C29" s="2"/>
      <c r="D29" s="2"/>
      <c r="E29" s="2"/>
      <c r="F29" s="2"/>
      <c r="G29" s="8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K30" si="1">SUM(C22:C29)</f>
        <v>-27957.02</v>
      </c>
      <c r="D30" s="7">
        <f t="shared" si="1"/>
        <v>-94623.69</v>
      </c>
      <c r="E30" s="7">
        <f t="shared" si="1"/>
        <v>-151374.22999999998</v>
      </c>
      <c r="F30" s="7">
        <f t="shared" si="1"/>
        <v>-187336.01999999996</v>
      </c>
      <c r="G30" s="7">
        <f t="shared" si="1"/>
        <v>-180131.85999999993</v>
      </c>
      <c r="H30" s="7">
        <f t="shared" si="1"/>
        <v>-152768.8599999999</v>
      </c>
      <c r="I30" s="7">
        <f t="shared" si="1"/>
        <v>-149668.4199999999</v>
      </c>
      <c r="J30" s="7">
        <f t="shared" si="1"/>
        <v>-227451.34999999989</v>
      </c>
      <c r="K30" s="7">
        <f t="shared" si="1"/>
        <v>-244996.65999999992</v>
      </c>
      <c r="L30" s="7">
        <f>SUM(L22:L29)</f>
        <v>-189203.29999999987</v>
      </c>
      <c r="M30" s="7">
        <f>SUM(M22:M29)</f>
        <v>-171970.27999999985</v>
      </c>
      <c r="N30" s="7">
        <f>SUM(N22:N29)</f>
        <v>-174757.12999999983</v>
      </c>
      <c r="O30" s="2"/>
      <c r="P30" s="7">
        <f>SUM(P22:P29)</f>
        <v>-174757.13000000012</v>
      </c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3:15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3:15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3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3:15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3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3:15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3:15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3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3:15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3:15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phoneticPr fontId="0" type="noConversion"/>
  <pageMargins left="0.75" right="0.75" top="1" bottom="1" header="0.5" footer="0.5"/>
  <pageSetup paperSize="5" scale="85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zoomScale="85" zoomScaleNormal="85" workbookViewId="0">
      <selection activeCell="A2" sqref="A2"/>
    </sheetView>
  </sheetViews>
  <sheetFormatPr defaultRowHeight="12.75" x14ac:dyDescent="0.2"/>
  <cols>
    <col min="1" max="1" width="30.42578125" customWidth="1"/>
    <col min="2" max="2" width="3" customWidth="1"/>
    <col min="3" max="3" width="15.28515625" customWidth="1"/>
    <col min="4" max="4" width="16.140625" customWidth="1"/>
    <col min="5" max="5" width="15.1406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11.85546875" bestFit="1" customWidth="1"/>
    <col min="16" max="16" width="11.28515625" bestFit="1" customWidth="1"/>
  </cols>
  <sheetData>
    <row r="1" spans="1:8" ht="18" x14ac:dyDescent="0.25">
      <c r="A1" s="1" t="s">
        <v>54</v>
      </c>
      <c r="F1" s="12" t="s">
        <v>41</v>
      </c>
    </row>
    <row r="3" spans="1:8" x14ac:dyDescent="0.2">
      <c r="A3" t="s">
        <v>28</v>
      </c>
    </row>
    <row r="4" spans="1:8" x14ac:dyDescent="0.2">
      <c r="A4" t="s">
        <v>0</v>
      </c>
    </row>
    <row r="6" spans="1:8" x14ac:dyDescent="0.2">
      <c r="A6" t="s">
        <v>1</v>
      </c>
    </row>
    <row r="7" spans="1:8" x14ac:dyDescent="0.2">
      <c r="A7" t="s">
        <v>2</v>
      </c>
    </row>
    <row r="8" spans="1:8" x14ac:dyDescent="0.2">
      <c r="A8" t="s">
        <v>52</v>
      </c>
    </row>
    <row r="9" spans="1:8" x14ac:dyDescent="0.2">
      <c r="A9" t="s">
        <v>4</v>
      </c>
    </row>
    <row r="10" spans="1:8" x14ac:dyDescent="0.2">
      <c r="A10" t="s">
        <v>5</v>
      </c>
    </row>
    <row r="11" spans="1:8" x14ac:dyDescent="0.2">
      <c r="A11" t="s">
        <v>53</v>
      </c>
    </row>
    <row r="13" spans="1:8" x14ac:dyDescent="0.2">
      <c r="A13" t="s">
        <v>7</v>
      </c>
    </row>
    <row r="15" spans="1:8" x14ac:dyDescent="0.2">
      <c r="A15" s="21" t="s">
        <v>45</v>
      </c>
      <c r="D15" t="s">
        <v>10</v>
      </c>
      <c r="F15" s="2">
        <v>66666.67</v>
      </c>
      <c r="G15" s="2"/>
      <c r="H15" t="s">
        <v>40</v>
      </c>
    </row>
    <row r="16" spans="1:8" x14ac:dyDescent="0.2">
      <c r="A16" s="21" t="s">
        <v>46</v>
      </c>
      <c r="D16" t="s">
        <v>11</v>
      </c>
      <c r="F16" s="2"/>
      <c r="G16" s="2">
        <f>-F15</f>
        <v>-66666.67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10">
        <v>39814</v>
      </c>
      <c r="D21" s="10">
        <v>39845</v>
      </c>
      <c r="E21" s="10">
        <v>39873</v>
      </c>
      <c r="F21" s="10">
        <v>39904</v>
      </c>
      <c r="G21" s="10">
        <v>39934</v>
      </c>
      <c r="H21" s="10">
        <v>39965</v>
      </c>
      <c r="I21" s="10">
        <v>39995</v>
      </c>
      <c r="J21" s="10">
        <v>40026</v>
      </c>
      <c r="K21" s="10">
        <v>40057</v>
      </c>
      <c r="L21" s="10">
        <v>40087</v>
      </c>
      <c r="M21" s="10">
        <v>40118</v>
      </c>
      <c r="N21" s="10">
        <v>40148</v>
      </c>
    </row>
    <row r="22" spans="1:16" x14ac:dyDescent="0.2">
      <c r="A22" t="s">
        <v>23</v>
      </c>
      <c r="B22" s="20"/>
      <c r="C22" s="2">
        <v>-252518.75</v>
      </c>
      <c r="D22" s="2">
        <f t="shared" ref="D22:N22" si="0">C30</f>
        <v>-247908.56999999998</v>
      </c>
      <c r="E22" s="2">
        <f t="shared" si="0"/>
        <v>-236483.16999999998</v>
      </c>
      <c r="F22" s="2">
        <f t="shared" si="0"/>
        <v>-156227.4</v>
      </c>
      <c r="G22" s="2">
        <f t="shared" si="0"/>
        <v>-143612.30000000002</v>
      </c>
      <c r="H22" s="2">
        <f t="shared" si="0"/>
        <v>-180957.34000000005</v>
      </c>
      <c r="I22" s="2">
        <f t="shared" si="0"/>
        <v>-180957.34000000005</v>
      </c>
      <c r="J22" s="2">
        <f t="shared" si="0"/>
        <v>-180957.34000000005</v>
      </c>
      <c r="K22" s="2">
        <f t="shared" si="0"/>
        <v>-180957.34000000005</v>
      </c>
      <c r="L22" s="2">
        <f t="shared" si="0"/>
        <v>-180957.34000000005</v>
      </c>
      <c r="M22" s="2">
        <f t="shared" si="0"/>
        <v>-180957.34000000005</v>
      </c>
      <c r="N22" s="2">
        <f t="shared" si="0"/>
        <v>-180957.34000000005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x14ac:dyDescent="0.2">
      <c r="A24" s="6" t="s">
        <v>24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5">
        <v>13333.33</v>
      </c>
      <c r="D26" s="25">
        <v>13333.33</v>
      </c>
      <c r="E26" s="25">
        <v>15297.47</v>
      </c>
      <c r="F26" s="25">
        <v>13333.33</v>
      </c>
      <c r="G26" s="25">
        <v>13333.33</v>
      </c>
      <c r="H26" s="2" t="s">
        <v>51</v>
      </c>
      <c r="I26" s="2"/>
      <c r="J26" s="2"/>
      <c r="K26" s="2"/>
      <c r="L26" s="2"/>
      <c r="M26" s="2"/>
      <c r="N26" s="2"/>
      <c r="O26" s="2"/>
    </row>
    <row r="27" spans="1:16" x14ac:dyDescent="0.2">
      <c r="C27" s="25"/>
      <c r="D27" s="25"/>
      <c r="E27" s="25"/>
      <c r="F27" s="25"/>
      <c r="G27" s="25"/>
      <c r="H27" s="2"/>
      <c r="I27" s="2"/>
      <c r="J27" s="2"/>
      <c r="K27" s="2"/>
      <c r="L27" s="2"/>
      <c r="M27" s="2"/>
      <c r="N27" s="2"/>
      <c r="O27" s="2"/>
    </row>
    <row r="28" spans="1:16" ht="29.25" customHeight="1" x14ac:dyDescent="0.2">
      <c r="A28" s="6" t="s">
        <v>26</v>
      </c>
      <c r="C28" s="25">
        <v>57943.519999999997</v>
      </c>
      <c r="D28" s="25">
        <v>64758.74</v>
      </c>
      <c r="E28" s="25">
        <v>131624.97</v>
      </c>
      <c r="F28" s="25">
        <v>65948.44</v>
      </c>
      <c r="G28" s="25">
        <v>15988.3</v>
      </c>
      <c r="H28" s="2"/>
      <c r="I28" s="2"/>
      <c r="J28" s="2"/>
      <c r="K28" s="2"/>
      <c r="L28" s="2"/>
      <c r="M28" s="2"/>
      <c r="N28" s="2"/>
      <c r="O28" s="2"/>
    </row>
    <row r="29" spans="1:16" x14ac:dyDescent="0.2">
      <c r="A29" s="6"/>
      <c r="C29" s="2"/>
      <c r="D29" s="2"/>
      <c r="E29" s="2"/>
      <c r="F29" s="2"/>
      <c r="G29" s="8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N30" si="1">SUM(C22:C29)</f>
        <v>-247908.56999999998</v>
      </c>
      <c r="D30" s="7">
        <f t="shared" si="1"/>
        <v>-236483.16999999998</v>
      </c>
      <c r="E30" s="7">
        <f t="shared" si="1"/>
        <v>-156227.4</v>
      </c>
      <c r="F30" s="7">
        <f t="shared" si="1"/>
        <v>-143612.30000000002</v>
      </c>
      <c r="G30" s="7">
        <f t="shared" si="1"/>
        <v>-180957.34000000005</v>
      </c>
      <c r="H30" s="7">
        <f t="shared" si="1"/>
        <v>-180957.34000000005</v>
      </c>
      <c r="I30" s="7">
        <f t="shared" si="1"/>
        <v>-180957.34000000005</v>
      </c>
      <c r="J30" s="7">
        <f t="shared" si="1"/>
        <v>-180957.34000000005</v>
      </c>
      <c r="K30" s="7">
        <f t="shared" si="1"/>
        <v>-180957.34000000005</v>
      </c>
      <c r="L30" s="7">
        <f t="shared" si="1"/>
        <v>-180957.34000000005</v>
      </c>
      <c r="M30" s="7">
        <f t="shared" si="1"/>
        <v>-180957.34000000005</v>
      </c>
      <c r="N30" s="7">
        <f t="shared" si="1"/>
        <v>-180957.34000000005</v>
      </c>
      <c r="O30" s="2"/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C33" s="10">
        <v>39630</v>
      </c>
      <c r="D33" s="10">
        <v>39661</v>
      </c>
      <c r="E33" s="10">
        <v>39692</v>
      </c>
      <c r="F33" s="10">
        <v>39722</v>
      </c>
      <c r="G33" s="10">
        <v>39753</v>
      </c>
      <c r="H33" s="10">
        <v>39783</v>
      </c>
      <c r="I33" s="2"/>
      <c r="J33" s="2"/>
      <c r="K33" s="2"/>
      <c r="L33" s="2"/>
      <c r="M33" s="2"/>
      <c r="N33" s="2"/>
      <c r="O33" s="2"/>
    </row>
    <row r="34" spans="1:15" x14ac:dyDescent="0.2">
      <c r="C34" s="2">
        <f t="shared" ref="C34:H34" si="2">B42</f>
        <v>0</v>
      </c>
      <c r="D34" s="2">
        <f t="shared" si="2"/>
        <v>-2498.989999999998</v>
      </c>
      <c r="E34" s="2">
        <f t="shared" si="2"/>
        <v>-14551.820000000003</v>
      </c>
      <c r="F34" s="2">
        <f t="shared" si="2"/>
        <v>-88588.660000000018</v>
      </c>
      <c r="G34" s="2">
        <f t="shared" si="2"/>
        <v>-109144.67000000003</v>
      </c>
      <c r="H34" s="2">
        <f t="shared" si="2"/>
        <v>-61957.310000000041</v>
      </c>
      <c r="I34" s="2"/>
      <c r="J34" s="2"/>
      <c r="K34" s="2"/>
      <c r="L34" s="2"/>
      <c r="M34" s="2"/>
      <c r="N34" s="2"/>
      <c r="O34" s="2"/>
    </row>
    <row r="35" spans="1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C36" s="2">
        <v>-66666.67</v>
      </c>
      <c r="D36" s="2">
        <v>-66666.67</v>
      </c>
      <c r="E36" s="2">
        <f>-85312.17-66666.67</f>
        <v>-151978.84</v>
      </c>
      <c r="F36" s="2">
        <v>-66666.67</v>
      </c>
      <c r="G36" s="2">
        <v>-66666.67</v>
      </c>
      <c r="H36" s="2">
        <v>-66666.63</v>
      </c>
      <c r="I36" s="2"/>
      <c r="J36" s="2"/>
      <c r="K36" s="2"/>
      <c r="L36" s="2"/>
      <c r="M36" s="2"/>
      <c r="N36" s="2"/>
      <c r="O36" s="2"/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t="s">
        <v>25</v>
      </c>
      <c r="C38" s="25">
        <v>13333.33</v>
      </c>
      <c r="D38" s="25">
        <v>30395.78</v>
      </c>
      <c r="E38" s="25">
        <v>13333.33</v>
      </c>
      <c r="F38" s="25">
        <v>13333.33</v>
      </c>
      <c r="G38" s="25">
        <v>13333.33</v>
      </c>
      <c r="H38" s="25">
        <v>13333.33</v>
      </c>
      <c r="I38" s="2"/>
      <c r="J38" s="2"/>
      <c r="K38" s="2"/>
      <c r="L38" s="2"/>
      <c r="M38" s="2"/>
      <c r="N38" s="2"/>
      <c r="O38" s="2"/>
    </row>
    <row r="39" spans="1:15" x14ac:dyDescent="0.2">
      <c r="C39" s="25"/>
      <c r="D39" s="25"/>
      <c r="E39" s="25"/>
      <c r="F39" s="25"/>
      <c r="G39" s="25"/>
      <c r="H39" s="25"/>
      <c r="I39" s="2"/>
      <c r="J39" s="2"/>
      <c r="K39" s="2"/>
      <c r="L39" s="2"/>
      <c r="M39" s="2"/>
      <c r="N39" s="2"/>
      <c r="O39" s="2"/>
    </row>
    <row r="40" spans="1:15" ht="25.5" x14ac:dyDescent="0.2">
      <c r="A40" s="6" t="s">
        <v>26</v>
      </c>
      <c r="C40" s="25">
        <v>50834.35</v>
      </c>
      <c r="D40" s="25">
        <v>24218.06</v>
      </c>
      <c r="E40" s="25">
        <v>64608.67</v>
      </c>
      <c r="F40" s="25">
        <v>32777.33</v>
      </c>
      <c r="G40" s="25">
        <v>100520.7</v>
      </c>
      <c r="H40" s="25">
        <v>43286.46</v>
      </c>
      <c r="I40" s="2"/>
      <c r="J40" s="2"/>
      <c r="K40" s="2"/>
      <c r="L40" s="2"/>
      <c r="M40" s="2"/>
      <c r="N40" s="2"/>
      <c r="O40" s="2"/>
    </row>
    <row r="41" spans="1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3.5" thickBot="1" x14ac:dyDescent="0.25">
      <c r="C42" s="7">
        <f t="shared" ref="C42:H42" si="3">SUM(C34:C41)</f>
        <v>-2498.989999999998</v>
      </c>
      <c r="D42" s="7">
        <f t="shared" si="3"/>
        <v>-14551.820000000003</v>
      </c>
      <c r="E42" s="7">
        <f t="shared" si="3"/>
        <v>-88588.660000000018</v>
      </c>
      <c r="F42" s="7">
        <f t="shared" si="3"/>
        <v>-109144.67000000003</v>
      </c>
      <c r="G42" s="7">
        <f t="shared" si="3"/>
        <v>-61957.310000000041</v>
      </c>
      <c r="H42" s="7">
        <f t="shared" si="3"/>
        <v>-72004.150000000052</v>
      </c>
      <c r="I42" s="2"/>
      <c r="J42" s="2"/>
      <c r="K42" s="2"/>
      <c r="L42" s="2"/>
      <c r="M42" s="2"/>
      <c r="N42" s="2"/>
      <c r="O42" s="2"/>
    </row>
    <row r="43" spans="1:15" ht="13.5" thickTop="1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C44" s="2"/>
      <c r="D44" s="2"/>
      <c r="E44" s="2"/>
      <c r="F44" s="2"/>
      <c r="G44" s="2"/>
      <c r="H44" s="2"/>
    </row>
    <row r="45" spans="1:15" x14ac:dyDescent="0.2">
      <c r="C45" s="2"/>
      <c r="D45" s="27" t="s">
        <v>47</v>
      </c>
      <c r="F45" s="2">
        <f>SUM(C38:H40)</f>
        <v>413308.00000000006</v>
      </c>
      <c r="G45" s="2"/>
      <c r="H45" s="2"/>
    </row>
    <row r="46" spans="1:15" ht="15" x14ac:dyDescent="0.35">
      <c r="C46" s="2"/>
      <c r="D46" s="27" t="s">
        <v>48</v>
      </c>
      <c r="F46" s="26">
        <f>SUM(C26:G28)</f>
        <v>404894.76</v>
      </c>
      <c r="G46" s="22"/>
      <c r="H46" s="23"/>
    </row>
    <row r="47" spans="1:15" x14ac:dyDescent="0.2">
      <c r="C47" s="2"/>
      <c r="D47" s="2"/>
      <c r="F47" s="2">
        <f>SUM(F45:F46)</f>
        <v>818202.76</v>
      </c>
      <c r="G47" s="23"/>
      <c r="H47" s="23"/>
    </row>
    <row r="48" spans="1:15" x14ac:dyDescent="0.2">
      <c r="C48" s="2" t="s">
        <v>49</v>
      </c>
      <c r="F48" s="2">
        <v>30000</v>
      </c>
      <c r="G48" s="23"/>
      <c r="H48" s="24"/>
    </row>
    <row r="49" spans="3:8" x14ac:dyDescent="0.2">
      <c r="C49" s="2"/>
      <c r="G49" s="23"/>
      <c r="H49" s="24"/>
    </row>
    <row r="50" spans="3:8" ht="13.5" thickBot="1" x14ac:dyDescent="0.25">
      <c r="C50" s="2" t="s">
        <v>50</v>
      </c>
      <c r="D50" s="2"/>
      <c r="F50" s="7">
        <f>SUM(F47:F49)</f>
        <v>848202.76</v>
      </c>
      <c r="G50" s="23"/>
      <c r="H50" s="23"/>
    </row>
    <row r="51" spans="3:8" ht="13.5" thickTop="1" x14ac:dyDescent="0.2">
      <c r="C51" s="2"/>
      <c r="D51" s="2"/>
      <c r="E51" s="2"/>
      <c r="F51" s="2"/>
      <c r="G51" s="23"/>
      <c r="H51" s="23"/>
    </row>
    <row r="52" spans="3:8" x14ac:dyDescent="0.2">
      <c r="C52" s="2"/>
      <c r="D52" s="2"/>
      <c r="E52" s="2"/>
      <c r="F52" s="2"/>
      <c r="G52" s="2"/>
      <c r="H52" s="2"/>
    </row>
    <row r="53" spans="3:8" x14ac:dyDescent="0.2">
      <c r="C53" s="2"/>
      <c r="D53" s="2"/>
      <c r="E53" s="2"/>
      <c r="F53" s="2"/>
      <c r="G53" s="2"/>
      <c r="H53" s="2"/>
    </row>
  </sheetData>
  <phoneticPr fontId="0" type="noConversion"/>
  <pageMargins left="0.25" right="0.25" top="0.25" bottom="0.25" header="0" footer="0"/>
  <pageSetup paperSize="5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GridLines="0" topLeftCell="A10" zoomScaleNormal="100" workbookViewId="0">
      <selection activeCell="M10" sqref="M10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95"/>
      <c r="C1" s="95"/>
      <c r="D1" s="95"/>
    </row>
    <row r="2" spans="2:14" ht="20.25" customHeight="1" thickTop="1" thickBot="1" x14ac:dyDescent="0.3">
      <c r="B2" s="96" t="s">
        <v>65</v>
      </c>
      <c r="C2" s="136" t="s">
        <v>83</v>
      </c>
      <c r="D2" s="136"/>
      <c r="E2" s="137" t="s">
        <v>68</v>
      </c>
      <c r="F2" s="137"/>
      <c r="G2" s="137"/>
      <c r="H2" s="137"/>
      <c r="I2" s="137"/>
      <c r="J2" s="137"/>
      <c r="K2" s="137"/>
      <c r="L2" s="137"/>
      <c r="M2" s="137"/>
    </row>
    <row r="3" spans="2:14" ht="20.25" customHeight="1" thickTop="1" thickBot="1" x14ac:dyDescent="0.3">
      <c r="B3" s="97" t="s">
        <v>57</v>
      </c>
      <c r="C3" s="138">
        <v>42586</v>
      </c>
      <c r="D3" s="138"/>
      <c r="E3" s="137"/>
      <c r="F3" s="137"/>
      <c r="G3" s="137"/>
      <c r="H3" s="137"/>
      <c r="I3" s="137"/>
      <c r="J3" s="137"/>
      <c r="K3" s="137"/>
      <c r="L3" s="137"/>
      <c r="M3" s="137"/>
    </row>
    <row r="4" spans="2:14" ht="7.5" customHeight="1" thickTop="1" x14ac:dyDescent="0.2">
      <c r="B4" s="94"/>
    </row>
    <row r="5" spans="2:14" ht="20.25" customHeight="1" x14ac:dyDescent="0.3">
      <c r="B5" s="91">
        <v>2016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90</v>
      </c>
    </row>
    <row r="8" spans="2:14" ht="14.25" x14ac:dyDescent="0.2">
      <c r="B8" s="32" t="s">
        <v>91</v>
      </c>
    </row>
    <row r="9" spans="2:14" ht="14.25" x14ac:dyDescent="0.2">
      <c r="B9" s="32" t="s">
        <v>86</v>
      </c>
    </row>
    <row r="10" spans="2:14" ht="14.25" x14ac:dyDescent="0.2">
      <c r="B10" s="32"/>
    </row>
    <row r="11" spans="2:14" ht="10.5" customHeight="1" x14ac:dyDescent="0.2">
      <c r="B11" s="32"/>
    </row>
    <row r="12" spans="2:14" ht="14.25" x14ac:dyDescent="0.2">
      <c r="B12" s="32" t="s">
        <v>79</v>
      </c>
    </row>
    <row r="13" spans="2:14" ht="15" x14ac:dyDescent="0.25">
      <c r="B13" s="32" t="s">
        <v>66</v>
      </c>
    </row>
    <row r="14" spans="2:14" ht="14.25" x14ac:dyDescent="0.2">
      <c r="B14" s="32" t="s">
        <v>88</v>
      </c>
    </row>
    <row r="15" spans="2:14" ht="15" x14ac:dyDescent="0.25">
      <c r="B15" s="32" t="s">
        <v>67</v>
      </c>
    </row>
    <row r="16" spans="2:14" ht="14.25" x14ac:dyDescent="0.2">
      <c r="B16" s="32" t="s">
        <v>73</v>
      </c>
    </row>
    <row r="17" spans="1:17" ht="14.25" x14ac:dyDescent="0.2">
      <c r="B17" s="32" t="s">
        <v>89</v>
      </c>
    </row>
    <row r="18" spans="1:17" ht="11.25" customHeight="1" x14ac:dyDescent="0.2">
      <c r="B18" s="32"/>
    </row>
    <row r="19" spans="1:17" ht="14.25" x14ac:dyDescent="0.2">
      <c r="B19" s="32" t="s">
        <v>7</v>
      </c>
    </row>
    <row r="20" spans="1:17" ht="10.5" customHeight="1" x14ac:dyDescent="0.2"/>
    <row r="21" spans="1:17" ht="15.75" x14ac:dyDescent="0.25">
      <c r="B21" s="74" t="s">
        <v>84</v>
      </c>
      <c r="C21" s="141" t="s">
        <v>10</v>
      </c>
      <c r="D21" s="141"/>
      <c r="E21" s="141"/>
      <c r="F21" s="76">
        <f>-J28</f>
        <v>66666.67</v>
      </c>
      <c r="G21" s="76"/>
    </row>
    <row r="22" spans="1:17" ht="15.75" x14ac:dyDescent="0.25">
      <c r="B22" s="74" t="s">
        <v>85</v>
      </c>
      <c r="C22" s="141" t="s">
        <v>11</v>
      </c>
      <c r="D22" s="141"/>
      <c r="E22" s="141"/>
      <c r="F22" s="76"/>
      <c r="G22" s="76">
        <f>-F21</f>
        <v>-66666.67</v>
      </c>
    </row>
    <row r="23" spans="1:17" ht="9.75" customHeight="1" x14ac:dyDescent="0.2">
      <c r="E23" s="2"/>
      <c r="F23" s="2"/>
      <c r="G23" s="2"/>
    </row>
    <row r="24" spans="1:17" ht="14.25" x14ac:dyDescent="0.2">
      <c r="B24" s="32"/>
    </row>
    <row r="25" spans="1:17" ht="9.75" customHeight="1" x14ac:dyDescent="0.2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7" ht="21.75" customHeight="1" x14ac:dyDescent="0.25">
      <c r="A26" s="60"/>
      <c r="B26" s="65"/>
      <c r="C26" s="85">
        <v>42370</v>
      </c>
      <c r="D26" s="85">
        <f>C26+34</f>
        <v>42404</v>
      </c>
      <c r="E26" s="85">
        <f t="shared" ref="E26:N26" si="0">D26+30</f>
        <v>42434</v>
      </c>
      <c r="F26" s="85">
        <f t="shared" si="0"/>
        <v>42464</v>
      </c>
      <c r="G26" s="85">
        <f t="shared" si="0"/>
        <v>42494</v>
      </c>
      <c r="H26" s="85">
        <f t="shared" si="0"/>
        <v>42524</v>
      </c>
      <c r="I26" s="85">
        <f t="shared" si="0"/>
        <v>42554</v>
      </c>
      <c r="J26" s="85">
        <f t="shared" si="0"/>
        <v>42584</v>
      </c>
      <c r="K26" s="85">
        <f t="shared" si="0"/>
        <v>42614</v>
      </c>
      <c r="L26" s="85">
        <f t="shared" si="0"/>
        <v>42644</v>
      </c>
      <c r="M26" s="85">
        <f>L26+31</f>
        <v>42675</v>
      </c>
      <c r="N26" s="88">
        <f t="shared" si="0"/>
        <v>42705</v>
      </c>
    </row>
    <row r="27" spans="1:17" ht="22.5" customHeight="1" x14ac:dyDescent="0.25">
      <c r="A27" s="60"/>
      <c r="B27" s="57" t="s">
        <v>23</v>
      </c>
      <c r="C27" s="84">
        <v>-447780.24</v>
      </c>
      <c r="D27" s="49">
        <f>C32</f>
        <v>-438794.62</v>
      </c>
      <c r="E27" s="49">
        <f>D32</f>
        <v>-437104.26999999996</v>
      </c>
      <c r="F27" s="49">
        <f>E32</f>
        <v>-408920.08999999997</v>
      </c>
      <c r="G27" s="49">
        <f>F32</f>
        <v>-394129.13</v>
      </c>
      <c r="H27" s="49">
        <f>G32</f>
        <v>-399812.54</v>
      </c>
      <c r="I27" s="49">
        <f t="shared" ref="I27:J27" si="1">H32</f>
        <v>-371146.23</v>
      </c>
      <c r="J27" s="49">
        <f t="shared" si="1"/>
        <v>-385064.24999999994</v>
      </c>
      <c r="K27" s="49">
        <f>J32</f>
        <v>-439588.9599999999</v>
      </c>
      <c r="L27" s="49">
        <f>K32</f>
        <v>-439588.9599999999</v>
      </c>
      <c r="M27" s="49">
        <f>L32</f>
        <v>-439588.9599999999</v>
      </c>
      <c r="N27" s="81">
        <f>M32</f>
        <v>-439588.9599999999</v>
      </c>
      <c r="O27" s="37"/>
    </row>
    <row r="28" spans="1:17" ht="30" customHeight="1" x14ac:dyDescent="0.2">
      <c r="A28" s="60"/>
      <c r="B28" s="70" t="s">
        <v>24</v>
      </c>
      <c r="C28" s="72">
        <v>-66666.67</v>
      </c>
      <c r="D28" s="72">
        <v>-66666.67</v>
      </c>
      <c r="E28" s="73">
        <v>-66666.66</v>
      </c>
      <c r="F28" s="72">
        <v>-66666.67</v>
      </c>
      <c r="G28" s="72">
        <v>-66666.67</v>
      </c>
      <c r="H28" s="73">
        <v>-66666.66</v>
      </c>
      <c r="I28" s="72">
        <v>-66666.67</v>
      </c>
      <c r="J28" s="72">
        <v>-66666.67</v>
      </c>
      <c r="K28" s="73"/>
      <c r="L28" s="72"/>
      <c r="M28" s="72"/>
      <c r="N28" s="73"/>
      <c r="O28" s="37"/>
      <c r="P28" s="2">
        <f>SUM(C28:O28)</f>
        <v>-533333.34</v>
      </c>
    </row>
    <row r="29" spans="1:17" ht="22.5" customHeight="1" x14ac:dyDescent="0.2">
      <c r="A29" s="60"/>
      <c r="B29" s="58" t="s">
        <v>25</v>
      </c>
      <c r="C29" s="46">
        <f>123.4+518.2+267+524.5+1073.6+2465+943.8+194.6+411+2618.2</f>
        <v>9139.2999999999993</v>
      </c>
      <c r="D29" s="50">
        <f>68357.02-57327.32</f>
        <v>11029.700000000004</v>
      </c>
      <c r="E29" s="50">
        <f>94850.84-82885.84</f>
        <v>11965</v>
      </c>
      <c r="F29" s="50">
        <f>81457.63-64197.34</f>
        <v>17260.290000000008</v>
      </c>
      <c r="G29" s="50">
        <f>60983.26-47700.76</f>
        <v>13282.5</v>
      </c>
      <c r="H29" s="50">
        <f>95332.97-88464.98</f>
        <v>6867.9900000000052</v>
      </c>
      <c r="I29" s="50">
        <f>52748.65-34463.25</f>
        <v>18285.400000000001</v>
      </c>
      <c r="J29" s="50">
        <f>58369.81-50876.38</f>
        <v>7493.43</v>
      </c>
      <c r="K29" s="50"/>
      <c r="L29" s="50"/>
      <c r="M29" s="50"/>
      <c r="N29" s="53"/>
      <c r="O29" s="2"/>
      <c r="P29" s="2">
        <f t="shared" ref="P29:P31" si="2">SUM(C29:O29)</f>
        <v>95323.610000000015</v>
      </c>
    </row>
    <row r="30" spans="1:17" ht="30" customHeight="1" x14ac:dyDescent="0.2">
      <c r="A30" s="60"/>
      <c r="B30" s="70" t="s">
        <v>98</v>
      </c>
      <c r="C30" s="71">
        <v>66512.990000000005</v>
      </c>
      <c r="D30" s="72">
        <v>57327.32</v>
      </c>
      <c r="E30" s="72">
        <v>82885.84</v>
      </c>
      <c r="F30" s="72">
        <v>64197.34</v>
      </c>
      <c r="G30" s="72">
        <v>47700.76</v>
      </c>
      <c r="H30" s="72">
        <v>88464.98</v>
      </c>
      <c r="I30" s="72">
        <v>34463.25</v>
      </c>
      <c r="J30" s="72">
        <v>50876.38</v>
      </c>
      <c r="K30" s="72"/>
      <c r="L30" s="72"/>
      <c r="M30" s="72"/>
      <c r="N30" s="73"/>
      <c r="O30" s="2"/>
      <c r="P30" s="2">
        <f t="shared" si="2"/>
        <v>492428.86</v>
      </c>
    </row>
    <row r="31" spans="1:17" ht="29.25" customHeight="1" x14ac:dyDescent="0.2">
      <c r="A31" s="60"/>
      <c r="B31" s="59" t="s">
        <v>87</v>
      </c>
      <c r="C31" s="47"/>
      <c r="D31" s="51"/>
      <c r="E31" s="51"/>
      <c r="F31" s="51"/>
      <c r="G31" s="51"/>
      <c r="H31" s="51"/>
      <c r="I31" s="51"/>
      <c r="J31" s="51">
        <v>-46227.85</v>
      </c>
      <c r="K31" s="51"/>
      <c r="L31" s="51"/>
      <c r="M31" s="51"/>
      <c r="N31" s="54"/>
      <c r="O31" s="2"/>
      <c r="P31" s="2">
        <f t="shared" si="2"/>
        <v>-46227.85</v>
      </c>
      <c r="Q31" s="82"/>
    </row>
    <row r="32" spans="1:17" ht="23.25" customHeight="1" thickBot="1" x14ac:dyDescent="0.3">
      <c r="A32" s="60"/>
      <c r="B32" s="66" t="s">
        <v>27</v>
      </c>
      <c r="C32" s="48">
        <f t="shared" ref="C32:N32" si="3">SUM(C27:C31)</f>
        <v>-438794.62</v>
      </c>
      <c r="D32" s="52">
        <f t="shared" si="3"/>
        <v>-437104.26999999996</v>
      </c>
      <c r="E32" s="42">
        <f t="shared" si="3"/>
        <v>-408920.08999999997</v>
      </c>
      <c r="F32" s="42">
        <f t="shared" si="3"/>
        <v>-394129.13</v>
      </c>
      <c r="G32" s="42">
        <f>SUM(G27:G31)</f>
        <v>-399812.54</v>
      </c>
      <c r="H32" s="42">
        <f>SUM(H27:H31)</f>
        <v>-371146.23</v>
      </c>
      <c r="I32" s="42">
        <f t="shared" si="3"/>
        <v>-385064.24999999994</v>
      </c>
      <c r="J32" s="42">
        <f t="shared" si="3"/>
        <v>-439588.9599999999</v>
      </c>
      <c r="K32" s="42">
        <f t="shared" si="3"/>
        <v>-439588.9599999999</v>
      </c>
      <c r="L32" s="42">
        <f t="shared" si="3"/>
        <v>-439588.9599999999</v>
      </c>
      <c r="M32" s="42">
        <f t="shared" si="3"/>
        <v>-439588.9599999999</v>
      </c>
      <c r="N32" s="55">
        <f t="shared" si="3"/>
        <v>-439588.9599999999</v>
      </c>
      <c r="O32" s="2"/>
      <c r="P32" s="7">
        <f>SUM(P28:P31)</f>
        <v>8191.2800000000061</v>
      </c>
    </row>
    <row r="33" spans="1:17" ht="23.25" customHeight="1" thickTop="1" x14ac:dyDescent="0.2">
      <c r="A33" s="60"/>
      <c r="B33" s="67" t="s">
        <v>59</v>
      </c>
      <c r="C33" s="44">
        <v>-438794.62</v>
      </c>
      <c r="D33" s="44">
        <v>-437104.27</v>
      </c>
      <c r="E33" s="43">
        <v>-408920.09</v>
      </c>
      <c r="F33" s="43">
        <v>-394129.13</v>
      </c>
      <c r="G33" s="43">
        <v>-399812.54</v>
      </c>
      <c r="H33" s="43">
        <v>-371146.23</v>
      </c>
      <c r="I33" s="43">
        <v>-385064.25</v>
      </c>
      <c r="J33" s="43">
        <v>-439588.96</v>
      </c>
      <c r="K33" s="44">
        <v>0</v>
      </c>
      <c r="L33" s="43">
        <v>0</v>
      </c>
      <c r="M33" s="43">
        <v>0</v>
      </c>
      <c r="N33" s="56"/>
      <c r="O33" s="2"/>
      <c r="Q33" s="82"/>
    </row>
    <row r="34" spans="1:17" ht="15.75" customHeight="1" x14ac:dyDescent="0.2">
      <c r="B34" s="32" t="s">
        <v>60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-439588.9599999999</v>
      </c>
      <c r="L34" s="2">
        <f t="shared" si="4"/>
        <v>-439588.9599999999</v>
      </c>
      <c r="M34" s="2">
        <f t="shared" si="4"/>
        <v>-439588.9599999999</v>
      </c>
      <c r="N34" s="2">
        <f t="shared" si="4"/>
        <v>-439588.9599999999</v>
      </c>
      <c r="O34" s="2"/>
    </row>
    <row r="35" spans="1:17" ht="15.75" customHeight="1" x14ac:dyDescent="0.2"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82"/>
    </row>
    <row r="36" spans="1:17" s="32" customFormat="1" ht="14.25" x14ac:dyDescent="0.2">
      <c r="C36" s="31"/>
      <c r="D36" s="31"/>
      <c r="E36" s="40"/>
      <c r="F36" s="31"/>
      <c r="G36" s="31"/>
      <c r="H36" s="31"/>
      <c r="I36" s="31"/>
      <c r="J36" s="31"/>
      <c r="K36" s="31"/>
      <c r="L36" s="36"/>
      <c r="O36" s="31"/>
      <c r="Q36" s="82"/>
    </row>
    <row r="37" spans="1:17" ht="18" customHeight="1" thickBot="1" x14ac:dyDescent="0.4">
      <c r="B37" s="140" t="s">
        <v>34</v>
      </c>
      <c r="C37" s="140"/>
      <c r="D37" s="2"/>
      <c r="E37" s="2"/>
      <c r="F37" s="2"/>
      <c r="G37" s="2"/>
      <c r="I37" s="2"/>
      <c r="J37" s="2"/>
      <c r="K37" s="37"/>
      <c r="O37" s="2"/>
    </row>
    <row r="38" spans="1:17" ht="13.5" customHeight="1" x14ac:dyDescent="0.2">
      <c r="B38" s="90" t="s">
        <v>77</v>
      </c>
      <c r="C38" s="33"/>
      <c r="D38" s="2"/>
      <c r="E38" s="99"/>
      <c r="F38" s="2"/>
      <c r="I38" s="2"/>
      <c r="J38" s="2"/>
      <c r="K38" s="37"/>
      <c r="O38" s="2"/>
      <c r="Q38" s="82"/>
    </row>
    <row r="39" spans="1:17" ht="13.5" customHeight="1" x14ac:dyDescent="0.2">
      <c r="B39" s="90" t="s">
        <v>42</v>
      </c>
      <c r="C39" s="33"/>
      <c r="D39" s="2"/>
      <c r="E39" s="99"/>
      <c r="F39" s="2"/>
      <c r="I39" s="2"/>
      <c r="J39" s="2"/>
      <c r="K39" s="37"/>
      <c r="O39" s="2"/>
      <c r="Q39" s="11"/>
    </row>
    <row r="40" spans="1:17" ht="13.5" customHeight="1" x14ac:dyDescent="0.2">
      <c r="B40" s="90" t="s">
        <v>62</v>
      </c>
      <c r="C40" s="135" t="s">
        <v>71</v>
      </c>
      <c r="D40" s="2"/>
      <c r="E40" s="2"/>
      <c r="F40" s="2"/>
      <c r="I40" s="2"/>
      <c r="J40" s="2"/>
      <c r="K40" s="37"/>
      <c r="O40" s="2"/>
    </row>
    <row r="41" spans="1:17" ht="13.5" customHeight="1" x14ac:dyDescent="0.2">
      <c r="B41" s="90" t="s">
        <v>94</v>
      </c>
      <c r="C41" s="135"/>
      <c r="D41" s="2"/>
      <c r="E41" s="2"/>
      <c r="F41" s="2"/>
      <c r="I41" s="2"/>
      <c r="J41" s="2"/>
      <c r="K41" s="37"/>
      <c r="O41" s="2"/>
    </row>
    <row r="42" spans="1:17" ht="13.5" customHeight="1" x14ac:dyDescent="0.2">
      <c r="B42" s="90" t="s">
        <v>97</v>
      </c>
      <c r="C42" s="101"/>
      <c r="D42" s="2"/>
      <c r="E42" s="2"/>
      <c r="F42" s="2"/>
      <c r="I42" s="2"/>
      <c r="J42" s="2"/>
      <c r="K42" s="37"/>
      <c r="O42" s="2"/>
    </row>
    <row r="43" spans="1:17" ht="13.5" customHeight="1" x14ac:dyDescent="0.2">
      <c r="B43" s="90" t="s">
        <v>81</v>
      </c>
      <c r="C43" s="34"/>
      <c r="D43" s="2"/>
      <c r="E43" s="2"/>
      <c r="F43" s="2"/>
      <c r="I43" s="2"/>
      <c r="J43" s="2"/>
      <c r="K43" s="37"/>
      <c r="O43" s="2"/>
    </row>
    <row r="44" spans="1:17" ht="13.5" customHeight="1" x14ac:dyDescent="0.2">
      <c r="B44" s="90" t="s">
        <v>36</v>
      </c>
      <c r="C44" s="34"/>
      <c r="D44" s="2"/>
      <c r="E44" s="2"/>
      <c r="F44" s="2"/>
      <c r="I44" s="2"/>
      <c r="J44" s="2"/>
      <c r="K44" s="37"/>
      <c r="O44" s="2"/>
    </row>
    <row r="51" spans="2:2" ht="14.25" x14ac:dyDescent="0.2">
      <c r="B51" s="86" t="str">
        <f ca="1">CELL("filename")</f>
        <v>http://apps.utc.wa.gov/apps/rsc/EFilingDocuments/[NEW CNGC Advice No. W17-09-04, Attch A, 9.29.17.xlsx]WA 2016-Post Revision</v>
      </c>
    </row>
  </sheetData>
  <mergeCells count="7">
    <mergeCell ref="C40:C41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opLeftCell="A19" zoomScaleNormal="100" workbookViewId="0">
      <selection activeCell="E36" sqref="E36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95"/>
      <c r="C1" s="95"/>
      <c r="D1" s="95"/>
    </row>
    <row r="2" spans="2:14" ht="20.25" customHeight="1" thickTop="1" thickBot="1" x14ac:dyDescent="0.3">
      <c r="B2" s="96" t="s">
        <v>65</v>
      </c>
      <c r="C2" s="136" t="s">
        <v>83</v>
      </c>
      <c r="D2" s="136"/>
      <c r="E2" s="137" t="s">
        <v>68</v>
      </c>
      <c r="F2" s="137"/>
      <c r="G2" s="137"/>
      <c r="H2" s="137"/>
      <c r="I2" s="137"/>
      <c r="J2" s="137"/>
      <c r="K2" s="137"/>
      <c r="L2" s="137"/>
      <c r="M2" s="137"/>
    </row>
    <row r="3" spans="2:14" ht="20.25" customHeight="1" thickTop="1" thickBot="1" x14ac:dyDescent="0.3">
      <c r="B3" s="97" t="s">
        <v>57</v>
      </c>
      <c r="C3" s="138">
        <v>42374</v>
      </c>
      <c r="D3" s="138"/>
      <c r="E3" s="137"/>
      <c r="F3" s="137"/>
      <c r="G3" s="137"/>
      <c r="H3" s="137"/>
      <c r="I3" s="137"/>
      <c r="J3" s="137"/>
      <c r="K3" s="137"/>
      <c r="L3" s="137"/>
      <c r="M3" s="137"/>
    </row>
    <row r="4" spans="2:14" ht="11.25" customHeight="1" thickTop="1" x14ac:dyDescent="0.2">
      <c r="B4" s="94"/>
    </row>
    <row r="5" spans="2:14" ht="15.75" customHeight="1" x14ac:dyDescent="0.3">
      <c r="B5" s="91">
        <v>2015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90</v>
      </c>
    </row>
    <row r="8" spans="2:14" ht="14.25" x14ac:dyDescent="0.2">
      <c r="B8" s="32" t="s">
        <v>91</v>
      </c>
    </row>
    <row r="9" spans="2:14" ht="14.25" x14ac:dyDescent="0.2">
      <c r="B9" s="32" t="s">
        <v>86</v>
      </c>
    </row>
    <row r="10" spans="2:14" ht="14.25" x14ac:dyDescent="0.2">
      <c r="B10" s="32"/>
    </row>
    <row r="11" spans="2:14" ht="10.5" customHeight="1" x14ac:dyDescent="0.2">
      <c r="B11" s="32"/>
    </row>
    <row r="12" spans="2:14" ht="14.25" x14ac:dyDescent="0.2">
      <c r="B12" s="32" t="s">
        <v>79</v>
      </c>
    </row>
    <row r="13" spans="2:14" ht="15" x14ac:dyDescent="0.25">
      <c r="B13" s="32" t="s">
        <v>66</v>
      </c>
    </row>
    <row r="14" spans="2:14" ht="14.25" x14ac:dyDescent="0.2">
      <c r="B14" s="32" t="s">
        <v>88</v>
      </c>
    </row>
    <row r="15" spans="2:14" ht="15" x14ac:dyDescent="0.25">
      <c r="B15" s="32" t="s">
        <v>67</v>
      </c>
    </row>
    <row r="16" spans="2:14" ht="14.25" x14ac:dyDescent="0.2">
      <c r="B16" s="32" t="s">
        <v>73</v>
      </c>
    </row>
    <row r="17" spans="1:17" ht="14.25" x14ac:dyDescent="0.2">
      <c r="B17" s="32" t="s">
        <v>89</v>
      </c>
    </row>
    <row r="18" spans="1:17" ht="11.25" customHeight="1" x14ac:dyDescent="0.2">
      <c r="B18" s="32"/>
    </row>
    <row r="19" spans="1:17" ht="14.25" x14ac:dyDescent="0.2">
      <c r="B19" s="32" t="s">
        <v>7</v>
      </c>
    </row>
    <row r="20" spans="1:17" ht="10.5" customHeight="1" x14ac:dyDescent="0.2"/>
    <row r="21" spans="1:17" ht="15.75" x14ac:dyDescent="0.25">
      <c r="B21" s="74" t="s">
        <v>84</v>
      </c>
      <c r="C21" s="141" t="s">
        <v>10</v>
      </c>
      <c r="D21" s="141"/>
      <c r="E21" s="141"/>
      <c r="F21" s="76">
        <f>-N28</f>
        <v>66666.66</v>
      </c>
      <c r="G21" s="76"/>
    </row>
    <row r="22" spans="1:17" ht="15.75" x14ac:dyDescent="0.25">
      <c r="B22" s="74" t="s">
        <v>85</v>
      </c>
      <c r="C22" s="141" t="s">
        <v>11</v>
      </c>
      <c r="D22" s="141"/>
      <c r="E22" s="141"/>
      <c r="F22" s="76"/>
      <c r="G22" s="76">
        <f>-F21</f>
        <v>-66666.66</v>
      </c>
    </row>
    <row r="23" spans="1:17" ht="9.75" customHeight="1" x14ac:dyDescent="0.2">
      <c r="E23" s="2"/>
      <c r="F23" s="2"/>
      <c r="G23" s="2"/>
    </row>
    <row r="24" spans="1:17" ht="14.25" x14ac:dyDescent="0.2">
      <c r="B24" s="32"/>
    </row>
    <row r="25" spans="1:17" ht="9.75" customHeight="1" x14ac:dyDescent="0.2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7" ht="21.75" customHeight="1" x14ac:dyDescent="0.25">
      <c r="A26" s="60"/>
      <c r="B26" s="65"/>
      <c r="C26" s="85">
        <v>42005</v>
      </c>
      <c r="D26" s="85">
        <f>C26+34</f>
        <v>42039</v>
      </c>
      <c r="E26" s="85">
        <f t="shared" ref="E26:N26" si="0">D26+30</f>
        <v>42069</v>
      </c>
      <c r="F26" s="85">
        <f t="shared" si="0"/>
        <v>42099</v>
      </c>
      <c r="G26" s="85">
        <f t="shared" si="0"/>
        <v>42129</v>
      </c>
      <c r="H26" s="85">
        <f t="shared" si="0"/>
        <v>42159</v>
      </c>
      <c r="I26" s="85">
        <f t="shared" si="0"/>
        <v>42189</v>
      </c>
      <c r="J26" s="85">
        <f t="shared" si="0"/>
        <v>42219</v>
      </c>
      <c r="K26" s="85">
        <f t="shared" si="0"/>
        <v>42249</v>
      </c>
      <c r="L26" s="85">
        <f t="shared" si="0"/>
        <v>42279</v>
      </c>
      <c r="M26" s="85">
        <f>L26+31</f>
        <v>42310</v>
      </c>
      <c r="N26" s="88">
        <f t="shared" si="0"/>
        <v>42340</v>
      </c>
    </row>
    <row r="27" spans="1:17" ht="22.5" customHeight="1" x14ac:dyDescent="0.25">
      <c r="A27" s="60"/>
      <c r="B27" s="57" t="s">
        <v>23</v>
      </c>
      <c r="C27" s="84">
        <v>-589264.5</v>
      </c>
      <c r="D27" s="49">
        <f>C32</f>
        <v>-561738.44999999995</v>
      </c>
      <c r="E27" s="49">
        <f>D32</f>
        <v>-526472.83000000007</v>
      </c>
      <c r="F27" s="49">
        <f>E32</f>
        <v>-481609.55000000016</v>
      </c>
      <c r="G27" s="49">
        <f>F32</f>
        <v>-469182.73000000021</v>
      </c>
      <c r="H27" s="49">
        <f>G32</f>
        <v>-457572.08000000019</v>
      </c>
      <c r="I27" s="49">
        <f t="shared" ref="I27:J27" si="1">H32</f>
        <v>-461977.27000000025</v>
      </c>
      <c r="J27" s="49">
        <f t="shared" si="1"/>
        <v>-479965.39000000031</v>
      </c>
      <c r="K27" s="49">
        <f>J32</f>
        <v>-481711.7600000003</v>
      </c>
      <c r="L27" s="49">
        <f>K32</f>
        <v>-488166.23000000021</v>
      </c>
      <c r="M27" s="49">
        <f>L32</f>
        <v>-500096.72000000026</v>
      </c>
      <c r="N27" s="81">
        <f>M32</f>
        <v>-441839.70000000024</v>
      </c>
      <c r="O27" s="37"/>
    </row>
    <row r="28" spans="1:17" ht="30" customHeight="1" x14ac:dyDescent="0.2">
      <c r="A28" s="60"/>
      <c r="B28" s="70" t="s">
        <v>24</v>
      </c>
      <c r="C28" s="72">
        <v>-66666.67</v>
      </c>
      <c r="D28" s="72">
        <v>-66666.67</v>
      </c>
      <c r="E28" s="73">
        <v>-66666.66</v>
      </c>
      <c r="F28" s="72">
        <v>-66666.67</v>
      </c>
      <c r="G28" s="72">
        <v>-66666.67</v>
      </c>
      <c r="H28" s="73">
        <v>-66666.66</v>
      </c>
      <c r="I28" s="72">
        <v>-66666.67</v>
      </c>
      <c r="J28" s="72">
        <v>-66666.67</v>
      </c>
      <c r="K28" s="73">
        <v>-66666.66</v>
      </c>
      <c r="L28" s="72">
        <v>-66666.67</v>
      </c>
      <c r="M28" s="72">
        <v>-66666.67</v>
      </c>
      <c r="N28" s="73">
        <v>-66666.66</v>
      </c>
      <c r="O28" s="37"/>
      <c r="P28" s="2">
        <f>SUM(C28:O28)</f>
        <v>-800000.00000000012</v>
      </c>
    </row>
    <row r="29" spans="1:17" ht="22.5" customHeight="1" x14ac:dyDescent="0.2">
      <c r="A29" s="60"/>
      <c r="B29" s="58" t="s">
        <v>25</v>
      </c>
      <c r="C29" s="46">
        <f>1750.35+2298.6+75.75+380.2+1528.43+2555.7+274.6+6794.05</f>
        <v>15657.68</v>
      </c>
      <c r="D29" s="50">
        <f>761.1+979.2+4486.95+163.05+38.4+5403.2+386.4+1644.9</f>
        <v>13863.199999999999</v>
      </c>
      <c r="E29" s="50">
        <f>864.3+134.7+3959.4+1704.15+2496.6+1368.15+133.6+1195.05+1239.15+274.5</f>
        <v>13369.599999999999</v>
      </c>
      <c r="F29" s="50">
        <f>882+195.6+9189.6+968.85+38.57+1450.2+185+489+1211.8+2255.1+2638.65+1536</f>
        <v>21040.370000000003</v>
      </c>
      <c r="G29" s="50">
        <f>2918.55+1140.9+1342.8+160.5+141.6+3351+850.35+335.4+237.2</f>
        <v>10478.300000000001</v>
      </c>
      <c r="H29" s="50">
        <f>24.75+2522.25+98.4+2689.65+1577.55+259.8+2612.4+1485.4+380.6</f>
        <v>11650.800000000001</v>
      </c>
      <c r="I29" s="50">
        <f>1547.8+1365.6+134.25+12.9+287.8+1685.4+2216+71.6+3681.85</f>
        <v>11003.2</v>
      </c>
      <c r="J29" s="50">
        <f>116.4+232.95+1026.6+863.1+2560+3272.2</f>
        <v>8071.2499999999991</v>
      </c>
      <c r="K29" s="50">
        <f>341.1+15722+301.95+1366+1796.4+1574.6</f>
        <v>21102.050000000003</v>
      </c>
      <c r="L29" s="50">
        <f>884.6+1765.35+1828.6+115+100+2408.8+593</f>
        <v>7695.3499999999995</v>
      </c>
      <c r="M29" s="50">
        <f>4897.8+1488+95.6+279+990+379.2+200+961.88</f>
        <v>9291.48</v>
      </c>
      <c r="N29" s="53">
        <v>19602</v>
      </c>
      <c r="O29" s="2"/>
      <c r="P29" s="2">
        <f t="shared" ref="P29:P31" si="2">SUM(C29:O29)</f>
        <v>162825.28</v>
      </c>
    </row>
    <row r="30" spans="1:17" ht="30" customHeight="1" x14ac:dyDescent="0.2">
      <c r="A30" s="60"/>
      <c r="B30" s="70" t="s">
        <v>96</v>
      </c>
      <c r="C30" s="71">
        <v>78535.039999999994</v>
      </c>
      <c r="D30" s="72">
        <v>88069.09</v>
      </c>
      <c r="E30" s="72">
        <v>98160.34</v>
      </c>
      <c r="F30" s="72">
        <v>58053.120000000003</v>
      </c>
      <c r="G30" s="72">
        <v>67799.02</v>
      </c>
      <c r="H30" s="72">
        <v>50610.67</v>
      </c>
      <c r="I30" s="72">
        <v>37675.35</v>
      </c>
      <c r="J30" s="72">
        <v>102411.67</v>
      </c>
      <c r="K30" s="72">
        <v>39110.14</v>
      </c>
      <c r="L30" s="72">
        <v>47040.83</v>
      </c>
      <c r="M30" s="72">
        <v>115632.21</v>
      </c>
      <c r="N30" s="73">
        <v>41124.120000000003</v>
      </c>
      <c r="O30" s="2"/>
      <c r="P30" s="2">
        <f t="shared" si="2"/>
        <v>824221.59999999986</v>
      </c>
    </row>
    <row r="31" spans="1:17" ht="29.25" customHeight="1" x14ac:dyDescent="0.2">
      <c r="A31" s="60"/>
      <c r="B31" s="59" t="s">
        <v>87</v>
      </c>
      <c r="C31" s="47"/>
      <c r="D31" s="51"/>
      <c r="E31" s="51"/>
      <c r="F31" s="51"/>
      <c r="G31" s="51"/>
      <c r="H31" s="51"/>
      <c r="I31" s="51"/>
      <c r="J31" s="51">
        <v>-45562.62</v>
      </c>
      <c r="K31" s="51"/>
      <c r="L31" s="51"/>
      <c r="M31" s="51"/>
      <c r="N31" s="54"/>
      <c r="O31" s="2"/>
      <c r="P31" s="2">
        <f t="shared" si="2"/>
        <v>-45562.62</v>
      </c>
      <c r="Q31" s="82"/>
    </row>
    <row r="32" spans="1:17" ht="23.25" customHeight="1" thickBot="1" x14ac:dyDescent="0.3">
      <c r="A32" s="60"/>
      <c r="B32" s="66" t="s">
        <v>27</v>
      </c>
      <c r="C32" s="48">
        <f t="shared" ref="C32:N32" si="3">SUM(C27:C31)</f>
        <v>-561738.44999999995</v>
      </c>
      <c r="D32" s="52">
        <f t="shared" si="3"/>
        <v>-526472.83000000007</v>
      </c>
      <c r="E32" s="42">
        <f t="shared" si="3"/>
        <v>-481609.55000000016</v>
      </c>
      <c r="F32" s="42">
        <f t="shared" si="3"/>
        <v>-469182.73000000021</v>
      </c>
      <c r="G32" s="42">
        <f>SUM(G27:G31)</f>
        <v>-457572.08000000019</v>
      </c>
      <c r="H32" s="42">
        <f>SUM(H27:H31)</f>
        <v>-461977.27000000025</v>
      </c>
      <c r="I32" s="42">
        <f t="shared" si="3"/>
        <v>-479965.39000000031</v>
      </c>
      <c r="J32" s="42">
        <f t="shared" si="3"/>
        <v>-481711.7600000003</v>
      </c>
      <c r="K32" s="42">
        <f t="shared" si="3"/>
        <v>-488166.23000000021</v>
      </c>
      <c r="L32" s="42">
        <f t="shared" si="3"/>
        <v>-500096.72000000026</v>
      </c>
      <c r="M32" s="42">
        <f t="shared" si="3"/>
        <v>-441839.70000000024</v>
      </c>
      <c r="N32" s="55">
        <f t="shared" si="3"/>
        <v>-447780.24000000022</v>
      </c>
      <c r="O32" s="2"/>
      <c r="P32" s="7">
        <f>SUM(P28:P31)</f>
        <v>141484.25999999978</v>
      </c>
    </row>
    <row r="33" spans="1:17" ht="23.25" customHeight="1" thickTop="1" x14ac:dyDescent="0.2">
      <c r="A33" s="60"/>
      <c r="B33" s="67" t="s">
        <v>59</v>
      </c>
      <c r="C33" s="44">
        <v>-561738.44999999995</v>
      </c>
      <c r="D33" s="44">
        <v>-526472.82999999996</v>
      </c>
      <c r="E33" s="43">
        <v>-481609.55</v>
      </c>
      <c r="F33" s="43">
        <v>-469182.73</v>
      </c>
      <c r="G33" s="43">
        <v>-457572.08</v>
      </c>
      <c r="H33" s="43">
        <v>-461977.27</v>
      </c>
      <c r="I33" s="43">
        <v>-479965.39</v>
      </c>
      <c r="J33" s="43">
        <v>-481711.76</v>
      </c>
      <c r="K33" s="44">
        <v>-488166.23</v>
      </c>
      <c r="L33" s="43">
        <v>-500096.72</v>
      </c>
      <c r="M33" s="43">
        <v>-441839.7</v>
      </c>
      <c r="N33" s="56">
        <v>-447780.24</v>
      </c>
      <c r="O33" s="2"/>
      <c r="Q33" s="82"/>
    </row>
    <row r="34" spans="1:17" ht="15.75" customHeight="1" x14ac:dyDescent="0.2">
      <c r="B34" s="32" t="s">
        <v>60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0</v>
      </c>
      <c r="L34" s="2">
        <f t="shared" si="4"/>
        <v>0</v>
      </c>
      <c r="M34" s="2">
        <f t="shared" si="4"/>
        <v>0</v>
      </c>
      <c r="N34" s="2">
        <f t="shared" si="4"/>
        <v>0</v>
      </c>
      <c r="O34" s="2"/>
    </row>
    <row r="35" spans="1:17" ht="15.75" customHeight="1" x14ac:dyDescent="0.2"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82"/>
    </row>
    <row r="36" spans="1:17" s="32" customFormat="1" ht="14.25" x14ac:dyDescent="0.2">
      <c r="C36" s="31"/>
      <c r="D36" s="31"/>
      <c r="E36" s="40"/>
      <c r="F36" s="31"/>
      <c r="G36" s="31"/>
      <c r="H36" s="31"/>
      <c r="I36" s="31"/>
      <c r="J36" s="31"/>
      <c r="K36" s="31"/>
      <c r="L36" s="36"/>
      <c r="O36" s="31"/>
      <c r="Q36" s="82"/>
    </row>
    <row r="37" spans="1:17" ht="18" customHeight="1" thickBot="1" x14ac:dyDescent="0.4">
      <c r="B37" s="140" t="s">
        <v>34</v>
      </c>
      <c r="C37" s="140"/>
      <c r="D37" s="2"/>
      <c r="E37" s="2"/>
      <c r="F37" s="2"/>
      <c r="G37" s="2"/>
      <c r="I37" s="2"/>
      <c r="J37" s="2"/>
      <c r="K37" s="37"/>
      <c r="O37" s="2"/>
    </row>
    <row r="38" spans="1:17" ht="13.5" customHeight="1" x14ac:dyDescent="0.2">
      <c r="B38" s="90" t="s">
        <v>77</v>
      </c>
      <c r="C38" s="33"/>
      <c r="D38" s="2"/>
      <c r="E38" s="99" t="s">
        <v>95</v>
      </c>
      <c r="F38" s="2"/>
      <c r="I38" s="2"/>
      <c r="J38" s="2"/>
      <c r="K38" s="37"/>
      <c r="O38" s="2"/>
      <c r="Q38" s="82"/>
    </row>
    <row r="39" spans="1:17" ht="13.5" customHeight="1" x14ac:dyDescent="0.2">
      <c r="B39" s="90" t="s">
        <v>42</v>
      </c>
      <c r="C39" s="33"/>
      <c r="D39" s="2"/>
      <c r="E39" s="99" t="s">
        <v>93</v>
      </c>
      <c r="F39" s="2"/>
      <c r="I39" s="2"/>
      <c r="J39" s="2"/>
      <c r="K39" s="37"/>
      <c r="O39" s="2"/>
      <c r="Q39" s="11"/>
    </row>
    <row r="40" spans="1:17" ht="13.5" customHeight="1" x14ac:dyDescent="0.2">
      <c r="B40" s="90" t="s">
        <v>62</v>
      </c>
      <c r="C40" s="135" t="s">
        <v>71</v>
      </c>
      <c r="D40" s="2"/>
      <c r="E40" s="2"/>
      <c r="F40" s="2"/>
      <c r="I40" s="2"/>
      <c r="J40" s="2"/>
      <c r="K40" s="37"/>
      <c r="O40" s="2"/>
    </row>
    <row r="41" spans="1:17" ht="13.5" customHeight="1" x14ac:dyDescent="0.2">
      <c r="B41" s="90" t="s">
        <v>63</v>
      </c>
      <c r="C41" s="135"/>
      <c r="D41" s="2"/>
      <c r="E41" s="2"/>
      <c r="F41" s="2"/>
      <c r="I41" s="2"/>
      <c r="J41" s="2"/>
      <c r="K41" s="37"/>
      <c r="O41" s="2"/>
    </row>
    <row r="42" spans="1:17" ht="13.5" customHeight="1" x14ac:dyDescent="0.2">
      <c r="B42" s="90" t="s">
        <v>94</v>
      </c>
      <c r="C42" s="135"/>
      <c r="D42" s="2"/>
      <c r="E42" s="2"/>
      <c r="F42" s="2"/>
      <c r="I42" s="2"/>
      <c r="J42" s="2"/>
      <c r="K42" s="37"/>
      <c r="O42" s="2"/>
    </row>
    <row r="43" spans="1:17" ht="13.5" customHeight="1" x14ac:dyDescent="0.2">
      <c r="B43" s="90" t="s">
        <v>97</v>
      </c>
      <c r="C43" s="100"/>
      <c r="D43" s="2"/>
      <c r="E43" s="2"/>
      <c r="F43" s="2"/>
      <c r="I43" s="2"/>
      <c r="J43" s="2"/>
      <c r="K43" s="37"/>
      <c r="O43" s="2"/>
    </row>
    <row r="44" spans="1:17" ht="13.5" customHeight="1" x14ac:dyDescent="0.2">
      <c r="B44" s="90" t="s">
        <v>81</v>
      </c>
      <c r="C44" s="34"/>
      <c r="D44" s="2"/>
      <c r="E44" s="2"/>
      <c r="F44" s="2"/>
      <c r="I44" s="2"/>
      <c r="J44" s="2"/>
      <c r="K44" s="37"/>
      <c r="O44" s="2"/>
    </row>
    <row r="45" spans="1:17" ht="13.5" customHeight="1" x14ac:dyDescent="0.2">
      <c r="B45" s="90" t="s">
        <v>36</v>
      </c>
      <c r="C45" s="34"/>
      <c r="D45" s="2"/>
      <c r="E45" s="2"/>
      <c r="F45" s="2"/>
      <c r="I45" s="2"/>
      <c r="J45" s="2"/>
      <c r="K45" s="37"/>
      <c r="O45" s="2"/>
    </row>
    <row r="52" spans="2:2" ht="14.25" x14ac:dyDescent="0.2">
      <c r="B52" s="86" t="str">
        <f ca="1">CELL("filename")</f>
        <v>http://apps.utc.wa.gov/apps/rsc/EFilingDocuments/[NEW CNGC Advice No. W17-09-04, Attch A, 9.29.17.xlsx]WA 2016-Post Revision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GridLines="0" zoomScaleNormal="100" workbookViewId="0">
      <selection activeCell="G15" sqref="G15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95"/>
      <c r="C1" s="95"/>
      <c r="D1" s="95"/>
    </row>
    <row r="2" spans="2:14" ht="20.25" customHeight="1" thickTop="1" thickBot="1" x14ac:dyDescent="0.3">
      <c r="B2" s="96" t="s">
        <v>65</v>
      </c>
      <c r="C2" s="136" t="s">
        <v>83</v>
      </c>
      <c r="D2" s="136"/>
      <c r="E2" s="137" t="s">
        <v>68</v>
      </c>
      <c r="F2" s="137"/>
      <c r="G2" s="137"/>
      <c r="H2" s="137"/>
      <c r="I2" s="137"/>
      <c r="J2" s="137"/>
      <c r="K2" s="137"/>
      <c r="L2" s="137"/>
      <c r="M2" s="137"/>
    </row>
    <row r="3" spans="2:14" ht="20.25" customHeight="1" thickTop="1" thickBot="1" x14ac:dyDescent="0.3">
      <c r="B3" s="97" t="s">
        <v>57</v>
      </c>
      <c r="C3" s="138">
        <v>42011</v>
      </c>
      <c r="D3" s="138"/>
      <c r="E3" s="137"/>
      <c r="F3" s="137"/>
      <c r="G3" s="137"/>
      <c r="H3" s="137"/>
      <c r="I3" s="137"/>
      <c r="J3" s="137"/>
      <c r="K3" s="137"/>
      <c r="L3" s="137"/>
      <c r="M3" s="137"/>
    </row>
    <row r="4" spans="2:14" ht="11.25" customHeight="1" thickTop="1" x14ac:dyDescent="0.2">
      <c r="B4" s="94"/>
    </row>
    <row r="5" spans="2:14" ht="15.75" customHeight="1" x14ac:dyDescent="0.3">
      <c r="B5" s="91">
        <v>2014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90</v>
      </c>
    </row>
    <row r="8" spans="2:14" ht="14.25" x14ac:dyDescent="0.2">
      <c r="B8" s="32" t="s">
        <v>91</v>
      </c>
    </row>
    <row r="9" spans="2:14" ht="14.25" x14ac:dyDescent="0.2">
      <c r="B9" s="32" t="s">
        <v>86</v>
      </c>
    </row>
    <row r="10" spans="2:14" ht="14.25" x14ac:dyDescent="0.2">
      <c r="B10" s="32"/>
    </row>
    <row r="11" spans="2:14" ht="10.5" customHeight="1" x14ac:dyDescent="0.2">
      <c r="B11" s="32"/>
    </row>
    <row r="12" spans="2:14" ht="14.25" x14ac:dyDescent="0.2">
      <c r="B12" s="32" t="s">
        <v>79</v>
      </c>
    </row>
    <row r="13" spans="2:14" ht="15" x14ac:dyDescent="0.25">
      <c r="B13" s="32" t="s">
        <v>66</v>
      </c>
    </row>
    <row r="14" spans="2:14" ht="14.25" x14ac:dyDescent="0.2">
      <c r="B14" s="32" t="s">
        <v>88</v>
      </c>
    </row>
    <row r="15" spans="2:14" ht="15" x14ac:dyDescent="0.25">
      <c r="B15" s="32" t="s">
        <v>67</v>
      </c>
    </row>
    <row r="16" spans="2:14" ht="14.25" x14ac:dyDescent="0.2">
      <c r="B16" s="32" t="s">
        <v>73</v>
      </c>
    </row>
    <row r="17" spans="1:17" ht="14.25" x14ac:dyDescent="0.2">
      <c r="B17" s="32" t="s">
        <v>89</v>
      </c>
    </row>
    <row r="18" spans="1:17" ht="11.25" customHeight="1" x14ac:dyDescent="0.2">
      <c r="B18" s="32"/>
    </row>
    <row r="19" spans="1:17" ht="14.25" x14ac:dyDescent="0.2">
      <c r="B19" s="32" t="s">
        <v>7</v>
      </c>
    </row>
    <row r="20" spans="1:17" ht="10.5" customHeight="1" x14ac:dyDescent="0.2"/>
    <row r="21" spans="1:17" ht="15.75" x14ac:dyDescent="0.25">
      <c r="B21" s="74" t="s">
        <v>84</v>
      </c>
      <c r="C21" s="141" t="s">
        <v>10</v>
      </c>
      <c r="D21" s="141"/>
      <c r="E21" s="141"/>
      <c r="F21" s="76">
        <f>-N28</f>
        <v>66666.66</v>
      </c>
      <c r="G21" s="76"/>
    </row>
    <row r="22" spans="1:17" ht="15.75" x14ac:dyDescent="0.25">
      <c r="B22" s="74" t="s">
        <v>85</v>
      </c>
      <c r="C22" s="141" t="s">
        <v>11</v>
      </c>
      <c r="D22" s="141"/>
      <c r="E22" s="141"/>
      <c r="F22" s="76"/>
      <c r="G22" s="76">
        <f>-F21</f>
        <v>-66666.66</v>
      </c>
    </row>
    <row r="23" spans="1:17" ht="9.75" customHeight="1" x14ac:dyDescent="0.2">
      <c r="E23" s="2"/>
      <c r="F23" s="2"/>
      <c r="G23" s="2"/>
    </row>
    <row r="24" spans="1:17" ht="14.25" x14ac:dyDescent="0.2">
      <c r="B24" s="32"/>
    </row>
    <row r="25" spans="1:17" ht="9.75" customHeight="1" x14ac:dyDescent="0.2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7" ht="21.75" customHeight="1" x14ac:dyDescent="0.25">
      <c r="A26" s="60"/>
      <c r="B26" s="65"/>
      <c r="C26" s="85">
        <v>41640</v>
      </c>
      <c r="D26" s="85">
        <f>C26+34</f>
        <v>41674</v>
      </c>
      <c r="E26" s="85">
        <f t="shared" ref="E26:N26" si="0">D26+30</f>
        <v>41704</v>
      </c>
      <c r="F26" s="85">
        <f t="shared" si="0"/>
        <v>41734</v>
      </c>
      <c r="G26" s="85">
        <f t="shared" si="0"/>
        <v>41764</v>
      </c>
      <c r="H26" s="85">
        <f t="shared" si="0"/>
        <v>41794</v>
      </c>
      <c r="I26" s="85">
        <f t="shared" si="0"/>
        <v>41824</v>
      </c>
      <c r="J26" s="85">
        <f t="shared" si="0"/>
        <v>41854</v>
      </c>
      <c r="K26" s="85">
        <f t="shared" si="0"/>
        <v>41884</v>
      </c>
      <c r="L26" s="85">
        <f t="shared" si="0"/>
        <v>41914</v>
      </c>
      <c r="M26" s="85">
        <f>L26+31</f>
        <v>41945</v>
      </c>
      <c r="N26" s="88">
        <f t="shared" si="0"/>
        <v>41975</v>
      </c>
    </row>
    <row r="27" spans="1:17" ht="22.5" customHeight="1" x14ac:dyDescent="0.25">
      <c r="A27" s="60"/>
      <c r="B27" s="57" t="s">
        <v>23</v>
      </c>
      <c r="C27" s="84">
        <v>-758726.58000000101</v>
      </c>
      <c r="D27" s="49">
        <f>C32</f>
        <v>-715018.0600000011</v>
      </c>
      <c r="E27" s="49">
        <f>D32</f>
        <v>-678920.63000000117</v>
      </c>
      <c r="F27" s="49">
        <f>E32</f>
        <v>-645889.5400000012</v>
      </c>
      <c r="G27" s="49">
        <f>F32</f>
        <v>-589392.0400000012</v>
      </c>
      <c r="H27" s="49">
        <f>G32</f>
        <v>-573794.03000000119</v>
      </c>
      <c r="I27" s="49">
        <f t="shared" ref="I27:J27" si="1">H32</f>
        <v>-585672.37000000128</v>
      </c>
      <c r="J27" s="49">
        <f t="shared" si="1"/>
        <v>-605029.80000000133</v>
      </c>
      <c r="K27" s="49">
        <f>J32</f>
        <v>-669564.33000000147</v>
      </c>
      <c r="L27" s="49">
        <f>K32</f>
        <v>-690964.18000000156</v>
      </c>
      <c r="M27" s="49">
        <f>L32</f>
        <v>-682649.48000000161</v>
      </c>
      <c r="N27" s="81">
        <f>M32</f>
        <v>-635165.9500000017</v>
      </c>
      <c r="O27" s="37"/>
    </row>
    <row r="28" spans="1:17" ht="30" customHeight="1" x14ac:dyDescent="0.2">
      <c r="A28" s="60"/>
      <c r="B28" s="70" t="s">
        <v>24</v>
      </c>
      <c r="C28" s="72">
        <v>-66666.67</v>
      </c>
      <c r="D28" s="72">
        <v>-66666.67</v>
      </c>
      <c r="E28" s="73">
        <v>-66666.66</v>
      </c>
      <c r="F28" s="72">
        <v>-66666.66</v>
      </c>
      <c r="G28" s="72">
        <v>-66666.679999999993</v>
      </c>
      <c r="H28" s="73">
        <v>-66666.66</v>
      </c>
      <c r="I28" s="72">
        <v>-66666.67</v>
      </c>
      <c r="J28" s="72">
        <v>-66666.67</v>
      </c>
      <c r="K28" s="73">
        <v>-66666.66</v>
      </c>
      <c r="L28" s="72">
        <v>-66666.67</v>
      </c>
      <c r="M28" s="72">
        <v>-66666.67</v>
      </c>
      <c r="N28" s="73">
        <v>-66666.66</v>
      </c>
      <c r="O28" s="37"/>
      <c r="P28" s="2">
        <f>SUM(C28:O28)</f>
        <v>-800000.00000000012</v>
      </c>
    </row>
    <row r="29" spans="1:17" ht="22.5" customHeight="1" x14ac:dyDescent="0.2">
      <c r="A29" s="60"/>
      <c r="B29" s="58" t="s">
        <v>25</v>
      </c>
      <c r="C29" s="46">
        <v>13333.34</v>
      </c>
      <c r="D29" s="50">
        <v>13333.34</v>
      </c>
      <c r="E29" s="50">
        <v>13333.34</v>
      </c>
      <c r="F29" s="50">
        <v>13333.34</v>
      </c>
      <c r="G29" s="50">
        <v>13333.35</v>
      </c>
      <c r="H29" s="50">
        <f>400+66.67+82.67+1757.33+200+824+210.67+666.67+5248+1986.67+230.67+1660</f>
        <v>13333.35</v>
      </c>
      <c r="I29" s="50">
        <f>400+66.67+82.67+1757.33+200+824+210.67+666.67+5248+1986.67+230.67+1660</f>
        <v>13333.35</v>
      </c>
      <c r="J29" s="50">
        <f>400+66.67+82.67+1757.33+200+824+210.67+666.67+5248+1986.67+230.67+1660</f>
        <v>13333.35</v>
      </c>
      <c r="K29" s="50">
        <f>400+66.67+82.67+1757.33+200+824+210.67+666.67+5248+1986.67+230.67+1660</f>
        <v>13333.35</v>
      </c>
      <c r="L29" s="50"/>
      <c r="M29" s="50">
        <f>530.25+2302.05+2739.75+434.4+221.7+3103.8+692.55+1594.95</f>
        <v>11619.45</v>
      </c>
      <c r="N29" s="53">
        <f>-1594.95+1594.95+1001.7+3624.15+1630.5+2253.6+30.45+369.15+499.6+634.5+1662+4479.3</f>
        <v>16184.95</v>
      </c>
      <c r="O29" s="2"/>
      <c r="P29" s="2">
        <f t="shared" ref="P29:P31" si="2">SUM(C29:O29)</f>
        <v>147804.51000000004</v>
      </c>
    </row>
    <row r="30" spans="1:17" ht="30" customHeight="1" x14ac:dyDescent="0.2">
      <c r="A30" s="60"/>
      <c r="B30" s="70" t="s">
        <v>26</v>
      </c>
      <c r="C30" s="71">
        <v>97041.85</v>
      </c>
      <c r="D30" s="72">
        <v>89430.76</v>
      </c>
      <c r="E30" s="72">
        <v>86364.41</v>
      </c>
      <c r="F30" s="72">
        <v>109830.82</v>
      </c>
      <c r="G30" s="72">
        <v>68931.34</v>
      </c>
      <c r="H30" s="72">
        <v>41454.97</v>
      </c>
      <c r="I30" s="72">
        <v>33975.89</v>
      </c>
      <c r="J30" s="72">
        <v>25807.71</v>
      </c>
      <c r="K30" s="72">
        <v>31933.46</v>
      </c>
      <c r="L30" s="72">
        <v>74981.37</v>
      </c>
      <c r="M30" s="72">
        <v>102530.75</v>
      </c>
      <c r="N30" s="73">
        <v>96383.16</v>
      </c>
      <c r="O30" s="2"/>
      <c r="P30" s="2">
        <f t="shared" si="2"/>
        <v>858666.49</v>
      </c>
    </row>
    <row r="31" spans="1:17" ht="29.25" customHeight="1" x14ac:dyDescent="0.2">
      <c r="A31" s="60"/>
      <c r="B31" s="59" t="s">
        <v>87</v>
      </c>
      <c r="C31" s="47"/>
      <c r="D31" s="51"/>
      <c r="E31" s="51"/>
      <c r="F31" s="51"/>
      <c r="G31" s="51"/>
      <c r="H31" s="51"/>
      <c r="I31" s="51"/>
      <c r="J31" s="51">
        <v>-37008.92</v>
      </c>
      <c r="K31" s="51"/>
      <c r="L31" s="51"/>
      <c r="M31" s="51"/>
      <c r="N31" s="54"/>
      <c r="O31" s="2"/>
      <c r="P31" s="2">
        <f t="shared" si="2"/>
        <v>-37008.92</v>
      </c>
      <c r="Q31" s="82"/>
    </row>
    <row r="32" spans="1:17" ht="23.25" customHeight="1" thickBot="1" x14ac:dyDescent="0.3">
      <c r="A32" s="60"/>
      <c r="B32" s="66" t="s">
        <v>27</v>
      </c>
      <c r="C32" s="48">
        <f t="shared" ref="C32:N32" si="3">SUM(C27:C31)</f>
        <v>-715018.0600000011</v>
      </c>
      <c r="D32" s="52">
        <f t="shared" si="3"/>
        <v>-678920.63000000117</v>
      </c>
      <c r="E32" s="42">
        <f t="shared" si="3"/>
        <v>-645889.5400000012</v>
      </c>
      <c r="F32" s="42">
        <f t="shared" si="3"/>
        <v>-589392.0400000012</v>
      </c>
      <c r="G32" s="42">
        <f>SUM(G27:G31)</f>
        <v>-573794.03000000119</v>
      </c>
      <c r="H32" s="42">
        <f>SUM(H27:H31)</f>
        <v>-585672.37000000128</v>
      </c>
      <c r="I32" s="42">
        <f t="shared" si="3"/>
        <v>-605029.80000000133</v>
      </c>
      <c r="J32" s="42">
        <f t="shared" si="3"/>
        <v>-669564.33000000147</v>
      </c>
      <c r="K32" s="42">
        <f t="shared" si="3"/>
        <v>-690964.18000000156</v>
      </c>
      <c r="L32" s="42">
        <f t="shared" si="3"/>
        <v>-682649.48000000161</v>
      </c>
      <c r="M32" s="42">
        <f t="shared" si="3"/>
        <v>-635165.9500000017</v>
      </c>
      <c r="N32" s="55">
        <f t="shared" si="3"/>
        <v>-589264.50000000175</v>
      </c>
      <c r="O32" s="2"/>
      <c r="P32" s="7">
        <f>SUM(P28:P31)</f>
        <v>169462.0799999999</v>
      </c>
    </row>
    <row r="33" spans="1:17" ht="23.25" customHeight="1" thickTop="1" x14ac:dyDescent="0.2">
      <c r="A33" s="60"/>
      <c r="B33" s="67" t="s">
        <v>59</v>
      </c>
      <c r="C33" s="44">
        <v>-715018.06</v>
      </c>
      <c r="D33" s="44">
        <v>-678920.63</v>
      </c>
      <c r="E33" s="43">
        <f>-665587.29-66666.66+86364.41</f>
        <v>-645889.54</v>
      </c>
      <c r="F33" s="43">
        <v>-589392.04</v>
      </c>
      <c r="G33" s="43">
        <v>-573794.03</v>
      </c>
      <c r="H33" s="43">
        <v>-585672.37</v>
      </c>
      <c r="I33" s="43">
        <v>-605029.80000000005</v>
      </c>
      <c r="J33" s="43">
        <v>-669564.32999999996</v>
      </c>
      <c r="K33" s="44">
        <v>-690964.18</v>
      </c>
      <c r="L33" s="43">
        <v>-682649.48</v>
      </c>
      <c r="M33" s="43">
        <v>-635165.94999999995</v>
      </c>
      <c r="N33" s="56">
        <v>-589264.5</v>
      </c>
      <c r="O33" s="2"/>
      <c r="Q33" s="82"/>
    </row>
    <row r="34" spans="1:17" ht="15.75" customHeight="1" x14ac:dyDescent="0.2">
      <c r="B34" s="32" t="s">
        <v>60</v>
      </c>
      <c r="C34" s="2">
        <f t="shared" ref="C34:N34" si="4">C32-C33</f>
        <v>-1.0477378964424133E-9</v>
      </c>
      <c r="D34" s="2">
        <f t="shared" si="4"/>
        <v>-1.1641532182693481E-9</v>
      </c>
      <c r="E34" s="2">
        <f t="shared" si="4"/>
        <v>-1.1641532182693481E-9</v>
      </c>
      <c r="F34" s="2">
        <f t="shared" si="4"/>
        <v>-1.1641532182693481E-9</v>
      </c>
      <c r="G34" s="2">
        <f t="shared" si="4"/>
        <v>-1.1641532182693481E-9</v>
      </c>
      <c r="H34" s="2">
        <f t="shared" si="4"/>
        <v>-1.280568540096283E-9</v>
      </c>
      <c r="I34" s="2">
        <f t="shared" si="4"/>
        <v>-1.280568540096283E-9</v>
      </c>
      <c r="J34" s="2">
        <f t="shared" si="4"/>
        <v>-1.5133991837501526E-9</v>
      </c>
      <c r="K34" s="2">
        <f t="shared" si="4"/>
        <v>-1.5133991837501526E-9</v>
      </c>
      <c r="L34" s="2">
        <f t="shared" si="4"/>
        <v>-1.6298145055770874E-9</v>
      </c>
      <c r="M34" s="2">
        <f t="shared" si="4"/>
        <v>-1.7462298274040222E-9</v>
      </c>
      <c r="N34" s="2">
        <f t="shared" si="4"/>
        <v>-1.7462298274040222E-9</v>
      </c>
      <c r="O34" s="2"/>
    </row>
    <row r="35" spans="1:17" ht="15.75" customHeight="1" x14ac:dyDescent="0.2"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82"/>
    </row>
    <row r="36" spans="1:17" s="32" customFormat="1" ht="14.25" x14ac:dyDescent="0.2">
      <c r="C36" s="31"/>
      <c r="D36" s="31"/>
      <c r="E36" s="40"/>
      <c r="F36" s="31"/>
      <c r="G36" s="31"/>
      <c r="H36" s="31"/>
      <c r="I36" s="31"/>
      <c r="J36" s="31"/>
      <c r="K36" s="31"/>
      <c r="L36" s="36"/>
      <c r="O36" s="31"/>
      <c r="Q36" s="82"/>
    </row>
    <row r="37" spans="1:17" ht="18" customHeight="1" thickBot="1" x14ac:dyDescent="0.4">
      <c r="B37" s="140" t="s">
        <v>34</v>
      </c>
      <c r="C37" s="140"/>
      <c r="D37" s="2"/>
      <c r="E37" s="2"/>
      <c r="F37" s="2"/>
      <c r="G37" s="2"/>
      <c r="I37" s="2"/>
      <c r="J37" s="2"/>
      <c r="K37" s="37"/>
      <c r="O37" s="2"/>
    </row>
    <row r="38" spans="1:17" ht="13.5" customHeight="1" x14ac:dyDescent="0.2">
      <c r="B38" s="90" t="s">
        <v>77</v>
      </c>
      <c r="C38" s="33"/>
      <c r="D38" s="2"/>
      <c r="E38" s="99" t="s">
        <v>92</v>
      </c>
      <c r="F38" s="2"/>
      <c r="I38" s="2"/>
      <c r="J38" s="2"/>
      <c r="K38" s="37"/>
      <c r="O38" s="2"/>
      <c r="Q38" s="82"/>
    </row>
    <row r="39" spans="1:17" ht="13.5" customHeight="1" x14ac:dyDescent="0.2">
      <c r="B39" s="90" t="s">
        <v>42</v>
      </c>
      <c r="C39" s="33"/>
      <c r="D39" s="2"/>
      <c r="E39" s="99" t="s">
        <v>93</v>
      </c>
      <c r="F39" s="2"/>
      <c r="I39" s="2"/>
      <c r="J39" s="2"/>
      <c r="K39" s="37"/>
      <c r="O39" s="2"/>
      <c r="Q39" s="11"/>
    </row>
    <row r="40" spans="1:17" ht="13.5" customHeight="1" x14ac:dyDescent="0.2">
      <c r="B40" s="90" t="s">
        <v>62</v>
      </c>
      <c r="C40" s="135" t="s">
        <v>71</v>
      </c>
      <c r="D40" s="2"/>
      <c r="E40" s="2"/>
      <c r="F40" s="2"/>
      <c r="I40" s="2"/>
      <c r="J40" s="2"/>
      <c r="K40" s="37"/>
      <c r="O40" s="2"/>
    </row>
    <row r="41" spans="1:17" ht="13.5" customHeight="1" x14ac:dyDescent="0.2">
      <c r="B41" s="90" t="s">
        <v>63</v>
      </c>
      <c r="C41" s="135"/>
      <c r="D41" s="2"/>
      <c r="E41" s="2"/>
      <c r="F41" s="2"/>
      <c r="I41" s="2"/>
      <c r="J41" s="2"/>
      <c r="K41" s="37"/>
      <c r="O41" s="2"/>
    </row>
    <row r="42" spans="1:17" ht="13.5" customHeight="1" x14ac:dyDescent="0.2">
      <c r="B42" s="90" t="s">
        <v>94</v>
      </c>
      <c r="C42" s="135"/>
      <c r="D42" s="2"/>
      <c r="E42" s="2"/>
      <c r="F42" s="2"/>
      <c r="I42" s="2"/>
      <c r="J42" s="2"/>
      <c r="K42" s="37"/>
      <c r="O42" s="2"/>
    </row>
    <row r="43" spans="1:17" ht="13.5" customHeight="1" x14ac:dyDescent="0.2">
      <c r="B43" s="90" t="s">
        <v>81</v>
      </c>
      <c r="C43" s="34"/>
      <c r="D43" s="2"/>
      <c r="E43" s="2"/>
      <c r="F43" s="2"/>
      <c r="I43" s="2"/>
      <c r="J43" s="2"/>
      <c r="K43" s="37"/>
      <c r="O43" s="2"/>
    </row>
    <row r="44" spans="1:17" ht="13.5" customHeight="1" x14ac:dyDescent="0.2">
      <c r="B44" s="90" t="s">
        <v>36</v>
      </c>
      <c r="C44" s="34"/>
      <c r="D44" s="2"/>
      <c r="E44" s="2"/>
      <c r="F44" s="2"/>
      <c r="I44" s="2"/>
      <c r="J44" s="2"/>
      <c r="K44" s="37"/>
      <c r="O44" s="2"/>
    </row>
    <row r="51" spans="2:2" ht="14.25" x14ac:dyDescent="0.2">
      <c r="B51" s="86" t="str">
        <f ca="1">CELL("filename")</f>
        <v>http://apps.utc.wa.gov/apps/rsc/EFilingDocuments/[NEW CNGC Advice No. W17-09-04, Attch A, 9.29.17.xlsx]WA 2016-Post Revision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zoomScaleNormal="100" workbookViewId="0">
      <selection activeCell="P31" sqref="P31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95"/>
      <c r="C1" s="95"/>
      <c r="D1" s="95"/>
    </row>
    <row r="2" spans="2:14" ht="20.25" customHeight="1" thickTop="1" thickBot="1" x14ac:dyDescent="0.25">
      <c r="B2" s="92" t="s">
        <v>65</v>
      </c>
      <c r="C2" s="142" t="s">
        <v>64</v>
      </c>
      <c r="D2" s="142"/>
      <c r="E2" s="137" t="s">
        <v>68</v>
      </c>
      <c r="F2" s="137"/>
      <c r="G2" s="137"/>
      <c r="H2" s="137"/>
      <c r="I2" s="137"/>
      <c r="J2" s="137"/>
      <c r="K2" s="137"/>
      <c r="L2" s="137"/>
      <c r="M2" s="137"/>
    </row>
    <row r="3" spans="2:14" ht="20.25" customHeight="1" thickTop="1" thickBot="1" x14ac:dyDescent="0.25">
      <c r="B3" s="93" t="s">
        <v>57</v>
      </c>
      <c r="C3" s="143">
        <v>41646</v>
      </c>
      <c r="D3" s="143"/>
      <c r="E3" s="137"/>
      <c r="F3" s="137"/>
      <c r="G3" s="137"/>
      <c r="H3" s="137"/>
      <c r="I3" s="137"/>
      <c r="J3" s="137"/>
      <c r="K3" s="137"/>
      <c r="L3" s="137"/>
      <c r="M3" s="137"/>
    </row>
    <row r="4" spans="2:14" ht="11.25" customHeight="1" thickTop="1" x14ac:dyDescent="0.2">
      <c r="B4" s="94"/>
    </row>
    <row r="5" spans="2:14" ht="15.75" customHeight="1" x14ac:dyDescent="0.3">
      <c r="B5" s="91">
        <v>2013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28</v>
      </c>
    </row>
    <row r="8" spans="2:14" ht="14.25" x14ac:dyDescent="0.2">
      <c r="B8" s="32" t="s">
        <v>0</v>
      </c>
    </row>
    <row r="9" spans="2:14" ht="10.5" customHeight="1" x14ac:dyDescent="0.2">
      <c r="B9" s="32"/>
    </row>
    <row r="10" spans="2:14" ht="14.25" x14ac:dyDescent="0.2">
      <c r="B10" s="32" t="s">
        <v>79</v>
      </c>
    </row>
    <row r="11" spans="2:14" ht="15" x14ac:dyDescent="0.25">
      <c r="B11" s="32" t="s">
        <v>66</v>
      </c>
    </row>
    <row r="12" spans="2:14" ht="14.25" x14ac:dyDescent="0.2">
      <c r="B12" s="32" t="s">
        <v>72</v>
      </c>
    </row>
    <row r="13" spans="2:14" ht="15" x14ac:dyDescent="0.25">
      <c r="B13" s="32" t="s">
        <v>67</v>
      </c>
    </row>
    <row r="14" spans="2:14" ht="14.25" x14ac:dyDescent="0.2">
      <c r="B14" s="32" t="s">
        <v>73</v>
      </c>
    </row>
    <row r="15" spans="2:14" ht="14.25" x14ac:dyDescent="0.2">
      <c r="B15" s="32" t="s">
        <v>74</v>
      </c>
    </row>
    <row r="16" spans="2:14" ht="11.25" customHeight="1" x14ac:dyDescent="0.2">
      <c r="B16" s="32"/>
    </row>
    <row r="17" spans="1:17" ht="14.25" x14ac:dyDescent="0.2">
      <c r="B17" s="32" t="s">
        <v>7</v>
      </c>
    </row>
    <row r="18" spans="1:17" ht="10.5" customHeight="1" x14ac:dyDescent="0.2"/>
    <row r="19" spans="1:17" ht="15.75" x14ac:dyDescent="0.25">
      <c r="B19" s="74" t="s">
        <v>45</v>
      </c>
      <c r="C19" s="141" t="s">
        <v>10</v>
      </c>
      <c r="D19" s="141"/>
      <c r="E19" s="141"/>
      <c r="F19" s="76">
        <f>-N26</f>
        <v>66666.66</v>
      </c>
      <c r="G19" s="76"/>
    </row>
    <row r="20" spans="1:17" ht="15.75" x14ac:dyDescent="0.25">
      <c r="B20" s="74" t="s">
        <v>46</v>
      </c>
      <c r="C20" s="141" t="s">
        <v>11</v>
      </c>
      <c r="D20" s="141"/>
      <c r="E20" s="141"/>
      <c r="F20" s="76"/>
      <c r="G20" s="76">
        <f>-F19</f>
        <v>-66666.66</v>
      </c>
    </row>
    <row r="21" spans="1:17" ht="9.75" customHeight="1" x14ac:dyDescent="0.2">
      <c r="E21" s="2"/>
      <c r="F21" s="2"/>
      <c r="G21" s="2"/>
    </row>
    <row r="22" spans="1:17" ht="14.25" x14ac:dyDescent="0.2">
      <c r="B22" s="32"/>
    </row>
    <row r="23" spans="1:17" ht="9.75" customHeight="1" x14ac:dyDescent="0.2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7" ht="21.75" customHeight="1" x14ac:dyDescent="0.25">
      <c r="A24" s="60"/>
      <c r="B24" s="65"/>
      <c r="C24" s="85">
        <v>41275</v>
      </c>
      <c r="D24" s="85">
        <f>C24+34</f>
        <v>41309</v>
      </c>
      <c r="E24" s="85">
        <f t="shared" ref="E24:N24" si="0">D24+30</f>
        <v>41339</v>
      </c>
      <c r="F24" s="85">
        <f t="shared" si="0"/>
        <v>41369</v>
      </c>
      <c r="G24" s="85">
        <f t="shared" si="0"/>
        <v>41399</v>
      </c>
      <c r="H24" s="85">
        <f t="shared" si="0"/>
        <v>41429</v>
      </c>
      <c r="I24" s="85">
        <f t="shared" si="0"/>
        <v>41459</v>
      </c>
      <c r="J24" s="85">
        <f t="shared" si="0"/>
        <v>41489</v>
      </c>
      <c r="K24" s="85">
        <f t="shared" si="0"/>
        <v>41519</v>
      </c>
      <c r="L24" s="85">
        <f t="shared" si="0"/>
        <v>41549</v>
      </c>
      <c r="M24" s="85">
        <f>L24+31</f>
        <v>41580</v>
      </c>
      <c r="N24" s="88">
        <f t="shared" si="0"/>
        <v>41610</v>
      </c>
    </row>
    <row r="25" spans="1:17" ht="22.5" customHeight="1" x14ac:dyDescent="0.25">
      <c r="A25" s="60"/>
      <c r="B25" s="57" t="s">
        <v>23</v>
      </c>
      <c r="C25" s="84">
        <f>'WA 2012'!N31</f>
        <v>-783621.71</v>
      </c>
      <c r="D25" s="49">
        <f>C30</f>
        <v>-750524.20000000007</v>
      </c>
      <c r="E25" s="49">
        <f>D30</f>
        <v>-715130.40000000014</v>
      </c>
      <c r="F25" s="49">
        <f>E30</f>
        <v>-696374.12000000023</v>
      </c>
      <c r="G25" s="49">
        <f>F30</f>
        <v>-683044.46000000031</v>
      </c>
      <c r="H25" s="49">
        <f>G30</f>
        <v>-684570.85000000044</v>
      </c>
      <c r="I25" s="49">
        <f t="shared" ref="I25:J25" si="1">H30</f>
        <v>-691803.80000000051</v>
      </c>
      <c r="J25" s="49">
        <f t="shared" si="1"/>
        <v>-694943.53000000061</v>
      </c>
      <c r="K25" s="49">
        <f>J30</f>
        <v>-714887.96000000066</v>
      </c>
      <c r="L25" s="49">
        <f>K30</f>
        <v>-774714.61000000068</v>
      </c>
      <c r="M25" s="49">
        <f>L30</f>
        <v>-794770.64000000083</v>
      </c>
      <c r="N25" s="81">
        <f>M30</f>
        <v>-790227.91000000096</v>
      </c>
      <c r="O25" s="37"/>
    </row>
    <row r="26" spans="1:17" ht="30" customHeight="1" x14ac:dyDescent="0.2">
      <c r="A26" s="60"/>
      <c r="B26" s="70" t="s">
        <v>24</v>
      </c>
      <c r="C26" s="72">
        <v>-66666.67</v>
      </c>
      <c r="D26" s="72">
        <v>-66666.67</v>
      </c>
      <c r="E26" s="73">
        <v>-66666.66</v>
      </c>
      <c r="F26" s="72">
        <v>-66666.67</v>
      </c>
      <c r="G26" s="72">
        <v>-66666.67</v>
      </c>
      <c r="H26" s="73">
        <v>-66666.66</v>
      </c>
      <c r="I26" s="72">
        <v>-66666.67</v>
      </c>
      <c r="J26" s="72">
        <v>-66666.67</v>
      </c>
      <c r="K26" s="73">
        <v>-66666.66</v>
      </c>
      <c r="L26" s="72">
        <v>-66666.67</v>
      </c>
      <c r="M26" s="72">
        <v>-66666.67</v>
      </c>
      <c r="N26" s="73">
        <v>-66666.66</v>
      </c>
      <c r="O26" s="37"/>
      <c r="P26" s="2">
        <f>SUM(C26:O26)</f>
        <v>-800000.00000000012</v>
      </c>
    </row>
    <row r="27" spans="1:17" ht="22.5" customHeight="1" x14ac:dyDescent="0.2">
      <c r="A27" s="60"/>
      <c r="B27" s="58" t="s">
        <v>25</v>
      </c>
      <c r="C27" s="46">
        <v>13333.33</v>
      </c>
      <c r="D27" s="50">
        <v>13333.33</v>
      </c>
      <c r="E27" s="50">
        <v>13333.33</v>
      </c>
      <c r="F27" s="50">
        <v>13333.33</v>
      </c>
      <c r="G27" s="50">
        <v>13333.33</v>
      </c>
      <c r="H27" s="50">
        <v>13333.33</v>
      </c>
      <c r="I27" s="50">
        <v>13333.33</v>
      </c>
      <c r="J27" s="50">
        <v>13333.33</v>
      </c>
      <c r="K27" s="50">
        <v>13333.33</v>
      </c>
      <c r="L27" s="50">
        <v>13333.33</v>
      </c>
      <c r="M27" s="50">
        <v>13333.33</v>
      </c>
      <c r="N27" s="53">
        <v>13333.34</v>
      </c>
      <c r="O27" s="2"/>
      <c r="P27" s="2">
        <f t="shared" ref="P27:P29" si="2">SUM(C27:O27)</f>
        <v>159999.96999999997</v>
      </c>
    </row>
    <row r="28" spans="1:17" ht="30" customHeight="1" x14ac:dyDescent="0.2">
      <c r="A28" s="60"/>
      <c r="B28" s="70" t="s">
        <v>26</v>
      </c>
      <c r="C28" s="71">
        <v>86430.85</v>
      </c>
      <c r="D28" s="72">
        <v>88727.14</v>
      </c>
      <c r="E28" s="72">
        <v>72089.61</v>
      </c>
      <c r="F28" s="72">
        <v>66663</v>
      </c>
      <c r="G28" s="72">
        <v>51806.95</v>
      </c>
      <c r="H28" s="72">
        <v>46100.38</v>
      </c>
      <c r="I28" s="72">
        <v>50193.61</v>
      </c>
      <c r="J28" s="72">
        <v>33388.910000000003</v>
      </c>
      <c r="K28" s="72">
        <v>33420.31</v>
      </c>
      <c r="L28" s="72">
        <v>33277.31</v>
      </c>
      <c r="M28" s="72">
        <v>57876.07</v>
      </c>
      <c r="N28" s="73">
        <v>84834.65</v>
      </c>
      <c r="O28" s="2"/>
      <c r="P28" s="2">
        <f t="shared" si="2"/>
        <v>704808.79</v>
      </c>
    </row>
    <row r="29" spans="1:17" ht="22.5" customHeight="1" x14ac:dyDescent="0.2">
      <c r="A29" s="60"/>
      <c r="B29" s="59" t="s">
        <v>82</v>
      </c>
      <c r="C29" s="47"/>
      <c r="D29" s="51"/>
      <c r="E29" s="51"/>
      <c r="F29" s="51"/>
      <c r="G29" s="51"/>
      <c r="H29" s="51"/>
      <c r="I29" s="51"/>
      <c r="J29" s="51"/>
      <c r="K29" s="51">
        <v>-39913.629999999997</v>
      </c>
      <c r="L29" s="51"/>
      <c r="M29" s="51"/>
      <c r="N29" s="54"/>
      <c r="O29" s="2"/>
      <c r="P29" s="2">
        <f t="shared" si="2"/>
        <v>-39913.629999999997</v>
      </c>
      <c r="Q29" s="82"/>
    </row>
    <row r="30" spans="1:17" ht="23.25" customHeight="1" thickBot="1" x14ac:dyDescent="0.3">
      <c r="A30" s="60"/>
      <c r="B30" s="66" t="s">
        <v>27</v>
      </c>
      <c r="C30" s="48">
        <f t="shared" ref="C30:N30" si="3">SUM(C25:C29)</f>
        <v>-750524.20000000007</v>
      </c>
      <c r="D30" s="52">
        <f t="shared" si="3"/>
        <v>-715130.40000000014</v>
      </c>
      <c r="E30" s="42">
        <f t="shared" si="3"/>
        <v>-696374.12000000023</v>
      </c>
      <c r="F30" s="42">
        <f t="shared" si="3"/>
        <v>-683044.46000000031</v>
      </c>
      <c r="G30" s="42">
        <f>SUM(G25:G29)</f>
        <v>-684570.85000000044</v>
      </c>
      <c r="H30" s="42">
        <f>SUM(H25:H29)</f>
        <v>-691803.80000000051</v>
      </c>
      <c r="I30" s="42">
        <f t="shared" si="3"/>
        <v>-694943.53000000061</v>
      </c>
      <c r="J30" s="42">
        <f t="shared" si="3"/>
        <v>-714887.96000000066</v>
      </c>
      <c r="K30" s="42">
        <f t="shared" si="3"/>
        <v>-774714.61000000068</v>
      </c>
      <c r="L30" s="42">
        <f t="shared" si="3"/>
        <v>-794770.64000000083</v>
      </c>
      <c r="M30" s="42">
        <f t="shared" si="3"/>
        <v>-790227.91000000096</v>
      </c>
      <c r="N30" s="55">
        <f t="shared" si="3"/>
        <v>-758726.58000000101</v>
      </c>
      <c r="O30" s="2"/>
      <c r="P30" s="7">
        <f>SUM(P26:P29)</f>
        <v>24895.129999999896</v>
      </c>
    </row>
    <row r="31" spans="1:17" ht="23.25" customHeight="1" thickTop="1" x14ac:dyDescent="0.2">
      <c r="A31" s="60"/>
      <c r="B31" s="67" t="s">
        <v>59</v>
      </c>
      <c r="C31" s="44">
        <v>-750524.2</v>
      </c>
      <c r="D31" s="44">
        <v>-715130.4</v>
      </c>
      <c r="E31" s="43">
        <v>-696374.12</v>
      </c>
      <c r="F31" s="43">
        <v>-683044.46</v>
      </c>
      <c r="G31" s="43">
        <v>-684570.85</v>
      </c>
      <c r="H31" s="43">
        <v>-691803.8</v>
      </c>
      <c r="I31" s="43">
        <v>-694943.53</v>
      </c>
      <c r="J31" s="43">
        <v>-714887.96</v>
      </c>
      <c r="K31" s="44">
        <v>-774714.61</v>
      </c>
      <c r="L31" s="43">
        <v>-794770.64</v>
      </c>
      <c r="M31" s="43">
        <v>-790227.91</v>
      </c>
      <c r="N31" s="56">
        <v>-758726.58</v>
      </c>
      <c r="O31" s="2"/>
      <c r="Q31" s="82"/>
    </row>
    <row r="32" spans="1:17" ht="15.75" customHeight="1" x14ac:dyDescent="0.2">
      <c r="B32" s="32" t="s">
        <v>60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-9.3132257461547852E-10</v>
      </c>
      <c r="N32" s="2">
        <f t="shared" si="4"/>
        <v>-1.0477378964424133E-9</v>
      </c>
      <c r="O32" s="2"/>
    </row>
    <row r="33" spans="2:17" ht="15.75" customHeight="1" x14ac:dyDescent="0.2">
      <c r="B33" s="3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82"/>
    </row>
    <row r="34" spans="2:17" s="32" customFormat="1" ht="14.25" x14ac:dyDescent="0.2">
      <c r="C34" s="31"/>
      <c r="D34" s="31"/>
      <c r="E34" s="40"/>
      <c r="F34" s="31"/>
      <c r="G34" s="31"/>
      <c r="H34" s="31"/>
      <c r="I34" s="31"/>
      <c r="J34" s="31"/>
      <c r="K34" s="31"/>
      <c r="L34" s="36"/>
      <c r="O34" s="31"/>
      <c r="Q34" s="82"/>
    </row>
    <row r="35" spans="2:17" ht="18" customHeight="1" thickBot="1" x14ac:dyDescent="0.4">
      <c r="B35" s="140" t="s">
        <v>34</v>
      </c>
      <c r="C35" s="140"/>
      <c r="D35" s="2"/>
      <c r="E35" s="2"/>
      <c r="F35" s="2"/>
      <c r="G35" s="2"/>
      <c r="I35" s="2"/>
      <c r="J35" s="2"/>
      <c r="K35" s="37"/>
      <c r="O35" s="2"/>
    </row>
    <row r="36" spans="2:17" ht="13.5" customHeight="1" x14ac:dyDescent="0.2">
      <c r="B36" s="90" t="s">
        <v>77</v>
      </c>
      <c r="C36" s="33"/>
      <c r="D36" s="2"/>
      <c r="E36" s="2"/>
      <c r="F36" s="2"/>
      <c r="I36" s="2"/>
      <c r="J36" s="2"/>
      <c r="K36" s="37"/>
      <c r="O36" s="2"/>
      <c r="Q36" s="82"/>
    </row>
    <row r="37" spans="2:17" ht="13.5" customHeight="1" x14ac:dyDescent="0.2">
      <c r="B37" s="90" t="s">
        <v>42</v>
      </c>
      <c r="C37" s="33"/>
      <c r="D37" s="2"/>
      <c r="E37" s="2"/>
      <c r="F37" s="2"/>
      <c r="I37" s="2"/>
      <c r="J37" s="2"/>
      <c r="K37" s="37"/>
      <c r="O37" s="2"/>
      <c r="Q37" s="11"/>
    </row>
    <row r="38" spans="2:17" ht="13.5" customHeight="1" x14ac:dyDescent="0.2">
      <c r="B38" s="90" t="s">
        <v>62</v>
      </c>
      <c r="C38" s="135" t="s">
        <v>71</v>
      </c>
      <c r="D38" s="2"/>
      <c r="E38" s="2"/>
      <c r="F38" s="2"/>
      <c r="I38" s="2"/>
      <c r="J38" s="2"/>
      <c r="K38" s="37"/>
      <c r="O38" s="2"/>
    </row>
    <row r="39" spans="2:17" ht="13.5" customHeight="1" x14ac:dyDescent="0.2">
      <c r="B39" s="90" t="s">
        <v>63</v>
      </c>
      <c r="C39" s="135"/>
      <c r="D39" s="2"/>
      <c r="E39" s="2"/>
      <c r="F39" s="2"/>
      <c r="I39" s="2"/>
      <c r="J39" s="2"/>
      <c r="K39" s="37"/>
      <c r="O39" s="2"/>
    </row>
    <row r="40" spans="2:17" ht="13.5" customHeight="1" x14ac:dyDescent="0.2">
      <c r="B40" s="90" t="s">
        <v>80</v>
      </c>
      <c r="C40" s="135"/>
      <c r="D40" s="2"/>
      <c r="E40" s="2"/>
      <c r="F40" s="2"/>
      <c r="I40" s="2"/>
      <c r="J40" s="2"/>
      <c r="K40" s="37"/>
      <c r="O40" s="2"/>
    </row>
    <row r="41" spans="2:17" ht="13.5" customHeight="1" x14ac:dyDescent="0.2">
      <c r="B41" s="90" t="s">
        <v>81</v>
      </c>
      <c r="C41" s="34"/>
      <c r="D41" s="2"/>
      <c r="E41" s="2"/>
      <c r="F41" s="2"/>
      <c r="I41" s="2"/>
      <c r="J41" s="2"/>
      <c r="K41" s="37"/>
      <c r="O41" s="2"/>
    </row>
    <row r="42" spans="2:17" ht="13.5" customHeight="1" x14ac:dyDescent="0.2">
      <c r="B42" s="90" t="s">
        <v>36</v>
      </c>
      <c r="C42" s="34"/>
      <c r="D42" s="2"/>
      <c r="E42" s="2"/>
      <c r="F42" s="2"/>
      <c r="I42" s="2"/>
      <c r="J42" s="2"/>
      <c r="K42" s="37"/>
      <c r="O42" s="2"/>
    </row>
    <row r="49" spans="2:2" ht="14.25" x14ac:dyDescent="0.2">
      <c r="B49" s="86" t="str">
        <f ca="1">CELL("filename")</f>
        <v>http://apps.utc.wa.gov/apps/rsc/EFilingDocuments/[NEW CNGC Advice No. W17-09-04, Attch A, 9.29.17.xlsx]WA 2016-Post Revision</v>
      </c>
    </row>
  </sheetData>
  <mergeCells count="7">
    <mergeCell ref="C38:C40"/>
    <mergeCell ref="C19:E19"/>
    <mergeCell ref="C20:E20"/>
    <mergeCell ref="B35:C35"/>
    <mergeCell ref="C2:D2"/>
    <mergeCell ref="C3:D3"/>
    <mergeCell ref="E2:M3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zoomScale="85" zoomScaleNormal="85" workbookViewId="0">
      <selection activeCell="P31" sqref="P31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x14ac:dyDescent="0.2"/>
    <row r="2" spans="2:14" ht="15.75" x14ac:dyDescent="0.25">
      <c r="B2" s="35" t="s">
        <v>65</v>
      </c>
      <c r="C2" s="41" t="s">
        <v>64</v>
      </c>
    </row>
    <row r="3" spans="2:14" ht="15.75" x14ac:dyDescent="0.25">
      <c r="B3" s="35" t="s">
        <v>57</v>
      </c>
      <c r="C3" s="89">
        <v>41282</v>
      </c>
    </row>
    <row r="4" spans="2:14" ht="11.25" customHeight="1" x14ac:dyDescent="0.2"/>
    <row r="5" spans="2:14" ht="15.75" customHeight="1" x14ac:dyDescent="0.25">
      <c r="B5" s="69" t="s">
        <v>78</v>
      </c>
      <c r="C5" s="68"/>
      <c r="D5" s="68"/>
      <c r="E5" s="68" t="s">
        <v>68</v>
      </c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28</v>
      </c>
    </row>
    <row r="8" spans="2:14" ht="14.25" x14ac:dyDescent="0.2">
      <c r="B8" s="32" t="s">
        <v>0</v>
      </c>
    </row>
    <row r="9" spans="2:14" ht="10.5" customHeight="1" x14ac:dyDescent="0.2">
      <c r="B9" s="32"/>
    </row>
    <row r="10" spans="2:14" ht="14.25" x14ac:dyDescent="0.2">
      <c r="B10" s="32" t="s">
        <v>79</v>
      </c>
    </row>
    <row r="11" spans="2:14" ht="15" x14ac:dyDescent="0.25">
      <c r="B11" s="32" t="s">
        <v>66</v>
      </c>
    </row>
    <row r="12" spans="2:14" ht="14.25" x14ac:dyDescent="0.2">
      <c r="B12" s="32" t="s">
        <v>72</v>
      </c>
    </row>
    <row r="13" spans="2:14" ht="15" x14ac:dyDescent="0.25">
      <c r="B13" s="32" t="s">
        <v>67</v>
      </c>
    </row>
    <row r="14" spans="2:14" ht="14.25" x14ac:dyDescent="0.2">
      <c r="B14" s="32" t="s">
        <v>73</v>
      </c>
    </row>
    <row r="15" spans="2:14" ht="14.25" x14ac:dyDescent="0.2">
      <c r="B15" s="32" t="s">
        <v>74</v>
      </c>
    </row>
    <row r="16" spans="2:14" ht="11.25" customHeight="1" x14ac:dyDescent="0.2">
      <c r="B16" s="32"/>
    </row>
    <row r="17" spans="1:17" ht="14.25" x14ac:dyDescent="0.2">
      <c r="B17" s="32" t="s">
        <v>7</v>
      </c>
    </row>
    <row r="18" spans="1:17" ht="10.5" customHeight="1" x14ac:dyDescent="0.2"/>
    <row r="19" spans="1:17" ht="15.75" x14ac:dyDescent="0.25">
      <c r="B19" s="74" t="s">
        <v>45</v>
      </c>
      <c r="C19" s="141" t="s">
        <v>10</v>
      </c>
      <c r="D19" s="141"/>
      <c r="E19" s="141"/>
      <c r="F19" s="76">
        <v>66666.66</v>
      </c>
      <c r="G19" s="76"/>
    </row>
    <row r="20" spans="1:17" ht="15.75" x14ac:dyDescent="0.25">
      <c r="B20" s="74" t="s">
        <v>46</v>
      </c>
      <c r="C20" s="141" t="s">
        <v>11</v>
      </c>
      <c r="D20" s="141"/>
      <c r="E20" s="141"/>
      <c r="F20" s="76"/>
      <c r="G20" s="76">
        <f>-F19</f>
        <v>-66666.66</v>
      </c>
    </row>
    <row r="21" spans="1:17" ht="9.75" customHeight="1" x14ac:dyDescent="0.2">
      <c r="E21" s="2"/>
      <c r="F21" s="2"/>
      <c r="G21" s="2"/>
    </row>
    <row r="22" spans="1:17" ht="14.25" x14ac:dyDescent="0.2">
      <c r="B22" s="32"/>
    </row>
    <row r="23" spans="1:17" ht="9.75" customHeight="1" x14ac:dyDescent="0.2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7" ht="21.75" customHeight="1" x14ac:dyDescent="0.25">
      <c r="A24" s="60"/>
      <c r="B24" s="65"/>
      <c r="C24" s="85">
        <v>40909</v>
      </c>
      <c r="D24" s="85">
        <f>C24+34</f>
        <v>40943</v>
      </c>
      <c r="E24" s="85">
        <f t="shared" ref="E24:N24" si="0">D24+30</f>
        <v>40973</v>
      </c>
      <c r="F24" s="85">
        <f t="shared" si="0"/>
        <v>41003</v>
      </c>
      <c r="G24" s="85">
        <f t="shared" si="0"/>
        <v>41033</v>
      </c>
      <c r="H24" s="85">
        <f t="shared" si="0"/>
        <v>41063</v>
      </c>
      <c r="I24" s="85">
        <f t="shared" si="0"/>
        <v>41093</v>
      </c>
      <c r="J24" s="85">
        <f t="shared" si="0"/>
        <v>41123</v>
      </c>
      <c r="K24" s="85">
        <f t="shared" si="0"/>
        <v>41153</v>
      </c>
      <c r="L24" s="85">
        <f t="shared" si="0"/>
        <v>41183</v>
      </c>
      <c r="M24" s="85">
        <f>L24+31</f>
        <v>41214</v>
      </c>
      <c r="N24" s="88">
        <f t="shared" si="0"/>
        <v>41244</v>
      </c>
    </row>
    <row r="25" spans="1:17" ht="22.5" customHeight="1" x14ac:dyDescent="0.25">
      <c r="A25" s="60"/>
      <c r="B25" s="57" t="s">
        <v>23</v>
      </c>
      <c r="C25" s="84">
        <f>'WA 2011'!N31</f>
        <v>-703829.69000000018</v>
      </c>
      <c r="D25" s="49">
        <f>C30</f>
        <v>-722904.49000000022</v>
      </c>
      <c r="E25" s="49">
        <f>D30</f>
        <v>-710529.05000000028</v>
      </c>
      <c r="F25" s="49">
        <f>E30</f>
        <v>-673535.34000000032</v>
      </c>
      <c r="G25" s="49">
        <f>F30</f>
        <v>-678116.96000000043</v>
      </c>
      <c r="H25" s="49">
        <f>G30</f>
        <v>-674864.19000000053</v>
      </c>
      <c r="I25" s="49">
        <f t="shared" ref="I25:J25" si="1">H30</f>
        <v>-688441.6400000006</v>
      </c>
      <c r="J25" s="49">
        <f t="shared" si="1"/>
        <v>-722675.0000000007</v>
      </c>
      <c r="K25" s="49">
        <f>J30</f>
        <v>-732689.4800000008</v>
      </c>
      <c r="L25" s="49">
        <f>K30</f>
        <v>-793736.51000000082</v>
      </c>
      <c r="M25" s="49">
        <f>L30</f>
        <v>-819862.28000000096</v>
      </c>
      <c r="N25" s="81">
        <f>M30</f>
        <v>-783047.65000000107</v>
      </c>
      <c r="O25" s="37"/>
    </row>
    <row r="26" spans="1:17" ht="30" customHeight="1" x14ac:dyDescent="0.2">
      <c r="A26" s="60"/>
      <c r="B26" s="70" t="s">
        <v>24</v>
      </c>
      <c r="C26" s="72">
        <v>-66666.67</v>
      </c>
      <c r="D26" s="72">
        <v>-66666.66</v>
      </c>
      <c r="E26" s="72">
        <v>-66666.67</v>
      </c>
      <c r="F26" s="72">
        <v>-66666.67</v>
      </c>
      <c r="G26" s="72">
        <v>-66666.67</v>
      </c>
      <c r="H26" s="72">
        <v>-66666.66</v>
      </c>
      <c r="I26" s="72">
        <v>-66666.66</v>
      </c>
      <c r="J26" s="72">
        <v>-66666.67</v>
      </c>
      <c r="K26" s="72">
        <f>-66666.67-49904.47</f>
        <v>-116571.14</v>
      </c>
      <c r="L26" s="72">
        <v>-66666.67</v>
      </c>
      <c r="M26" s="72">
        <v>-66666.67</v>
      </c>
      <c r="N26" s="73">
        <v>-66666.66</v>
      </c>
      <c r="O26" s="37"/>
      <c r="P26" s="2">
        <f>SUM(C26:O26)+49904.47</f>
        <v>-800000.00000000023</v>
      </c>
    </row>
    <row r="27" spans="1:17" ht="22.5" customHeight="1" x14ac:dyDescent="0.2">
      <c r="A27" s="60"/>
      <c r="B27" s="58" t="s">
        <v>25</v>
      </c>
      <c r="C27" s="46">
        <v>13333.35</v>
      </c>
      <c r="D27" s="50">
        <v>13333.35</v>
      </c>
      <c r="E27" s="50">
        <v>13333.35</v>
      </c>
      <c r="F27" s="50">
        <v>13333.35</v>
      </c>
      <c r="G27" s="50">
        <v>13333.35</v>
      </c>
      <c r="H27" s="50">
        <v>13333.35</v>
      </c>
      <c r="I27" s="50">
        <v>13333.35</v>
      </c>
      <c r="J27" s="50">
        <v>13333.35</v>
      </c>
      <c r="K27" s="50">
        <v>13333.35</v>
      </c>
      <c r="L27" s="50">
        <v>13333.33</v>
      </c>
      <c r="M27" s="50">
        <v>13333.33</v>
      </c>
      <c r="N27" s="53">
        <v>13333.33</v>
      </c>
      <c r="O27" s="2"/>
      <c r="P27" s="2">
        <f t="shared" ref="P27:P28" si="2">SUM(C27:O27)+49904.47</f>
        <v>209904.61</v>
      </c>
    </row>
    <row r="28" spans="1:17" ht="30" customHeight="1" x14ac:dyDescent="0.2">
      <c r="A28" s="60"/>
      <c r="B28" s="70" t="s">
        <v>26</v>
      </c>
      <c r="C28" s="71">
        <v>34258.519999999997</v>
      </c>
      <c r="D28" s="72">
        <v>65708.75</v>
      </c>
      <c r="E28" s="72">
        <v>90327.03</v>
      </c>
      <c r="F28" s="72">
        <v>48751.7</v>
      </c>
      <c r="G28" s="72">
        <v>56586.09</v>
      </c>
      <c r="H28" s="72">
        <v>39755.86</v>
      </c>
      <c r="I28" s="72">
        <v>19099.95</v>
      </c>
      <c r="J28" s="72">
        <v>43318.84</v>
      </c>
      <c r="K28" s="72">
        <v>42190.76</v>
      </c>
      <c r="L28" s="72">
        <v>27207.57</v>
      </c>
      <c r="M28" s="72">
        <v>90147.97</v>
      </c>
      <c r="N28" s="73">
        <v>52759.27</v>
      </c>
      <c r="O28" s="2"/>
      <c r="P28" s="2">
        <f t="shared" si="2"/>
        <v>660016.78</v>
      </c>
    </row>
    <row r="29" spans="1:17" ht="22.5" customHeight="1" x14ac:dyDescent="0.2">
      <c r="A29" s="60"/>
      <c r="B29" s="59" t="s">
        <v>55</v>
      </c>
      <c r="C29" s="47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4"/>
      <c r="O29" s="2"/>
      <c r="Q29" s="82"/>
    </row>
    <row r="30" spans="1:17" ht="23.25" customHeight="1" thickBot="1" x14ac:dyDescent="0.3">
      <c r="A30" s="60"/>
      <c r="B30" s="66" t="s">
        <v>27</v>
      </c>
      <c r="C30" s="48">
        <f t="shared" ref="C30:N30" si="3">SUM(C25:C29)</f>
        <v>-722904.49000000022</v>
      </c>
      <c r="D30" s="52">
        <f t="shared" si="3"/>
        <v>-710529.05000000028</v>
      </c>
      <c r="E30" s="42">
        <f t="shared" si="3"/>
        <v>-673535.34000000032</v>
      </c>
      <c r="F30" s="42">
        <f t="shared" si="3"/>
        <v>-678116.96000000043</v>
      </c>
      <c r="G30" s="42">
        <f>SUM(G25:G29)</f>
        <v>-674864.19000000053</v>
      </c>
      <c r="H30" s="42">
        <f>SUM(H25:H29)</f>
        <v>-688441.6400000006</v>
      </c>
      <c r="I30" s="42">
        <f t="shared" si="3"/>
        <v>-722675.0000000007</v>
      </c>
      <c r="J30" s="42">
        <f t="shared" si="3"/>
        <v>-732689.4800000008</v>
      </c>
      <c r="K30" s="42">
        <f t="shared" si="3"/>
        <v>-793736.51000000082</v>
      </c>
      <c r="L30" s="42">
        <f t="shared" si="3"/>
        <v>-819862.28000000096</v>
      </c>
      <c r="M30" s="42">
        <f t="shared" si="3"/>
        <v>-783047.65000000107</v>
      </c>
      <c r="N30" s="55">
        <f t="shared" si="3"/>
        <v>-783621.71000000113</v>
      </c>
      <c r="O30" s="2"/>
      <c r="P30" s="7">
        <f>SUM(P26:P29)</f>
        <v>69921.389999999781</v>
      </c>
    </row>
    <row r="31" spans="1:17" ht="23.25" customHeight="1" thickTop="1" x14ac:dyDescent="0.2">
      <c r="A31" s="60"/>
      <c r="B31" s="67" t="s">
        <v>59</v>
      </c>
      <c r="C31" s="44">
        <v>-722904.49</v>
      </c>
      <c r="D31" s="44">
        <v>-710529.05</v>
      </c>
      <c r="E31" s="43">
        <v>-673535.34</v>
      </c>
      <c r="F31" s="43">
        <v>-678116.96</v>
      </c>
      <c r="G31" s="43">
        <v>-674864.19</v>
      </c>
      <c r="H31" s="43">
        <v>-688441.64</v>
      </c>
      <c r="I31" s="43">
        <v>-722675</v>
      </c>
      <c r="J31" s="43">
        <v>-732689.48</v>
      </c>
      <c r="K31" s="44">
        <v>-793736.51</v>
      </c>
      <c r="L31" s="43">
        <v>-819862.28</v>
      </c>
      <c r="M31" s="43">
        <v>-783047.65</v>
      </c>
      <c r="N31" s="56">
        <v>-783621.71</v>
      </c>
      <c r="O31" s="2"/>
      <c r="Q31" s="82"/>
    </row>
    <row r="32" spans="1:17" ht="15.75" customHeight="1" x14ac:dyDescent="0.2">
      <c r="B32" s="32" t="s">
        <v>60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-9.3132257461547852E-10</v>
      </c>
      <c r="M32" s="2">
        <f t="shared" si="4"/>
        <v>-1.0477378964424133E-9</v>
      </c>
      <c r="N32" s="2">
        <f t="shared" si="4"/>
        <v>-1.1641532182693481E-9</v>
      </c>
      <c r="O32" s="2"/>
    </row>
    <row r="33" spans="2:17" ht="15.75" customHeight="1" x14ac:dyDescent="0.2">
      <c r="B33" s="3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82"/>
    </row>
    <row r="34" spans="2:17" s="32" customFormat="1" ht="14.25" x14ac:dyDescent="0.2">
      <c r="C34" s="31"/>
      <c r="D34" s="31"/>
      <c r="E34" s="40"/>
      <c r="F34" s="31"/>
      <c r="G34" s="31"/>
      <c r="H34" s="31"/>
      <c r="I34" s="31"/>
      <c r="J34" s="31"/>
      <c r="K34" s="31"/>
      <c r="L34" s="36"/>
      <c r="O34" s="31"/>
      <c r="Q34" s="82"/>
    </row>
    <row r="35" spans="2:17" ht="18" customHeight="1" x14ac:dyDescent="0.35">
      <c r="B35" s="144" t="s">
        <v>34</v>
      </c>
      <c r="C35" s="144"/>
      <c r="D35" s="2"/>
      <c r="E35" s="2"/>
      <c r="F35" s="2"/>
      <c r="G35" s="2"/>
      <c r="I35" s="2"/>
      <c r="J35" s="2"/>
      <c r="K35" s="37"/>
      <c r="O35" s="2"/>
    </row>
    <row r="36" spans="2:17" ht="13.5" customHeight="1" x14ac:dyDescent="0.2">
      <c r="B36" s="83" t="s">
        <v>77</v>
      </c>
      <c r="C36" s="33"/>
      <c r="D36" s="2"/>
      <c r="E36" s="2"/>
      <c r="F36" s="2"/>
      <c r="I36" s="2"/>
      <c r="J36" s="2"/>
      <c r="K36" s="37"/>
      <c r="O36" s="2"/>
      <c r="Q36" s="82"/>
    </row>
    <row r="37" spans="2:17" ht="13.5" customHeight="1" x14ac:dyDescent="0.2">
      <c r="B37" s="39" t="s">
        <v>42</v>
      </c>
      <c r="C37" s="33"/>
      <c r="D37" s="2"/>
      <c r="E37" s="2"/>
      <c r="F37" s="2"/>
      <c r="I37" s="2"/>
      <c r="J37" s="2"/>
      <c r="K37" s="37"/>
      <c r="O37" s="2"/>
      <c r="Q37" s="11"/>
    </row>
    <row r="38" spans="2:17" ht="13.5" customHeight="1" x14ac:dyDescent="0.2">
      <c r="B38" s="38" t="s">
        <v>62</v>
      </c>
      <c r="C38" s="78" t="s">
        <v>71</v>
      </c>
      <c r="D38" s="2"/>
      <c r="E38" s="2"/>
      <c r="F38" s="2"/>
      <c r="I38" s="2"/>
      <c r="J38" s="2"/>
      <c r="K38" s="37"/>
      <c r="O38" s="2"/>
    </row>
    <row r="39" spans="2:17" ht="13.5" customHeight="1" x14ac:dyDescent="0.2">
      <c r="B39" s="38" t="s">
        <v>63</v>
      </c>
      <c r="C39" s="34"/>
      <c r="D39" s="2"/>
      <c r="E39" s="2"/>
      <c r="F39" s="2"/>
      <c r="I39" s="2"/>
      <c r="J39" s="2"/>
      <c r="K39" s="37"/>
      <c r="O39" s="2"/>
    </row>
    <row r="40" spans="2:17" ht="13.5" customHeight="1" x14ac:dyDescent="0.2">
      <c r="B40" s="38" t="s">
        <v>70</v>
      </c>
      <c r="C40" s="34"/>
      <c r="D40" s="2"/>
      <c r="E40" s="2"/>
      <c r="F40" s="2"/>
      <c r="I40" s="2"/>
      <c r="J40" s="2"/>
      <c r="K40" s="37"/>
      <c r="O40" s="2"/>
    </row>
    <row r="41" spans="2:17" ht="13.5" customHeight="1" x14ac:dyDescent="0.2">
      <c r="B41" s="38" t="s">
        <v>76</v>
      </c>
      <c r="C41" s="34"/>
    </row>
    <row r="48" spans="2:17" ht="14.25" x14ac:dyDescent="0.2">
      <c r="B48" s="86" t="str">
        <f ca="1">CELL("filename")</f>
        <v>http://apps.utc.wa.gov/apps/rsc/EFilingDocuments/[NEW CNGC Advice No. W17-09-04, Attch A, 9.29.17.xlsx]WA 2016-Post Revision</v>
      </c>
    </row>
  </sheetData>
  <mergeCells count="3">
    <mergeCell ref="B35:C35"/>
    <mergeCell ref="C19:E19"/>
    <mergeCell ref="C20:E20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opLeftCell="A10" zoomScaleNormal="100" workbookViewId="0">
      <selection activeCell="B30" sqref="B30"/>
    </sheetView>
  </sheetViews>
  <sheetFormatPr defaultRowHeight="12.75" x14ac:dyDescent="0.2"/>
  <cols>
    <col min="1" max="1" width="1.85546875" customWidth="1"/>
    <col min="2" max="2" width="31.140625" customWidth="1"/>
    <col min="3" max="3" width="16" customWidth="1"/>
    <col min="4" max="4" width="13.7109375" customWidth="1"/>
    <col min="5" max="5" width="17.85546875" customWidth="1"/>
    <col min="6" max="6" width="13.5703125" customWidth="1"/>
    <col min="7" max="14" width="13.5703125" bestFit="1" customWidth="1"/>
    <col min="15" max="15" width="2.28515625" customWidth="1"/>
    <col min="16" max="16" width="11.85546875" bestFit="1" customWidth="1"/>
    <col min="17" max="17" width="11.140625" bestFit="1" customWidth="1"/>
  </cols>
  <sheetData>
    <row r="1" spans="2:14" ht="7.5" customHeight="1" x14ac:dyDescent="0.2"/>
    <row r="2" spans="2:14" ht="15.75" x14ac:dyDescent="0.25">
      <c r="B2" s="35" t="s">
        <v>65</v>
      </c>
      <c r="C2" s="41" t="s">
        <v>64</v>
      </c>
    </row>
    <row r="3" spans="2:14" ht="15.75" x14ac:dyDescent="0.25">
      <c r="B3" s="35" t="s">
        <v>57</v>
      </c>
      <c r="C3" s="87"/>
    </row>
    <row r="4" spans="2:14" ht="11.25" customHeight="1" x14ac:dyDescent="0.2"/>
    <row r="5" spans="2:14" ht="15.75" customHeight="1" x14ac:dyDescent="0.25">
      <c r="B5" s="69" t="s">
        <v>75</v>
      </c>
      <c r="C5" s="68"/>
      <c r="D5" s="68"/>
      <c r="E5" s="68" t="s">
        <v>68</v>
      </c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28</v>
      </c>
    </row>
    <row r="8" spans="2:14" ht="14.25" x14ac:dyDescent="0.2">
      <c r="B8" s="32" t="s">
        <v>0</v>
      </c>
    </row>
    <row r="9" spans="2:14" ht="10.5" customHeight="1" x14ac:dyDescent="0.2">
      <c r="B9" s="32"/>
    </row>
    <row r="10" spans="2:14" ht="14.25" x14ac:dyDescent="0.2">
      <c r="B10" s="32" t="s">
        <v>1</v>
      </c>
    </row>
    <row r="11" spans="2:14" ht="15" x14ac:dyDescent="0.25">
      <c r="B11" s="32" t="s">
        <v>66</v>
      </c>
    </row>
    <row r="12" spans="2:14" ht="14.25" x14ac:dyDescent="0.2">
      <c r="B12" s="32" t="s">
        <v>72</v>
      </c>
    </row>
    <row r="13" spans="2:14" ht="15" x14ac:dyDescent="0.25">
      <c r="B13" s="32" t="s">
        <v>67</v>
      </c>
    </row>
    <row r="14" spans="2:14" ht="14.25" x14ac:dyDescent="0.2">
      <c r="B14" s="32" t="s">
        <v>73</v>
      </c>
    </row>
    <row r="15" spans="2:14" ht="14.25" x14ac:dyDescent="0.2">
      <c r="B15" s="32" t="s">
        <v>74</v>
      </c>
    </row>
    <row r="16" spans="2:14" ht="11.25" customHeight="1" x14ac:dyDescent="0.2">
      <c r="B16" s="32"/>
    </row>
    <row r="17" spans="1:17" ht="14.25" x14ac:dyDescent="0.2">
      <c r="B17" s="32" t="s">
        <v>7</v>
      </c>
    </row>
    <row r="18" spans="1:17" ht="10.5" customHeight="1" x14ac:dyDescent="0.2"/>
    <row r="19" spans="1:17" ht="15.75" x14ac:dyDescent="0.25">
      <c r="B19" s="74" t="s">
        <v>45</v>
      </c>
      <c r="C19" s="75"/>
      <c r="D19" s="75" t="s">
        <v>10</v>
      </c>
      <c r="E19" s="75"/>
      <c r="F19" s="76">
        <v>66666.66</v>
      </c>
      <c r="G19" s="76"/>
    </row>
    <row r="20" spans="1:17" ht="15.75" x14ac:dyDescent="0.25">
      <c r="B20" s="74" t="s">
        <v>46</v>
      </c>
      <c r="C20" s="75"/>
      <c r="D20" s="75" t="s">
        <v>11</v>
      </c>
      <c r="E20" s="75"/>
      <c r="F20" s="76"/>
      <c r="G20" s="76">
        <f>-F19</f>
        <v>-66666.66</v>
      </c>
    </row>
    <row r="21" spans="1:17" ht="9.75" customHeight="1" x14ac:dyDescent="0.2">
      <c r="E21" s="2"/>
      <c r="F21" s="2"/>
      <c r="G21" s="2"/>
    </row>
    <row r="22" spans="1:17" ht="14.25" x14ac:dyDescent="0.2">
      <c r="B22" s="32" t="s">
        <v>12</v>
      </c>
      <c r="E22" s="2"/>
      <c r="F22" s="2"/>
      <c r="G22" s="2"/>
    </row>
    <row r="23" spans="1:17" ht="14.25" x14ac:dyDescent="0.2">
      <c r="B23" s="32" t="s">
        <v>13</v>
      </c>
    </row>
    <row r="24" spans="1:17" ht="9.75" customHeight="1" x14ac:dyDescent="0.2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7" ht="19.5" customHeight="1" x14ac:dyDescent="0.25">
      <c r="A25" s="60"/>
      <c r="B25" s="65"/>
      <c r="C25" s="61">
        <v>40544</v>
      </c>
      <c r="D25" s="61">
        <v>40575</v>
      </c>
      <c r="E25" s="61">
        <v>40603</v>
      </c>
      <c r="F25" s="61">
        <v>40634</v>
      </c>
      <c r="G25" s="61">
        <v>40664</v>
      </c>
      <c r="H25" s="61">
        <v>40695</v>
      </c>
      <c r="I25" s="61">
        <v>40725</v>
      </c>
      <c r="J25" s="61">
        <v>40756</v>
      </c>
      <c r="K25" s="61">
        <v>40787</v>
      </c>
      <c r="L25" s="61">
        <v>40817</v>
      </c>
      <c r="M25" s="61">
        <v>40848</v>
      </c>
      <c r="N25" s="80">
        <v>40878</v>
      </c>
    </row>
    <row r="26" spans="1:17" ht="21" customHeight="1" x14ac:dyDescent="0.25">
      <c r="A26" s="60"/>
      <c r="B26" s="57" t="s">
        <v>23</v>
      </c>
      <c r="C26" s="45">
        <v>-601700.21</v>
      </c>
      <c r="D26" s="49">
        <f>C31</f>
        <v>-541530.85</v>
      </c>
      <c r="E26" s="49">
        <f>D31</f>
        <v>-518268.92000000004</v>
      </c>
      <c r="F26" s="49">
        <f>E31</f>
        <v>-540061.14000000013</v>
      </c>
      <c r="G26" s="49">
        <f>F31</f>
        <v>-546525.43000000017</v>
      </c>
      <c r="H26" s="49">
        <f>G31</f>
        <v>-547621.15000000014</v>
      </c>
      <c r="I26" s="49">
        <f t="shared" ref="I26:J26" si="0">H31</f>
        <v>-563933.41000000015</v>
      </c>
      <c r="J26" s="49">
        <f t="shared" si="0"/>
        <v>-565753.81000000017</v>
      </c>
      <c r="K26" s="49">
        <f>J31</f>
        <v>-596795.51000000013</v>
      </c>
      <c r="L26" s="49">
        <f>K31</f>
        <v>-719871.68000000017</v>
      </c>
      <c r="M26" s="49">
        <f>L31</f>
        <v>-698442.92000000016</v>
      </c>
      <c r="N26" s="81">
        <f>M31</f>
        <v>-718670.12000000023</v>
      </c>
      <c r="O26" s="2"/>
    </row>
    <row r="27" spans="1:17" ht="28.5" x14ac:dyDescent="0.2">
      <c r="A27" s="60"/>
      <c r="B27" s="70" t="s">
        <v>24</v>
      </c>
      <c r="C27" s="71">
        <v>-66666.67</v>
      </c>
      <c r="D27" s="72">
        <v>-66666.67</v>
      </c>
      <c r="E27" s="72">
        <v>-66666.66</v>
      </c>
      <c r="F27" s="72">
        <v>-66666.66</v>
      </c>
      <c r="G27" s="72">
        <v>-66666.66</v>
      </c>
      <c r="H27" s="72">
        <v>-66666.66</v>
      </c>
      <c r="I27" s="72">
        <v>-66666.66</v>
      </c>
      <c r="J27" s="72">
        <v>-66666.66</v>
      </c>
      <c r="K27" s="72">
        <f>-66666.66-78908.95</f>
        <v>-145575.60999999999</v>
      </c>
      <c r="L27" s="72">
        <v>-66666.66</v>
      </c>
      <c r="M27" s="72">
        <v>-66666.66</v>
      </c>
      <c r="N27" s="73">
        <v>-66666.720000000001</v>
      </c>
      <c r="O27" s="2"/>
      <c r="P27" s="2">
        <f>SUM(C27:O27)</f>
        <v>-878908.95000000019</v>
      </c>
    </row>
    <row r="28" spans="1:17" ht="21" customHeight="1" x14ac:dyDescent="0.2">
      <c r="A28" s="60"/>
      <c r="B28" s="58" t="s">
        <v>25</v>
      </c>
      <c r="C28" s="46">
        <v>13144.75</v>
      </c>
      <c r="D28" s="50">
        <v>13144.75</v>
      </c>
      <c r="E28" s="50">
        <v>13144.75</v>
      </c>
      <c r="F28" s="50">
        <v>14085.06</v>
      </c>
      <c r="G28" s="50">
        <v>14085.06</v>
      </c>
      <c r="H28" s="50">
        <v>13331.49</v>
      </c>
      <c r="I28" s="50">
        <v>13331.49</v>
      </c>
      <c r="J28" s="50">
        <f>13331.49-982.07</f>
        <v>12349.42</v>
      </c>
      <c r="K28" s="50">
        <v>13331.49</v>
      </c>
      <c r="L28" s="50">
        <v>14570.67</v>
      </c>
      <c r="M28" s="50">
        <v>13333.35</v>
      </c>
      <c r="N28" s="53">
        <v>13333.35</v>
      </c>
      <c r="O28" s="2"/>
      <c r="P28" s="2">
        <f t="shared" ref="P28:P29" si="1">SUM(C28:O28)</f>
        <v>161185.63000000003</v>
      </c>
    </row>
    <row r="29" spans="1:17" ht="30" customHeight="1" x14ac:dyDescent="0.2">
      <c r="A29" s="60"/>
      <c r="B29" s="70" t="s">
        <v>26</v>
      </c>
      <c r="C29" s="71">
        <v>113691.28</v>
      </c>
      <c r="D29" s="72">
        <v>76783.850000000006</v>
      </c>
      <c r="E29" s="72">
        <v>31729.69</v>
      </c>
      <c r="F29" s="72">
        <v>46117.31</v>
      </c>
      <c r="G29" s="72">
        <v>51485.88</v>
      </c>
      <c r="H29" s="72">
        <v>37022.910000000003</v>
      </c>
      <c r="I29" s="72">
        <v>51514.77</v>
      </c>
      <c r="J29" s="72">
        <v>23275.54</v>
      </c>
      <c r="K29" s="72">
        <v>9167.9500000000007</v>
      </c>
      <c r="L29" s="72">
        <v>73524.75</v>
      </c>
      <c r="M29" s="72">
        <v>33106.11</v>
      </c>
      <c r="N29" s="73">
        <v>68173.8</v>
      </c>
      <c r="O29" s="2"/>
      <c r="P29" s="2">
        <f t="shared" si="1"/>
        <v>615593.84000000008</v>
      </c>
    </row>
    <row r="30" spans="1:17" ht="21" customHeight="1" x14ac:dyDescent="0.2">
      <c r="A30" s="60"/>
      <c r="B30" s="59" t="s">
        <v>55</v>
      </c>
      <c r="C30" s="4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4"/>
      <c r="O30" s="2"/>
      <c r="Q30" s="82"/>
    </row>
    <row r="31" spans="1:17" ht="23.25" customHeight="1" thickBot="1" x14ac:dyDescent="0.3">
      <c r="A31" s="60"/>
      <c r="B31" s="66" t="s">
        <v>27</v>
      </c>
      <c r="C31" s="48">
        <f t="shared" ref="C31:N31" si="2">SUM(C26:C30)</f>
        <v>-541530.85</v>
      </c>
      <c r="D31" s="52">
        <f t="shared" si="2"/>
        <v>-518268.92000000004</v>
      </c>
      <c r="E31" s="42">
        <f t="shared" si="2"/>
        <v>-540061.14000000013</v>
      </c>
      <c r="F31" s="42">
        <f t="shared" si="2"/>
        <v>-546525.43000000017</v>
      </c>
      <c r="G31" s="42">
        <f>SUM(G26:G30)</f>
        <v>-547621.15000000014</v>
      </c>
      <c r="H31" s="42">
        <f>SUM(H26:H30)</f>
        <v>-563933.41000000015</v>
      </c>
      <c r="I31" s="42">
        <f t="shared" si="2"/>
        <v>-565753.81000000017</v>
      </c>
      <c r="J31" s="42">
        <f t="shared" si="2"/>
        <v>-596795.51000000013</v>
      </c>
      <c r="K31" s="42">
        <f t="shared" si="2"/>
        <v>-719871.68000000017</v>
      </c>
      <c r="L31" s="42">
        <f t="shared" si="2"/>
        <v>-698442.92000000016</v>
      </c>
      <c r="M31" s="42">
        <f t="shared" si="2"/>
        <v>-718670.12000000023</v>
      </c>
      <c r="N31" s="55">
        <f t="shared" si="2"/>
        <v>-703829.69000000018</v>
      </c>
      <c r="O31" s="2"/>
      <c r="P31" s="7">
        <f>SUM(P27:P30)</f>
        <v>-102129.4800000001</v>
      </c>
    </row>
    <row r="32" spans="1:17" ht="23.25" customHeight="1" thickTop="1" x14ac:dyDescent="0.2">
      <c r="A32" s="60"/>
      <c r="B32" s="67" t="s">
        <v>59</v>
      </c>
      <c r="C32" s="44">
        <v>-541530.85</v>
      </c>
      <c r="D32" s="44">
        <v>-518268.92</v>
      </c>
      <c r="E32" s="43">
        <v>-540061.14</v>
      </c>
      <c r="F32" s="43">
        <v>-546525.43000000005</v>
      </c>
      <c r="G32" s="43">
        <v>-547621.15</v>
      </c>
      <c r="H32" s="43">
        <v>-563933.41</v>
      </c>
      <c r="I32" s="43">
        <v>-565753.81000000006</v>
      </c>
      <c r="J32" s="43">
        <v>-596795.51</v>
      </c>
      <c r="K32" s="44">
        <v>-719871.68</v>
      </c>
      <c r="L32" s="43">
        <v>-698442.92</v>
      </c>
      <c r="M32" s="43">
        <v>-718670.12</v>
      </c>
      <c r="N32" s="56">
        <v>-703829.69</v>
      </c>
      <c r="O32" s="2"/>
      <c r="Q32" s="82"/>
    </row>
    <row r="33" spans="2:17" ht="15.75" customHeight="1" x14ac:dyDescent="0.2">
      <c r="B33" s="32" t="s">
        <v>60</v>
      </c>
      <c r="C33" s="2">
        <f t="shared" ref="C33:N33" si="3">C31-C32</f>
        <v>0</v>
      </c>
      <c r="D33" s="2">
        <f t="shared" si="3"/>
        <v>0</v>
      </c>
      <c r="E33" s="2">
        <f t="shared" si="3"/>
        <v>0</v>
      </c>
      <c r="F33" s="2">
        <f t="shared" si="3"/>
        <v>0</v>
      </c>
      <c r="G33" s="2">
        <f t="shared" si="3"/>
        <v>0</v>
      </c>
      <c r="H33" s="2">
        <f t="shared" si="3"/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>
        <f t="shared" si="3"/>
        <v>0</v>
      </c>
      <c r="O33" s="2"/>
    </row>
    <row r="34" spans="2:17" ht="15.75" customHeight="1" x14ac:dyDescent="0.2">
      <c r="B34" s="3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Q34" s="82"/>
    </row>
    <row r="35" spans="2:17" x14ac:dyDescent="0.2">
      <c r="C35" s="2"/>
      <c r="D35" s="2"/>
      <c r="E35" s="2"/>
      <c r="F35" s="2"/>
      <c r="G35" s="2"/>
      <c r="H35" s="2"/>
      <c r="I35" s="2"/>
      <c r="J35" s="2"/>
      <c r="K35" s="37"/>
      <c r="O35" s="2"/>
      <c r="Q35" s="82"/>
    </row>
    <row r="36" spans="2:17" ht="15" x14ac:dyDescent="0.35">
      <c r="B36" s="144" t="s">
        <v>34</v>
      </c>
      <c r="C36" s="144"/>
      <c r="D36" s="2"/>
      <c r="E36" s="2"/>
      <c r="F36" s="2"/>
      <c r="G36" s="2"/>
      <c r="I36" s="2"/>
      <c r="J36" s="2"/>
      <c r="K36" s="37"/>
      <c r="O36" s="2"/>
    </row>
    <row r="37" spans="2:17" x14ac:dyDescent="0.2">
      <c r="B37" s="83" t="s">
        <v>77</v>
      </c>
      <c r="C37" s="33"/>
      <c r="D37" s="2"/>
      <c r="E37" s="2"/>
      <c r="F37" s="2"/>
      <c r="I37" s="2"/>
      <c r="J37" s="2"/>
      <c r="K37" s="37"/>
      <c r="O37" s="2"/>
      <c r="Q37" s="82"/>
    </row>
    <row r="38" spans="2:17" ht="12" customHeight="1" x14ac:dyDescent="0.2">
      <c r="B38" s="39" t="s">
        <v>42</v>
      </c>
      <c r="C38" s="33"/>
      <c r="D38" s="2"/>
      <c r="E38" s="2"/>
      <c r="F38" s="2"/>
      <c r="I38" s="2"/>
      <c r="J38" s="2"/>
      <c r="K38" s="37"/>
      <c r="O38" s="2"/>
      <c r="Q38" s="11"/>
    </row>
    <row r="39" spans="2:17" x14ac:dyDescent="0.2">
      <c r="B39" s="38" t="s">
        <v>62</v>
      </c>
      <c r="C39" s="78" t="s">
        <v>71</v>
      </c>
      <c r="D39" s="2"/>
      <c r="E39" s="2"/>
      <c r="F39" s="2"/>
      <c r="I39" s="2"/>
      <c r="J39" s="2"/>
      <c r="K39" s="37"/>
      <c r="O39" s="2"/>
    </row>
    <row r="40" spans="2:17" ht="12.75" customHeight="1" x14ac:dyDescent="0.2">
      <c r="B40" s="38" t="s">
        <v>63</v>
      </c>
      <c r="C40" s="34"/>
      <c r="D40" s="2"/>
      <c r="E40" s="2"/>
      <c r="F40" s="2"/>
      <c r="I40" s="2"/>
      <c r="J40" s="2"/>
      <c r="K40" s="37"/>
      <c r="O40" s="2"/>
    </row>
    <row r="41" spans="2:17" x14ac:dyDescent="0.2">
      <c r="B41" s="38" t="s">
        <v>70</v>
      </c>
      <c r="C41" s="34"/>
      <c r="D41" s="2"/>
      <c r="E41" s="2"/>
      <c r="F41" s="2"/>
      <c r="I41" s="2"/>
      <c r="J41" s="2"/>
      <c r="K41" s="37"/>
      <c r="O41" s="2"/>
    </row>
    <row r="42" spans="2:17" x14ac:dyDescent="0.2">
      <c r="B42" s="38" t="s">
        <v>76</v>
      </c>
      <c r="C42" s="34"/>
    </row>
    <row r="49" spans="2:2" ht="14.25" x14ac:dyDescent="0.2">
      <c r="B49" s="32" t="str">
        <f ca="1">CELL("filename")</f>
        <v>http://apps.utc.wa.gov/apps/rsc/EFilingDocuments/[NEW CNGC Advice No. W17-09-04, Attch A, 9.29.17.xlsx]WA 2016-Post Revision</v>
      </c>
    </row>
  </sheetData>
  <mergeCells count="1">
    <mergeCell ref="B36:C36"/>
  </mergeCells>
  <pageMargins left="0.3" right="0" top="0.5" bottom="0.25" header="0.5" footer="0.5"/>
  <pageSetup scale="66" orientation="landscape" cellComments="asDisplayed" r:id="rId1"/>
  <headerFooter alignWithMargins="0"/>
  <ignoredErrors>
    <ignoredError sqref="C31" formulaRange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showGridLines="0" zoomScale="85" zoomScaleNormal="85" workbookViewId="0">
      <selection activeCell="B30" sqref="B30"/>
    </sheetView>
  </sheetViews>
  <sheetFormatPr defaultRowHeight="12.75" x14ac:dyDescent="0.2"/>
  <cols>
    <col min="1" max="1" width="1.85546875" customWidth="1"/>
    <col min="2" max="2" width="31.140625" customWidth="1"/>
    <col min="3" max="3" width="14.7109375" bestFit="1" customWidth="1"/>
    <col min="4" max="4" width="14.42578125" customWidth="1"/>
    <col min="5" max="5" width="15" customWidth="1"/>
    <col min="6" max="7" width="14.28515625" customWidth="1"/>
    <col min="8" max="8" width="13.5703125" customWidth="1"/>
    <col min="9" max="12" width="13.7109375" bestFit="1" customWidth="1"/>
    <col min="13" max="13" width="16.42578125" bestFit="1" customWidth="1"/>
    <col min="14" max="14" width="13.7109375" bestFit="1" customWidth="1"/>
    <col min="15" max="15" width="2.5703125" customWidth="1"/>
    <col min="16" max="16" width="12.28515625" bestFit="1" customWidth="1"/>
  </cols>
  <sheetData>
    <row r="1" spans="2:14" ht="7.5" customHeight="1" x14ac:dyDescent="0.2"/>
    <row r="2" spans="2:14" ht="15.75" x14ac:dyDescent="0.25">
      <c r="B2" s="35" t="s">
        <v>65</v>
      </c>
      <c r="C2" s="41" t="s">
        <v>64</v>
      </c>
    </row>
    <row r="3" spans="2:14" ht="15.75" x14ac:dyDescent="0.25">
      <c r="B3" s="35" t="s">
        <v>57</v>
      </c>
      <c r="C3" s="79"/>
    </row>
    <row r="4" spans="2:14" ht="11.25" customHeight="1" x14ac:dyDescent="0.2"/>
    <row r="5" spans="2:14" ht="15.75" customHeight="1" x14ac:dyDescent="0.25">
      <c r="B5" s="69" t="s">
        <v>58</v>
      </c>
      <c r="C5" s="68"/>
      <c r="D5" s="68"/>
      <c r="E5" s="68" t="s">
        <v>68</v>
      </c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28</v>
      </c>
    </row>
    <row r="8" spans="2:14" ht="14.25" x14ac:dyDescent="0.2">
      <c r="B8" s="32" t="s">
        <v>0</v>
      </c>
    </row>
    <row r="9" spans="2:14" ht="10.5" customHeight="1" x14ac:dyDescent="0.2">
      <c r="B9" s="32"/>
    </row>
    <row r="10" spans="2:14" ht="14.25" x14ac:dyDescent="0.2">
      <c r="B10" s="32" t="s">
        <v>1</v>
      </c>
    </row>
    <row r="11" spans="2:14" ht="15" x14ac:dyDescent="0.25">
      <c r="B11" s="32" t="s">
        <v>66</v>
      </c>
    </row>
    <row r="12" spans="2:14" ht="14.25" x14ac:dyDescent="0.2">
      <c r="B12" s="32" t="s">
        <v>72</v>
      </c>
    </row>
    <row r="13" spans="2:14" ht="15" x14ac:dyDescent="0.25">
      <c r="B13" s="32" t="s">
        <v>67</v>
      </c>
    </row>
    <row r="14" spans="2:14" ht="14.25" x14ac:dyDescent="0.2">
      <c r="B14" s="32" t="s">
        <v>73</v>
      </c>
    </row>
    <row r="15" spans="2:14" ht="14.25" x14ac:dyDescent="0.2">
      <c r="B15" s="32" t="s">
        <v>74</v>
      </c>
    </row>
    <row r="16" spans="2:14" ht="11.25" customHeight="1" x14ac:dyDescent="0.2">
      <c r="B16" s="32"/>
    </row>
    <row r="17" spans="1:16" ht="14.25" x14ac:dyDescent="0.2">
      <c r="B17" s="32" t="s">
        <v>7</v>
      </c>
    </row>
    <row r="18" spans="1:16" ht="10.5" customHeight="1" x14ac:dyDescent="0.2"/>
    <row r="19" spans="1:16" ht="15.75" x14ac:dyDescent="0.25">
      <c r="B19" s="74" t="s">
        <v>45</v>
      </c>
      <c r="C19" s="75"/>
      <c r="D19" s="75" t="s">
        <v>10</v>
      </c>
      <c r="E19" s="75"/>
      <c r="F19" s="76">
        <v>66666.67</v>
      </c>
      <c r="G19" s="76"/>
    </row>
    <row r="20" spans="1:16" ht="15.75" x14ac:dyDescent="0.25">
      <c r="B20" s="74" t="s">
        <v>46</v>
      </c>
      <c r="C20" s="75"/>
      <c r="D20" s="75" t="s">
        <v>11</v>
      </c>
      <c r="E20" s="75"/>
      <c r="F20" s="76"/>
      <c r="G20" s="76">
        <f>-F19</f>
        <v>-66666.67</v>
      </c>
    </row>
    <row r="21" spans="1:16" ht="9.75" customHeight="1" x14ac:dyDescent="0.2">
      <c r="E21" s="2"/>
      <c r="F21" s="2"/>
      <c r="G21" s="2"/>
    </row>
    <row r="22" spans="1:16" ht="14.25" x14ac:dyDescent="0.2">
      <c r="B22" s="32" t="s">
        <v>12</v>
      </c>
      <c r="E22" s="2"/>
      <c r="F22" s="2"/>
      <c r="G22" s="2"/>
    </row>
    <row r="23" spans="1:16" ht="14.25" x14ac:dyDescent="0.2">
      <c r="B23" s="32" t="s">
        <v>13</v>
      </c>
    </row>
    <row r="24" spans="1:16" ht="9.75" customHeight="1" x14ac:dyDescent="0.2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6" ht="19.5" customHeight="1" x14ac:dyDescent="0.25">
      <c r="A25" s="60"/>
      <c r="B25" s="65"/>
      <c r="C25" s="61">
        <v>40179</v>
      </c>
      <c r="D25" s="62">
        <v>40210</v>
      </c>
      <c r="E25" s="62">
        <v>40238</v>
      </c>
      <c r="F25" s="62">
        <v>40269</v>
      </c>
      <c r="G25" s="62">
        <v>40299</v>
      </c>
      <c r="H25" s="62">
        <v>40330</v>
      </c>
      <c r="I25" s="62">
        <v>40360</v>
      </c>
      <c r="J25" s="62">
        <v>40391</v>
      </c>
      <c r="K25" s="62">
        <v>40422</v>
      </c>
      <c r="L25" s="62">
        <v>40452</v>
      </c>
      <c r="M25" s="62">
        <v>40483</v>
      </c>
      <c r="N25" s="63">
        <v>40513</v>
      </c>
    </row>
    <row r="26" spans="1:16" ht="21" customHeight="1" x14ac:dyDescent="0.25">
      <c r="A26" s="60"/>
      <c r="B26" s="57" t="s">
        <v>23</v>
      </c>
      <c r="C26" s="45">
        <v>-302851.7699999999</v>
      </c>
      <c r="D26" s="49">
        <v>-294214.11</v>
      </c>
      <c r="E26" s="49">
        <f t="shared" ref="E26:J26" si="0">D31</f>
        <v>-312591.48</v>
      </c>
      <c r="F26" s="49">
        <f t="shared" si="0"/>
        <v>-334368.68999999994</v>
      </c>
      <c r="G26" s="49">
        <f t="shared" si="0"/>
        <v>-308244.09999999992</v>
      </c>
      <c r="H26" s="49">
        <f t="shared" si="0"/>
        <v>-318776.58999999991</v>
      </c>
      <c r="I26" s="49">
        <f t="shared" si="0"/>
        <v>-337835.42999999988</v>
      </c>
      <c r="J26" s="49">
        <f t="shared" si="0"/>
        <v>-379649.17999999982</v>
      </c>
      <c r="K26" s="49">
        <f>J31</f>
        <v>-491295.30999999976</v>
      </c>
      <c r="L26" s="49">
        <f>K31</f>
        <v>-523676.95999999979</v>
      </c>
      <c r="M26" s="49">
        <f>L31</f>
        <v>-566620.29999999981</v>
      </c>
      <c r="N26" s="49">
        <f>M31</f>
        <v>-596099.7899999998</v>
      </c>
      <c r="O26" s="2"/>
    </row>
    <row r="27" spans="1:16" ht="28.5" x14ac:dyDescent="0.2">
      <c r="A27" s="60"/>
      <c r="B27" s="70" t="s">
        <v>24</v>
      </c>
      <c r="C27" s="71">
        <v>-66666.67</v>
      </c>
      <c r="D27" s="72">
        <v>-66666.67</v>
      </c>
      <c r="E27" s="72">
        <v>-66666.67</v>
      </c>
      <c r="F27" s="72">
        <v>-66666.67</v>
      </c>
      <c r="G27" s="72">
        <v>-66666.67</v>
      </c>
      <c r="H27" s="72">
        <v>-66666.67</v>
      </c>
      <c r="I27" s="72">
        <v>-66666.67</v>
      </c>
      <c r="J27" s="31">
        <v>-141530.46</v>
      </c>
      <c r="K27" s="72">
        <v>-66666.67</v>
      </c>
      <c r="L27" s="72">
        <v>-66666.67</v>
      </c>
      <c r="M27" s="72">
        <v>-66666.67</v>
      </c>
      <c r="N27" s="72">
        <v>-66666.63</v>
      </c>
      <c r="O27" s="2"/>
      <c r="P27" s="2">
        <f>SUM(C27:O27)</f>
        <v>-874863.79</v>
      </c>
    </row>
    <row r="28" spans="1:16" ht="21" customHeight="1" x14ac:dyDescent="0.2">
      <c r="A28" s="60"/>
      <c r="B28" s="58" t="s">
        <v>25</v>
      </c>
      <c r="C28" s="46">
        <v>13333.33</v>
      </c>
      <c r="D28" s="50">
        <f>87.2+1283.67+553.18+1200.05+192.19+1130.36+1930.84+423.48+2373.66+2123.4+1755.42+279.88</f>
        <v>13333.33</v>
      </c>
      <c r="E28" s="50">
        <f>87.2+1283.67+553.18+1200.05+192.19+1130.36+1930.84+423.48+2373.66+2123.4+1755.42+279.88</f>
        <v>13333.33</v>
      </c>
      <c r="F28" s="50">
        <f>13756.81-423.48</f>
        <v>13333.33</v>
      </c>
      <c r="G28" s="50">
        <v>13333.33</v>
      </c>
      <c r="H28" s="50">
        <f>G28</f>
        <v>13333.33</v>
      </c>
      <c r="I28" s="50">
        <v>13333.33</v>
      </c>
      <c r="J28" s="50">
        <v>13333.33</v>
      </c>
      <c r="K28" s="50">
        <v>12909.85</v>
      </c>
      <c r="L28" s="50">
        <v>16413.87</v>
      </c>
      <c r="M28" s="50">
        <v>16413.87</v>
      </c>
      <c r="N28" s="53">
        <v>9292.89</v>
      </c>
      <c r="O28" s="2"/>
      <c r="P28" s="2">
        <f t="shared" ref="P28:P29" si="1">SUM(C28:O28)</f>
        <v>161697.12</v>
      </c>
    </row>
    <row r="29" spans="1:16" ht="30" customHeight="1" x14ac:dyDescent="0.2">
      <c r="A29" s="60"/>
      <c r="B29" s="70" t="s">
        <v>26</v>
      </c>
      <c r="C29" s="71">
        <v>61971</v>
      </c>
      <c r="D29" s="72">
        <v>34955.97</v>
      </c>
      <c r="E29" s="72">
        <f>31985.19-429.06</f>
        <v>31556.129999999997</v>
      </c>
      <c r="F29" s="72">
        <f>-149.39+79607.32</f>
        <v>79457.930000000008</v>
      </c>
      <c r="G29" s="72">
        <v>42800.85</v>
      </c>
      <c r="H29" s="72">
        <v>34274.5</v>
      </c>
      <c r="I29" s="72">
        <v>11519.59</v>
      </c>
      <c r="J29" s="72">
        <v>16551</v>
      </c>
      <c r="K29" s="72">
        <v>21375.17</v>
      </c>
      <c r="L29" s="72">
        <v>7309.46</v>
      </c>
      <c r="M29" s="72">
        <v>20773.310000000001</v>
      </c>
      <c r="N29" s="73">
        <v>51773.32</v>
      </c>
      <c r="O29" s="2"/>
      <c r="P29" s="2">
        <f t="shared" si="1"/>
        <v>414318.23000000004</v>
      </c>
    </row>
    <row r="30" spans="1:16" ht="21" customHeight="1" x14ac:dyDescent="0.2">
      <c r="A30" s="60"/>
      <c r="B30" s="59" t="s">
        <v>55</v>
      </c>
      <c r="C30" s="4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4"/>
      <c r="O30" s="2"/>
    </row>
    <row r="31" spans="1:16" ht="23.25" customHeight="1" thickBot="1" x14ac:dyDescent="0.3">
      <c r="A31" s="60"/>
      <c r="B31" s="66" t="s">
        <v>27</v>
      </c>
      <c r="C31" s="48">
        <f t="shared" ref="C31:N31" si="2">SUM(C26:C30)</f>
        <v>-294214.10999999987</v>
      </c>
      <c r="D31" s="52">
        <f t="shared" si="2"/>
        <v>-312591.48</v>
      </c>
      <c r="E31" s="42">
        <f t="shared" si="2"/>
        <v>-334368.68999999994</v>
      </c>
      <c r="F31" s="42">
        <f t="shared" si="2"/>
        <v>-308244.09999999992</v>
      </c>
      <c r="G31" s="42">
        <f>SUM(G26:G30)</f>
        <v>-318776.58999999991</v>
      </c>
      <c r="H31" s="42">
        <f>SUM(H26:H30)</f>
        <v>-337835.42999999988</v>
      </c>
      <c r="I31" s="42">
        <f t="shared" si="2"/>
        <v>-379649.17999999982</v>
      </c>
      <c r="J31" s="42">
        <f t="shared" si="2"/>
        <v>-491295.30999999976</v>
      </c>
      <c r="K31" s="42">
        <f t="shared" si="2"/>
        <v>-523676.95999999979</v>
      </c>
      <c r="L31" s="42">
        <f t="shared" si="2"/>
        <v>-566620.29999999981</v>
      </c>
      <c r="M31" s="42">
        <f t="shared" si="2"/>
        <v>-596099.7899999998</v>
      </c>
      <c r="N31" s="55">
        <f t="shared" si="2"/>
        <v>-601700.20999999985</v>
      </c>
      <c r="O31" s="2"/>
      <c r="P31" s="7">
        <f>SUM(P27:P30)</f>
        <v>-298848.44</v>
      </c>
    </row>
    <row r="32" spans="1:16" ht="23.25" customHeight="1" thickTop="1" x14ac:dyDescent="0.2">
      <c r="A32" s="60"/>
      <c r="B32" s="67" t="s">
        <v>59</v>
      </c>
      <c r="C32" s="44">
        <v>-294214.11</v>
      </c>
      <c r="D32" s="44">
        <v>-312591.48</v>
      </c>
      <c r="E32" s="43">
        <v>-334368.69</v>
      </c>
      <c r="F32" s="43">
        <v>-308244.09999999998</v>
      </c>
      <c r="G32" s="43">
        <v>-318776.59000000003</v>
      </c>
      <c r="H32" s="43">
        <v>-337835.43</v>
      </c>
      <c r="I32" s="43">
        <v>-379649.18</v>
      </c>
      <c r="J32" s="43">
        <v>-491295.31</v>
      </c>
      <c r="K32" s="44">
        <v>-523676.96</v>
      </c>
      <c r="L32" s="43">
        <v>-566620.30000000005</v>
      </c>
      <c r="M32" s="43">
        <v>-596099.79</v>
      </c>
      <c r="N32" s="56">
        <v>-601700.21</v>
      </c>
      <c r="O32" s="2"/>
    </row>
    <row r="33" spans="2:15" ht="9" customHeight="1" x14ac:dyDescent="0.2">
      <c r="B33" s="3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5.75" customHeight="1" x14ac:dyDescent="0.2">
      <c r="B34" s="32" t="s">
        <v>60</v>
      </c>
      <c r="C34" s="2">
        <f t="shared" ref="C34:N34" si="3">C31-C32</f>
        <v>0</v>
      </c>
      <c r="D34" s="2">
        <f t="shared" si="3"/>
        <v>0</v>
      </c>
      <c r="E34" s="2">
        <f t="shared" si="3"/>
        <v>0</v>
      </c>
      <c r="F34" s="2">
        <f t="shared" si="3"/>
        <v>0</v>
      </c>
      <c r="G34" s="2">
        <f t="shared" si="3"/>
        <v>0</v>
      </c>
      <c r="H34" s="2">
        <f t="shared" si="3"/>
        <v>0</v>
      </c>
      <c r="I34" s="2">
        <f t="shared" si="3"/>
        <v>0</v>
      </c>
      <c r="J34" s="2">
        <f t="shared" si="3"/>
        <v>0</v>
      </c>
      <c r="K34" s="2">
        <f t="shared" si="3"/>
        <v>0</v>
      </c>
      <c r="L34" s="2">
        <f t="shared" si="3"/>
        <v>0</v>
      </c>
      <c r="M34" s="2">
        <f t="shared" si="3"/>
        <v>0</v>
      </c>
      <c r="N34" s="2">
        <f t="shared" si="3"/>
        <v>0</v>
      </c>
      <c r="O34" s="2"/>
    </row>
    <row r="35" spans="2:15" s="32" customFormat="1" ht="14.25" x14ac:dyDescent="0.2">
      <c r="C35" s="31"/>
      <c r="D35" s="31"/>
      <c r="E35" s="40"/>
      <c r="F35" s="31"/>
      <c r="G35" s="31"/>
      <c r="H35" s="31"/>
      <c r="I35" s="31"/>
      <c r="J35" s="31"/>
      <c r="K35" s="31"/>
      <c r="L35" s="36"/>
      <c r="O35" s="31"/>
    </row>
    <row r="36" spans="2:15" ht="14.25" x14ac:dyDescent="0.2">
      <c r="B36" s="32" t="str">
        <f ca="1">CELL("filename")</f>
        <v>http://apps.utc.wa.gov/apps/rsc/EFilingDocuments/[NEW CNGC Advice No. W17-09-04, Attch A, 9.29.17.xlsx]WA 2016-Post Revision</v>
      </c>
      <c r="C36" s="2"/>
      <c r="D36" s="2"/>
      <c r="E36" s="2"/>
      <c r="F36" s="2"/>
      <c r="G36" s="2"/>
      <c r="H36" s="2"/>
      <c r="I36" s="2"/>
      <c r="J36" s="2"/>
      <c r="K36" s="37"/>
      <c r="O36" s="2"/>
    </row>
    <row r="37" spans="2:15" x14ac:dyDescent="0.2">
      <c r="C37" s="2"/>
      <c r="D37" s="2"/>
      <c r="E37" s="2"/>
      <c r="F37" s="2"/>
      <c r="I37" s="2"/>
      <c r="J37" s="2"/>
      <c r="K37" s="37"/>
      <c r="O37" s="2"/>
    </row>
    <row r="38" spans="2:15" ht="15" x14ac:dyDescent="0.35">
      <c r="B38" s="144" t="s">
        <v>34</v>
      </c>
      <c r="C38" s="144"/>
      <c r="D38" s="2"/>
      <c r="E38" s="2"/>
      <c r="F38" s="2"/>
      <c r="G38" s="2"/>
      <c r="I38" s="2"/>
      <c r="J38" s="2"/>
      <c r="K38" s="37"/>
      <c r="O38" s="2"/>
    </row>
    <row r="39" spans="2:15" x14ac:dyDescent="0.2">
      <c r="B39" s="38" t="s">
        <v>35</v>
      </c>
      <c r="C39" s="33"/>
      <c r="D39" s="2"/>
      <c r="E39" s="2"/>
      <c r="F39" s="2"/>
      <c r="I39" s="2"/>
      <c r="J39" s="2"/>
      <c r="K39" s="37"/>
      <c r="O39" s="2"/>
    </row>
    <row r="40" spans="2:15" ht="12" customHeight="1" x14ac:dyDescent="0.2">
      <c r="B40" s="39" t="s">
        <v>42</v>
      </c>
      <c r="C40" s="33"/>
      <c r="D40" s="2"/>
      <c r="E40" s="2"/>
      <c r="F40" s="2"/>
      <c r="I40" s="2"/>
      <c r="J40" s="2"/>
      <c r="K40" s="37"/>
      <c r="O40" s="2"/>
    </row>
    <row r="41" spans="2:15" x14ac:dyDescent="0.2">
      <c r="B41" s="39" t="s">
        <v>36</v>
      </c>
      <c r="C41" s="33"/>
      <c r="D41" s="2"/>
      <c r="E41" s="2"/>
      <c r="F41" s="2"/>
      <c r="I41" s="2"/>
      <c r="J41" s="2"/>
      <c r="K41" s="37"/>
      <c r="O41" s="2"/>
    </row>
    <row r="42" spans="2:15" ht="12.75" customHeight="1" x14ac:dyDescent="0.2">
      <c r="B42" s="39" t="s">
        <v>37</v>
      </c>
      <c r="C42" s="78" t="s">
        <v>71</v>
      </c>
      <c r="D42" s="2"/>
      <c r="E42" s="2"/>
      <c r="F42" s="2"/>
      <c r="I42" s="2"/>
      <c r="J42" s="2"/>
      <c r="K42" s="37"/>
      <c r="O42" s="2"/>
    </row>
    <row r="43" spans="2:15" x14ac:dyDescent="0.2">
      <c r="B43" s="39" t="s">
        <v>61</v>
      </c>
      <c r="C43" s="34"/>
      <c r="D43" s="2"/>
      <c r="E43" s="2"/>
      <c r="F43" s="2"/>
      <c r="I43" s="2"/>
      <c r="J43" s="2"/>
      <c r="K43" s="37"/>
      <c r="O43" s="2"/>
    </row>
    <row r="44" spans="2:15" x14ac:dyDescent="0.2">
      <c r="B44" s="38" t="s">
        <v>62</v>
      </c>
      <c r="C44" s="33"/>
      <c r="D44" s="2"/>
      <c r="E44" s="2"/>
      <c r="F44" s="2"/>
      <c r="I44" s="2"/>
      <c r="J44" s="2"/>
      <c r="K44" s="37"/>
      <c r="L44" s="37"/>
      <c r="O44" s="2"/>
    </row>
    <row r="45" spans="2:15" x14ac:dyDescent="0.2">
      <c r="B45" s="38" t="s">
        <v>63</v>
      </c>
      <c r="C45" s="33"/>
    </row>
    <row r="46" spans="2:15" x14ac:dyDescent="0.2">
      <c r="B46" s="38" t="s">
        <v>70</v>
      </c>
      <c r="C46" s="33"/>
    </row>
  </sheetData>
  <mergeCells count="1">
    <mergeCell ref="B38:C38"/>
  </mergeCells>
  <pageMargins left="0.75" right="0.5" top="0.5" bottom="0.5" header="0.5" footer="0.5"/>
  <pageSetup paperSize="5" scale="75" orientation="landscape" cellComments="asDisplayed" r:id="rId1"/>
  <headerFooter alignWithMargins="0"/>
  <ignoredErrors>
    <ignoredError sqref="I31:N31 C31" formulaRange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zoomScaleNormal="100" workbookViewId="0">
      <selection activeCell="A34" sqref="A34"/>
    </sheetView>
  </sheetViews>
  <sheetFormatPr defaultRowHeight="12.75" x14ac:dyDescent="0.2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3.5703125" customWidth="1"/>
    <col min="11" max="12" width="12" customWidth="1"/>
    <col min="13" max="13" width="12.85546875" customWidth="1"/>
    <col min="14" max="14" width="12.28515625" customWidth="1"/>
    <col min="15" max="15" width="2.28515625" customWidth="1"/>
    <col min="16" max="16" width="11.85546875" bestFit="1" customWidth="1"/>
    <col min="17" max="17" width="11.28515625" bestFit="1" customWidth="1"/>
  </cols>
  <sheetData>
    <row r="1" spans="1:7" ht="15.75" x14ac:dyDescent="0.25">
      <c r="C1" s="29" t="s">
        <v>56</v>
      </c>
      <c r="D1" s="29"/>
    </row>
    <row r="2" spans="1:7" ht="15.75" x14ac:dyDescent="0.25">
      <c r="C2" s="29" t="s">
        <v>57</v>
      </c>
      <c r="D2" s="29"/>
      <c r="E2" s="30">
        <v>40186</v>
      </c>
    </row>
    <row r="4" spans="1:7" ht="18" x14ac:dyDescent="0.25">
      <c r="A4" s="1" t="s">
        <v>54</v>
      </c>
      <c r="D4" s="28"/>
      <c r="G4" s="12" t="s">
        <v>41</v>
      </c>
    </row>
    <row r="6" spans="1:7" x14ac:dyDescent="0.2">
      <c r="A6" t="s">
        <v>28</v>
      </c>
    </row>
    <row r="7" spans="1:7" x14ac:dyDescent="0.2">
      <c r="A7" t="s">
        <v>0</v>
      </c>
    </row>
    <row r="9" spans="1:7" x14ac:dyDescent="0.2">
      <c r="A9" t="s">
        <v>1</v>
      </c>
    </row>
    <row r="10" spans="1:7" x14ac:dyDescent="0.2">
      <c r="A10" t="s">
        <v>2</v>
      </c>
    </row>
    <row r="11" spans="1:7" x14ac:dyDescent="0.2">
      <c r="A11" t="s">
        <v>3</v>
      </c>
    </row>
    <row r="12" spans="1:7" x14ac:dyDescent="0.2">
      <c r="A12" t="s">
        <v>4</v>
      </c>
    </row>
    <row r="13" spans="1:7" x14ac:dyDescent="0.2">
      <c r="A13" t="s">
        <v>5</v>
      </c>
    </row>
    <row r="14" spans="1:7" x14ac:dyDescent="0.2">
      <c r="A14" t="s">
        <v>6</v>
      </c>
    </row>
    <row r="16" spans="1:7" x14ac:dyDescent="0.2">
      <c r="A16" t="s">
        <v>7</v>
      </c>
    </row>
    <row r="18" spans="1:17" x14ac:dyDescent="0.2">
      <c r="A18" s="21" t="s">
        <v>45</v>
      </c>
      <c r="D18" t="s">
        <v>10</v>
      </c>
      <c r="F18" s="2">
        <v>66666.67</v>
      </c>
      <c r="G18" s="2"/>
    </row>
    <row r="19" spans="1:17" x14ac:dyDescent="0.2">
      <c r="A19" s="21" t="s">
        <v>46</v>
      </c>
      <c r="D19" t="s">
        <v>11</v>
      </c>
      <c r="F19" s="2"/>
      <c r="G19" s="2">
        <f>-F18</f>
        <v>-66666.67</v>
      </c>
    </row>
    <row r="20" spans="1:17" x14ac:dyDescent="0.2">
      <c r="E20" s="2"/>
      <c r="F20" s="2"/>
      <c r="G20" s="2"/>
    </row>
    <row r="21" spans="1:17" x14ac:dyDescent="0.2">
      <c r="A21" t="s">
        <v>12</v>
      </c>
      <c r="E21" s="2"/>
      <c r="F21" s="2"/>
      <c r="G21" s="2"/>
    </row>
    <row r="22" spans="1:17" x14ac:dyDescent="0.2">
      <c r="A22" t="s">
        <v>13</v>
      </c>
    </row>
    <row r="24" spans="1:17" x14ac:dyDescent="0.2">
      <c r="C24" s="10">
        <v>39814</v>
      </c>
      <c r="D24" s="10">
        <v>39845</v>
      </c>
      <c r="E24" s="10">
        <v>39873</v>
      </c>
      <c r="F24" s="10">
        <v>39904</v>
      </c>
      <c r="G24" s="10">
        <v>39934</v>
      </c>
      <c r="H24" s="10">
        <v>39965</v>
      </c>
      <c r="I24" s="10">
        <v>39995</v>
      </c>
      <c r="J24" s="10">
        <v>40026</v>
      </c>
      <c r="K24" s="10">
        <v>40057</v>
      </c>
      <c r="L24" s="10">
        <v>40087</v>
      </c>
      <c r="M24" s="10">
        <v>40118</v>
      </c>
      <c r="N24" s="10">
        <v>40148</v>
      </c>
      <c r="O24" s="98"/>
    </row>
    <row r="25" spans="1:17" x14ac:dyDescent="0.2">
      <c r="A25" t="s">
        <v>23</v>
      </c>
      <c r="B25" s="20"/>
      <c r="C25" s="2">
        <v>-252518.75</v>
      </c>
      <c r="D25" s="2">
        <f t="shared" ref="D25:N25" si="0">C35</f>
        <v>-247908.56999999998</v>
      </c>
      <c r="E25" s="2">
        <f t="shared" si="0"/>
        <v>-236483.16999999998</v>
      </c>
      <c r="F25" s="2">
        <f t="shared" si="0"/>
        <v>-156227.4</v>
      </c>
      <c r="G25" s="2">
        <f t="shared" si="0"/>
        <v>-143612.30000000002</v>
      </c>
      <c r="H25" s="2">
        <f t="shared" si="0"/>
        <v>-180957.34000000005</v>
      </c>
      <c r="I25" s="2">
        <f t="shared" si="0"/>
        <v>-181332.13000000006</v>
      </c>
      <c r="J25" s="2">
        <f t="shared" si="0"/>
        <v>-305220.63000000006</v>
      </c>
      <c r="K25" s="2">
        <f t="shared" si="0"/>
        <v>-330661.10000000003</v>
      </c>
      <c r="L25" s="2">
        <f t="shared" si="0"/>
        <v>-353909.73</v>
      </c>
      <c r="M25" s="2">
        <f t="shared" si="0"/>
        <v>-388018.61</v>
      </c>
      <c r="N25" s="2">
        <f t="shared" si="0"/>
        <v>-367767.54999999993</v>
      </c>
      <c r="O25" s="2"/>
      <c r="P25" s="2"/>
    </row>
    <row r="26" spans="1:17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5.5" x14ac:dyDescent="0.2">
      <c r="A27" s="6" t="s">
        <v>24</v>
      </c>
      <c r="C27" s="2">
        <v>-66666.67</v>
      </c>
      <c r="D27" s="2">
        <v>-66666.67</v>
      </c>
      <c r="E27" s="2">
        <v>-66666.67</v>
      </c>
      <c r="F27" s="2">
        <v>-66666.67</v>
      </c>
      <c r="G27" s="2">
        <v>-66666.67</v>
      </c>
      <c r="H27" s="2">
        <v>-66666.67</v>
      </c>
      <c r="I27" s="2">
        <f>-66666.67-95854.34</f>
        <v>-162521.01</v>
      </c>
      <c r="J27" s="2">
        <v>-66666.67</v>
      </c>
      <c r="K27" s="2">
        <v>-66666.67</v>
      </c>
      <c r="L27" s="2">
        <v>-66666.67</v>
      </c>
      <c r="M27" s="2">
        <v>-66666.67</v>
      </c>
      <c r="N27" s="2">
        <v>-66666.63</v>
      </c>
      <c r="O27" s="2"/>
      <c r="P27" s="2">
        <f>SUM(C27:N27)</f>
        <v>-895854.3400000002</v>
      </c>
      <c r="Q27" s="2"/>
    </row>
    <row r="28" spans="1:17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 x14ac:dyDescent="0.2">
      <c r="A29" t="s">
        <v>25</v>
      </c>
      <c r="C29" s="2">
        <v>13333.33</v>
      </c>
      <c r="D29" s="2">
        <v>13333.33</v>
      </c>
      <c r="E29" s="2">
        <v>15297.47</v>
      </c>
      <c r="F29" s="8">
        <v>13333.33</v>
      </c>
      <c r="G29" s="8">
        <v>13333.33</v>
      </c>
      <c r="H29" s="2">
        <v>13333.33</v>
      </c>
      <c r="I29" s="2">
        <v>13333.33</v>
      </c>
      <c r="J29" s="2">
        <v>32504.2</v>
      </c>
      <c r="K29" s="2">
        <v>13333.33</v>
      </c>
      <c r="L29" s="2">
        <v>12351.26</v>
      </c>
      <c r="M29" s="2">
        <v>13333.33</v>
      </c>
      <c r="N29" s="2">
        <v>13333.33</v>
      </c>
      <c r="O29" s="2"/>
      <c r="P29" s="2">
        <f>SUM(C29:N29)</f>
        <v>180152.89999999997</v>
      </c>
    </row>
    <row r="30" spans="1:17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7" ht="38.25" x14ac:dyDescent="0.2">
      <c r="A31" s="6" t="s">
        <v>26</v>
      </c>
      <c r="C31" s="2">
        <v>57943.519999999997</v>
      </c>
      <c r="D31" s="2">
        <v>64758.74</v>
      </c>
      <c r="E31" s="2">
        <v>131624.97</v>
      </c>
      <c r="F31" s="2">
        <v>65948.44</v>
      </c>
      <c r="G31" s="8">
        <v>15988.3</v>
      </c>
      <c r="H31" s="2">
        <v>53156.1</v>
      </c>
      <c r="I31" s="2">
        <v>25299.18</v>
      </c>
      <c r="J31" s="2">
        <v>8722</v>
      </c>
      <c r="K31" s="2">
        <v>30084.71</v>
      </c>
      <c r="L31" s="2">
        <f>20712.93-506.4</f>
        <v>20206.53</v>
      </c>
      <c r="M31" s="2">
        <v>73584.399999999994</v>
      </c>
      <c r="N31" s="2">
        <v>118249.08</v>
      </c>
      <c r="O31" s="2"/>
      <c r="P31" s="2">
        <f>SUM(C31:N31)</f>
        <v>665565.97</v>
      </c>
    </row>
    <row r="32" spans="1:17" x14ac:dyDescent="0.2">
      <c r="A32" s="6"/>
      <c r="C32" s="2"/>
      <c r="D32" s="2"/>
      <c r="E32" s="2"/>
      <c r="F32" s="2"/>
      <c r="G32" s="8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6" t="s">
        <v>55</v>
      </c>
      <c r="C33" s="2"/>
      <c r="D33" s="2"/>
      <c r="E33" s="2"/>
      <c r="F33" s="2"/>
      <c r="G33" s="8"/>
      <c r="H33" s="2">
        <v>-197.55</v>
      </c>
      <c r="I33" s="2"/>
      <c r="J33" s="2"/>
      <c r="K33" s="2"/>
      <c r="L33" s="2"/>
      <c r="M33" s="2"/>
      <c r="N33" s="2"/>
      <c r="O33" s="2"/>
      <c r="P33" s="2">
        <f>SUM(C33:N33)</f>
        <v>-197.55</v>
      </c>
    </row>
    <row r="34" spans="1:16" x14ac:dyDescent="0.2">
      <c r="A34" s="6"/>
      <c r="C34" s="2"/>
      <c r="D34" s="2"/>
      <c r="E34" s="2"/>
      <c r="F34" s="2"/>
      <c r="G34" s="8"/>
      <c r="H34" s="2"/>
      <c r="I34" s="2"/>
      <c r="J34" s="2"/>
      <c r="K34" s="2"/>
      <c r="L34" s="2"/>
      <c r="M34" s="2"/>
      <c r="N34" s="2"/>
      <c r="O34" s="2"/>
      <c r="P34" s="2"/>
    </row>
    <row r="35" spans="1:16" ht="13.5" thickBot="1" x14ac:dyDescent="0.25">
      <c r="A35" t="s">
        <v>27</v>
      </c>
      <c r="C35" s="7">
        <f t="shared" ref="C35:P35" si="1">SUM(C25:C34)</f>
        <v>-247908.56999999998</v>
      </c>
      <c r="D35" s="7">
        <f t="shared" si="1"/>
        <v>-236483.16999999998</v>
      </c>
      <c r="E35" s="7">
        <f t="shared" si="1"/>
        <v>-156227.4</v>
      </c>
      <c r="F35" s="7">
        <f t="shared" si="1"/>
        <v>-143612.30000000002</v>
      </c>
      <c r="G35" s="7">
        <f t="shared" si="1"/>
        <v>-180957.34000000005</v>
      </c>
      <c r="H35" s="7">
        <f t="shared" si="1"/>
        <v>-181332.13000000006</v>
      </c>
      <c r="I35" s="7">
        <f t="shared" si="1"/>
        <v>-305220.63000000006</v>
      </c>
      <c r="J35" s="7">
        <f t="shared" si="1"/>
        <v>-330661.10000000003</v>
      </c>
      <c r="K35" s="7">
        <f t="shared" si="1"/>
        <v>-353909.73</v>
      </c>
      <c r="L35" s="7">
        <f t="shared" si="1"/>
        <v>-388018.61</v>
      </c>
      <c r="M35" s="7">
        <f t="shared" si="1"/>
        <v>-367767.54999999993</v>
      </c>
      <c r="N35" s="7">
        <f t="shared" si="1"/>
        <v>-302851.7699999999</v>
      </c>
      <c r="O35" s="37"/>
      <c r="P35" s="7">
        <f t="shared" si="1"/>
        <v>-50333.020000000208</v>
      </c>
    </row>
    <row r="36" spans="1:16" ht="13.5" thickTop="1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">
      <c r="A39" t="str">
        <f ca="1">CELL("filename")</f>
        <v>http://apps.utc.wa.gov/apps/rsc/EFilingDocuments/[NEW CNGC Advice No. W17-09-04, Attch A, 9.29.17.xlsx]WA 2016-Post Revision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" x14ac:dyDescent="0.35">
      <c r="C41" s="2"/>
      <c r="D41" s="2"/>
      <c r="E41" s="2"/>
      <c r="F41" s="2"/>
      <c r="G41" s="13" t="s">
        <v>34</v>
      </c>
      <c r="H41" s="14"/>
      <c r="I41" s="2"/>
      <c r="J41" s="2"/>
      <c r="K41" s="2"/>
      <c r="L41" s="2"/>
      <c r="M41" s="2"/>
      <c r="N41" s="2"/>
      <c r="O41" s="2"/>
      <c r="P41" s="2"/>
    </row>
    <row r="42" spans="1:16" x14ac:dyDescent="0.2">
      <c r="C42" s="2"/>
      <c r="D42" s="2"/>
      <c r="E42" s="2"/>
      <c r="F42" s="2"/>
      <c r="G42" s="15" t="s">
        <v>35</v>
      </c>
      <c r="H42" s="16"/>
      <c r="I42" s="2"/>
      <c r="J42" s="2"/>
      <c r="K42" s="2"/>
      <c r="L42" s="2"/>
      <c r="M42" s="2"/>
      <c r="N42" s="2"/>
      <c r="O42" s="2"/>
      <c r="P42" s="2"/>
    </row>
    <row r="43" spans="1:16" x14ac:dyDescent="0.2">
      <c r="C43" s="2"/>
      <c r="D43" s="2"/>
      <c r="E43" s="2"/>
      <c r="F43" s="2"/>
      <c r="G43" s="15" t="s">
        <v>42</v>
      </c>
      <c r="H43" s="17" t="s">
        <v>44</v>
      </c>
      <c r="I43" s="2"/>
      <c r="J43" s="2"/>
      <c r="K43" s="2"/>
      <c r="L43" s="2"/>
      <c r="M43" s="2"/>
      <c r="N43" s="2"/>
      <c r="O43" s="2"/>
      <c r="P43" s="2"/>
    </row>
    <row r="44" spans="1:16" x14ac:dyDescent="0.2">
      <c r="C44" s="2"/>
      <c r="D44" s="2"/>
      <c r="E44" s="2"/>
      <c r="F44" s="2"/>
      <c r="G44" s="15" t="s">
        <v>36</v>
      </c>
      <c r="H44" s="17" t="s">
        <v>43</v>
      </c>
      <c r="I44" s="2"/>
      <c r="J44" s="2"/>
      <c r="K44" s="2"/>
      <c r="L44" s="2"/>
      <c r="M44" s="2"/>
      <c r="N44" s="2"/>
      <c r="O44" s="2"/>
      <c r="P44" s="2"/>
    </row>
    <row r="45" spans="1:16" x14ac:dyDescent="0.2">
      <c r="C45" s="2"/>
      <c r="D45" s="2"/>
      <c r="E45" s="2"/>
      <c r="F45" s="2"/>
      <c r="G45" s="15" t="s">
        <v>37</v>
      </c>
      <c r="H45" s="16"/>
      <c r="I45" s="2"/>
      <c r="J45" s="2"/>
      <c r="K45" s="2"/>
      <c r="L45" s="2"/>
      <c r="M45" s="2"/>
      <c r="N45" s="2"/>
      <c r="O45" s="2"/>
      <c r="P45" s="2"/>
    </row>
    <row r="46" spans="1:16" x14ac:dyDescent="0.2">
      <c r="C46" s="2"/>
      <c r="D46" s="2"/>
      <c r="E46" s="2"/>
      <c r="F46" s="2"/>
      <c r="G46" s="18" t="s">
        <v>38</v>
      </c>
      <c r="H46" s="19"/>
      <c r="I46" s="2"/>
      <c r="J46" s="2"/>
      <c r="K46" s="2"/>
      <c r="L46" s="2"/>
      <c r="M46" s="2"/>
      <c r="N46" s="2"/>
      <c r="O46" s="2"/>
      <c r="P46" s="2"/>
    </row>
    <row r="47" spans="1:16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phoneticPr fontId="0" type="noConversion"/>
  <pageMargins left="0.75" right="0.75" top="1" bottom="1" header="0.5" footer="0.5"/>
  <pageSetup paperSize="5" scale="71" orientation="landscape" cellComments="asDisplayed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Date1 xmlns="dc463f71-b30c-4ab2-9473-d307f9d35888">2017-09-29T07:00:00+00:00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171009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9B17989A79D648BA4DD9A2184678AE" ma:contentTypeVersion="104" ma:contentTypeDescription="" ma:contentTypeScope="" ma:versionID="b3fe992283ee79aea1568adfa982f8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AD5AEC-7D44-4DC5-9CC5-79DFA15C3CF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71A36-E85F-4CC6-9467-9FE44A1A27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1325F-DC0F-4DC4-83F4-30FF6D7372E5}"/>
</file>

<file path=customXml/itemProps4.xml><?xml version="1.0" encoding="utf-8"?>
<ds:datastoreItem xmlns:ds="http://schemas.openxmlformats.org/officeDocument/2006/customXml" ds:itemID="{919C6FFE-E217-4E8D-B829-BE318AD9B3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WA 2016-Post Revision</vt:lpstr>
      <vt:lpstr>WA 2016-Pre Revision</vt:lpstr>
      <vt:lpstr>WA 2015</vt:lpstr>
      <vt:lpstr>WA 2014</vt:lpstr>
      <vt:lpstr>WA 2013</vt:lpstr>
      <vt:lpstr>WA 2012</vt:lpstr>
      <vt:lpstr>WA 2011</vt:lpstr>
      <vt:lpstr>WA CY2010</vt:lpstr>
      <vt:lpstr>WA CY2009</vt:lpstr>
      <vt:lpstr>WA CY2008</vt:lpstr>
      <vt:lpstr>WA FY2007</vt:lpstr>
      <vt:lpstr>PUT CR Appl</vt:lpstr>
    </vt:vector>
  </TitlesOfParts>
  <Company>Cascade Natural Gas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Alesa Cullens</dc:creator>
  <cp:lastModifiedBy>Huey, Lorilyn (UTC)</cp:lastModifiedBy>
  <cp:lastPrinted>2016-08-31T18:49:17Z</cp:lastPrinted>
  <dcterms:created xsi:type="dcterms:W3CDTF">2007-05-02T20:31:44Z</dcterms:created>
  <dcterms:modified xsi:type="dcterms:W3CDTF">2017-09-29T16:07:40Z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0x0101006E56B4D1795A2E4DB2F0B01679ED314A00769B17989A79D648BA4DD9A2184678AE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