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9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0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firstSheet="1" activeTab="3"/>
  </bookViews>
  <sheets>
    <sheet name="Natural Gas Deferral" sheetId="1" r:id="rId1"/>
    <sheet name="UG-150205 Attachment 5, Page 1" sheetId="5" r:id="rId2"/>
    <sheet name="UG-150205 Attachment 5, Page 2" sheetId="6" r:id="rId3"/>
    <sheet name="UG-150205 Attachment 5, Page 3" sheetId="7" r:id="rId4"/>
    <sheet name="UG-140189 Appendix 5, Page 1" sheetId="2" r:id="rId5"/>
    <sheet name="UG-140189 Appendix 5, Page 2" sheetId="3" r:id="rId6"/>
    <sheet name="UG-140189 Appendix 5, Page 3" sheetId="4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six6" hidden="1">{#N/A,#N/A,FALSE,"CRPT";#N/A,#N/A,FALSE,"TREND";#N/A,#N/A,FALSE,"%Curve"}</definedName>
    <definedName name="_________www1" hidden="1">{#N/A,#N/A,FALSE,"schA"}</definedName>
    <definedName name="________six6" hidden="1">{#N/A,#N/A,FALSE,"CRPT";#N/A,#N/A,FALSE,"TREND";#N/A,#N/A,FALSE,"%Curve"}</definedName>
    <definedName name="________www1" hidden="1">{#N/A,#N/A,FALSE,"schA"}</definedName>
    <definedName name="_______six6" hidden="1">{#N/A,#N/A,FALSE,"CRPT";#N/A,#N/A,FALSE,"TREND";#N/A,#N/A,FALSE,"%Curve"}</definedName>
    <definedName name="_______www1" hidden="1">{#N/A,#N/A,FALSE,"schA"}</definedName>
    <definedName name="______six6" hidden="1">{#N/A,#N/A,FALSE,"CRPT";#N/A,#N/A,FALSE,"TREND";#N/A,#N/A,FALSE,"%Curve"}</definedName>
    <definedName name="______www1" hidden="1">{#N/A,#N/A,FALSE,"schA"}</definedName>
    <definedName name="_____six6" hidden="1">{#N/A,#N/A,FALSE,"CRPT";#N/A,#N/A,FALSE,"TREND";#N/A,#N/A,FALSE,"%Curve"}</definedName>
    <definedName name="_____www1" hidden="1">{#N/A,#N/A,FALSE,"schA"}</definedName>
    <definedName name="____six6" hidden="1">{#N/A,#N/A,FALSE,"CRPT";#N/A,#N/A,FALSE,"TREND";#N/A,#N/A,FALSE,"%Curve"}</definedName>
    <definedName name="____www1" hidden="1">{#N/A,#N/A,FALSE,"schA"}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Dec03">[2]BS!$T$7:$T$3582</definedName>
    <definedName name="__Dec04">[3]BS!$AC$7:$AC$3580</definedName>
    <definedName name="__Feb04">[4]BS!#REF!</definedName>
    <definedName name="__Jan04">[4]BS!#REF!</definedName>
    <definedName name="__Jul04">[3]BS!$X$7:$X$3582</definedName>
    <definedName name="__Jun04">[3]BS!$W$7:$W$3582</definedName>
    <definedName name="__Mar04">[4]BS!#REF!</definedName>
    <definedName name="__May04">[3]BS!$V$7:$V$3582</definedName>
    <definedName name="__Nov03">[2]BS!$S$7:$S$3582</definedName>
    <definedName name="__Nov04">[3]BS!$AB$7:$AB$3582</definedName>
    <definedName name="__Oct03">[2]BS!$R$7:$R$3582</definedName>
    <definedName name="__Oct04">[3]BS!$AA$7:$AA$3582</definedName>
    <definedName name="__Sep03">[2]BS!$Q$7:$Q$3582</definedName>
    <definedName name="__Sep04">[3]BS!$Z$7:$Z$3582</definedName>
    <definedName name="__six6" hidden="1">{#N/A,#N/A,FALSE,"CRPT";#N/A,#N/A,FALSE,"TREND";#N/A,#N/A,FALSE,"%Curve"}</definedName>
    <definedName name="__www1" hidden="1">{#N/A,#N/A,FALSE,"schA"}</definedName>
    <definedName name="_1_94_12_94">[5]DT_A_DOL93!#REF!</definedName>
    <definedName name="_1_95_12_95">[5]DT_A_DOL93!#REF!</definedName>
    <definedName name="_1_96_12_96">[5]DT_A_DOL93!#REF!</definedName>
    <definedName name="_1_97_12_97">[5]DT_A_DOL93!#REF!</definedName>
    <definedName name="_1_98_12_98">[5]DT_A_DOL93!#REF!</definedName>
    <definedName name="_Apr04">[3]BS!$U$7:$U$3582</definedName>
    <definedName name="_Apr05">[6]BS!#REF!</definedName>
    <definedName name="_Aug04">[3]BS!$Y$7:$Y$3582</definedName>
    <definedName name="_Aug05">[6]BS!#REF!</definedName>
    <definedName name="_Dec03">[2]BS!$T$7:$T$3582</definedName>
    <definedName name="_Dec04">[3]BS!$AC$7:$AC$3580</definedName>
    <definedName name="_End">[6]BS!#REF!</definedName>
    <definedName name="_ex1" hidden="1">{#N/A,#N/A,FALSE,"Summ";#N/A,#N/A,FALSE,"General"}</definedName>
    <definedName name="_Feb04">[3]BS!$S$7:$S$3582</definedName>
    <definedName name="_Feb05">[6]BS!#REF!</definedName>
    <definedName name="_Fill">[7]model!#REF!</definedName>
    <definedName name="_Jan04">[3]BS!$R$7:$R$3582</definedName>
    <definedName name="_Jan05">[6]BS!#REF!</definedName>
    <definedName name="_Jul04">[3]BS!$X$7:$X$3582</definedName>
    <definedName name="_Jul05">[6]BS!#REF!</definedName>
    <definedName name="_Jun04">[3]BS!$W$7:$W$3582</definedName>
    <definedName name="_Jun05">[6]BS!#REF!</definedName>
    <definedName name="_Key1" hidden="1">#REF!</definedName>
    <definedName name="_Key2" hidden="1">#REF!</definedName>
    <definedName name="_Mar04">[3]BS!$T$7:$T$3582</definedName>
    <definedName name="_Mar05">[6]BS!#REF!</definedName>
    <definedName name="_May04">[3]BS!$V$7:$V$3582</definedName>
    <definedName name="_May05">[6]BS!#REF!</definedName>
    <definedName name="_new1" hidden="1">{#N/A,#N/A,FALSE,"Summ";#N/A,#N/A,FALSE,"General"}</definedName>
    <definedName name="_Nov03">[2]BS!$S$7:$S$3582</definedName>
    <definedName name="_Nov04">[3]BS!$AB$7:$AB$3582</definedName>
    <definedName name="_Oct03">[2]BS!$R$7:$R$3582</definedName>
    <definedName name="_Oct04">[3]BS!$AA$7:$AA$3582</definedName>
    <definedName name="_Order1" hidden="1">255</definedName>
    <definedName name="_Order2" hidden="1">255</definedName>
    <definedName name="_Regression_Int" hidden="1">1</definedName>
    <definedName name="_Sep03">[2]BS!$Q$7:$Q$3582</definedName>
    <definedName name="_Sep04">[3]BS!$Z$7:$Z$3582</definedName>
    <definedName name="_Sep05">[6]BS!#REF!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 hidden="1">"I:\COMTREL\FINICLE\TradeSummary.mdb"</definedName>
    <definedName name="Acq1Plant">'[8]Acquisition Inputs'!$C$8</definedName>
    <definedName name="Acq2Plant">'[8]Acquisition Inputs'!$C$70</definedName>
    <definedName name="apeek">#REF!</definedName>
    <definedName name="Apr03AMA">[4]BS!#REF!</definedName>
    <definedName name="Apr04AMA">[3]BS!$AG$7:$AG$3582</definedName>
    <definedName name="Apr05AMA">[6]BS!#REF!</definedName>
    <definedName name="AS2DocOpenMode" hidden="1">"AS2DocumentEdit"</definedName>
    <definedName name="Aug03AMA">[4]BS!#REF!</definedName>
    <definedName name="Aug04AMA">[3]BS!$AK$7:$AK$3582</definedName>
    <definedName name="Aug05AMA">[6]BS!#REF!</definedName>
    <definedName name="Aurora_Prices">"Monthly Price Summary'!$C$4:$H$63"</definedName>
    <definedName name="b" hidden="1">{#N/A,#N/A,FALSE,"Coversheet";#N/A,#N/A,FALSE,"QA"}</definedName>
    <definedName name="BADDEBT">[7]model!#REF!</definedName>
    <definedName name="Base1_Billing2">'[9]2013'!$N$8</definedName>
    <definedName name="BD">[10]model!#REF!</definedName>
    <definedName name="BEP">[7]model!#REF!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ottomRight">#REF!</definedName>
    <definedName name="Capacity">#REF!</definedName>
    <definedName name="CaseDescription">'[8]Dispatch Cases'!$C$11</definedName>
    <definedName name="CBWorkbookPriority" hidden="1">-2060790043</definedName>
    <definedName name="CCGT_HeatRate">[8]Assumptions!$H$23</definedName>
    <definedName name="CCGTPrice">[8]Assumptions!$H$22</definedName>
    <definedName name="CL_RT">#REF!</definedName>
    <definedName name="CL_RT2">'[11]Transp Data'!$A$6:$C$81</definedName>
    <definedName name="COLHOUSE">[7]model!#REF!</definedName>
    <definedName name="COLXFER">[7]model!#REF!</definedName>
    <definedName name="CombWC_LineItem">[6]BS!#REF!</definedName>
    <definedName name="COMMON_ADMIN_ALLOCATED">#REF!</definedName>
    <definedName name="COMPINSR">#REF!</definedName>
    <definedName name="CONSERV">#REF!</definedName>
    <definedName name="Consv_Rdr_Rt">[12]Sch_120!#REF!</definedName>
    <definedName name="ContractDate">'[13]Dispatch Cases'!#REF!</definedName>
    <definedName name="Conv_Factor">[12]Sch_120!#REF!</definedName>
    <definedName name="ConversionFactor">[8]Assumptions!$I$65</definedName>
    <definedName name="CONVFACT">#REF!</definedName>
    <definedName name="CurrQtr">'[14]Inc Stmt'!$AJ$222</definedName>
    <definedName name="cust">#REF!</definedName>
    <definedName name="CUSTDEP">#REF!</definedName>
    <definedName name="Data">#REF!</definedName>
    <definedName name="Data.Avg">'[14]Avg Amts'!$A$5:$BP$34</definedName>
    <definedName name="Data.Qtrs.Avg">'[14]Avg Amts'!$A$5:$IV$5</definedName>
    <definedName name="DebtPerc">[8]Assumptions!$I$58</definedName>
    <definedName name="Dec02AMA">[4]BS!#REF!</definedName>
    <definedName name="Dec03AMA">[2]BS!$AJ$7:$AJ$3582</definedName>
    <definedName name="Dec04AMA">[3]BS!$AO$7:$AO$3582</definedName>
    <definedName name="Degree_Days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EPRECIATION">#REF!</definedName>
    <definedName name="DF_HeatRate">[8]Assumptions!$L$23</definedName>
    <definedName name="DFIT" hidden="1">{#N/A,#N/A,FALSE,"Coversheet";#N/A,#N/A,FALSE,"QA"}</definedName>
    <definedName name="Disc">'[13]Debt Amortization'!#REF!</definedName>
    <definedName name="DOCKET">#REF!</definedName>
    <definedName name="ee" hidden="1">{#N/A,#N/A,FALSE,"Month ";#N/A,#N/A,FALSE,"YTD";#N/A,#N/A,FALSE,"12 mo ended"}</definedName>
    <definedName name="Electp1">#REF!</definedName>
    <definedName name="Electp2">#REF!</definedName>
    <definedName name="Electric_Prices">'[15]Monthly Price Summary'!$B$4:$E$27</definedName>
    <definedName name="ElecWC_LineItems">[6]BS!#REF!</definedName>
    <definedName name="ElRBLine">[3]BS!$AQ$7:$AQ$3303</definedName>
    <definedName name="EMPLBENE">#REF!</definedName>
    <definedName name="EndDate">[8]Assumptions!$C$11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FACTORS">#REF!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eb03AMA">[4]BS!#REF!</definedName>
    <definedName name="Feb04AMA">[3]BS!$AE$7:$AE$3582</definedName>
    <definedName name="Feb05AMA">[6]BS!#REF!</definedName>
    <definedName name="Fed_Cap_Tax">[16]Inputs!$E$112</definedName>
    <definedName name="FEDERAL_INCOME_TAX">#REF!</definedName>
    <definedName name="FedTaxRate">[8]Assumptions!$C$33</definedName>
    <definedName name="FF">#REF!</definedName>
    <definedName name="ffff" hidden="1">{#N/A,#N/A,FALSE,"Coversheet";#N/A,#N/A,FALSE,"QA"}</definedName>
    <definedName name="fffgf" hidden="1">{#N/A,#N/A,FALSE,"Coversheet";#N/A,#N/A,FALSE,"QA"}</definedName>
    <definedName name="FIELDCHRG">#REF!</definedName>
    <definedName name="Final">#REF!</definedName>
    <definedName name="FIT">'[17]2.29'!#REF!</definedName>
    <definedName name="Fuel">#REF!</definedName>
    <definedName name="GasRBLine">[3]BS!$AS$7:$AS$3631</definedName>
    <definedName name="GasWC_LineItem">[3]BS!$AR$7:$AR$3631</definedName>
    <definedName name="GeoDate">'[13]Dispatch Cases'!#REF!</definedName>
    <definedName name="graph">#REF!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HydroCap">#REF!</definedName>
    <definedName name="HydroGen">[13]Dispatch!#REF!</definedName>
    <definedName name="inact">#REF!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STMNT">#REF!</definedName>
    <definedName name="INCSTMT">#REF!</definedName>
    <definedName name="Inputs">'[18]Daily Calc'!#REF!</definedName>
    <definedName name="INTRESEXCH">#REF!</definedName>
    <definedName name="INVPLAN">#REF!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03AMA">[4]BS!#REF!</definedName>
    <definedName name="Jan04AMA">[3]BS!$AD$7:$AD$3582</definedName>
    <definedName name="Jan05AMA">[6]BS!#REF!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Jul03AMA">[4]BS!#REF!</definedName>
    <definedName name="Jul04AMA">[3]BS!$AJ$7:$AJ$3582</definedName>
    <definedName name="Jul05AMA">[6]BS!#REF!</definedName>
    <definedName name="Jun03AMA">[4]BS!#REF!</definedName>
    <definedName name="Jun04AMA">[3]BS!$AI$7:$AI$3582</definedName>
    <definedName name="Jun05AMA">[6]BS!#REF!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TEPAY">#REF!</definedName>
    <definedName name="Line_10">#REF!</definedName>
    <definedName name="Line_11">#REF!</definedName>
    <definedName name="Line_12">#REF!</definedName>
    <definedName name="line_14">#REF!</definedName>
    <definedName name="Line_15">#REF!</definedName>
    <definedName name="Line_19">#REF!</definedName>
    <definedName name="Line_22">#REF!</definedName>
    <definedName name="Line_23">#REF!</definedName>
    <definedName name="Line_25">#REF!</definedName>
    <definedName name="LoadArray">'[19]Load Source Data'!$C$78:$X$89</definedName>
    <definedName name="LoadGrowthAdder">#REF!</definedName>
    <definedName name="lookup" hidden="1">{#N/A,#N/A,FALSE,"Coversheet";#N/A,#N/A,FALSE,"QA"}</definedName>
    <definedName name="Mar03AMA">[4]BS!#REF!</definedName>
    <definedName name="Mar04AMA">[3]BS!$AF$7:$AF$3582</definedName>
    <definedName name="Mar05AMA">[6]BS!#REF!</definedName>
    <definedName name="May03AMA">[4]BS!#REF!</definedName>
    <definedName name="May04AMA">[3]BS!$AH$7:$AH$3582</definedName>
    <definedName name="May05AMA">[6]BS!#REF!</definedName>
    <definedName name="MERGER_COST">[20]Sheet1!$AF$3:$AJ$28</definedName>
    <definedName name="MERGERCOSTS">[21]model!#REF!</definedName>
    <definedName name="Miller" hidden="1">{#N/A,#N/A,FALSE,"Expenditures";#N/A,#N/A,FALSE,"Property Placed In-Service";#N/A,#N/A,FALSE,"CWIP Balances"}</definedName>
    <definedName name="MISCELLANEOUS">#REF!</definedName>
    <definedName name="MonTotalDispatch">[13]Dispatch!#REF!</definedName>
    <definedName name="MT">#REF!</definedName>
    <definedName name="MTD_Format">[22]Mthly!$B$11:$D$11,[22]Mthly!$B$32:$D$32</definedName>
    <definedName name="MustRunGen">[13]Dispatch!#REF!</definedName>
    <definedName name="new" hidden="1">{#N/A,#N/A,FALSE,"Summ";#N/A,#N/A,FALSE,"General"}</definedName>
    <definedName name="Nov03AMA">[2]BS!$AI$7:$AI$3582</definedName>
    <definedName name="Nov04AMA">[3]BS!$AN$7:$AN$3582</definedName>
    <definedName name="NWSales_MWH">[5]DT_A_AMW93!#REF!</definedName>
    <definedName name="OBCLEASE">#REF!</definedName>
    <definedName name="Oct03AMA">[2]BS!$AH$7:$AH$3582</definedName>
    <definedName name="Oct04AMA">[3]BS!$AM$7:$AM$3582</definedName>
    <definedName name="OPEXPPF">#REF!</definedName>
    <definedName name="OPEXPRS">#REF!</definedName>
    <definedName name="outlookdata">'[23]pivoted data'!$D$3:$Q$90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>#REF!</definedName>
    <definedName name="Page2">#REF!</definedName>
    <definedName name="PEBBLE">#REF!</definedName>
    <definedName name="Percent_debt">[16]Inputs!$E$129</definedName>
    <definedName name="PERCENTAGES_CALCULATED">#REF!</definedName>
    <definedName name="PreTaxDebtCost">[8]Assumptions!$I$56</definedName>
    <definedName name="PreTaxWACC">[8]Assumptions!$I$62</definedName>
    <definedName name="PriceCaseTable">#REF!</definedName>
    <definedName name="Prices_Aurora">'[15]Monthly Price Summary'!$C$4:$H$63</definedName>
    <definedName name="_xlnm.Print_Area" localSheetId="4">'UG-140189 Appendix 5, Page 1'!$A$1:$I$29</definedName>
    <definedName name="_xlnm.Print_Area" localSheetId="5">'UG-140189 Appendix 5, Page 2'!$A$1:$E$21</definedName>
    <definedName name="_xlnm.Print_Area" localSheetId="1">'UG-150205 Attachment 5, Page 1'!$A$1:$I$29</definedName>
    <definedName name="_xlnm.Print_Area" localSheetId="2">'UG-150205 Attachment 5, Page 2'!$A$1:$E$17</definedName>
    <definedName name="PRO_FORMA">#REF!</definedName>
    <definedName name="PRODADJ">#REF!</definedName>
    <definedName name="Prodprop">#REF!</definedName>
    <definedName name="Production_Factor">#REF!</definedName>
    <definedName name="PROPSALES">#REF!</definedName>
    <definedName name="Prov_Cap_Tax">[16]Inputs!$E$111</definedName>
    <definedName name="PSPL">#REF!</definedName>
    <definedName name="PWRCSTPF">#REF!</definedName>
    <definedName name="PWRCSTRS">#REF!</definedName>
    <definedName name="PWRCSTWP">#REF!</definedName>
    <definedName name="PWRCSTWR">#REF!</definedName>
    <definedName name="PXPACC1_ALL_MERGE">#REF!</definedName>
    <definedName name="q" hidden="1">{#N/A,#N/A,FALSE,"Coversheet";#N/A,#N/A,FALSE,"QA"}</definedName>
    <definedName name="QA">[24]IPOA2002!#REF!</definedName>
    <definedName name="qqq" hidden="1">{#N/A,#N/A,FALSE,"schA"}</definedName>
    <definedName name="RATE">#REF!</definedName>
    <definedName name="RATE2">'[11]Transp Data'!$A$8:$I$112</definedName>
    <definedName name="RATEBASE">#REF!</definedName>
    <definedName name="RATEBASE_U95">#REF!</definedName>
    <definedName name="RATECASE">#REF!</definedName>
    <definedName name="regasset">#REF!</definedName>
    <definedName name="resource_lookup">'[25]#REF'!$B$3:$C$112</definedName>
    <definedName name="RESTATING">#REF!</definedName>
    <definedName name="Results">#REF!</definedName>
    <definedName name="RETIREPLAN">#REF!</definedName>
    <definedName name="REV">#REF!</definedName>
    <definedName name="REVADJ">#REF!</definedName>
    <definedName name="REVREQ">#REF!</definedName>
    <definedName name="ROE">#REF!</definedName>
    <definedName name="ROR">#REF!</definedName>
    <definedName name="SALESRESALEP">#REF!</definedName>
    <definedName name="SALESRESALER">#REF!</definedName>
    <definedName name="SAPBEXhrIndnt" hidden="1">"Wide"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cSSW_MWH">[5]DT_A_AMW93!#REF!</definedName>
    <definedName name="Sep03AMA">[2]BS!$AG$7:$AG$3582</definedName>
    <definedName name="Sep04AMA">[3]BS!$AL$7:$AL$3582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KAGIT">#REF!</definedName>
    <definedName name="SLFINSURANCE">#REF!</definedName>
    <definedName name="SolarDate">'[13]Dispatch Cases'!#REF!</definedName>
    <definedName name="STAFFREDUC">#REF!</definedName>
    <definedName name="StartDate">[8]Assumptions!$C$9</definedName>
    <definedName name="STORM">#REF!</definedName>
    <definedName name="SUMMARY">#REF!</definedName>
    <definedName name="SWSales_MWH">[5]DT_A_AMW93!#REF!</definedName>
    <definedName name="t" hidden="1">{#N/A,#N/A,FALSE,"CESTSUM";#N/A,#N/A,FALSE,"est sum A";#N/A,#N/A,FALSE,"est detail A"}</definedName>
    <definedName name="TAXCORPLIC">#REF!</definedName>
    <definedName name="TAXENERGYP">#REF!</definedName>
    <definedName name="TAXENERGYR">#REF!</definedName>
    <definedName name="TAXEXCISE">#REF!</definedName>
    <definedName name="TAXFICA">#REF!</definedName>
    <definedName name="TAXFUT">#REF!</definedName>
    <definedName name="TAXINCOME">#REF!</definedName>
    <definedName name="TAXMEDICARE">#REF!</definedName>
    <definedName name="TAXPFINT">#REF!</definedName>
    <definedName name="TAXPROPERTY">#REF!</definedName>
    <definedName name="TAXSUT">#REF!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MPADJ">#REF!</definedName>
    <definedName name="TenaskaShare">[13]Dispatch!#REF!</definedName>
    <definedName name="Test">[6]BS!#REF!</definedName>
    <definedName name="TESTYEAR">#REF!</definedName>
    <definedName name="Therm_upload">#REF!</definedName>
    <definedName name="ThermalBookLife">[8]Assumptions!$C$25</definedName>
    <definedName name="therms">#REF!</definedName>
    <definedName name="THM_ALL_YEARS">#REF!</definedName>
    <definedName name="Title">[8]Assumptions!$A$1</definedName>
    <definedName name="TopLeft">#REF!</definedName>
    <definedName name="tr" hidden="1">{#N/A,#N/A,FALSE,"CESTSUM";#N/A,#N/A,FALSE,"est sum A";#N/A,#N/A,FALSE,"est detail A"}</definedName>
    <definedName name="TRADING_NET">[5]DT_A_DOL93!#REF!</definedName>
    <definedName name="tran_revenue">#REF!</definedName>
    <definedName name="Transfer" hidden="1">#REF!</definedName>
    <definedName name="Transfers" hidden="1">#REF!</definedName>
    <definedName name="u" hidden="1">{#N/A,#N/A,FALSE,"Summ";#N/A,#N/A,FALSE,"General"}</definedName>
    <definedName name="UBakerAvail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COMPARE">#REF!</definedName>
    <definedName name="UNITCOSTS">#REF!</definedName>
    <definedName name="UTG">#REF!</definedName>
    <definedName name="UTN">#REF!</definedName>
    <definedName name="v" hidden="1">{#N/A,#N/A,FALSE,"Coversheet";#N/A,#N/A,FALSE,"QA"}</definedName>
    <definedName name="Value" hidden="1">{#N/A,#N/A,FALSE,"Summ";#N/A,#N/A,FALSE,"General"}</definedName>
    <definedName name="VOMEsc">[8]Assumptions!$C$21</definedName>
    <definedName name="w" hidden="1">{#N/A,#N/A,FALSE,"Schedule F";#N/A,#N/A,FALSE,"Schedule G"}</definedName>
    <definedName name="WACC">[8]Assumptions!$I$61</definedName>
    <definedName name="WAGES">[7]model!#REF!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indDate">'[26]Dispatch Cases'!#REF!</definedName>
    <definedName name="WRKCAP">[7]model!#REF!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s_evaluated">'[27]Revison Inputs'!$B$6</definedName>
    <definedName name="yuf" hidden="1">{#N/A,#N/A,FALSE,"Summ";#N/A,#N/A,FALSE,"General"}</definedName>
    <definedName name="z" hidden="1">{#N/A,#N/A,FALSE,"Coversheet";#N/A,#N/A,FALSE,"QA"}</definedName>
  </definedNames>
  <calcPr calcId="152511" calcMode="manual"/>
</workbook>
</file>

<file path=xl/calcChain.xml><?xml version="1.0" encoding="utf-8"?>
<calcChain xmlns="http://schemas.openxmlformats.org/spreadsheetml/2006/main">
  <c r="O16" i="7" l="1"/>
  <c r="N16" i="7"/>
  <c r="G16" i="7"/>
  <c r="F16" i="7"/>
  <c r="P15" i="7"/>
  <c r="M12" i="7"/>
  <c r="L12" i="7"/>
  <c r="I12" i="7"/>
  <c r="H12" i="7"/>
  <c r="E12" i="7"/>
  <c r="D12" i="7"/>
  <c r="P11" i="7"/>
  <c r="O12" i="7" s="1"/>
  <c r="A11" i="7"/>
  <c r="A12" i="7" s="1"/>
  <c r="A10" i="7"/>
  <c r="A9" i="7"/>
  <c r="A2" i="7"/>
  <c r="C13" i="6"/>
  <c r="D11" i="6"/>
  <c r="D28" i="5"/>
  <c r="D26" i="5"/>
  <c r="E25" i="5"/>
  <c r="D25" i="5"/>
  <c r="F20" i="5"/>
  <c r="E20" i="5"/>
  <c r="D20" i="5"/>
  <c r="L19" i="5"/>
  <c r="L20" i="5" s="1"/>
  <c r="K19" i="5"/>
  <c r="K20" i="5" s="1"/>
  <c r="I18" i="5"/>
  <c r="H18" i="5"/>
  <c r="G18" i="5"/>
  <c r="G19" i="5" s="1"/>
  <c r="F18" i="5"/>
  <c r="E18" i="5"/>
  <c r="G14" i="5"/>
  <c r="G16" i="5" s="1"/>
  <c r="D14" i="5"/>
  <c r="D21" i="6" s="1"/>
  <c r="M13" i="5"/>
  <c r="M14" i="5" s="1"/>
  <c r="M16" i="5" s="1"/>
  <c r="L13" i="5"/>
  <c r="L14" i="5" s="1"/>
  <c r="K13" i="5"/>
  <c r="K12" i="5"/>
  <c r="I12" i="5"/>
  <c r="G12" i="5"/>
  <c r="F12" i="5"/>
  <c r="F14" i="5" s="1"/>
  <c r="E12" i="5"/>
  <c r="M10" i="5"/>
  <c r="G10" i="5"/>
  <c r="D10" i="5"/>
  <c r="D16" i="5" s="1"/>
  <c r="D22" i="5" s="1"/>
  <c r="L9" i="5"/>
  <c r="H9" i="5" s="1"/>
  <c r="K9" i="5"/>
  <c r="G9" i="5"/>
  <c r="L8" i="5"/>
  <c r="K8" i="5"/>
  <c r="H8" i="5" s="1"/>
  <c r="H10" i="5" s="1"/>
  <c r="I8" i="5"/>
  <c r="I10" i="5" s="1"/>
  <c r="G8" i="5"/>
  <c r="F8" i="5"/>
  <c r="E8" i="5"/>
  <c r="D9" i="6" l="1"/>
  <c r="D13" i="6" s="1"/>
  <c r="D32" i="5"/>
  <c r="D33" i="5" s="1"/>
  <c r="E10" i="5"/>
  <c r="C8" i="5"/>
  <c r="E14" i="5"/>
  <c r="E26" i="5"/>
  <c r="H12" i="5"/>
  <c r="C12" i="5" s="1"/>
  <c r="K14" i="5"/>
  <c r="G20" i="5"/>
  <c r="E27" i="5" s="1"/>
  <c r="M19" i="5"/>
  <c r="M20" i="5" s="1"/>
  <c r="M22" i="5" s="1"/>
  <c r="A13" i="7"/>
  <c r="A14" i="7" s="1"/>
  <c r="A15" i="7" s="1"/>
  <c r="A16" i="7" s="1"/>
  <c r="F9" i="5"/>
  <c r="K10" i="5"/>
  <c r="K16" i="5" s="1"/>
  <c r="K22" i="5" s="1"/>
  <c r="C18" i="5"/>
  <c r="D27" i="5"/>
  <c r="M16" i="7"/>
  <c r="I16" i="7"/>
  <c r="E16" i="7"/>
  <c r="L16" i="7"/>
  <c r="H16" i="7"/>
  <c r="D16" i="7"/>
  <c r="J16" i="7"/>
  <c r="L10" i="5"/>
  <c r="L16" i="5" s="1"/>
  <c r="L22" i="5" s="1"/>
  <c r="E11" i="6"/>
  <c r="K16" i="7"/>
  <c r="E28" i="5"/>
  <c r="F12" i="7"/>
  <c r="J12" i="7"/>
  <c r="N12" i="7"/>
  <c r="G12" i="7"/>
  <c r="K12" i="7"/>
  <c r="C42" i="1"/>
  <c r="C40" i="1"/>
  <c r="L37" i="1"/>
  <c r="K37" i="1"/>
  <c r="J37" i="1"/>
  <c r="I37" i="1"/>
  <c r="G37" i="1"/>
  <c r="F37" i="1"/>
  <c r="M36" i="1"/>
  <c r="I36" i="1"/>
  <c r="H36" i="1"/>
  <c r="P35" i="1"/>
  <c r="L35" i="1"/>
  <c r="H35" i="1"/>
  <c r="C35" i="1"/>
  <c r="P34" i="1"/>
  <c r="O34" i="1"/>
  <c r="L34" i="1"/>
  <c r="H34" i="1"/>
  <c r="Q33" i="1"/>
  <c r="Q34" i="1" s="1"/>
  <c r="P33" i="1"/>
  <c r="O33" i="1"/>
  <c r="U33" i="1" s="1"/>
  <c r="U34" i="1" s="1"/>
  <c r="N33" i="1"/>
  <c r="N34" i="1" s="1"/>
  <c r="M33" i="1"/>
  <c r="M34" i="1" s="1"/>
  <c r="L33" i="1"/>
  <c r="K33" i="1"/>
  <c r="K34" i="1" s="1"/>
  <c r="J33" i="1"/>
  <c r="S33" i="1" s="1"/>
  <c r="S34" i="1" s="1"/>
  <c r="I33" i="1"/>
  <c r="I34" i="1" s="1"/>
  <c r="H33" i="1"/>
  <c r="G33" i="1"/>
  <c r="G34" i="1" s="1"/>
  <c r="F33" i="1"/>
  <c r="V33" i="1" s="1"/>
  <c r="V34" i="1" s="1"/>
  <c r="C33" i="1"/>
  <c r="E32" i="1"/>
  <c r="D32" i="1"/>
  <c r="Q28" i="1"/>
  <c r="Q35" i="1" s="1"/>
  <c r="Q36" i="1" s="1"/>
  <c r="P28" i="1"/>
  <c r="O28" i="1"/>
  <c r="O35" i="1" s="1"/>
  <c r="N28" i="1"/>
  <c r="M28" i="1"/>
  <c r="M35" i="1" s="1"/>
  <c r="L28" i="1"/>
  <c r="T28" i="1" s="1"/>
  <c r="K28" i="1"/>
  <c r="K35" i="1" s="1"/>
  <c r="J28" i="1"/>
  <c r="J35" i="1" s="1"/>
  <c r="I28" i="1"/>
  <c r="I35" i="1" s="1"/>
  <c r="H28" i="1"/>
  <c r="G28" i="1"/>
  <c r="G35" i="1" s="1"/>
  <c r="C28" i="1"/>
  <c r="F27" i="1"/>
  <c r="F28" i="1" s="1"/>
  <c r="V26" i="1"/>
  <c r="U26" i="1"/>
  <c r="T26" i="1"/>
  <c r="S26" i="1"/>
  <c r="R26" i="1"/>
  <c r="E26" i="1"/>
  <c r="E28" i="1" s="1"/>
  <c r="D26" i="1"/>
  <c r="D28" i="1" s="1"/>
  <c r="C23" i="1"/>
  <c r="M20" i="1"/>
  <c r="M37" i="1" s="1"/>
  <c r="K20" i="1"/>
  <c r="J20" i="1"/>
  <c r="G20" i="1"/>
  <c r="H20" i="1" s="1"/>
  <c r="H37" i="1" s="1"/>
  <c r="J19" i="1"/>
  <c r="N18" i="1"/>
  <c r="M18" i="1"/>
  <c r="M19" i="1" s="1"/>
  <c r="J18" i="1"/>
  <c r="I18" i="1"/>
  <c r="I19" i="1" s="1"/>
  <c r="Q17" i="1"/>
  <c r="O17" i="1"/>
  <c r="N17" i="1"/>
  <c r="M17" i="1"/>
  <c r="K17" i="1"/>
  <c r="G17" i="1"/>
  <c r="F17" i="1"/>
  <c r="T16" i="1"/>
  <c r="Q16" i="1"/>
  <c r="Q18" i="1" s="1"/>
  <c r="P16" i="1"/>
  <c r="P17" i="1" s="1"/>
  <c r="O16" i="1"/>
  <c r="N16" i="1"/>
  <c r="M16" i="1"/>
  <c r="L16" i="1"/>
  <c r="L17" i="1" s="1"/>
  <c r="K16" i="1"/>
  <c r="J16" i="1"/>
  <c r="J17" i="1" s="1"/>
  <c r="I16" i="1"/>
  <c r="S16" i="1" s="1"/>
  <c r="S17" i="1" s="1"/>
  <c r="H16" i="1"/>
  <c r="H17" i="1" s="1"/>
  <c r="G16" i="1"/>
  <c r="F16" i="1"/>
  <c r="R16" i="1" s="1"/>
  <c r="R17" i="1" s="1"/>
  <c r="C16" i="1"/>
  <c r="E14" i="1"/>
  <c r="E13" i="1"/>
  <c r="Q11" i="1"/>
  <c r="P11" i="1"/>
  <c r="P18" i="1" s="1"/>
  <c r="O11" i="1"/>
  <c r="N11" i="1"/>
  <c r="M11" i="1"/>
  <c r="L11" i="1"/>
  <c r="L18" i="1" s="1"/>
  <c r="K11" i="1"/>
  <c r="K18" i="1" s="1"/>
  <c r="J11" i="1"/>
  <c r="I11" i="1"/>
  <c r="H11" i="1"/>
  <c r="H18" i="1" s="1"/>
  <c r="H19" i="1" s="1"/>
  <c r="G11" i="1"/>
  <c r="G18" i="1" s="1"/>
  <c r="C11" i="1"/>
  <c r="A11" i="1"/>
  <c r="C18" i="1" s="1"/>
  <c r="F10" i="1"/>
  <c r="F11" i="1" s="1"/>
  <c r="A10" i="1"/>
  <c r="V9" i="1"/>
  <c r="U9" i="1"/>
  <c r="T9" i="1"/>
  <c r="S9" i="1"/>
  <c r="R9" i="1"/>
  <c r="D9" i="1"/>
  <c r="D11" i="1" s="1"/>
  <c r="L6" i="1"/>
  <c r="M6" i="1" s="1"/>
  <c r="N6" i="1" s="1"/>
  <c r="O6" i="1" s="1"/>
  <c r="P6" i="1" s="1"/>
  <c r="Q6" i="1" s="1"/>
  <c r="H6" i="1"/>
  <c r="I6" i="1" s="1"/>
  <c r="J6" i="1" s="1"/>
  <c r="K6" i="1" s="1"/>
  <c r="G6" i="1"/>
  <c r="E5" i="1"/>
  <c r="D5" i="1"/>
  <c r="D14" i="1" s="1"/>
  <c r="D29" i="5" l="1"/>
  <c r="D20" i="6"/>
  <c r="A17" i="7"/>
  <c r="A18" i="7" s="1"/>
  <c r="A19" i="7" s="1"/>
  <c r="A20" i="7" s="1"/>
  <c r="P16" i="7"/>
  <c r="E20" i="6"/>
  <c r="E29" i="5"/>
  <c r="E16" i="5"/>
  <c r="P20" i="7"/>
  <c r="D19" i="6"/>
  <c r="D22" i="6" s="1"/>
  <c r="P12" i="7"/>
  <c r="C20" i="5"/>
  <c r="C9" i="5"/>
  <c r="F10" i="5"/>
  <c r="F16" i="5" s="1"/>
  <c r="F22" i="5" s="1"/>
  <c r="F32" i="5" s="1"/>
  <c r="F33" i="5" s="1"/>
  <c r="E21" i="6"/>
  <c r="C14" i="5"/>
  <c r="G22" i="5"/>
  <c r="G19" i="1"/>
  <c r="K19" i="1"/>
  <c r="U11" i="1"/>
  <c r="U10" i="1" s="1"/>
  <c r="O18" i="1"/>
  <c r="F18" i="1"/>
  <c r="R11" i="1"/>
  <c r="R10" i="1" s="1"/>
  <c r="V11" i="1"/>
  <c r="V10" i="1" s="1"/>
  <c r="E16" i="1"/>
  <c r="E17" i="1" s="1"/>
  <c r="S19" i="1"/>
  <c r="R28" i="1"/>
  <c r="R27" i="1" s="1"/>
  <c r="V28" i="1"/>
  <c r="V27" i="1" s="1"/>
  <c r="F35" i="1"/>
  <c r="Q19" i="1"/>
  <c r="J36" i="1"/>
  <c r="S11" i="1"/>
  <c r="S10" i="1" s="1"/>
  <c r="T17" i="1"/>
  <c r="E35" i="1"/>
  <c r="E36" i="1" s="1"/>
  <c r="G36" i="1"/>
  <c r="K36" i="1"/>
  <c r="U35" i="1"/>
  <c r="O36" i="1"/>
  <c r="S28" i="1"/>
  <c r="S27" i="1" s="1"/>
  <c r="R33" i="1"/>
  <c r="R34" i="1" s="1"/>
  <c r="J34" i="1"/>
  <c r="T18" i="1"/>
  <c r="T11" i="1"/>
  <c r="T10" i="1" s="1"/>
  <c r="U16" i="1"/>
  <c r="U17" i="1" s="1"/>
  <c r="S18" i="1"/>
  <c r="P19" i="1"/>
  <c r="T27" i="1"/>
  <c r="U28" i="1"/>
  <c r="U27" i="1" s="1"/>
  <c r="F34" i="1"/>
  <c r="D15" i="1"/>
  <c r="D16" i="1" s="1"/>
  <c r="D17" i="1" s="1"/>
  <c r="V16" i="1"/>
  <c r="V17" i="1" s="1"/>
  <c r="I17" i="1"/>
  <c r="L19" i="1"/>
  <c r="T19" i="1" s="1"/>
  <c r="T33" i="1"/>
  <c r="T34" i="1" s="1"/>
  <c r="N35" i="1"/>
  <c r="S35" i="1"/>
  <c r="P36" i="1"/>
  <c r="E31" i="1"/>
  <c r="E33" i="1" s="1"/>
  <c r="E34" i="1" s="1"/>
  <c r="E9" i="1"/>
  <c r="E11" i="1" s="1"/>
  <c r="D13" i="1"/>
  <c r="E15" i="1"/>
  <c r="N19" i="1"/>
  <c r="N20" i="1"/>
  <c r="D31" i="1"/>
  <c r="D33" i="1" s="1"/>
  <c r="D34" i="1" s="1"/>
  <c r="T35" i="1"/>
  <c r="L36" i="1"/>
  <c r="O16" i="4"/>
  <c r="L16" i="4"/>
  <c r="K16" i="4"/>
  <c r="H16" i="4"/>
  <c r="G16" i="4"/>
  <c r="D16" i="4"/>
  <c r="P15" i="4"/>
  <c r="M16" i="4" s="1"/>
  <c r="M12" i="4"/>
  <c r="I12" i="4"/>
  <c r="E12" i="4"/>
  <c r="P11" i="4"/>
  <c r="O12" i="4" s="1"/>
  <c r="A9" i="4"/>
  <c r="A10" i="4" s="1"/>
  <c r="A11" i="4" s="1"/>
  <c r="A12" i="4" s="1"/>
  <c r="A2" i="4"/>
  <c r="D25" i="3"/>
  <c r="E18" i="3"/>
  <c r="D18" i="3"/>
  <c r="C18" i="3"/>
  <c r="B18" i="3"/>
  <c r="E17" i="3"/>
  <c r="D17" i="3"/>
  <c r="C17" i="3"/>
  <c r="B17" i="3"/>
  <c r="E16" i="3"/>
  <c r="D16" i="3"/>
  <c r="C16" i="3"/>
  <c r="B16" i="3"/>
  <c r="E15" i="3"/>
  <c r="D15" i="3"/>
  <c r="C15" i="3"/>
  <c r="B15" i="3"/>
  <c r="A15" i="3"/>
  <c r="A16" i="3" s="1"/>
  <c r="A17" i="3" s="1"/>
  <c r="A18" i="3" s="1"/>
  <c r="C13" i="3"/>
  <c r="D11" i="3"/>
  <c r="D28" i="2"/>
  <c r="D27" i="2"/>
  <c r="D24" i="3" s="1"/>
  <c r="D26" i="2"/>
  <c r="D25" i="2"/>
  <c r="E20" i="2"/>
  <c r="D20" i="2"/>
  <c r="L19" i="2"/>
  <c r="L20" i="2" s="1"/>
  <c r="K19" i="2"/>
  <c r="K20" i="2" s="1"/>
  <c r="G19" i="2"/>
  <c r="G20" i="2" s="1"/>
  <c r="I18" i="2"/>
  <c r="H18" i="2"/>
  <c r="G18" i="2"/>
  <c r="F18" i="2"/>
  <c r="C18" i="2" s="1"/>
  <c r="E18" i="2"/>
  <c r="E28" i="2" s="1"/>
  <c r="D14" i="2"/>
  <c r="M13" i="2"/>
  <c r="M14" i="2" s="1"/>
  <c r="M16" i="2" s="1"/>
  <c r="L13" i="2"/>
  <c r="L14" i="2" s="1"/>
  <c r="K13" i="2"/>
  <c r="L12" i="2"/>
  <c r="K12" i="2"/>
  <c r="K14" i="2" s="1"/>
  <c r="I12" i="2"/>
  <c r="G12" i="2"/>
  <c r="G14" i="2" s="1"/>
  <c r="F12" i="2"/>
  <c r="F14" i="2" s="1"/>
  <c r="E12" i="2"/>
  <c r="E14" i="2" s="1"/>
  <c r="M10" i="2"/>
  <c r="D10" i="2"/>
  <c r="D16" i="2" s="1"/>
  <c r="L9" i="2"/>
  <c r="H9" i="2" s="1"/>
  <c r="K9" i="2"/>
  <c r="G9" i="2"/>
  <c r="E9" i="2"/>
  <c r="L8" i="2"/>
  <c r="L10" i="2" s="1"/>
  <c r="K8" i="2"/>
  <c r="H8" i="2" s="1"/>
  <c r="I8" i="2"/>
  <c r="I10" i="2" s="1"/>
  <c r="G8" i="2"/>
  <c r="G10" i="2" s="1"/>
  <c r="G16" i="2" s="1"/>
  <c r="G22" i="2" s="1"/>
  <c r="F8" i="2"/>
  <c r="C16" i="5" l="1"/>
  <c r="E22" i="5"/>
  <c r="A21" i="7"/>
  <c r="A22" i="7" s="1"/>
  <c r="A23" i="7" s="1"/>
  <c r="A24" i="7" s="1"/>
  <c r="C21" i="7"/>
  <c r="M21" i="7"/>
  <c r="I21" i="7"/>
  <c r="E21" i="7"/>
  <c r="L21" i="7"/>
  <c r="H21" i="7"/>
  <c r="D21" i="7"/>
  <c r="O21" i="7"/>
  <c r="K21" i="7"/>
  <c r="G21" i="7"/>
  <c r="N21" i="7"/>
  <c r="J21" i="7"/>
  <c r="F21" i="7"/>
  <c r="C10" i="5"/>
  <c r="R35" i="1"/>
  <c r="V35" i="1"/>
  <c r="V18" i="1"/>
  <c r="R18" i="1"/>
  <c r="O20" i="1"/>
  <c r="N37" i="1"/>
  <c r="E18" i="1"/>
  <c r="E19" i="1" s="1"/>
  <c r="U18" i="1"/>
  <c r="O19" i="1"/>
  <c r="U19" i="1" s="1"/>
  <c r="N36" i="1"/>
  <c r="T36" i="1" s="1"/>
  <c r="U36" i="1"/>
  <c r="S36" i="1"/>
  <c r="D18" i="1"/>
  <c r="D19" i="1" s="1"/>
  <c r="D35" i="1"/>
  <c r="D36" i="1" s="1"/>
  <c r="F36" i="1" s="1"/>
  <c r="D22" i="2"/>
  <c r="L16" i="2"/>
  <c r="L22" i="2" s="1"/>
  <c r="A13" i="4"/>
  <c r="A14" i="4" s="1"/>
  <c r="A15" i="4" s="1"/>
  <c r="A16" i="4" s="1"/>
  <c r="H10" i="2"/>
  <c r="E25" i="3"/>
  <c r="C14" i="2"/>
  <c r="D29" i="2"/>
  <c r="E11" i="3"/>
  <c r="F12" i="4"/>
  <c r="N12" i="4"/>
  <c r="E8" i="2"/>
  <c r="H12" i="2"/>
  <c r="C12" i="2" s="1"/>
  <c r="M19" i="2"/>
  <c r="M20" i="2" s="1"/>
  <c r="M22" i="2" s="1"/>
  <c r="F20" i="2"/>
  <c r="E26" i="2"/>
  <c r="D12" i="4"/>
  <c r="H12" i="4"/>
  <c r="L12" i="4"/>
  <c r="F16" i="4"/>
  <c r="J16" i="4"/>
  <c r="N16" i="4"/>
  <c r="F9" i="2"/>
  <c r="C9" i="2" s="1"/>
  <c r="K10" i="2"/>
  <c r="K16" i="2" s="1"/>
  <c r="K22" i="2" s="1"/>
  <c r="E25" i="2"/>
  <c r="J12" i="4"/>
  <c r="G12" i="4"/>
  <c r="K12" i="4"/>
  <c r="E16" i="4"/>
  <c r="I16" i="4"/>
  <c r="P16" i="4" s="1"/>
  <c r="A25" i="7" l="1"/>
  <c r="A26" i="7" s="1"/>
  <c r="A27" i="7" s="1"/>
  <c r="C25" i="7"/>
  <c r="P21" i="7"/>
  <c r="E32" i="5"/>
  <c r="E33" i="5" s="1"/>
  <c r="E9" i="6"/>
  <c r="E13" i="6" s="1"/>
  <c r="C22" i="5"/>
  <c r="F19" i="1"/>
  <c r="O37" i="1"/>
  <c r="P20" i="1"/>
  <c r="V36" i="1"/>
  <c r="R36" i="1"/>
  <c r="F38" i="1"/>
  <c r="P12" i="4"/>
  <c r="D9" i="3"/>
  <c r="D13" i="3" s="1"/>
  <c r="E27" i="2"/>
  <c r="C20" i="2"/>
  <c r="C8" i="2"/>
  <c r="E10" i="2"/>
  <c r="F10" i="2"/>
  <c r="F16" i="2" s="1"/>
  <c r="F22" i="2" s="1"/>
  <c r="A17" i="4"/>
  <c r="A18" i="4" s="1"/>
  <c r="A19" i="4" s="1"/>
  <c r="A20" i="4" s="1"/>
  <c r="E19" i="6" l="1"/>
  <c r="E22" i="6" s="1"/>
  <c r="P24" i="7"/>
  <c r="R19" i="1"/>
  <c r="V19" i="1"/>
  <c r="F21" i="1"/>
  <c r="F23" i="1"/>
  <c r="F22" i="1"/>
  <c r="F40" i="1"/>
  <c r="F39" i="1"/>
  <c r="Q20" i="1"/>
  <c r="Q37" i="1" s="1"/>
  <c r="P37" i="1"/>
  <c r="E16" i="2"/>
  <c r="C10" i="2"/>
  <c r="E29" i="2"/>
  <c r="E24" i="3"/>
  <c r="P20" i="4"/>
  <c r="D23" i="3"/>
  <c r="D26" i="3" s="1"/>
  <c r="A21" i="4"/>
  <c r="A22" i="4" s="1"/>
  <c r="A23" i="4" s="1"/>
  <c r="A24" i="4" s="1"/>
  <c r="C21" i="4"/>
  <c r="N25" i="7" l="1"/>
  <c r="J25" i="7"/>
  <c r="F25" i="7"/>
  <c r="M25" i="7"/>
  <c r="I25" i="7"/>
  <c r="E25" i="7"/>
  <c r="L25" i="7"/>
  <c r="H25" i="7"/>
  <c r="D25" i="7"/>
  <c r="O25" i="7"/>
  <c r="K25" i="7"/>
  <c r="G25" i="7"/>
  <c r="G38" i="1"/>
  <c r="G21" i="1"/>
  <c r="G22" i="1" s="1"/>
  <c r="F42" i="1"/>
  <c r="G23" i="1"/>
  <c r="A25" i="4"/>
  <c r="A26" i="4" s="1"/>
  <c r="A27" i="4" s="1"/>
  <c r="C25" i="4"/>
  <c r="M21" i="4"/>
  <c r="I21" i="4"/>
  <c r="E21" i="4"/>
  <c r="H21" i="4"/>
  <c r="O21" i="4"/>
  <c r="K21" i="4"/>
  <c r="N21" i="4"/>
  <c r="J21" i="4"/>
  <c r="F21" i="4"/>
  <c r="L21" i="4"/>
  <c r="D21" i="4"/>
  <c r="G21" i="4"/>
  <c r="E22" i="2"/>
  <c r="C16" i="2"/>
  <c r="P25" i="7" l="1"/>
  <c r="G39" i="1"/>
  <c r="H23" i="1"/>
  <c r="H21" i="1"/>
  <c r="G40" i="1"/>
  <c r="E9" i="3"/>
  <c r="E13" i="3" s="1"/>
  <c r="C22" i="2"/>
  <c r="P21" i="4"/>
  <c r="I21" i="1" l="1"/>
  <c r="H38" i="1"/>
  <c r="H22" i="1"/>
  <c r="R21" i="1"/>
  <c r="R22" i="1" s="1"/>
  <c r="G42" i="1"/>
  <c r="E23" i="3"/>
  <c r="E26" i="3" s="1"/>
  <c r="P24" i="4"/>
  <c r="H39" i="1" l="1"/>
  <c r="R38" i="1"/>
  <c r="R39" i="1" s="1"/>
  <c r="I22" i="1"/>
  <c r="I23" i="1"/>
  <c r="H40" i="1"/>
  <c r="N25" i="4"/>
  <c r="J25" i="4"/>
  <c r="F25" i="4"/>
  <c r="M25" i="4"/>
  <c r="H25" i="4"/>
  <c r="D25" i="4"/>
  <c r="O25" i="4"/>
  <c r="K25" i="4"/>
  <c r="G25" i="4"/>
  <c r="I25" i="4"/>
  <c r="E25" i="4"/>
  <c r="L25" i="4"/>
  <c r="I38" i="1" l="1"/>
  <c r="I40" i="1"/>
  <c r="H42" i="1"/>
  <c r="I42" i="1"/>
  <c r="J21" i="1"/>
  <c r="P25" i="4"/>
  <c r="J22" i="1" l="1"/>
  <c r="J40" i="1"/>
  <c r="J38" i="1"/>
  <c r="J39" i="1" s="1"/>
  <c r="J23" i="1"/>
  <c r="I39" i="1"/>
  <c r="K38" i="1" l="1"/>
  <c r="K21" i="1"/>
  <c r="J42" i="1"/>
  <c r="K22" i="1" l="1"/>
  <c r="S21" i="1"/>
  <c r="S22" i="1" s="1"/>
  <c r="K39" i="1"/>
  <c r="S38" i="1"/>
  <c r="S39" i="1" s="1"/>
  <c r="K23" i="1"/>
  <c r="K40" i="1"/>
  <c r="L38" i="1" l="1"/>
  <c r="L21" i="1"/>
  <c r="K42" i="1"/>
  <c r="L22" i="1" l="1"/>
  <c r="L23" i="1"/>
  <c r="L39" i="1"/>
  <c r="L40" i="1"/>
  <c r="L42" i="1" l="1"/>
  <c r="M21" i="1"/>
  <c r="M23" i="1"/>
  <c r="M38" i="1"/>
  <c r="M39" i="1" l="1"/>
  <c r="N23" i="1"/>
  <c r="N21" i="1"/>
  <c r="N22" i="1" s="1"/>
  <c r="M22" i="1"/>
  <c r="T21" i="1"/>
  <c r="T22" i="1" s="1"/>
  <c r="M40" i="1"/>
  <c r="N38" i="1" l="1"/>
  <c r="O21" i="1"/>
  <c r="O23" i="1"/>
  <c r="M42" i="1"/>
  <c r="P21" i="1" l="1"/>
  <c r="P22" i="1" s="1"/>
  <c r="O22" i="1"/>
  <c r="N39" i="1"/>
  <c r="T38" i="1"/>
  <c r="T39" i="1" s="1"/>
  <c r="N40" i="1"/>
  <c r="O38" i="1" l="1"/>
  <c r="N42" i="1"/>
  <c r="P23" i="1"/>
  <c r="Q21" i="1" l="1"/>
  <c r="Q23" i="1"/>
  <c r="O39" i="1"/>
  <c r="O40" i="1"/>
  <c r="P38" i="1" l="1"/>
  <c r="P40" i="1"/>
  <c r="O42" i="1"/>
  <c r="Q22" i="1"/>
  <c r="V21" i="1"/>
  <c r="V22" i="1" s="1"/>
  <c r="U21" i="1"/>
  <c r="U22" i="1" s="1"/>
  <c r="Q38" i="1" l="1"/>
  <c r="Q40" i="1"/>
  <c r="Q42" i="1" s="1"/>
  <c r="P42" i="1"/>
  <c r="P39" i="1"/>
  <c r="U38" i="1"/>
  <c r="U39" i="1" s="1"/>
  <c r="Q39" i="1" l="1"/>
  <c r="V38" i="1"/>
  <c r="V39" i="1" s="1"/>
</calcChain>
</file>

<file path=xl/sharedStrings.xml><?xml version="1.0" encoding="utf-8"?>
<sst xmlns="http://schemas.openxmlformats.org/spreadsheetml/2006/main" count="309" uniqueCount="136">
  <si>
    <t>Avista Utilities</t>
  </si>
  <si>
    <t>Natural Gas Decoupling Mechanism</t>
  </si>
  <si>
    <t>Line No.</t>
  </si>
  <si>
    <t>Source</t>
  </si>
  <si>
    <t>Total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</si>
  <si>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</si>
  <si>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</si>
  <si>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</si>
  <si>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</si>
  <si>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</si>
  <si>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</si>
  <si>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</si>
  <si>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</si>
  <si>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</si>
  <si>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</si>
  <si>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</si>
  <si>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</si>
  <si>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</si>
  <si>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</si>
  <si>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</si>
  <si>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Residential Group</t>
  </si>
  <si>
    <t>Actual Customers</t>
  </si>
  <si>
    <t>Revenue System</t>
  </si>
  <si>
    <t>Monthly Decoupled Revenue per Customer</t>
  </si>
  <si>
    <t>Decoupled Revenue</t>
  </si>
  <si>
    <t>Actual Fixed Charge Revenue</t>
  </si>
  <si>
    <t>Customer Decoupled Payments</t>
  </si>
  <si>
    <t>Residential Revenue Per Customer Received</t>
  </si>
  <si>
    <t>Deferral - Surcharge (Rebate)</t>
  </si>
  <si>
    <t>Deferral - Revenue Related Expenses</t>
  </si>
  <si>
    <t>Rev Conv Factor</t>
  </si>
  <si>
    <t>FERC Rate</t>
  </si>
  <si>
    <t>Interest on Deferral</t>
  </si>
  <si>
    <t>Avg Balance Calc</t>
  </si>
  <si>
    <t>Monthly Residential Deferral Totals</t>
  </si>
  <si>
    <t>Non-Residential Group</t>
  </si>
  <si>
    <t>Non-Residential Revenue Per Customer Received</t>
  </si>
  <si>
    <t>Monthly Non-Residential Deferral Totals</t>
  </si>
  <si>
    <t>Total Cumulative Natural Gas Deferral</t>
  </si>
  <si>
    <t>Development of Decoupled Revenue by Rate Schedule - Natural Gas</t>
  </si>
  <si>
    <t xml:space="preserve"> </t>
  </si>
  <si>
    <t>RESIDENTIAL</t>
  </si>
  <si>
    <t xml:space="preserve">GENERAL SVC. </t>
  </si>
  <si>
    <t>LG. GEN. SVC.</t>
  </si>
  <si>
    <t>INTERRUPTIBLE</t>
  </si>
  <si>
    <t>SCHEDULES</t>
  </si>
  <si>
    <t>Schedule</t>
  </si>
  <si>
    <t>TOTAL</t>
  </si>
  <si>
    <t>SCHEDULE 101</t>
  </si>
  <si>
    <t>SCH. 111</t>
  </si>
  <si>
    <t>SCH. 121</t>
  </si>
  <si>
    <t>SCH 131</t>
  </si>
  <si>
    <t>112, 122, 132</t>
  </si>
  <si>
    <t>146 &amp; 148</t>
  </si>
  <si>
    <t>Total Normalized 2015 Revenue (Appendix 2)</t>
  </si>
  <si>
    <t>Settlement Revenue Increase (Appendix 2)</t>
  </si>
  <si>
    <t>Total Rate Revenue (January 1, 2015)</t>
  </si>
  <si>
    <t>Normalized Therms (2015 Rate Year)</t>
  </si>
  <si>
    <t>PGA Rates</t>
  </si>
  <si>
    <t>Variable Gas Supply Revenue</t>
  </si>
  <si>
    <t>Delivery Revenue  (Ln 3 - Ln 6)</t>
  </si>
  <si>
    <t>Customer Bills (2015 Rate Year)</t>
  </si>
  <si>
    <t>Settlement Basic Charges</t>
  </si>
  <si>
    <t>Basic Charge Revenue (Ln 8 * Ln 9)</t>
  </si>
  <si>
    <t>Excluded From Decoupling</t>
  </si>
  <si>
    <t>Residential</t>
  </si>
  <si>
    <t>Average Number of Customers (Line 8 / 12)</t>
  </si>
  <si>
    <t>Annual Therms</t>
  </si>
  <si>
    <t>Basic Charge Revenues</t>
  </si>
  <si>
    <t>Customer Bills</t>
  </si>
  <si>
    <t>Average Basic Charge</t>
  </si>
  <si>
    <t>Development of Decoupled Revenue Per Customer - Natural Gas</t>
  </si>
  <si>
    <t>Non-Residential Schedules*</t>
  </si>
  <si>
    <t>Decoupled Revenues</t>
  </si>
  <si>
    <t>Appendix 5, Page 1</t>
  </si>
  <si>
    <t>Rate Year # of Customers 2015</t>
  </si>
  <si>
    <t>Revenue Data</t>
  </si>
  <si>
    <t>Decoupled Revenue Per Customer</t>
  </si>
  <si>
    <t xml:space="preserve">*Sales Schedules 111, 121, 131.  </t>
  </si>
  <si>
    <t>Revenues</t>
  </si>
  <si>
    <t>From Revenue Per Customer</t>
  </si>
  <si>
    <t>From Basic Charges</t>
  </si>
  <si>
    <t>From Gas Supply</t>
  </si>
  <si>
    <t>'Development of Monthly Decoupled Revenue Per Customer - Natural Gas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</si>
  <si>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</si>
  <si>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</si>
  <si>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</si>
  <si>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</si>
  <si>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</si>
  <si>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</si>
  <si>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</si>
  <si>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</si>
  <si>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</si>
  <si>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</si>
  <si>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</si>
  <si>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</si>
  <si>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Natural Gas Delivery Volume</t>
  </si>
  <si>
    <t xml:space="preserve"> - Weather-Normalized Therm Delivery Volume</t>
  </si>
  <si>
    <t>Monthly Rate Year</t>
  </si>
  <si>
    <t xml:space="preserve">  - % of Annual Total</t>
  </si>
  <si>
    <t>% of Total</t>
  </si>
  <si>
    <t>Non-Residential Sales*</t>
  </si>
  <si>
    <t>Monthly Decoupled Revenue Per Customer ("RPC")</t>
  </si>
  <si>
    <t xml:space="preserve">  - 2015 Decoupled RPC</t>
  </si>
  <si>
    <t>Appendix 5, P. 2 L. 3</t>
  </si>
  <si>
    <t xml:space="preserve">  - 2015 Monthly Decoupled RPC</t>
  </si>
  <si>
    <t>Decoupling Mechanism - UG-150205 Base effective 1/11/2016</t>
  </si>
  <si>
    <t>Development of WA Natural Gas Deferrals (Calendar Year 2016)</t>
  </si>
  <si>
    <t>Pro Rated</t>
  </si>
  <si>
    <t>1st Quarter 2016</t>
  </si>
  <si>
    <t>2nd Quarter 2016</t>
  </si>
  <si>
    <t>3rd Quarter 2016</t>
  </si>
  <si>
    <t>4th Quarter 2016</t>
  </si>
  <si>
    <t>2016 YTD</t>
  </si>
  <si>
    <t>Old Base</t>
  </si>
  <si>
    <t>New Base</t>
  </si>
  <si>
    <t>Attachment 5, Page 3</t>
  </si>
  <si>
    <t>Actual Usage (informational only)</t>
  </si>
  <si>
    <t>Actual Base Rate Revenue 
(Excludes Gas Costs)</t>
  </si>
  <si>
    <t>Cumulative Residential Deferral Surcharge/(Rebate) Balance</t>
  </si>
  <si>
    <t>Cumulative Non-Residential Deferral Surcharge/(Rebate) Balance</t>
  </si>
  <si>
    <t>Total Normalized 12 ME Sept 2014 Revenue</t>
  </si>
  <si>
    <t>Allowed Revenue Increase (Attachment 2)</t>
  </si>
  <si>
    <t>Total Rate Revenue (January 11, 2016)</t>
  </si>
  <si>
    <t>Normalized Therms (12ME Sept 2014 Test Year)</t>
  </si>
  <si>
    <t>11/1/2015 Schedule 150 PGA Rates</t>
  </si>
  <si>
    <t>Customer Bills (12ME Sept 2014 Test Year)</t>
  </si>
  <si>
    <t>Allowed Basic Charges</t>
  </si>
  <si>
    <t>check calculations - DO NOT PRINT</t>
  </si>
  <si>
    <t>avg decoupled rev/th</t>
  </si>
  <si>
    <t>check to avg rates</t>
  </si>
  <si>
    <t>Attachment 5, Page 1</t>
  </si>
  <si>
    <t>Test Year # of Customers 12 ME 09.2014</t>
  </si>
  <si>
    <t xml:space="preserve">  -UG-150205 Decoupled RPC</t>
  </si>
  <si>
    <t>Attachment 5, P. 2 L. 3</t>
  </si>
  <si>
    <t xml:space="preserve">  -Monthly Decoupled RPC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</si>
</sst>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&quot;$&quot;#,##0.00"/>
    <numFmt numFmtId="167" formatCode="_(&quot;$&quot;* #,##0_);_(&quot;$&quot;* \(#,##0\);_(&quot;$&quot;* &quot;-&quot;??_);_(@_)"/>
    <numFmt numFmtId="168" formatCode="_(&quot;$&quot;* #,##0.00000_);_(&quot;$&quot;* \(#,##0.00000\);_(&quot;$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b/>
      <i/>
      <u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i/>
      <u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rgb="FF0070C0"/>
      <name val="Times New Roman"/>
      <family val="1"/>
    </font>
    <font>
      <sz val="10"/>
      <color rgb="FF3333FF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gray0625">
        <bgColor theme="0"/>
      </patternFill>
    </fill>
    <fill>
      <patternFill patternType="gray06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3" fillId="3" borderId="1" applyNumberFormat="0">
      <alignment horizontal="center" vertical="center" wrapText="1"/>
    </xf>
    <xf numFmtId="44" fontId="14" fillId="0" borderId="0" applyFont="0" applyFill="0" applyBorder="0" applyAlignment="0" applyProtection="0"/>
    <xf numFmtId="0" fontId="13" fillId="3" borderId="1" applyNumberFormat="0">
      <alignment horizontal="center" vertical="center" wrapText="1"/>
    </xf>
    <xf numFmtId="9" fontId="2" fillId="0" borderId="0" applyFont="0" applyFill="0" applyBorder="0" applyAlignment="0" applyProtection="0"/>
  </cellStyleXfs>
  <cellXfs count="142">
    <xf numFmtId="0" fontId="0" fillId="0" borderId="0" xfId="0"/>
    <xf numFmtId="0" fontId="3" fillId="2" borderId="0" xfId="4" quotePrefix="1" applyFont="1" applyFill="1" applyAlignment="1">
      <alignment horizontal="center"/>
    </xf>
    <xf numFmtId="0" fontId="3" fillId="2" borderId="0" xfId="4" applyFont="1" applyFill="1" applyAlignment="1">
      <alignment horizontal="center"/>
    </xf>
    <xf numFmtId="0" fontId="3" fillId="2" borderId="0" xfId="4" applyFont="1" applyFill="1" applyAlignment="1">
      <alignment horizontal="center" wrapText="1"/>
    </xf>
    <xf numFmtId="0" fontId="2" fillId="0" borderId="0" xfId="4"/>
    <xf numFmtId="0" fontId="5" fillId="2" borderId="0" xfId="4" applyFont="1" applyFill="1"/>
    <xf numFmtId="0" fontId="6" fillId="2" borderId="0" xfId="4" applyFont="1" applyFill="1" applyAlignment="1">
      <alignment horizontal="center"/>
    </xf>
    <xf numFmtId="0" fontId="7" fillId="0" borderId="0" xfId="4" applyFont="1" applyAlignment="1">
      <alignment horizontal="center" wrapText="1"/>
    </xf>
    <xf numFmtId="0" fontId="6" fillId="2" borderId="0" xfId="4" applyFont="1" applyFill="1" applyAlignment="1">
      <alignment horizont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2" borderId="1" xfId="4" applyFont="1" applyFill="1" applyBorder="1" applyAlignment="1">
      <alignment vertical="center"/>
    </xf>
    <xf numFmtId="0" fontId="6" fillId="2" borderId="1" xfId="4" applyFont="1" applyFill="1" applyBorder="1" applyAlignment="1">
      <alignment horizontal="center" vertical="center"/>
    </xf>
    <xf numFmtId="164" fontId="6" fillId="2" borderId="1" xfId="4" applyNumberFormat="1" applyFont="1" applyFill="1" applyBorder="1" applyAlignment="1">
      <alignment horizontal="center" vertical="center"/>
    </xf>
    <xf numFmtId="0" fontId="5" fillId="2" borderId="0" xfId="4" applyFont="1" applyFill="1" applyAlignment="1">
      <alignment horizontal="center"/>
    </xf>
    <xf numFmtId="165" fontId="8" fillId="2" borderId="0" xfId="5" applyNumberFormat="1" applyFont="1" applyFill="1"/>
    <xf numFmtId="167" fontId="8" fillId="2" borderId="0" xfId="4" applyNumberFormat="1" applyFont="1" applyFill="1"/>
    <xf numFmtId="0" fontId="8" fillId="2" borderId="0" xfId="4" applyFont="1" applyFill="1"/>
    <xf numFmtId="0" fontId="5" fillId="2" borderId="0" xfId="4" applyFont="1" applyFill="1" applyAlignment="1">
      <alignment horizontal="left"/>
    </xf>
    <xf numFmtId="167" fontId="8" fillId="2" borderId="0" xfId="2" applyNumberFormat="1" applyFont="1" applyFill="1"/>
    <xf numFmtId="0" fontId="5" fillId="0" borderId="0" xfId="4" applyFont="1" applyFill="1" applyAlignment="1">
      <alignment horizontal="center"/>
    </xf>
    <xf numFmtId="10" fontId="8" fillId="2" borderId="0" xfId="3" applyNumberFormat="1" applyFont="1" applyFill="1"/>
    <xf numFmtId="167" fontId="8" fillId="2" borderId="0" xfId="6" applyNumberFormat="1" applyFont="1" applyFill="1"/>
    <xf numFmtId="0" fontId="6" fillId="2" borderId="0" xfId="4" applyFont="1" applyFill="1"/>
    <xf numFmtId="167" fontId="9" fillId="2" borderId="2" xfId="6" applyNumberFormat="1" applyFont="1" applyFill="1" applyBorder="1"/>
    <xf numFmtId="167" fontId="8" fillId="2" borderId="0" xfId="4" applyNumberFormat="1" applyFont="1" applyFill="1" applyBorder="1"/>
    <xf numFmtId="166" fontId="8" fillId="2" borderId="0" xfId="4" applyNumberFormat="1" applyFont="1" applyFill="1" applyAlignment="1">
      <alignment vertical="center"/>
    </xf>
    <xf numFmtId="167" fontId="9" fillId="2" borderId="2" xfId="4" applyNumberFormat="1" applyFont="1" applyFill="1" applyBorder="1"/>
    <xf numFmtId="0" fontId="11" fillId="2" borderId="0" xfId="0" applyFont="1" applyFill="1"/>
    <xf numFmtId="0" fontId="0" fillId="2" borderId="0" xfId="0" applyFill="1"/>
    <xf numFmtId="0" fontId="12" fillId="2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67" fontId="11" fillId="2" borderId="0" xfId="2" applyNumberFormat="1" applyFont="1" applyFill="1"/>
    <xf numFmtId="167" fontId="11" fillId="0" borderId="0" xfId="2" applyNumberFormat="1" applyFont="1" applyFill="1"/>
    <xf numFmtId="167" fontId="0" fillId="0" borderId="0" xfId="2" applyNumberFormat="1" applyFont="1"/>
    <xf numFmtId="167" fontId="11" fillId="2" borderId="0" xfId="0" applyNumberFormat="1" applyFont="1" applyFill="1"/>
    <xf numFmtId="165" fontId="11" fillId="2" borderId="0" xfId="0" applyNumberFormat="1" applyFont="1" applyFill="1"/>
    <xf numFmtId="165" fontId="11" fillId="2" borderId="0" xfId="1" applyNumberFormat="1" applyFont="1" applyFill="1"/>
    <xf numFmtId="165" fontId="0" fillId="0" borderId="0" xfId="1" applyNumberFormat="1" applyFont="1"/>
    <xf numFmtId="168" fontId="11" fillId="2" borderId="0" xfId="2" applyNumberFormat="1" applyFont="1" applyFill="1"/>
    <xf numFmtId="168" fontId="0" fillId="0" borderId="0" xfId="0" applyNumberFormat="1"/>
    <xf numFmtId="167" fontId="0" fillId="0" borderId="0" xfId="0" applyNumberFormat="1"/>
    <xf numFmtId="37" fontId="11" fillId="2" borderId="0" xfId="0" applyNumberFormat="1" applyFont="1" applyFill="1"/>
    <xf numFmtId="7" fontId="11" fillId="2" borderId="0" xfId="2" applyNumberFormat="1" applyFont="1" applyFill="1"/>
    <xf numFmtId="7" fontId="11" fillId="2" borderId="0" xfId="2" applyNumberFormat="1" applyFont="1" applyFill="1" applyAlignment="1">
      <alignment horizontal="center"/>
    </xf>
    <xf numFmtId="167" fontId="11" fillId="2" borderId="0" xfId="2" applyNumberFormat="1" applyFont="1" applyFill="1" applyAlignment="1">
      <alignment horizontal="center"/>
    </xf>
    <xf numFmtId="44" fontId="0" fillId="0" borderId="0" xfId="0" applyNumberFormat="1"/>
    <xf numFmtId="0" fontId="11" fillId="0" borderId="0" xfId="0" applyFont="1"/>
    <xf numFmtId="0" fontId="0" fillId="2" borderId="0" xfId="0" applyFill="1" applyAlignment="1">
      <alignment vertical="center"/>
    </xf>
    <xf numFmtId="0" fontId="11" fillId="2" borderId="0" xfId="0" applyFont="1" applyFill="1" applyAlignment="1">
      <alignment horizontal="center"/>
    </xf>
    <xf numFmtId="0" fontId="10" fillId="2" borderId="0" xfId="4" applyFont="1" applyFill="1" applyAlignment="1"/>
    <xf numFmtId="0" fontId="10" fillId="2" borderId="0" xfId="4" quotePrefix="1" applyFont="1" applyFill="1" applyAlignment="1"/>
    <xf numFmtId="0" fontId="11" fillId="2" borderId="0" xfId="4" applyFont="1" applyFill="1"/>
    <xf numFmtId="41" fontId="10" fillId="2" borderId="1" xfId="7" applyNumberFormat="1" applyFont="1" applyFill="1" applyBorder="1">
      <alignment horizontal="center" vertical="center" wrapText="1"/>
    </xf>
    <xf numFmtId="0" fontId="11" fillId="2" borderId="1" xfId="4" applyFont="1" applyFill="1" applyBorder="1"/>
    <xf numFmtId="0" fontId="11" fillId="2" borderId="0" xfId="4" applyFont="1" applyFill="1" applyAlignment="1">
      <alignment horizontal="center"/>
    </xf>
    <xf numFmtId="0" fontId="11" fillId="2" borderId="0" xfId="4" applyFont="1" applyFill="1" applyAlignment="1">
      <alignment horizontal="left"/>
    </xf>
    <xf numFmtId="167" fontId="11" fillId="2" borderId="0" xfId="8" applyNumberFormat="1" applyFont="1" applyFill="1"/>
    <xf numFmtId="165" fontId="11" fillId="2" borderId="0" xfId="5" applyNumberFormat="1" applyFont="1" applyFill="1" applyBorder="1"/>
    <xf numFmtId="44" fontId="11" fillId="2" borderId="0" xfId="8" applyNumberFormat="1" applyFont="1" applyFill="1"/>
    <xf numFmtId="0" fontId="11" fillId="4" borderId="0" xfId="4" applyFont="1" applyFill="1" applyAlignment="1">
      <alignment horizontal="center"/>
    </xf>
    <xf numFmtId="0" fontId="11" fillId="4" borderId="0" xfId="4" quotePrefix="1" applyFont="1" applyFill="1" applyAlignment="1">
      <alignment horizontal="left"/>
    </xf>
    <xf numFmtId="44" fontId="11" fillId="4" borderId="0" xfId="8" applyNumberFormat="1" applyFont="1" applyFill="1"/>
    <xf numFmtId="0" fontId="0" fillId="5" borderId="0" xfId="0" applyFill="1"/>
    <xf numFmtId="167" fontId="11" fillId="2" borderId="0" xfId="4" applyNumberFormat="1" applyFont="1" applyFill="1"/>
    <xf numFmtId="0" fontId="11" fillId="2" borderId="0" xfId="4" quotePrefix="1" applyFont="1" applyFill="1" applyAlignment="1">
      <alignment horizontal="left"/>
    </xf>
    <xf numFmtId="0" fontId="11" fillId="0" borderId="0" xfId="0" applyFont="1" applyAlignment="1">
      <alignment horizontal="right"/>
    </xf>
    <xf numFmtId="167" fontId="11" fillId="0" borderId="0" xfId="2" applyNumberFormat="1" applyFont="1"/>
    <xf numFmtId="167" fontId="11" fillId="0" borderId="2" xfId="2" applyNumberFormat="1" applyFont="1" applyBorder="1"/>
    <xf numFmtId="41" fontId="9" fillId="2" borderId="1" xfId="9" applyNumberFormat="1" applyFont="1" applyFill="1" applyBorder="1">
      <alignment horizontal="center" vertical="center" wrapText="1"/>
    </xf>
    <xf numFmtId="0" fontId="5" fillId="2" borderId="1" xfId="4" applyFont="1" applyFill="1" applyBorder="1"/>
    <xf numFmtId="41" fontId="9" fillId="2" borderId="1" xfId="9" applyNumberFormat="1" applyFont="1" applyFill="1" applyBorder="1" applyAlignment="1">
      <alignment horizontal="center" vertical="center" wrapText="1"/>
    </xf>
    <xf numFmtId="164" fontId="9" fillId="2" borderId="1" xfId="9" applyNumberFormat="1" applyFont="1" applyFill="1" applyBorder="1">
      <alignment horizontal="center" vertical="center" wrapText="1"/>
    </xf>
    <xf numFmtId="0" fontId="16" fillId="2" borderId="0" xfId="4" applyFont="1" applyFill="1" applyAlignment="1">
      <alignment horizontal="left"/>
    </xf>
    <xf numFmtId="0" fontId="17" fillId="2" borderId="0" xfId="4" applyFont="1" applyFill="1"/>
    <xf numFmtId="167" fontId="5" fillId="2" borderId="0" xfId="8" applyNumberFormat="1" applyFont="1" applyFill="1"/>
    <xf numFmtId="3" fontId="5" fillId="2" borderId="0" xfId="4" applyNumberFormat="1" applyFont="1" applyFill="1"/>
    <xf numFmtId="0" fontId="18" fillId="2" borderId="0" xfId="4" applyFont="1" applyFill="1"/>
    <xf numFmtId="0" fontId="5" fillId="2" borderId="0" xfId="4" quotePrefix="1" applyFont="1" applyFill="1" applyAlignment="1">
      <alignment horizontal="left"/>
    </xf>
    <xf numFmtId="165" fontId="19" fillId="0" borderId="0" xfId="0" applyNumberFormat="1" applyFont="1"/>
    <xf numFmtId="3" fontId="8" fillId="2" borderId="0" xfId="4" applyNumberFormat="1" applyFont="1" applyFill="1"/>
    <xf numFmtId="0" fontId="8" fillId="2" borderId="0" xfId="4" quotePrefix="1" applyFont="1" applyFill="1" applyAlignment="1">
      <alignment horizontal="center"/>
    </xf>
    <xf numFmtId="10" fontId="8" fillId="2" borderId="0" xfId="10" applyNumberFormat="1" applyFont="1" applyFill="1"/>
    <xf numFmtId="0" fontId="8" fillId="2" borderId="0" xfId="4" applyFont="1" applyFill="1" applyAlignment="1">
      <alignment horizontal="center"/>
    </xf>
    <xf numFmtId="10" fontId="5" fillId="2" borderId="0" xfId="10" applyNumberFormat="1" applyFont="1" applyFill="1"/>
    <xf numFmtId="44" fontId="5" fillId="2" borderId="0" xfId="6" applyFont="1" applyFill="1" applyAlignment="1">
      <alignment horizontal="center"/>
    </xf>
    <xf numFmtId="44" fontId="5" fillId="2" borderId="0" xfId="4" applyNumberFormat="1" applyFont="1" applyFill="1"/>
    <xf numFmtId="165" fontId="5" fillId="2" borderId="0" xfId="5" applyNumberFormat="1" applyFont="1" applyFill="1" applyAlignment="1">
      <alignment horizontal="center"/>
    </xf>
    <xf numFmtId="0" fontId="19" fillId="0" borderId="0" xfId="0" applyFont="1"/>
    <xf numFmtId="0" fontId="3" fillId="2" borderId="0" xfId="4" applyFont="1" applyFill="1" applyAlignment="1"/>
    <xf numFmtId="0" fontId="4" fillId="2" borderId="0" xfId="4" applyFont="1" applyFill="1" applyAlignment="1"/>
    <xf numFmtId="0" fontId="3" fillId="2" borderId="0" xfId="4" quotePrefix="1" applyFont="1" applyFill="1" applyAlignment="1"/>
    <xf numFmtId="9" fontId="5" fillId="2" borderId="0" xfId="3" applyFont="1" applyFill="1" applyAlignment="1">
      <alignment horizontal="center"/>
    </xf>
    <xf numFmtId="164" fontId="20" fillId="2" borderId="1" xfId="4" applyNumberFormat="1" applyFont="1" applyFill="1" applyBorder="1" applyAlignment="1">
      <alignment horizontal="center" vertical="center"/>
    </xf>
    <xf numFmtId="165" fontId="21" fillId="2" borderId="0" xfId="5" applyNumberFormat="1" applyFont="1" applyFill="1"/>
    <xf numFmtId="0" fontId="5" fillId="0" borderId="0" xfId="4" applyFont="1" applyFill="1" applyAlignment="1">
      <alignment horizontal="center" vertical="center"/>
    </xf>
    <xf numFmtId="0" fontId="5" fillId="0" borderId="0" xfId="4" applyFont="1" applyFill="1" applyAlignment="1">
      <alignment horizontal="center" vertical="center" wrapText="1"/>
    </xf>
    <xf numFmtId="0" fontId="5" fillId="0" borderId="0" xfId="4" applyFont="1" applyFill="1" applyAlignment="1">
      <alignment horizontal="center" wrapText="1"/>
    </xf>
    <xf numFmtId="166" fontId="8" fillId="0" borderId="0" xfId="4" applyNumberFormat="1" applyFont="1" applyFill="1" applyAlignment="1">
      <alignment vertical="center"/>
    </xf>
    <xf numFmtId="166" fontId="5" fillId="2" borderId="0" xfId="4" applyNumberFormat="1" applyFont="1" applyFill="1" applyAlignment="1">
      <alignment vertical="center"/>
    </xf>
    <xf numFmtId="165" fontId="8" fillId="2" borderId="0" xfId="1" applyNumberFormat="1" applyFont="1" applyFill="1"/>
    <xf numFmtId="0" fontId="5" fillId="2" borderId="0" xfId="4" applyFont="1" applyFill="1" applyAlignment="1">
      <alignment horizontal="left" wrapText="1"/>
    </xf>
    <xf numFmtId="167" fontId="21" fillId="2" borderId="0" xfId="2" applyNumberFormat="1" applyFont="1" applyFill="1"/>
    <xf numFmtId="167" fontId="8" fillId="0" borderId="0" xfId="2" applyNumberFormat="1" applyFont="1" applyFill="1"/>
    <xf numFmtId="167" fontId="8" fillId="0" borderId="0" xfId="4" applyNumberFormat="1" applyFont="1" applyFill="1"/>
    <xf numFmtId="10" fontId="8" fillId="0" borderId="0" xfId="3" applyNumberFormat="1" applyFont="1" applyFill="1"/>
    <xf numFmtId="0" fontId="5" fillId="2" borderId="0" xfId="4" applyFont="1" applyFill="1" applyAlignment="1">
      <alignment horizontal="center" wrapText="1"/>
    </xf>
    <xf numFmtId="0" fontId="5" fillId="0" borderId="0" xfId="4" applyFont="1" applyFill="1"/>
    <xf numFmtId="0" fontId="5" fillId="0" borderId="0" xfId="4" applyFont="1"/>
    <xf numFmtId="0" fontId="12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1" fillId="2" borderId="4" xfId="0" applyFont="1" applyFill="1" applyBorder="1"/>
    <xf numFmtId="0" fontId="0" fillId="2" borderId="0" xfId="0" applyFill="1" applyBorder="1"/>
    <xf numFmtId="167" fontId="11" fillId="0" borderId="4" xfId="2" applyNumberFormat="1" applyFont="1" applyFill="1" applyBorder="1"/>
    <xf numFmtId="167" fontId="11" fillId="0" borderId="0" xfId="2" applyNumberFormat="1" applyFont="1" applyFill="1" applyBorder="1"/>
    <xf numFmtId="167" fontId="11" fillId="2" borderId="4" xfId="0" applyNumberFormat="1" applyFont="1" applyFill="1" applyBorder="1"/>
    <xf numFmtId="167" fontId="11" fillId="2" borderId="0" xfId="0" applyNumberFormat="1" applyFont="1" applyFill="1" applyBorder="1"/>
    <xf numFmtId="165" fontId="11" fillId="2" borderId="4" xfId="1" applyNumberFormat="1" applyFont="1" applyFill="1" applyBorder="1"/>
    <xf numFmtId="165" fontId="11" fillId="2" borderId="0" xfId="1" applyNumberFormat="1" applyFont="1" applyFill="1" applyBorder="1"/>
    <xf numFmtId="0" fontId="11" fillId="0" borderId="0" xfId="0" applyFont="1" applyFill="1"/>
    <xf numFmtId="168" fontId="11" fillId="0" borderId="0" xfId="2" applyNumberFormat="1" applyFont="1" applyFill="1"/>
    <xf numFmtId="0" fontId="0" fillId="0" borderId="4" xfId="0" applyBorder="1"/>
    <xf numFmtId="0" fontId="0" fillId="0" borderId="0" xfId="0" applyBorder="1"/>
    <xf numFmtId="7" fontId="11" fillId="0" borderId="0" xfId="2" applyNumberFormat="1" applyFont="1" applyFill="1"/>
    <xf numFmtId="7" fontId="11" fillId="0" borderId="0" xfId="2" applyNumberFormat="1" applyFont="1" applyFill="1" applyAlignment="1">
      <alignment horizontal="center"/>
    </xf>
    <xf numFmtId="167" fontId="11" fillId="2" borderId="4" xfId="2" applyNumberFormat="1" applyFont="1" applyFill="1" applyBorder="1" applyAlignment="1">
      <alignment horizontal="center"/>
    </xf>
    <xf numFmtId="0" fontId="0" fillId="2" borderId="4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165" fontId="5" fillId="2" borderId="0" xfId="4" applyNumberFormat="1" applyFont="1" applyFill="1" applyAlignment="1">
      <alignment horizontal="center"/>
    </xf>
    <xf numFmtId="0" fontId="6" fillId="2" borderId="0" xfId="4" applyFont="1" applyFill="1" applyAlignment="1">
      <alignment horizontal="center" vertical="center"/>
    </xf>
    <xf numFmtId="0" fontId="5" fillId="2" borderId="0" xfId="4" applyFont="1" applyFill="1" applyAlignment="1">
      <alignment horizontal="center" vertical="center"/>
    </xf>
    <xf numFmtId="0" fontId="5" fillId="2" borderId="0" xfId="4" applyFont="1" applyFill="1" applyAlignment="1">
      <alignment horizontal="center" vertical="center" wrapText="1"/>
    </xf>
    <xf numFmtId="167" fontId="8" fillId="2" borderId="0" xfId="4" applyNumberFormat="1" applyFont="1" applyFill="1" applyAlignment="1">
      <alignment vertical="center"/>
    </xf>
    <xf numFmtId="167" fontId="9" fillId="2" borderId="3" xfId="4" applyNumberFormat="1" applyFont="1" applyFill="1" applyBorder="1" applyAlignment="1">
      <alignment vertical="center"/>
    </xf>
    <xf numFmtId="0" fontId="6" fillId="2" borderId="0" xfId="4" applyFont="1" applyFill="1" applyAlignment="1">
      <alignment vertical="center" wrapText="1"/>
    </xf>
    <xf numFmtId="0" fontId="2" fillId="0" borderId="0" xfId="4" applyAlignment="1">
      <alignment vertical="center"/>
    </xf>
    <xf numFmtId="0" fontId="10" fillId="2" borderId="0" xfId="4" applyFont="1" applyFill="1" applyAlignment="1">
      <alignment horizontal="center"/>
    </xf>
    <xf numFmtId="0" fontId="10" fillId="2" borderId="0" xfId="4" quotePrefix="1" applyFont="1" applyFill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5" fillId="2" borderId="0" xfId="4" applyFont="1" applyFill="1" applyAlignment="1">
      <alignment horizontal="center"/>
    </xf>
    <xf numFmtId="0" fontId="15" fillId="2" borderId="0" xfId="4" quotePrefix="1" applyFont="1" applyFill="1" applyAlignment="1">
      <alignment horizontal="center"/>
    </xf>
    <xf numFmtId="0" fontId="0" fillId="2" borderId="0" xfId="0" applyFill="1" applyAlignment="1">
      <alignment horizontal="center" vertical="center"/>
    </xf>
  </cellXfs>
  <cellStyles count="11">
    <cellStyle name="Comma" xfId="1" builtinId="3"/>
    <cellStyle name="Comma 2" xfId="5"/>
    <cellStyle name="Currency" xfId="2" builtinId="4"/>
    <cellStyle name="Currency 2" xfId="6"/>
    <cellStyle name="Currency 2 2" xfId="8"/>
    <cellStyle name="Normal" xfId="0" builtinId="0"/>
    <cellStyle name="Normal 2" xfId="4"/>
    <cellStyle name="Percent" xfId="3" builtinId="5"/>
    <cellStyle name="Percent 2" xfId="10"/>
    <cellStyle name="Report Heading 2" xfId="7"/>
    <cellStyle name="Report Heading 3 2" xfId="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customXml" Target="../customXml/item1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42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2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GS%201204%20(CB%20Report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ZNetwork%20Restructuring\02Inputs\JE143-Electric_Unbilled_Revenue_Current_&amp;_Reverse_Prior_mo\0902%20JE143\09-02%20Elec_Unb%20(93.5%25%2009%20months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PCA%20&amp;%20RC%2006_2003%20TY\GRC\New%20Plant-093003\FredDispatch%209.3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C0\Aurora%20Prices%20for%20ROR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cartwri\My%20Documents\Projects\PSE\Projects\BHP\Due%20Diligence\BHP%20IS.BS.CF%20Mode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hveal\My%20Documents\2006GRC\Incentive%20Pay\2.29E%20Incentive%20Pa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5\2.01E%20Temperature%20Normalization_1205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epor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GrpRevnu\PUBLIC\WUTC\Puget%20Sound%20Energy\Semi%20Annual%20Report\Jun_30_01\Proforma%20Adj_not%20use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2\Gas\semi1202.rev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Unbilled%20Rev%20Electric%20-%20Gas%20-%20SOE%20-%20SOG\2005\SOE\09-2005%20SOE%20Fina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PCA%20&amp;%20RC%2006_2003%20TY\GRC\LaborInctvOH%200903%20GRC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PCA%20&amp;%20RC%2006_2003%20TY\PCA\New%20Plant-093003\FredDispatch%209.3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p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3%20CommBasisRp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st%20Accounting\Resource%20Costs\REPWBook_PRA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2006%20GRC\2006%20GRC%20Original%20Filing\Models&amp;Adjs\3.05E%20&amp;%203.05G%20ALLOC%20METHOD%20working%20fi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EL%201204%20(CB%20Report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2F\Due%20Diligence\August%20New%20Model\Fred%20Value%209.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c2777\AppData\Local\Microsoft\Windows\Temporary%20Internet%20Files\Content.Outlook\948CA9O2\Forecast%20Extrac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 Explanation"/>
      <sheetName val="model"/>
      <sheetName val="Gas Unit cost"/>
      <sheetName val="Restating Print Macros"/>
      <sheetName val="Module13"/>
      <sheetName val="Module14"/>
      <sheetName val="Module15"/>
      <sheetName val="Module1"/>
      <sheetName val="actual"/>
      <sheetName val="GRB"/>
      <sheetName val="Rollforward"/>
      <sheetName val="PREVIOUS"/>
      <sheetName val="CHANGES"/>
      <sheetName val="Gas Unit Cost Summary 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TAB"/>
      <sheetName val="LeadSht"/>
      <sheetName val="Sch_94"/>
      <sheetName val="Sch94KWHs"/>
      <sheetName val="LowInc"/>
      <sheetName val="Target"/>
      <sheetName val="Final Rsbl"/>
      <sheetName val="02vs01"/>
      <sheetName val="Sch120Rsbl"/>
      <sheetName val="Sch_194Rsbl"/>
      <sheetName val="RateInc"/>
      <sheetName val="Bs Unbl Rt"/>
      <sheetName val="GPI"/>
      <sheetName val="Pended"/>
      <sheetName val="UnbDays"/>
      <sheetName val="Historical"/>
      <sheetName val="Realization"/>
      <sheetName val="Sch449-59"/>
      <sheetName val="Table"/>
      <sheetName val="APUA"/>
      <sheetName val="Sch_120"/>
      <sheetName val="Sch94 Rlfwd"/>
      <sheetName val="UBRtFinal"/>
      <sheetName val="UBRtRev"/>
      <sheetName val="UBRt"/>
      <sheetName val="JE #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/>
      <sheetData sheetId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29"/>
      <sheetName val="Incent &amp; Related PR Tax"/>
      <sheetName val="2004-2005"/>
      <sheetName val="2004"/>
      <sheetName val="2005"/>
      <sheetName val="2.29  (4 yr Avg)"/>
      <sheetName val="4 yr avg 2005"/>
      <sheetName val="4 yr avg 2003"/>
      <sheetName val="12 mth ending 09 2005"/>
      <sheetName val="SLIP"/>
      <sheetName val="4 yr dat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Sum to C. Pricing"/>
      <sheetName val="Summary"/>
      <sheetName val="Daily Calc"/>
      <sheetName val="Data"/>
      <sheetName val="Coeff"/>
      <sheetName val="HDD"/>
      <sheetName val="CDD"/>
      <sheetName val="Loads"/>
      <sheetName val="30-Y Norm Calc"/>
      <sheetName val="Hourly Temps"/>
      <sheetName val="Loss Factor99-05"/>
      <sheetName val="New C Count"/>
      <sheetName val="How to Calc Norm Load"/>
      <sheetName val="Actual Load E.Acctg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AJ3" t="str">
            <v>PAGE 2.16</v>
          </cell>
        </row>
        <row r="4">
          <cell r="AF4" t="str">
            <v>PUGET SOUND ENERGY-ELECTRIC ONLY</v>
          </cell>
        </row>
        <row r="5">
          <cell r="AF5" t="str">
            <v>MERGER COST RESTATEMENT</v>
          </cell>
        </row>
        <row r="6">
          <cell r="AF6" t="str">
            <v>FOR THE TWELVE MONTHS ENDED JUNE 30, 2001</v>
          </cell>
        </row>
        <row r="7">
          <cell r="AF7" t="str">
            <v>GENERAL RATE INCREASE</v>
          </cell>
        </row>
        <row r="9">
          <cell r="AF9" t="str">
            <v>LINE</v>
          </cell>
        </row>
        <row r="10"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F12">
            <v>1</v>
          </cell>
          <cell r="AG12" t="str">
            <v>OPERATING EXPENSES</v>
          </cell>
        </row>
        <row r="13"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F14">
            <v>3</v>
          </cell>
        </row>
        <row r="15">
          <cell r="AF15">
            <v>4</v>
          </cell>
        </row>
        <row r="16">
          <cell r="AF16">
            <v>5</v>
          </cell>
        </row>
        <row r="17">
          <cell r="AF17">
            <v>6</v>
          </cell>
        </row>
        <row r="18"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F19">
            <v>8</v>
          </cell>
        </row>
        <row r="20">
          <cell r="AF20">
            <v>9</v>
          </cell>
        </row>
        <row r="21">
          <cell r="AF21">
            <v>10</v>
          </cell>
        </row>
        <row r="22">
          <cell r="AF22">
            <v>11</v>
          </cell>
        </row>
        <row r="23">
          <cell r="AF23">
            <v>12</v>
          </cell>
        </row>
        <row r="24"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F26">
            <v>15</v>
          </cell>
        </row>
        <row r="27"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R"/>
      <sheetName val="Plant"/>
      <sheetName val="Adjust Explanation"/>
      <sheetName val="model"/>
      <sheetName val="Restating Print Macros"/>
      <sheetName val="Module13"/>
      <sheetName val="Module14"/>
      <sheetName val="Module15"/>
      <sheetName val="Module1"/>
      <sheetName val=" model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QTD"/>
      <sheetName val="YTD"/>
      <sheetName val="YTD Detail"/>
      <sheetName val="12ME"/>
      <sheetName val="12ME Detail"/>
    </sheetNames>
    <sheetDataSet>
      <sheetData sheetId="0">
        <row r="11">
          <cell r="B11">
            <v>44233239.039999999</v>
          </cell>
          <cell r="D11">
            <v>42263600</v>
          </cell>
        </row>
        <row r="32">
          <cell r="B32">
            <v>3725069</v>
          </cell>
          <cell r="D32">
            <v>3467692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LBO 12ME 0903"/>
      <sheetName val="Restated"/>
      <sheetName val="Alternative"/>
      <sheetName val="IPOA2003"/>
      <sheetName val="IPOA200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BS"/>
      <sheetName val="CWC"/>
      <sheetName val="Extrac1"/>
      <sheetName val="Cube.SAP Recon"/>
      <sheetName val="Dec03"/>
      <sheetName val="Nov03"/>
      <sheetName val="Oct03"/>
      <sheetName val="Sep03"/>
      <sheetName val="JulAug03"/>
      <sheetName val="Jun03"/>
      <sheetName val="AprMay03"/>
      <sheetName val="FebMar03"/>
      <sheetName val="Jan03"/>
      <sheetName val="Dec02"/>
      <sheetName val="Procedur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>
        <row r="10">
          <cell r="R10">
            <v>3906774146.0166669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_A_DOL93"/>
      <sheetName val="DT_A_AMW93"/>
      <sheetName val="PCost Rpt Dol"/>
      <sheetName val="Outlook"/>
      <sheetName val="PCost Rpt MWH"/>
      <sheetName val="Unit Cost Report"/>
      <sheetName val="on-off Shaping MWh"/>
      <sheetName val="on-off Shaping aMW"/>
      <sheetName val="MacroSmall"/>
      <sheetName val="MacroJHS"/>
      <sheetName val="MacroLINKS"/>
      <sheetName val="Module2"/>
      <sheetName val="Module1"/>
      <sheetName val="Module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05"/>
      <sheetName val="4Fact"/>
      <sheetName val="Comparison"/>
      <sheetName val="T&amp;D Vari Expl"/>
      <sheetName val="T&amp;D Vari Expl.Operat"/>
      <sheetName val="E&amp;G Plant"/>
      <sheetName val="BS"/>
      <sheetName val="IS"/>
      <sheetName val="IS. allocate"/>
      <sheetName val="T,Distr &amp; G.Plant"/>
      <sheetName val="FERC.P354,5"/>
      <sheetName val="SAP DL Download"/>
      <sheetName val="Tax &amp; Benefit Form"/>
      <sheetName val="DL"/>
      <sheetName val="SAP.ZASS.E"/>
      <sheetName val="SAP.ZASS.G"/>
      <sheetName val="CustCount_G"/>
      <sheetName val="CustCount_E"/>
      <sheetName val="Me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 Explanation"/>
      <sheetName val="model"/>
      <sheetName val="Unit Cost"/>
      <sheetName val="Combined ROE Matrix"/>
      <sheetName val="ROE matrix"/>
      <sheetName val="Rlfwd"/>
      <sheetName val="Previous"/>
      <sheetName val="Diff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>
        <row r="4">
          <cell r="A4" t="str">
            <v>PUGET SOUND ENERGY-ELECTRIC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Bill Determinants"/>
      <sheetName val="2013"/>
      <sheetName val="2014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tabSelected="1" view="pageLayout" topLeftCell="E20" zoomScaleNormal="100" workbookViewId="0">
      <selection activeCell="Q24" sqref="Q24"/>
    </sheetView>
  </sheetViews>
  <sheetFormatPr defaultRowHeight="14.4" x14ac:dyDescent="0.3"/>
  <cols>
    <col min="1" max="1" width="7.33203125" customWidth="1"/>
    <col min="2" max="2" width="27.77734375" customWidth="1"/>
    <col min="3" max="3" width="15" customWidth="1"/>
    <col min="4" max="4" width="11.5546875" customWidth="1"/>
    <col min="5" max="5" width="11.21875" customWidth="1"/>
    <col min="6" max="6" width="12.21875" customWidth="1"/>
    <col min="7" max="16" width="11.21875" customWidth="1"/>
    <col min="17" max="17" width="12.6640625" customWidth="1"/>
    <col min="18" max="18" width="12.21875" hidden="1" customWidth="1"/>
    <col min="19" max="20" width="11.21875" hidden="1" customWidth="1"/>
    <col min="21" max="21" width="0.6640625" hidden="1" customWidth="1"/>
    <col min="22" max="22" width="12.21875" customWidth="1"/>
  </cols>
  <sheetData>
    <row r="1" spans="1:22" ht="15.6" x14ac:dyDescent="0.3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</row>
    <row r="2" spans="1:22" ht="17.399999999999999" x14ac:dyDescent="0.3">
      <c r="A2" s="88" t="s">
        <v>106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9"/>
      <c r="S2" s="89"/>
      <c r="T2" s="89"/>
      <c r="U2" s="89"/>
      <c r="V2" s="89"/>
    </row>
    <row r="3" spans="1:22" ht="15.6" x14ac:dyDescent="0.3">
      <c r="A3" s="90" t="s">
        <v>107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90"/>
      <c r="S3" s="90"/>
      <c r="T3" s="90"/>
      <c r="U3" s="90"/>
      <c r="V3" s="90"/>
    </row>
    <row r="4" spans="1:22" ht="15.6" x14ac:dyDescent="0.3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  <c r="T4" s="2"/>
      <c r="U4" s="2"/>
      <c r="V4" s="4"/>
    </row>
    <row r="5" spans="1:22" ht="41.4" customHeight="1" x14ac:dyDescent="0.3">
      <c r="A5" s="5"/>
      <c r="B5" s="5"/>
      <c r="C5" s="5"/>
      <c r="D5" s="91">
        <f>10/31</f>
        <v>0.32258064516129031</v>
      </c>
      <c r="E5" s="91">
        <f>21/31</f>
        <v>0.67741935483870963</v>
      </c>
      <c r="F5" s="13" t="s">
        <v>108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7" t="s">
        <v>109</v>
      </c>
      <c r="S5" s="7" t="s">
        <v>110</v>
      </c>
      <c r="T5" s="7" t="s">
        <v>111</v>
      </c>
      <c r="U5" s="7" t="s">
        <v>112</v>
      </c>
      <c r="V5" s="8" t="s">
        <v>113</v>
      </c>
    </row>
    <row r="6" spans="1:22" ht="26.4" x14ac:dyDescent="0.3">
      <c r="A6" s="9" t="s">
        <v>2</v>
      </c>
      <c r="B6" s="10"/>
      <c r="C6" s="11" t="s">
        <v>3</v>
      </c>
      <c r="D6" s="11" t="s">
        <v>114</v>
      </c>
      <c r="E6" s="11" t="s">
        <v>115</v>
      </c>
      <c r="F6" s="92">
        <v>42370</v>
      </c>
      <c r="G6" s="12">
        <f t="shared" ref="G6:Q6" si="0">EDATE(F6,1)</f>
        <v>42401</v>
      </c>
      <c r="H6" s="12">
        <f t="shared" si="0"/>
        <v>42430</v>
      </c>
      <c r="I6" s="12">
        <f t="shared" si="0"/>
        <v>42461</v>
      </c>
      <c r="J6" s="12">
        <f t="shared" si="0"/>
        <v>42491</v>
      </c>
      <c r="K6" s="12">
        <f t="shared" si="0"/>
        <v>42522</v>
      </c>
      <c r="L6" s="12">
        <f t="shared" si="0"/>
        <v>42552</v>
      </c>
      <c r="M6" s="12">
        <f t="shared" si="0"/>
        <v>42583</v>
      </c>
      <c r="N6" s="12">
        <f t="shared" si="0"/>
        <v>42614</v>
      </c>
      <c r="O6" s="12">
        <f t="shared" si="0"/>
        <v>42644</v>
      </c>
      <c r="P6" s="12">
        <f t="shared" si="0"/>
        <v>42675</v>
      </c>
      <c r="Q6" s="12">
        <f t="shared" si="0"/>
        <v>42705</v>
      </c>
      <c r="R6" s="12" t="s">
        <v>4</v>
      </c>
      <c r="S6" s="12" t="s">
        <v>4</v>
      </c>
      <c r="T6" s="12" t="s">
        <v>4</v>
      </c>
      <c r="U6" s="12" t="s">
        <v>4</v>
      </c>
      <c r="V6" s="12" t="s">
        <v>4</v>
      </c>
    </row>
    <row r="7" spans="1:22" x14ac:dyDescent="0.3">
      <c r="A7" s="13"/>
      <c r="B7" s="13" t="s">
        <v>5</v>
      </c>
      <c r="C7" s="13" t="s">
        <v>6</v>
      </c>
      <c r="D7" s="13"/>
      <c r="E7" s="13"/>
      <c r="F7" s="13" t="s">
        <v>7</v>
      </c>
      <c r="G7" s="13" t="s">
        <v>8</v>
      </c>
      <c r="H7" s="13" t="s">
        <v>9</v>
      </c>
      <c r="I7" s="13" t="s">
        <v>10</v>
      </c>
      <c r="J7" s="13" t="s">
        <v>11</v>
      </c>
      <c r="K7" s="13" t="s">
        <v>12</v>
      </c>
      <c r="L7" s="13" t="s">
        <v>13</v>
      </c>
      <c r="M7" s="13" t="s">
        <v>14</v>
      </c>
      <c r="N7" s="13" t="s">
        <v>15</v>
      </c>
      <c r="O7" s="13" t="s">
        <v>16</v>
      </c>
      <c r="P7" s="13" t="s">
        <v>17</v>
      </c>
      <c r="Q7" s="13" t="s">
        <v>18</v>
      </c>
      <c r="R7" s="13" t="s">
        <v>19</v>
      </c>
      <c r="S7" s="13"/>
      <c r="T7" s="13"/>
      <c r="U7" s="13"/>
      <c r="V7" s="13" t="s">
        <v>19</v>
      </c>
    </row>
    <row r="8" spans="1:22" x14ac:dyDescent="0.3">
      <c r="A8" s="13"/>
      <c r="B8" s="6" t="s">
        <v>20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5"/>
      <c r="S8" s="15"/>
      <c r="T8" s="15"/>
      <c r="U8" s="15"/>
      <c r="V8" s="15"/>
    </row>
    <row r="9" spans="1:22" x14ac:dyDescent="0.3">
      <c r="A9" s="13">
        <v>1</v>
      </c>
      <c r="B9" s="5" t="s">
        <v>21</v>
      </c>
      <c r="C9" s="13" t="s">
        <v>22</v>
      </c>
      <c r="D9" s="127">
        <f>$F9*D$5</f>
        <v>49326.451612903227</v>
      </c>
      <c r="E9" s="127">
        <f>$F9*E$5</f>
        <v>103585.54838709677</v>
      </c>
      <c r="F9" s="93">
        <v>152912</v>
      </c>
      <c r="G9" s="93">
        <v>153882</v>
      </c>
      <c r="H9" s="93">
        <v>153511</v>
      </c>
      <c r="I9" s="93">
        <v>153360</v>
      </c>
      <c r="J9" s="93">
        <v>153389</v>
      </c>
      <c r="K9" s="93">
        <v>153224</v>
      </c>
      <c r="L9" s="93">
        <v>153459</v>
      </c>
      <c r="M9" s="93">
        <v>153740</v>
      </c>
      <c r="N9" s="93">
        <v>154156</v>
      </c>
      <c r="O9" s="93">
        <v>154684</v>
      </c>
      <c r="P9" s="93">
        <v>155353</v>
      </c>
      <c r="Q9" s="93">
        <v>155792</v>
      </c>
      <c r="R9" s="14">
        <f>SUM(F9:H9)</f>
        <v>460305</v>
      </c>
      <c r="S9" s="14">
        <f>SUM(I9:K9)</f>
        <v>459973</v>
      </c>
      <c r="T9" s="14">
        <f>SUM(L9:N9)</f>
        <v>461355</v>
      </c>
      <c r="U9" s="14">
        <f>SUM(O9:Q9)</f>
        <v>465829</v>
      </c>
      <c r="V9" s="14">
        <f>SUM(F9:Q9)</f>
        <v>1847462</v>
      </c>
    </row>
    <row r="10" spans="1:22" ht="27" x14ac:dyDescent="0.3">
      <c r="A10" s="94">
        <f>A9+1</f>
        <v>2</v>
      </c>
      <c r="B10" s="95" t="s">
        <v>23</v>
      </c>
      <c r="C10" s="96" t="s">
        <v>116</v>
      </c>
      <c r="D10" s="97">
        <v>48.137706084246098</v>
      </c>
      <c r="E10" s="97">
        <v>61.486922879017001</v>
      </c>
      <c r="F10" s="97">
        <f>$D$10*$D$5+$E$10*$E$5</f>
        <v>57.180723912961867</v>
      </c>
      <c r="G10" s="97">
        <v>50.866570431256761</v>
      </c>
      <c r="H10" s="97">
        <v>41.030399057560587</v>
      </c>
      <c r="I10" s="97">
        <v>22.870205136351437</v>
      </c>
      <c r="J10" s="97">
        <v>14.23092748790198</v>
      </c>
      <c r="K10" s="97">
        <v>8.7158034693822444</v>
      </c>
      <c r="L10" s="97">
        <v>6.0908076255147918</v>
      </c>
      <c r="M10" s="97">
        <v>5.9532658136335108</v>
      </c>
      <c r="N10" s="97">
        <v>7.9296716744335587</v>
      </c>
      <c r="O10" s="97">
        <v>25.196066218038329</v>
      </c>
      <c r="P10" s="97">
        <v>43.401260450086617</v>
      </c>
      <c r="Q10" s="97">
        <v>63.188099756823149</v>
      </c>
      <c r="R10" s="98">
        <f>R11/R9</f>
        <v>49.68376627628782</v>
      </c>
      <c r="S10" s="98">
        <f>S11/S9</f>
        <v>15.274184934648941</v>
      </c>
      <c r="T10" s="98">
        <f>T11/T9</f>
        <v>6.6594071815323783</v>
      </c>
      <c r="U10" s="98">
        <f>U11/U9</f>
        <v>43.973528395373286</v>
      </c>
      <c r="V10" s="98">
        <f>V11/V9</f>
        <v>28.932608227869451</v>
      </c>
    </row>
    <row r="11" spans="1:22" x14ac:dyDescent="0.3">
      <c r="A11" s="13">
        <f>A10+1</f>
        <v>3</v>
      </c>
      <c r="B11" s="5" t="s">
        <v>24</v>
      </c>
      <c r="C11" s="13" t="str">
        <f>"("&amp;A9&amp;") x ("&amp;A10&amp;")"</f>
        <v>(1) x (2)</v>
      </c>
      <c r="D11" s="15">
        <f t="shared" ref="D11:Q11" si="1">D9*D10</f>
        <v>2374462.2299207225</v>
      </c>
      <c r="E11" s="15">
        <f t="shared" si="1"/>
        <v>6369156.6250581034</v>
      </c>
      <c r="F11" s="15">
        <f t="shared" si="1"/>
        <v>8743618.854978824</v>
      </c>
      <c r="G11" s="15">
        <f t="shared" si="1"/>
        <v>7827449.5911026532</v>
      </c>
      <c r="H11" s="15">
        <f t="shared" si="1"/>
        <v>6298617.5897251833</v>
      </c>
      <c r="I11" s="15">
        <f t="shared" si="1"/>
        <v>3507374.6597108566</v>
      </c>
      <c r="J11" s="15">
        <f t="shared" si="1"/>
        <v>2182867.7364417966</v>
      </c>
      <c r="K11" s="15">
        <f t="shared" si="1"/>
        <v>1335470.2707926249</v>
      </c>
      <c r="L11" s="15">
        <f t="shared" si="1"/>
        <v>934689.24740387441</v>
      </c>
      <c r="M11" s="15">
        <f t="shared" si="1"/>
        <v>915255.08618801599</v>
      </c>
      <c r="N11" s="15">
        <f t="shared" si="1"/>
        <v>1222406.4666439798</v>
      </c>
      <c r="O11" s="15">
        <f t="shared" si="1"/>
        <v>3897428.3068710407</v>
      </c>
      <c r="P11" s="15">
        <f t="shared" si="1"/>
        <v>6742516.0147023061</v>
      </c>
      <c r="Q11" s="15">
        <f t="shared" si="1"/>
        <v>9844200.4373149928</v>
      </c>
      <c r="R11" s="15">
        <f>SUM(F11:H11)</f>
        <v>22869686.035806663</v>
      </c>
      <c r="S11" s="15">
        <f>SUM(I11:K11)</f>
        <v>7025712.6669452777</v>
      </c>
      <c r="T11" s="15">
        <f>SUM(L11:N11)</f>
        <v>3072350.8002358703</v>
      </c>
      <c r="U11" s="15">
        <f>SUM(O11:Q11)</f>
        <v>20484144.758888341</v>
      </c>
      <c r="V11" s="15">
        <f>SUM(F11:Q11)</f>
        <v>53451894.261876151</v>
      </c>
    </row>
    <row r="12" spans="1:22" x14ac:dyDescent="0.3">
      <c r="A12" s="13"/>
      <c r="B12" s="5"/>
      <c r="C12" s="13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6"/>
      <c r="S12" s="16"/>
      <c r="T12" s="16"/>
      <c r="U12" s="16"/>
      <c r="V12" s="16"/>
    </row>
    <row r="13" spans="1:22" ht="27" x14ac:dyDescent="0.3">
      <c r="A13" s="13"/>
      <c r="B13" s="105" t="s">
        <v>117</v>
      </c>
      <c r="C13" s="13" t="s">
        <v>22</v>
      </c>
      <c r="D13" s="99">
        <f t="shared" ref="D13:E15" si="2">$F13*D$5</f>
        <v>6502858.7096774196</v>
      </c>
      <c r="E13" s="99">
        <f t="shared" si="2"/>
        <v>13656003.290322579</v>
      </c>
      <c r="F13" s="93">
        <v>20158862</v>
      </c>
      <c r="G13" s="93">
        <v>14311636</v>
      </c>
      <c r="H13" s="93">
        <v>12256797</v>
      </c>
      <c r="I13" s="93">
        <v>5360973</v>
      </c>
      <c r="J13" s="93">
        <v>3390462</v>
      </c>
      <c r="K13" s="93">
        <v>2769530</v>
      </c>
      <c r="L13" s="93">
        <v>2296193</v>
      </c>
      <c r="M13" s="93">
        <v>2357534</v>
      </c>
      <c r="N13" s="93">
        <v>3002763</v>
      </c>
      <c r="O13" s="93">
        <v>7275160</v>
      </c>
      <c r="P13" s="93">
        <v>11371977.854</v>
      </c>
      <c r="Q13" s="93">
        <v>24244299</v>
      </c>
      <c r="R13" s="16"/>
      <c r="S13" s="16"/>
      <c r="T13" s="16"/>
      <c r="U13" s="16"/>
      <c r="V13" s="16"/>
    </row>
    <row r="14" spans="1:22" ht="27" x14ac:dyDescent="0.3">
      <c r="A14" s="13">
        <v>4</v>
      </c>
      <c r="B14" s="100" t="s">
        <v>118</v>
      </c>
      <c r="C14" s="13" t="s">
        <v>22</v>
      </c>
      <c r="D14" s="15">
        <f t="shared" si="2"/>
        <v>3329859.0213516126</v>
      </c>
      <c r="E14" s="15">
        <f t="shared" si="2"/>
        <v>6992703.944838386</v>
      </c>
      <c r="F14" s="101">
        <v>10322562.966189999</v>
      </c>
      <c r="G14" s="101">
        <v>7563311.6368199997</v>
      </c>
      <c r="H14" s="101">
        <v>6495024.7852400001</v>
      </c>
      <c r="I14" s="101">
        <v>3429417.5249099997</v>
      </c>
      <c r="J14" s="101">
        <v>2661585.5977799995</v>
      </c>
      <c r="K14" s="101">
        <v>2472638.1836200003</v>
      </c>
      <c r="L14" s="101">
        <v>2330789.9289899999</v>
      </c>
      <c r="M14" s="101">
        <v>2442105.8187199999</v>
      </c>
      <c r="N14" s="101">
        <v>2634492.3074999996</v>
      </c>
      <c r="O14" s="101">
        <v>4372688.1463000001</v>
      </c>
      <c r="P14" s="101">
        <v>6355325.3420700002</v>
      </c>
      <c r="Q14" s="101">
        <v>11925970.28899</v>
      </c>
      <c r="R14" s="18"/>
      <c r="S14" s="18"/>
      <c r="T14" s="18"/>
      <c r="U14" s="18"/>
      <c r="V14" s="18"/>
    </row>
    <row r="15" spans="1:22" x14ac:dyDescent="0.3">
      <c r="A15" s="13">
        <v>5</v>
      </c>
      <c r="B15" s="5" t="s">
        <v>25</v>
      </c>
      <c r="C15" s="13" t="s">
        <v>22</v>
      </c>
      <c r="D15" s="15">
        <f t="shared" si="2"/>
        <v>449250.96774193546</v>
      </c>
      <c r="E15" s="15">
        <f t="shared" si="2"/>
        <v>943427.03225806449</v>
      </c>
      <c r="F15" s="101">
        <v>1392678</v>
      </c>
      <c r="G15" s="101">
        <v>1402065</v>
      </c>
      <c r="H15" s="101">
        <v>1398500</v>
      </c>
      <c r="I15" s="101">
        <v>1402389</v>
      </c>
      <c r="J15" s="101">
        <v>1406025</v>
      </c>
      <c r="K15" s="101">
        <v>1409895</v>
      </c>
      <c r="L15" s="101">
        <v>1407339</v>
      </c>
      <c r="M15" s="101">
        <v>1413126</v>
      </c>
      <c r="N15" s="101">
        <v>1411704</v>
      </c>
      <c r="O15" s="101">
        <v>1414452.86</v>
      </c>
      <c r="P15" s="101">
        <v>1417987.5</v>
      </c>
      <c r="Q15" s="101">
        <v>1420220.72</v>
      </c>
      <c r="R15" s="18"/>
      <c r="S15" s="18"/>
      <c r="T15" s="18"/>
      <c r="U15" s="18"/>
      <c r="V15" s="18"/>
    </row>
    <row r="16" spans="1:22" x14ac:dyDescent="0.3">
      <c r="A16" s="13">
        <v>6</v>
      </c>
      <c r="B16" s="5" t="s">
        <v>26</v>
      </c>
      <c r="C16" s="13" t="str">
        <f>"("&amp;A14&amp;") - ("&amp;A15&amp;")"</f>
        <v>(4) - (5)</v>
      </c>
      <c r="D16" s="15">
        <f>D14-D15</f>
        <v>2880608.0536096771</v>
      </c>
      <c r="E16" s="15">
        <f>E14-E15</f>
        <v>6049276.9125803215</v>
      </c>
      <c r="F16" s="15">
        <f>F14-F15</f>
        <v>8929884.9661899991</v>
      </c>
      <c r="G16" s="15">
        <f t="shared" ref="G16:Q16" si="3">G14-G15</f>
        <v>6161246.6368199997</v>
      </c>
      <c r="H16" s="15">
        <f t="shared" si="3"/>
        <v>5096524.7852400001</v>
      </c>
      <c r="I16" s="15">
        <f t="shared" si="3"/>
        <v>2027028.5249099997</v>
      </c>
      <c r="J16" s="15">
        <f t="shared" si="3"/>
        <v>1255560.5977799995</v>
      </c>
      <c r="K16" s="15">
        <f t="shared" si="3"/>
        <v>1062743.1836200003</v>
      </c>
      <c r="L16" s="15">
        <f t="shared" si="3"/>
        <v>923450.92898999993</v>
      </c>
      <c r="M16" s="15">
        <f t="shared" si="3"/>
        <v>1028979.8187199999</v>
      </c>
      <c r="N16" s="15">
        <f t="shared" si="3"/>
        <v>1222788.3074999996</v>
      </c>
      <c r="O16" s="15">
        <f t="shared" si="3"/>
        <v>2958235.2862999998</v>
      </c>
      <c r="P16" s="15">
        <f t="shared" si="3"/>
        <v>4937337.8420700002</v>
      </c>
      <c r="Q16" s="15">
        <f t="shared" si="3"/>
        <v>10505749.56899</v>
      </c>
      <c r="R16" s="15">
        <f>SUM(F16:H16)</f>
        <v>20187656.388250001</v>
      </c>
      <c r="S16" s="15">
        <f>SUM(I16:K16)</f>
        <v>4345332.3063099999</v>
      </c>
      <c r="T16" s="15">
        <f>SUM(L16:N16)</f>
        <v>3175219.0552099994</v>
      </c>
      <c r="U16" s="15">
        <f>SUM(O16:Q16)</f>
        <v>18401322.697360002</v>
      </c>
      <c r="V16" s="15">
        <f>SUM(F16:Q16)</f>
        <v>46109530.447129995</v>
      </c>
    </row>
    <row r="17" spans="1:22" ht="27" x14ac:dyDescent="0.3">
      <c r="A17" s="13"/>
      <c r="B17" s="105" t="s">
        <v>27</v>
      </c>
      <c r="C17" s="13"/>
      <c r="D17" s="25">
        <f>D16/D9</f>
        <v>58.398850098030231</v>
      </c>
      <c r="E17" s="25">
        <f>E16/E9</f>
        <v>58.398850098030231</v>
      </c>
      <c r="F17" s="25">
        <f>F16/F9</f>
        <v>58.398850098030231</v>
      </c>
      <c r="G17" s="25">
        <f t="shared" ref="G17:Q17" si="4">G16/G9</f>
        <v>40.038774104963544</v>
      </c>
      <c r="H17" s="25">
        <f t="shared" si="4"/>
        <v>33.199736730527455</v>
      </c>
      <c r="I17" s="25">
        <f t="shared" si="4"/>
        <v>13.217452562010953</v>
      </c>
      <c r="J17" s="25">
        <f t="shared" si="4"/>
        <v>8.1854670007627632</v>
      </c>
      <c r="K17" s="25">
        <f t="shared" si="4"/>
        <v>6.935879389782281</v>
      </c>
      <c r="L17" s="25">
        <f t="shared" si="4"/>
        <v>6.0175742640705332</v>
      </c>
      <c r="M17" s="25">
        <f t="shared" si="4"/>
        <v>6.692986982698061</v>
      </c>
      <c r="N17" s="25">
        <f t="shared" si="4"/>
        <v>7.9321486513661466</v>
      </c>
      <c r="O17" s="25">
        <f t="shared" si="4"/>
        <v>19.124377998370871</v>
      </c>
      <c r="P17" s="25">
        <f t="shared" si="4"/>
        <v>31.781412924565345</v>
      </c>
      <c r="Q17" s="25">
        <f t="shared" si="4"/>
        <v>67.434461134012011</v>
      </c>
      <c r="R17" s="98">
        <f>R16/R9</f>
        <v>43.857130355416515</v>
      </c>
      <c r="S17" s="98">
        <f>S16/S9</f>
        <v>9.4469290725977384</v>
      </c>
      <c r="T17" s="98">
        <f>T16/T9</f>
        <v>6.8823770311582173</v>
      </c>
      <c r="U17" s="98">
        <f>U16/U9</f>
        <v>39.50231243087056</v>
      </c>
      <c r="V17" s="98">
        <f>V16/V9</f>
        <v>24.958310615931474</v>
      </c>
    </row>
    <row r="18" spans="1:22" x14ac:dyDescent="0.3">
      <c r="A18" s="13">
        <v>7</v>
      </c>
      <c r="B18" s="5" t="s">
        <v>28</v>
      </c>
      <c r="C18" s="13" t="str">
        <f>"("&amp;A$11&amp;") - ("&amp;A16&amp;")"</f>
        <v>(3) - (6)</v>
      </c>
      <c r="D18" s="102">
        <f>D11-D16</f>
        <v>-506145.82368895458</v>
      </c>
      <c r="E18" s="102">
        <f t="shared" ref="E18:Q18" si="5">E11-E16</f>
        <v>319879.71247778181</v>
      </c>
      <c r="F18" s="102">
        <f t="shared" si="5"/>
        <v>-186266.1112111751</v>
      </c>
      <c r="G18" s="102">
        <f t="shared" si="5"/>
        <v>1666202.9542826535</v>
      </c>
      <c r="H18" s="102">
        <f t="shared" si="5"/>
        <v>1202092.8044851832</v>
      </c>
      <c r="I18" s="102">
        <f t="shared" si="5"/>
        <v>1480346.1348008569</v>
      </c>
      <c r="J18" s="102">
        <f t="shared" si="5"/>
        <v>927307.13866179716</v>
      </c>
      <c r="K18" s="102">
        <f t="shared" si="5"/>
        <v>272727.08717262466</v>
      </c>
      <c r="L18" s="102">
        <f t="shared" si="5"/>
        <v>11238.318413874484</v>
      </c>
      <c r="M18" s="102">
        <f t="shared" si="5"/>
        <v>-113724.73253198387</v>
      </c>
      <c r="N18" s="102">
        <f t="shared" si="5"/>
        <v>-381.84085601987317</v>
      </c>
      <c r="O18" s="102">
        <f>O11-O16</f>
        <v>939193.02057104092</v>
      </c>
      <c r="P18" s="102">
        <f t="shared" si="5"/>
        <v>1805178.1726323059</v>
      </c>
      <c r="Q18" s="102">
        <f t="shared" si="5"/>
        <v>-661549.13167500682</v>
      </c>
      <c r="R18" s="15">
        <f>SUM(F18:H18)</f>
        <v>2682029.6475566616</v>
      </c>
      <c r="S18" s="15">
        <f>SUM(I18:K18)</f>
        <v>2680380.3606352787</v>
      </c>
      <c r="T18" s="15">
        <f>SUM(L18:N18)</f>
        <v>-102868.25497412926</v>
      </c>
      <c r="U18" s="15">
        <f>SUM(O18:Q18)</f>
        <v>2082822.06152834</v>
      </c>
      <c r="V18" s="15">
        <f>SUM(F18:Q18)</f>
        <v>7342363.8147461507</v>
      </c>
    </row>
    <row r="19" spans="1:22" x14ac:dyDescent="0.3">
      <c r="A19" s="13">
        <v>8</v>
      </c>
      <c r="B19" s="5" t="s">
        <v>29</v>
      </c>
      <c r="C19" s="13" t="s">
        <v>30</v>
      </c>
      <c r="D19" s="102">
        <f>D18*-0.044797</f>
        <v>22673.814463794097</v>
      </c>
      <c r="E19" s="102">
        <f>E18*-0.045668</f>
        <v>-14608.26670943534</v>
      </c>
      <c r="F19" s="103">
        <f>D19+E19</f>
        <v>8065.5477543587567</v>
      </c>
      <c r="G19" s="103">
        <f>G18*-0.045668</f>
        <v>-76092.156516180228</v>
      </c>
      <c r="H19" s="103">
        <f t="shared" ref="H19:Q19" si="6">H18*-0.045668</f>
        <v>-54897.174195229345</v>
      </c>
      <c r="I19" s="103">
        <f t="shared" si="6"/>
        <v>-67604.447284085531</v>
      </c>
      <c r="J19" s="103">
        <f t="shared" si="6"/>
        <v>-42348.262408406954</v>
      </c>
      <c r="K19" s="103">
        <f t="shared" si="6"/>
        <v>-12454.900616999423</v>
      </c>
      <c r="L19" s="103">
        <f t="shared" si="6"/>
        <v>-513.23152532481993</v>
      </c>
      <c r="M19" s="103">
        <f t="shared" si="6"/>
        <v>5193.5810852706391</v>
      </c>
      <c r="N19" s="103">
        <f t="shared" si="6"/>
        <v>17.43790821271557</v>
      </c>
      <c r="O19" s="103">
        <f t="shared" si="6"/>
        <v>-42891.066863438296</v>
      </c>
      <c r="P19" s="103">
        <f t="shared" si="6"/>
        <v>-82438.87678777214</v>
      </c>
      <c r="Q19" s="103">
        <f t="shared" si="6"/>
        <v>30211.625745334211</v>
      </c>
      <c r="R19" s="15">
        <f>SUM(F19:H19)</f>
        <v>-122923.7829570508</v>
      </c>
      <c r="S19" s="15">
        <f>SUM(I19:K19)</f>
        <v>-122407.61030949191</v>
      </c>
      <c r="T19" s="15">
        <f>SUM(L19:N19)</f>
        <v>4697.7874681585345</v>
      </c>
      <c r="U19" s="15">
        <f>SUM(O19:Q19)</f>
        <v>-95118.317905876218</v>
      </c>
      <c r="V19" s="15">
        <f>SUM(F19:Q19)</f>
        <v>-335751.92370426038</v>
      </c>
    </row>
    <row r="20" spans="1:22" x14ac:dyDescent="0.3">
      <c r="A20" s="13"/>
      <c r="B20" s="5"/>
      <c r="C20" s="19" t="s">
        <v>31</v>
      </c>
      <c r="D20" s="19"/>
      <c r="E20" s="19"/>
      <c r="F20" s="104">
        <v>3.2500000000000001E-2</v>
      </c>
      <c r="G20" s="104">
        <f t="shared" ref="G20:K20" si="7">F20</f>
        <v>3.2500000000000001E-2</v>
      </c>
      <c r="H20" s="104">
        <f>G20</f>
        <v>3.2500000000000001E-2</v>
      </c>
      <c r="I20" s="104">
        <v>3.4599999999999999E-2</v>
      </c>
      <c r="J20" s="104">
        <f t="shared" si="7"/>
        <v>3.4599999999999999E-2</v>
      </c>
      <c r="K20" s="104">
        <f t="shared" si="7"/>
        <v>3.4599999999999999E-2</v>
      </c>
      <c r="L20" s="104">
        <v>3.5000000000000003E-2</v>
      </c>
      <c r="M20" s="104">
        <f t="shared" ref="M20:Q20" si="8">L20</f>
        <v>3.5000000000000003E-2</v>
      </c>
      <c r="N20" s="104">
        <f t="shared" si="8"/>
        <v>3.5000000000000003E-2</v>
      </c>
      <c r="O20" s="104">
        <f t="shared" si="8"/>
        <v>3.5000000000000003E-2</v>
      </c>
      <c r="P20" s="104">
        <f t="shared" si="8"/>
        <v>3.5000000000000003E-2</v>
      </c>
      <c r="Q20" s="104">
        <f t="shared" si="8"/>
        <v>3.5000000000000003E-2</v>
      </c>
      <c r="R20" s="20"/>
      <c r="S20" s="20"/>
      <c r="T20" s="20"/>
      <c r="U20" s="20"/>
      <c r="V20" s="20"/>
    </row>
    <row r="21" spans="1:22" x14ac:dyDescent="0.3">
      <c r="A21" s="13">
        <v>9</v>
      </c>
      <c r="B21" s="5" t="s">
        <v>32</v>
      </c>
      <c r="C21" s="19" t="s">
        <v>33</v>
      </c>
      <c r="D21" s="19"/>
      <c r="E21" s="19"/>
      <c r="F21" s="21">
        <f>(F18+F19)/2*F20/12</f>
        <v>-241.3132630144388</v>
      </c>
      <c r="G21" s="21">
        <f>(F23+(G18+G19)/2)*G20/12</f>
        <v>1669.9949558592243</v>
      </c>
      <c r="H21" s="21">
        <f t="shared" ref="H21:Q21" si="9">(G23+(H18+H19)/2)*H20/12</f>
        <v>5381.2869801910883</v>
      </c>
      <c r="I21" s="21">
        <f t="shared" si="9"/>
        <v>9435.0932521061422</v>
      </c>
      <c r="J21" s="21">
        <f t="shared" si="9"/>
        <v>12774.816083751699</v>
      </c>
      <c r="K21" s="21">
        <f t="shared" si="9"/>
        <v>14462.691585676179</v>
      </c>
      <c r="L21" s="21">
        <f t="shared" si="9"/>
        <v>15067.277539895704</v>
      </c>
      <c r="M21" s="21">
        <f t="shared" si="9"/>
        <v>14968.58992190641</v>
      </c>
      <c r="N21" s="21">
        <f t="shared" si="9"/>
        <v>14853.442292353293</v>
      </c>
      <c r="O21" s="21">
        <f t="shared" si="9"/>
        <v>16203.340427230694</v>
      </c>
      <c r="P21" s="21">
        <f t="shared" si="9"/>
        <v>20070.035325740319</v>
      </c>
      <c r="Q21" s="21">
        <f t="shared" si="9"/>
        <v>21720.200539066234</v>
      </c>
      <c r="R21" s="15">
        <f>SUM(F21:H21)</f>
        <v>6809.9686730358735</v>
      </c>
      <c r="S21" s="15">
        <f>SUM(I21:K21)</f>
        <v>36672.600921534016</v>
      </c>
      <c r="T21" s="15">
        <f>SUM(L21:N21)</f>
        <v>44889.309754155409</v>
      </c>
      <c r="U21" s="15">
        <f>SUM(O21:Q21)</f>
        <v>57993.576292037251</v>
      </c>
      <c r="V21" s="21">
        <f>SUM(F21:Q21)</f>
        <v>146365.45564076255</v>
      </c>
    </row>
    <row r="22" spans="1:22" ht="15" thickBot="1" x14ac:dyDescent="0.35">
      <c r="A22" s="13"/>
      <c r="B22" s="22" t="s">
        <v>34</v>
      </c>
      <c r="C22" s="13"/>
      <c r="D22" s="13"/>
      <c r="E22" s="13"/>
      <c r="F22" s="26">
        <f>F18+F19+F21</f>
        <v>-178441.87671983076</v>
      </c>
      <c r="G22" s="26">
        <f t="shared" ref="G22:Q22" si="10">G18+G19+G21</f>
        <v>1591780.7927223325</v>
      </c>
      <c r="H22" s="26">
        <f t="shared" si="10"/>
        <v>1152576.9172701449</v>
      </c>
      <c r="I22" s="26">
        <f t="shared" si="10"/>
        <v>1422176.7807688776</v>
      </c>
      <c r="J22" s="26">
        <f t="shared" si="10"/>
        <v>897733.69233714195</v>
      </c>
      <c r="K22" s="26">
        <f t="shared" si="10"/>
        <v>274734.87814130139</v>
      </c>
      <c r="L22" s="26">
        <f t="shared" si="10"/>
        <v>25792.364428445369</v>
      </c>
      <c r="M22" s="26">
        <f t="shared" si="10"/>
        <v>-93562.561524806821</v>
      </c>
      <c r="N22" s="26">
        <f t="shared" si="10"/>
        <v>14489.039344546136</v>
      </c>
      <c r="O22" s="26">
        <f t="shared" si="10"/>
        <v>912505.29413483327</v>
      </c>
      <c r="P22" s="26">
        <f t="shared" si="10"/>
        <v>1742809.3311702739</v>
      </c>
      <c r="Q22" s="26">
        <f t="shared" si="10"/>
        <v>-609617.3053906064</v>
      </c>
      <c r="R22" s="23">
        <f>R18+R19+R21</f>
        <v>2565915.8332726466</v>
      </c>
      <c r="S22" s="23">
        <f>S18+S19+S21</f>
        <v>2594645.3512473209</v>
      </c>
      <c r="T22" s="23">
        <f>T18+T19+T21</f>
        <v>-53281.157751815314</v>
      </c>
      <c r="U22" s="23">
        <f>U18+U19+U21</f>
        <v>2045697.3199145009</v>
      </c>
      <c r="V22" s="23">
        <f>V18+V19+V21</f>
        <v>7152977.3466826528</v>
      </c>
    </row>
    <row r="23" spans="1:22" ht="33" customHeight="1" thickBot="1" x14ac:dyDescent="0.35">
      <c r="A23" s="129">
        <v>10</v>
      </c>
      <c r="B23" s="130" t="s">
        <v>119</v>
      </c>
      <c r="C23" s="129" t="str">
        <f>"Σ(("&amp;A$18&amp;") ~ ("&amp;A21&amp;"))"</f>
        <v>Σ((7) ~ (9))</v>
      </c>
      <c r="D23" s="129"/>
      <c r="E23" s="129"/>
      <c r="F23" s="131">
        <f>F18+F19+F21</f>
        <v>-178441.87671983076</v>
      </c>
      <c r="G23" s="131">
        <f>F23+G18+G19+G21</f>
        <v>1413338.9160025017</v>
      </c>
      <c r="H23" s="131">
        <f t="shared" ref="H23:P23" si="11">G23+H18+H19+H21</f>
        <v>2565915.8332726466</v>
      </c>
      <c r="I23" s="131">
        <f t="shared" si="11"/>
        <v>3988092.614041524</v>
      </c>
      <c r="J23" s="131">
        <f t="shared" si="11"/>
        <v>4885826.3063786654</v>
      </c>
      <c r="K23" s="131">
        <f t="shared" si="11"/>
        <v>5160561.1845199661</v>
      </c>
      <c r="L23" s="131">
        <f t="shared" si="11"/>
        <v>5186353.5489484109</v>
      </c>
      <c r="M23" s="131">
        <f t="shared" si="11"/>
        <v>5092790.9874236044</v>
      </c>
      <c r="N23" s="131">
        <f t="shared" si="11"/>
        <v>5107280.0267681507</v>
      </c>
      <c r="O23" s="131">
        <f t="shared" si="11"/>
        <v>6019785.3209029846</v>
      </c>
      <c r="P23" s="131">
        <f t="shared" si="11"/>
        <v>7762594.6520732585</v>
      </c>
      <c r="Q23" s="132">
        <f>P23+Q18+Q19+Q21</f>
        <v>7152977.3466826528</v>
      </c>
      <c r="R23" s="131"/>
      <c r="S23" s="131"/>
      <c r="T23" s="131"/>
      <c r="U23" s="131"/>
      <c r="V23" s="134"/>
    </row>
    <row r="24" spans="1:22" x14ac:dyDescent="0.3">
      <c r="A24" s="13"/>
      <c r="B24" s="5"/>
      <c r="C24" s="13"/>
      <c r="D24" s="13"/>
      <c r="E24" s="13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5"/>
      <c r="S24" s="15"/>
      <c r="T24" s="15"/>
      <c r="U24" s="15"/>
      <c r="V24" s="4"/>
    </row>
    <row r="25" spans="1:22" x14ac:dyDescent="0.3">
      <c r="A25" s="13"/>
      <c r="B25" s="6" t="s">
        <v>35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5"/>
      <c r="S25" s="15"/>
      <c r="T25" s="15"/>
      <c r="U25" s="15"/>
      <c r="V25" s="15"/>
    </row>
    <row r="26" spans="1:22" x14ac:dyDescent="0.3">
      <c r="A26" s="13">
        <v>11</v>
      </c>
      <c r="B26" s="5" t="s">
        <v>21</v>
      </c>
      <c r="C26" s="13" t="s">
        <v>22</v>
      </c>
      <c r="D26" s="127">
        <f>$F26*D$5</f>
        <v>859.35483870967744</v>
      </c>
      <c r="E26" s="127">
        <f>$F26*E$5</f>
        <v>1804.6451612903224</v>
      </c>
      <c r="F26" s="93">
        <v>2664</v>
      </c>
      <c r="G26" s="93">
        <v>2705</v>
      </c>
      <c r="H26" s="93">
        <v>2708</v>
      </c>
      <c r="I26" s="93">
        <v>2797</v>
      </c>
      <c r="J26" s="93">
        <v>2769</v>
      </c>
      <c r="K26" s="93">
        <v>2793</v>
      </c>
      <c r="L26" s="93">
        <v>2794</v>
      </c>
      <c r="M26" s="93">
        <v>2775</v>
      </c>
      <c r="N26" s="93">
        <v>2794</v>
      </c>
      <c r="O26" s="93">
        <v>2798</v>
      </c>
      <c r="P26" s="93">
        <v>2812</v>
      </c>
      <c r="Q26" s="93">
        <v>2833</v>
      </c>
      <c r="R26" s="14">
        <f>SUM(F26:H26)</f>
        <v>8077</v>
      </c>
      <c r="S26" s="14">
        <f>SUM(I26:K26)</f>
        <v>8359</v>
      </c>
      <c r="T26" s="14">
        <f>SUM(L26:N26)</f>
        <v>8363</v>
      </c>
      <c r="U26" s="14">
        <f>SUM(O26:Q26)</f>
        <v>8443</v>
      </c>
      <c r="V26" s="14">
        <f>SUM(F26:Q26)</f>
        <v>33242</v>
      </c>
    </row>
    <row r="27" spans="1:22" ht="27" x14ac:dyDescent="0.3">
      <c r="A27" s="94">
        <v>12</v>
      </c>
      <c r="B27" s="95" t="s">
        <v>23</v>
      </c>
      <c r="C27" s="96" t="s">
        <v>116</v>
      </c>
      <c r="D27" s="97">
        <v>642.23525919067015</v>
      </c>
      <c r="E27" s="97">
        <v>753.64912048196356</v>
      </c>
      <c r="F27" s="97">
        <f>$D$27*$D$5+$E$27*$E$5</f>
        <v>717.70916522670757</v>
      </c>
      <c r="G27" s="97">
        <v>633.97166971988349</v>
      </c>
      <c r="H27" s="97">
        <v>560.24514123304027</v>
      </c>
      <c r="I27" s="97">
        <v>374.05059994815878</v>
      </c>
      <c r="J27" s="97">
        <v>292.93939800419764</v>
      </c>
      <c r="K27" s="97">
        <v>222.77670672231574</v>
      </c>
      <c r="L27" s="97">
        <v>168.5764467696693</v>
      </c>
      <c r="M27" s="97">
        <v>165.54758518193424</v>
      </c>
      <c r="N27" s="97">
        <v>202.0360835406639</v>
      </c>
      <c r="O27" s="97">
        <v>414.48355558896066</v>
      </c>
      <c r="P27" s="97">
        <v>584.57214026046665</v>
      </c>
      <c r="Q27" s="97">
        <v>759.99155254874597</v>
      </c>
      <c r="R27" s="98">
        <f>R28/R26</f>
        <v>636.87191100845689</v>
      </c>
      <c r="S27" s="98">
        <f>S28/S26</f>
        <v>296.63644730279356</v>
      </c>
      <c r="T27" s="98">
        <f>T28/T26</f>
        <v>178.74996515209119</v>
      </c>
      <c r="U27" s="98">
        <f>U28/U26</f>
        <v>587.0659617814689</v>
      </c>
      <c r="V27" s="98">
        <f>V28/V26</f>
        <v>423.41262144597914</v>
      </c>
    </row>
    <row r="28" spans="1:22" x14ac:dyDescent="0.3">
      <c r="A28" s="13">
        <v>13</v>
      </c>
      <c r="B28" s="5" t="s">
        <v>24</v>
      </c>
      <c r="C28" s="13" t="str">
        <f>"("&amp;A26&amp;") x ("&amp;A27&amp;")"</f>
        <v>(11) x (12)</v>
      </c>
      <c r="D28" s="15">
        <f t="shared" ref="D28:Q28" si="12">D26*D27</f>
        <v>551907.97757546627</v>
      </c>
      <c r="E28" s="15">
        <f t="shared" si="12"/>
        <v>1360069.2385884828</v>
      </c>
      <c r="F28" s="15">
        <f t="shared" si="12"/>
        <v>1911977.2161639489</v>
      </c>
      <c r="G28" s="15">
        <f t="shared" si="12"/>
        <v>1714893.3665922848</v>
      </c>
      <c r="H28" s="15">
        <f t="shared" si="12"/>
        <v>1517143.8424590731</v>
      </c>
      <c r="I28" s="15">
        <f t="shared" si="12"/>
        <v>1046219.5280550001</v>
      </c>
      <c r="J28" s="15">
        <f t="shared" si="12"/>
        <v>811149.19307362323</v>
      </c>
      <c r="K28" s="15">
        <f t="shared" si="12"/>
        <v>622215.34187542787</v>
      </c>
      <c r="L28" s="15">
        <f t="shared" si="12"/>
        <v>471002.59227445605</v>
      </c>
      <c r="M28" s="15">
        <f t="shared" si="12"/>
        <v>459394.54887986754</v>
      </c>
      <c r="N28" s="15">
        <f t="shared" si="12"/>
        <v>564488.81741261494</v>
      </c>
      <c r="O28" s="15">
        <f t="shared" si="12"/>
        <v>1159724.988537912</v>
      </c>
      <c r="P28" s="15">
        <f t="shared" si="12"/>
        <v>1643816.8584124323</v>
      </c>
      <c r="Q28" s="15">
        <f t="shared" si="12"/>
        <v>2153056.0683705974</v>
      </c>
      <c r="R28" s="15">
        <f>SUM(F28:H28)</f>
        <v>5144014.4252153067</v>
      </c>
      <c r="S28" s="15">
        <f>SUM(I28:K28)</f>
        <v>2479584.0630040513</v>
      </c>
      <c r="T28" s="15">
        <f>SUM(L28:N28)</f>
        <v>1494885.9585669385</v>
      </c>
      <c r="U28" s="15">
        <f>SUM(O28:Q28)</f>
        <v>4956597.9153209422</v>
      </c>
      <c r="V28" s="15">
        <f>SUM(F28:Q28)</f>
        <v>14075082.362107238</v>
      </c>
    </row>
    <row r="29" spans="1:22" x14ac:dyDescent="0.3">
      <c r="A29" s="13"/>
      <c r="B29" s="5"/>
      <c r="C29" s="13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6"/>
      <c r="S29" s="16"/>
      <c r="T29" s="16"/>
      <c r="U29" s="16"/>
      <c r="V29" s="16"/>
    </row>
    <row r="30" spans="1:22" x14ac:dyDescent="0.3">
      <c r="A30" s="13"/>
      <c r="B30" s="5" t="s">
        <v>117</v>
      </c>
      <c r="C30" s="13"/>
      <c r="D30" s="13"/>
      <c r="E30" s="13"/>
      <c r="F30" s="93">
        <v>6913974</v>
      </c>
      <c r="G30" s="93">
        <v>5609302</v>
      </c>
      <c r="H30" s="93">
        <v>5156824</v>
      </c>
      <c r="I30" s="93">
        <v>2896859</v>
      </c>
      <c r="J30" s="93">
        <v>2532832</v>
      </c>
      <c r="K30" s="93">
        <v>1900306</v>
      </c>
      <c r="L30" s="93">
        <v>1776830</v>
      </c>
      <c r="M30" s="93">
        <v>1842874</v>
      </c>
      <c r="N30" s="93">
        <v>2260370</v>
      </c>
      <c r="O30" s="93">
        <v>4076896</v>
      </c>
      <c r="P30" s="93">
        <v>4431064.7699999996</v>
      </c>
      <c r="Q30" s="93">
        <v>8810762</v>
      </c>
      <c r="R30" s="16"/>
      <c r="S30" s="16"/>
      <c r="T30" s="16"/>
      <c r="U30" s="16"/>
      <c r="V30" s="16"/>
    </row>
    <row r="31" spans="1:22" ht="27" x14ac:dyDescent="0.3">
      <c r="A31" s="13">
        <v>14</v>
      </c>
      <c r="B31" s="100" t="s">
        <v>118</v>
      </c>
      <c r="C31" s="13" t="s">
        <v>22</v>
      </c>
      <c r="D31" s="18">
        <f>$F31*D$5</f>
        <v>642748.63778709667</v>
      </c>
      <c r="E31" s="18">
        <f>$F31*E$5</f>
        <v>1349772.139352903</v>
      </c>
      <c r="F31" s="101">
        <v>1992520.7771399999</v>
      </c>
      <c r="G31" s="101">
        <v>1706490.5242400002</v>
      </c>
      <c r="H31" s="101">
        <v>1603844.5742800001</v>
      </c>
      <c r="I31" s="101">
        <v>1020533.44995</v>
      </c>
      <c r="J31" s="101">
        <v>884603.25283999997</v>
      </c>
      <c r="K31" s="101">
        <v>726949.16347000003</v>
      </c>
      <c r="L31" s="101">
        <v>690821.1433</v>
      </c>
      <c r="M31" s="101">
        <v>709440.80480000004</v>
      </c>
      <c r="N31" s="101">
        <v>818005.34831999999</v>
      </c>
      <c r="O31" s="101">
        <v>1285547.9046600002</v>
      </c>
      <c r="P31" s="101">
        <v>1504421.7047000001</v>
      </c>
      <c r="Q31" s="101">
        <v>2468211.2837799997</v>
      </c>
      <c r="R31" s="18"/>
      <c r="S31" s="18"/>
      <c r="T31" s="18"/>
      <c r="U31" s="18"/>
      <c r="V31" s="18"/>
    </row>
    <row r="32" spans="1:22" x14ac:dyDescent="0.3">
      <c r="A32" s="13">
        <v>15</v>
      </c>
      <c r="B32" s="5" t="s">
        <v>25</v>
      </c>
      <c r="C32" s="13" t="s">
        <v>22</v>
      </c>
      <c r="D32" s="18">
        <f>$F32*D$5</f>
        <v>78919.635483870967</v>
      </c>
      <c r="E32" s="18">
        <f>$F32*E$5</f>
        <v>165731.23451612901</v>
      </c>
      <c r="F32" s="101">
        <v>244650.87</v>
      </c>
      <c r="G32" s="101">
        <v>275955.91000000003</v>
      </c>
      <c r="H32" s="101">
        <v>279704.68</v>
      </c>
      <c r="I32" s="101">
        <v>288136.46999999997</v>
      </c>
      <c r="J32" s="101">
        <v>285292.27999999997</v>
      </c>
      <c r="K32" s="101">
        <v>287767.86</v>
      </c>
      <c r="L32" s="101">
        <v>287473.12</v>
      </c>
      <c r="M32" s="101">
        <v>286537.25</v>
      </c>
      <c r="N32" s="101">
        <v>287792.26</v>
      </c>
      <c r="O32" s="101">
        <v>287907.95</v>
      </c>
      <c r="P32" s="101">
        <v>324816.72000000003</v>
      </c>
      <c r="Q32" s="101">
        <v>258141.25</v>
      </c>
      <c r="R32" s="18"/>
      <c r="S32" s="18"/>
      <c r="T32" s="18"/>
      <c r="U32" s="18"/>
      <c r="V32" s="18"/>
    </row>
    <row r="33" spans="1:22" x14ac:dyDescent="0.3">
      <c r="A33" s="13">
        <v>16</v>
      </c>
      <c r="B33" s="5" t="s">
        <v>26</v>
      </c>
      <c r="C33" s="13" t="str">
        <f>"("&amp;A31&amp;") - ("&amp;A32&amp;")"</f>
        <v>(14) - (15)</v>
      </c>
      <c r="D33" s="15">
        <f t="shared" ref="D33:Q33" si="13">D31-D32</f>
        <v>563829.00230322569</v>
      </c>
      <c r="E33" s="15">
        <f t="shared" si="13"/>
        <v>1184040.9048367739</v>
      </c>
      <c r="F33" s="15">
        <f t="shared" si="13"/>
        <v>1747869.9071399998</v>
      </c>
      <c r="G33" s="15">
        <f t="shared" si="13"/>
        <v>1430534.61424</v>
      </c>
      <c r="H33" s="15">
        <f t="shared" si="13"/>
        <v>1324139.8942800001</v>
      </c>
      <c r="I33" s="15">
        <f t="shared" si="13"/>
        <v>732396.97995000007</v>
      </c>
      <c r="J33" s="15">
        <f t="shared" si="13"/>
        <v>599310.97283999994</v>
      </c>
      <c r="K33" s="15">
        <f t="shared" si="13"/>
        <v>439181.30347000004</v>
      </c>
      <c r="L33" s="15">
        <f t="shared" si="13"/>
        <v>403348.0233</v>
      </c>
      <c r="M33" s="15">
        <f t="shared" si="13"/>
        <v>422903.55480000004</v>
      </c>
      <c r="N33" s="15">
        <f t="shared" si="13"/>
        <v>530213.08831999998</v>
      </c>
      <c r="O33" s="15">
        <f t="shared" si="13"/>
        <v>997639.95466000028</v>
      </c>
      <c r="P33" s="15">
        <f t="shared" si="13"/>
        <v>1179604.9847000001</v>
      </c>
      <c r="Q33" s="15">
        <f t="shared" si="13"/>
        <v>2210070.0337799997</v>
      </c>
      <c r="R33" s="15">
        <f>SUM(F33:H33)</f>
        <v>4502544.4156599995</v>
      </c>
      <c r="S33" s="15">
        <f>SUM(I33:K33)</f>
        <v>1770889.2562600002</v>
      </c>
      <c r="T33" s="15">
        <f>SUM(L33:N33)</f>
        <v>1356464.6664200001</v>
      </c>
      <c r="U33" s="15">
        <f>SUM(O33:Q33)</f>
        <v>4387314.9731399994</v>
      </c>
      <c r="V33" s="15">
        <f>SUM(F33:Q33)</f>
        <v>12017213.311479999</v>
      </c>
    </row>
    <row r="34" spans="1:22" ht="27" x14ac:dyDescent="0.3">
      <c r="A34" s="17"/>
      <c r="B34" s="105" t="s">
        <v>36</v>
      </c>
      <c r="C34" s="13"/>
      <c r="D34" s="25">
        <f>D33/D26</f>
        <v>656.1073224999999</v>
      </c>
      <c r="E34" s="25">
        <f>E33/E26</f>
        <v>656.1073224999999</v>
      </c>
      <c r="F34" s="98">
        <f>F33/F26</f>
        <v>656.1073224999999</v>
      </c>
      <c r="G34" s="98">
        <f t="shared" ref="G34:Q34" si="14">G33/G26</f>
        <v>528.84828622550833</v>
      </c>
      <c r="H34" s="98">
        <f t="shared" si="14"/>
        <v>488.97337307237819</v>
      </c>
      <c r="I34" s="98">
        <f t="shared" si="14"/>
        <v>261.85090452270293</v>
      </c>
      <c r="J34" s="98">
        <f t="shared" si="14"/>
        <v>216.43588762730226</v>
      </c>
      <c r="K34" s="98">
        <f t="shared" si="14"/>
        <v>157.24357446115289</v>
      </c>
      <c r="L34" s="98">
        <f t="shared" si="14"/>
        <v>144.36221306370794</v>
      </c>
      <c r="M34" s="98">
        <f t="shared" si="14"/>
        <v>152.39767740540543</v>
      </c>
      <c r="N34" s="98">
        <f t="shared" si="14"/>
        <v>189.76846396564065</v>
      </c>
      <c r="O34" s="98">
        <f t="shared" si="14"/>
        <v>356.55466571122241</v>
      </c>
      <c r="P34" s="98">
        <f t="shared" si="14"/>
        <v>419.48968161450932</v>
      </c>
      <c r="Q34" s="98">
        <f t="shared" si="14"/>
        <v>780.11649621602533</v>
      </c>
      <c r="R34" s="98">
        <f>R33/R26</f>
        <v>557.45257096199077</v>
      </c>
      <c r="S34" s="98">
        <f>S33/S26</f>
        <v>211.85419981576746</v>
      </c>
      <c r="T34" s="98">
        <f>T33/T26</f>
        <v>162.19833390170993</v>
      </c>
      <c r="U34" s="98">
        <f>U33/U26</f>
        <v>519.63934302262226</v>
      </c>
      <c r="V34" s="98">
        <f>V33/V26</f>
        <v>361.50692832801872</v>
      </c>
    </row>
    <row r="35" spans="1:22" x14ac:dyDescent="0.3">
      <c r="A35" s="13">
        <v>17</v>
      </c>
      <c r="B35" s="5" t="s">
        <v>28</v>
      </c>
      <c r="C35" s="13" t="str">
        <f>"("&amp;A28&amp;") - ("&amp;A33&amp;")"</f>
        <v>(13) - (16)</v>
      </c>
      <c r="D35" s="103">
        <f>D28-D33</f>
        <v>-11921.024727759417</v>
      </c>
      <c r="E35" s="103">
        <f t="shared" ref="E35:Q35" si="15">E28-E33</f>
        <v>176028.33375170897</v>
      </c>
      <c r="F35" s="103">
        <f t="shared" si="15"/>
        <v>164107.30902394908</v>
      </c>
      <c r="G35" s="103">
        <f t="shared" si="15"/>
        <v>284358.75235228473</v>
      </c>
      <c r="H35" s="103">
        <f t="shared" si="15"/>
        <v>193003.94817907293</v>
      </c>
      <c r="I35" s="103">
        <f t="shared" si="15"/>
        <v>313822.54810500005</v>
      </c>
      <c r="J35" s="103">
        <f t="shared" si="15"/>
        <v>211838.22023362329</v>
      </c>
      <c r="K35" s="103">
        <f t="shared" si="15"/>
        <v>183034.03840542783</v>
      </c>
      <c r="L35" s="103">
        <f t="shared" si="15"/>
        <v>67654.568974456051</v>
      </c>
      <c r="M35" s="103">
        <f t="shared" si="15"/>
        <v>36490.994079867494</v>
      </c>
      <c r="N35" s="103">
        <f t="shared" si="15"/>
        <v>34275.729092614958</v>
      </c>
      <c r="O35" s="103">
        <f t="shared" si="15"/>
        <v>162085.03387791174</v>
      </c>
      <c r="P35" s="103">
        <f t="shared" si="15"/>
        <v>464211.87371243211</v>
      </c>
      <c r="Q35" s="103">
        <f t="shared" si="15"/>
        <v>-57013.96540940227</v>
      </c>
      <c r="R35" s="15">
        <f>SUM(F35:H35)</f>
        <v>641470.00955530675</v>
      </c>
      <c r="S35" s="15">
        <f>SUM(I35:K35)</f>
        <v>708694.80674405117</v>
      </c>
      <c r="T35" s="15">
        <f>SUM(L35:N35)</f>
        <v>138421.2921469385</v>
      </c>
      <c r="U35" s="15">
        <f>SUM(O35:Q35)</f>
        <v>569282.94218094158</v>
      </c>
      <c r="V35" s="15">
        <f>SUM(F35:Q35)</f>
        <v>2057869.0506272381</v>
      </c>
    </row>
    <row r="36" spans="1:22" x14ac:dyDescent="0.3">
      <c r="A36" s="13">
        <v>18</v>
      </c>
      <c r="B36" s="5" t="s">
        <v>29</v>
      </c>
      <c r="C36" s="13" t="s">
        <v>30</v>
      </c>
      <c r="D36" s="103">
        <f>D35*-0.044797</f>
        <v>534.02614472943856</v>
      </c>
      <c r="E36" s="103">
        <f>E35*-0.045668</f>
        <v>-8038.8619457730456</v>
      </c>
      <c r="F36" s="103">
        <f>D36+E36</f>
        <v>-7504.8358010436068</v>
      </c>
      <c r="G36" s="103">
        <f>G35*-0.045668</f>
        <v>-12986.095502424139</v>
      </c>
      <c r="H36" s="103">
        <f t="shared" ref="H36:Q36" si="16">H35*-0.045668</f>
        <v>-8814.1043054419024</v>
      </c>
      <c r="I36" s="103">
        <f t="shared" si="16"/>
        <v>-14331.648126859143</v>
      </c>
      <c r="J36" s="103">
        <f t="shared" si="16"/>
        <v>-9674.2278416291083</v>
      </c>
      <c r="K36" s="103">
        <f t="shared" si="16"/>
        <v>-8358.7984658990772</v>
      </c>
      <c r="L36" s="103">
        <f t="shared" si="16"/>
        <v>-3089.648855925459</v>
      </c>
      <c r="M36" s="103">
        <f t="shared" si="16"/>
        <v>-1666.4707176393888</v>
      </c>
      <c r="N36" s="103">
        <f t="shared" si="16"/>
        <v>-1565.3039962015398</v>
      </c>
      <c r="O36" s="103">
        <f t="shared" si="16"/>
        <v>-7402.0993271364732</v>
      </c>
      <c r="P36" s="103">
        <f t="shared" si="16"/>
        <v>-21199.627848699351</v>
      </c>
      <c r="Q36" s="103">
        <f t="shared" si="16"/>
        <v>2603.7137723165829</v>
      </c>
      <c r="R36" s="15">
        <f>SUM(F36:H36)</f>
        <v>-29305.035608909649</v>
      </c>
      <c r="S36" s="15">
        <f>SUM(I36:K36)</f>
        <v>-32364.674434387329</v>
      </c>
      <c r="T36" s="15">
        <f>SUM(L36:N36)</f>
        <v>-6321.423569766388</v>
      </c>
      <c r="U36" s="15">
        <f>SUM(O36:Q36)</f>
        <v>-25998.013403519242</v>
      </c>
      <c r="V36" s="15">
        <f>SUM(F36:Q36)</f>
        <v>-93989.147016582618</v>
      </c>
    </row>
    <row r="37" spans="1:22" x14ac:dyDescent="0.3">
      <c r="A37" s="19"/>
      <c r="B37" s="106"/>
      <c r="C37" s="13" t="s">
        <v>31</v>
      </c>
      <c r="D37" s="19"/>
      <c r="E37" s="19"/>
      <c r="F37" s="104">
        <f t="shared" ref="F37:Q37" si="17">F20</f>
        <v>3.2500000000000001E-2</v>
      </c>
      <c r="G37" s="104">
        <f t="shared" si="17"/>
        <v>3.2500000000000001E-2</v>
      </c>
      <c r="H37" s="104">
        <f t="shared" si="17"/>
        <v>3.2500000000000001E-2</v>
      </c>
      <c r="I37" s="104">
        <f t="shared" si="17"/>
        <v>3.4599999999999999E-2</v>
      </c>
      <c r="J37" s="104">
        <f t="shared" si="17"/>
        <v>3.4599999999999999E-2</v>
      </c>
      <c r="K37" s="104">
        <f t="shared" si="17"/>
        <v>3.4599999999999999E-2</v>
      </c>
      <c r="L37" s="104">
        <f t="shared" si="17"/>
        <v>3.5000000000000003E-2</v>
      </c>
      <c r="M37" s="104">
        <f t="shared" si="17"/>
        <v>3.5000000000000003E-2</v>
      </c>
      <c r="N37" s="104">
        <f t="shared" si="17"/>
        <v>3.5000000000000003E-2</v>
      </c>
      <c r="O37" s="104">
        <f t="shared" si="17"/>
        <v>3.5000000000000003E-2</v>
      </c>
      <c r="P37" s="104">
        <f t="shared" si="17"/>
        <v>3.5000000000000003E-2</v>
      </c>
      <c r="Q37" s="104">
        <f t="shared" si="17"/>
        <v>3.5000000000000003E-2</v>
      </c>
      <c r="R37" s="20"/>
      <c r="S37" s="20"/>
      <c r="T37" s="20"/>
      <c r="U37" s="20"/>
      <c r="V37" s="20"/>
    </row>
    <row r="38" spans="1:22" x14ac:dyDescent="0.3">
      <c r="A38" s="13">
        <v>19</v>
      </c>
      <c r="B38" s="5" t="s">
        <v>32</v>
      </c>
      <c r="C38" s="13" t="s">
        <v>33</v>
      </c>
      <c r="D38" s="19"/>
      <c r="E38" s="19"/>
      <c r="F38" s="21">
        <f>(F35+F36)/2*F37/12</f>
        <v>212.06584915601786</v>
      </c>
      <c r="G38" s="21">
        <f>(F40+(G35+G36)/2)*G37/12</f>
        <v>792.18984947101956</v>
      </c>
      <c r="H38" s="21">
        <f t="shared" ref="H38:Q38" si="18">(G40+(H35+H36)/2)*H37/12</f>
        <v>1411.2429167097318</v>
      </c>
      <c r="I38" s="21">
        <f t="shared" si="18"/>
        <v>2203.8064100214856</v>
      </c>
      <c r="J38" s="21">
        <f t="shared" si="18"/>
        <v>2933.3798550039924</v>
      </c>
      <c r="K38" s="21">
        <f t="shared" si="18"/>
        <v>3485.1143268638662</v>
      </c>
      <c r="L38" s="21">
        <f t="shared" si="18"/>
        <v>3884.4614827741111</v>
      </c>
      <c r="M38" s="21">
        <f t="shared" si="18"/>
        <v>4040.7341005083085</v>
      </c>
      <c r="N38" s="21">
        <f t="shared" si="18"/>
        <v>4151.0080414703089</v>
      </c>
      <c r="O38" s="21">
        <f t="shared" si="18"/>
        <v>4436.3971310767474</v>
      </c>
      <c r="P38" s="21">
        <f t="shared" si="18"/>
        <v>5320.9754274802117</v>
      </c>
      <c r="Q38" s="21">
        <f t="shared" si="18"/>
        <v>5903.2061807242217</v>
      </c>
      <c r="R38" s="15">
        <f>SUM(F38:H38)</f>
        <v>2415.498615336769</v>
      </c>
      <c r="S38" s="15">
        <f>SUM(I38:K38)</f>
        <v>8622.3005918893432</v>
      </c>
      <c r="T38" s="15">
        <f>SUM(L38:N38)</f>
        <v>12076.203624752729</v>
      </c>
      <c r="U38" s="15">
        <f>SUM(O38:Q38)</f>
        <v>15660.57873928118</v>
      </c>
      <c r="V38" s="21">
        <f>SUM(F38:Q38)</f>
        <v>38774.581571260023</v>
      </c>
    </row>
    <row r="39" spans="1:22" ht="15" thickBot="1" x14ac:dyDescent="0.35">
      <c r="A39" s="13"/>
      <c r="B39" s="22" t="s">
        <v>37</v>
      </c>
      <c r="C39" s="13"/>
      <c r="D39" s="13"/>
      <c r="E39" s="13"/>
      <c r="F39" s="26">
        <f>F35+F36+F38</f>
        <v>156814.53907206151</v>
      </c>
      <c r="G39" s="26">
        <f t="shared" ref="G39:Q39" si="19">G35+G36+G38</f>
        <v>272164.84669933165</v>
      </c>
      <c r="H39" s="26">
        <f t="shared" si="19"/>
        <v>185601.08679034078</v>
      </c>
      <c r="I39" s="26">
        <f t="shared" si="19"/>
        <v>301694.70638816239</v>
      </c>
      <c r="J39" s="26">
        <f t="shared" si="19"/>
        <v>205097.37224699816</v>
      </c>
      <c r="K39" s="26">
        <f t="shared" si="19"/>
        <v>178160.35426639262</v>
      </c>
      <c r="L39" s="26">
        <f t="shared" si="19"/>
        <v>68449.381601304704</v>
      </c>
      <c r="M39" s="26">
        <f t="shared" si="19"/>
        <v>38865.257462736416</v>
      </c>
      <c r="N39" s="26">
        <f t="shared" si="19"/>
        <v>36861.433137883731</v>
      </c>
      <c r="O39" s="26">
        <f t="shared" si="19"/>
        <v>159119.33168185203</v>
      </c>
      <c r="P39" s="26">
        <f t="shared" si="19"/>
        <v>448333.22129121301</v>
      </c>
      <c r="Q39" s="26">
        <f t="shared" si="19"/>
        <v>-48507.045456361469</v>
      </c>
      <c r="R39" s="23">
        <f>R35+R36+R38</f>
        <v>614580.4725617338</v>
      </c>
      <c r="S39" s="23">
        <f>S35+S36+S38</f>
        <v>684952.43290155311</v>
      </c>
      <c r="T39" s="23">
        <f>T35+T36+T38</f>
        <v>144176.07220192484</v>
      </c>
      <c r="U39" s="23">
        <f>U35+U36+U38</f>
        <v>558945.50751670345</v>
      </c>
      <c r="V39" s="23">
        <f>V35+V36+V38</f>
        <v>2002654.4851819156</v>
      </c>
    </row>
    <row r="40" spans="1:22" ht="40.200000000000003" thickBot="1" x14ac:dyDescent="0.35">
      <c r="A40" s="129">
        <v>20</v>
      </c>
      <c r="B40" s="130" t="s">
        <v>120</v>
      </c>
      <c r="C40" s="129" t="str">
        <f>"Σ(("&amp;A35&amp;") ~ ("&amp;A38&amp;"))"</f>
        <v>Σ((17) ~ (19))</v>
      </c>
      <c r="D40" s="129"/>
      <c r="E40" s="129"/>
      <c r="F40" s="131">
        <f>F35+F36+F38</f>
        <v>156814.53907206151</v>
      </c>
      <c r="G40" s="131">
        <f>F40+G35+G36+G38</f>
        <v>428979.38577139319</v>
      </c>
      <c r="H40" s="131">
        <f t="shared" ref="H40:Q40" si="20">G40+H35+H36+H38</f>
        <v>614580.47256173391</v>
      </c>
      <c r="I40" s="131">
        <f t="shared" si="20"/>
        <v>916275.17894989636</v>
      </c>
      <c r="J40" s="131">
        <f t="shared" si="20"/>
        <v>1121372.5511968944</v>
      </c>
      <c r="K40" s="131">
        <f t="shared" si="20"/>
        <v>1299532.9054632869</v>
      </c>
      <c r="L40" s="131">
        <f t="shared" si="20"/>
        <v>1367982.2870645914</v>
      </c>
      <c r="M40" s="131">
        <f t="shared" si="20"/>
        <v>1406847.5445273276</v>
      </c>
      <c r="N40" s="131">
        <f t="shared" si="20"/>
        <v>1443708.9776652113</v>
      </c>
      <c r="O40" s="131">
        <f t="shared" si="20"/>
        <v>1602828.3093470633</v>
      </c>
      <c r="P40" s="131">
        <f t="shared" si="20"/>
        <v>2051161.5306382761</v>
      </c>
      <c r="Q40" s="132">
        <f t="shared" si="20"/>
        <v>2002654.4851819149</v>
      </c>
      <c r="R40" s="24"/>
      <c r="S40" s="24"/>
      <c r="T40" s="24"/>
      <c r="U40" s="24"/>
    </row>
    <row r="41" spans="1:22" ht="15" thickBot="1" x14ac:dyDescent="0.35">
      <c r="A41" s="13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107"/>
      <c r="S41" s="107"/>
      <c r="T41" s="107"/>
      <c r="U41" s="107"/>
      <c r="V41" s="4"/>
    </row>
    <row r="42" spans="1:22" ht="27" thickBot="1" x14ac:dyDescent="0.35">
      <c r="A42" s="128">
        <v>21</v>
      </c>
      <c r="B42" s="133" t="s">
        <v>38</v>
      </c>
      <c r="C42" s="128" t="str">
        <f>"("&amp;A23&amp;") + ("&amp;A40&amp;")"</f>
        <v>(10) + (20)</v>
      </c>
      <c r="D42" s="128"/>
      <c r="E42" s="128"/>
      <c r="F42" s="131">
        <f t="shared" ref="F42:Q42" si="21">F23+F40</f>
        <v>-21627.337647769251</v>
      </c>
      <c r="G42" s="131">
        <f t="shared" si="21"/>
        <v>1842318.301773895</v>
      </c>
      <c r="H42" s="131">
        <f t="shared" si="21"/>
        <v>3180496.3058343804</v>
      </c>
      <c r="I42" s="131">
        <f t="shared" si="21"/>
        <v>4904367.7929914203</v>
      </c>
      <c r="J42" s="131">
        <f t="shared" si="21"/>
        <v>6007198.85757556</v>
      </c>
      <c r="K42" s="131">
        <f t="shared" si="21"/>
        <v>6460094.0899832528</v>
      </c>
      <c r="L42" s="131">
        <f t="shared" si="21"/>
        <v>6554335.8360130023</v>
      </c>
      <c r="M42" s="131">
        <f t="shared" si="21"/>
        <v>6499638.531950932</v>
      </c>
      <c r="N42" s="131">
        <f t="shared" si="21"/>
        <v>6550989.0044333618</v>
      </c>
      <c r="O42" s="131">
        <f t="shared" si="21"/>
        <v>7622613.6302500479</v>
      </c>
      <c r="P42" s="131">
        <f t="shared" si="21"/>
        <v>9813756.1827115342</v>
      </c>
      <c r="Q42" s="132">
        <f t="shared" si="21"/>
        <v>9155631.8318645675</v>
      </c>
    </row>
  </sheetData>
  <printOptions horizontalCentered="1"/>
  <pageMargins left="0.2" right="0.2" top="0.75" bottom="0.75" header="0.5" footer="0.5"/>
  <pageSetup scale="58" orientation="landscape" r:id="rId1"/>
  <headerFooter scaleWithDoc="0">
    <oddHeader>&amp;C2016 NATURAL GAS DECOUPLING DEFERRAL CALCULATIONS</oddHeader>
    <oddFooter>&amp;CATTACHMENT B     Page 1 of 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38"/>
  <sheetViews>
    <sheetView tabSelected="1" view="pageLayout" topLeftCell="A9" zoomScaleNormal="100" zoomScaleSheetLayoutView="100" workbookViewId="0">
      <selection activeCell="Q24" sqref="Q24"/>
    </sheetView>
  </sheetViews>
  <sheetFormatPr defaultRowHeight="14.4" x14ac:dyDescent="0.3"/>
  <cols>
    <col min="1" max="1" width="4.5546875" customWidth="1"/>
    <col min="2" max="2" width="48.6640625" customWidth="1"/>
    <col min="3" max="3" width="19.44140625" customWidth="1"/>
    <col min="4" max="4" width="16.88671875" customWidth="1"/>
    <col min="5" max="5" width="19.44140625" customWidth="1"/>
    <col min="6" max="6" width="18.109375" customWidth="1"/>
    <col min="7" max="7" width="16.44140625" customWidth="1"/>
    <col min="8" max="9" width="17.33203125" customWidth="1"/>
    <col min="11" max="11" width="12.88671875" customWidth="1"/>
    <col min="12" max="12" width="13.33203125" customWidth="1"/>
    <col min="13" max="13" width="13.109375" customWidth="1"/>
  </cols>
  <sheetData>
    <row r="1" spans="1:13" ht="15.6" x14ac:dyDescent="0.3">
      <c r="A1" s="135" t="s">
        <v>0</v>
      </c>
      <c r="B1" s="135"/>
      <c r="C1" s="135"/>
      <c r="D1" s="135"/>
      <c r="E1" s="135"/>
      <c r="F1" s="135"/>
      <c r="G1" s="135"/>
      <c r="H1" s="135"/>
      <c r="I1" s="135"/>
    </row>
    <row r="2" spans="1:13" ht="15.6" x14ac:dyDescent="0.3">
      <c r="A2" s="135" t="s">
        <v>1</v>
      </c>
      <c r="B2" s="135"/>
      <c r="C2" s="135"/>
      <c r="D2" s="135"/>
      <c r="E2" s="135"/>
      <c r="F2" s="135"/>
      <c r="G2" s="135"/>
      <c r="H2" s="135"/>
      <c r="I2" s="135"/>
    </row>
    <row r="3" spans="1:13" ht="15.6" x14ac:dyDescent="0.3">
      <c r="A3" s="136" t="s">
        <v>39</v>
      </c>
      <c r="B3" s="136"/>
      <c r="C3" s="136"/>
      <c r="D3" s="136"/>
      <c r="E3" s="136"/>
      <c r="F3" s="136"/>
      <c r="G3" s="136"/>
      <c r="H3" s="136"/>
      <c r="I3" s="136"/>
    </row>
    <row r="4" spans="1:13" ht="15.6" x14ac:dyDescent="0.3">
      <c r="A4" s="27"/>
      <c r="B4" s="27"/>
      <c r="C4" s="27"/>
      <c r="D4" s="27"/>
      <c r="E4" s="27"/>
      <c r="F4" s="27"/>
      <c r="G4" s="27"/>
      <c r="H4" s="27"/>
      <c r="I4" s="28"/>
    </row>
    <row r="5" spans="1:13" ht="15.6" x14ac:dyDescent="0.3">
      <c r="A5" s="27"/>
      <c r="B5" s="27"/>
      <c r="C5" s="29" t="s">
        <v>40</v>
      </c>
      <c r="D5" s="29" t="s">
        <v>41</v>
      </c>
      <c r="E5" s="29" t="s">
        <v>42</v>
      </c>
      <c r="F5" s="29" t="s">
        <v>43</v>
      </c>
      <c r="G5" s="29" t="s">
        <v>44</v>
      </c>
      <c r="H5" s="108" t="s">
        <v>45</v>
      </c>
      <c r="I5" s="29" t="s">
        <v>45</v>
      </c>
      <c r="K5" s="29" t="s">
        <v>46</v>
      </c>
      <c r="L5" s="29" t="s">
        <v>46</v>
      </c>
      <c r="M5" s="29" t="s">
        <v>46</v>
      </c>
    </row>
    <row r="6" spans="1:13" ht="15.6" x14ac:dyDescent="0.3">
      <c r="A6" s="27"/>
      <c r="B6" s="27"/>
      <c r="C6" s="30" t="s">
        <v>47</v>
      </c>
      <c r="D6" s="30" t="s">
        <v>48</v>
      </c>
      <c r="E6" s="30" t="s">
        <v>49</v>
      </c>
      <c r="F6" s="30" t="s">
        <v>50</v>
      </c>
      <c r="G6" s="30" t="s">
        <v>51</v>
      </c>
      <c r="H6" s="109" t="s">
        <v>52</v>
      </c>
      <c r="I6" s="30" t="s">
        <v>53</v>
      </c>
      <c r="K6" s="29">
        <v>112</v>
      </c>
      <c r="L6" s="29">
        <v>122</v>
      </c>
      <c r="M6" s="29">
        <v>132</v>
      </c>
    </row>
    <row r="7" spans="1:13" ht="15.6" x14ac:dyDescent="0.3">
      <c r="A7" s="27"/>
      <c r="B7" s="27"/>
      <c r="C7" s="27"/>
      <c r="D7" s="27"/>
      <c r="E7" s="27"/>
      <c r="F7" s="27"/>
      <c r="G7" s="27"/>
      <c r="H7" s="110"/>
      <c r="I7" s="111"/>
    </row>
    <row r="8" spans="1:13" ht="15.6" x14ac:dyDescent="0.3">
      <c r="A8" s="27">
        <v>1</v>
      </c>
      <c r="B8" s="27" t="s">
        <v>121</v>
      </c>
      <c r="C8" s="31">
        <f>SUM(D8:I8)</f>
        <v>146557000</v>
      </c>
      <c r="D8" s="32">
        <v>106954000</v>
      </c>
      <c r="E8" s="32">
        <f>31478000-K8</f>
        <v>31478000</v>
      </c>
      <c r="F8" s="32">
        <f>3363000-L8</f>
        <v>2973000</v>
      </c>
      <c r="G8" s="32">
        <f>578000-M8</f>
        <v>0</v>
      </c>
      <c r="H8" s="112">
        <f>K8+L8+M8</f>
        <v>968000</v>
      </c>
      <c r="I8" s="113">
        <f>2577000+1607000</f>
        <v>4184000</v>
      </c>
      <c r="K8" s="33">
        <f>ROUND(38270/30697*K18,0)</f>
        <v>0</v>
      </c>
      <c r="L8" s="33">
        <f>ROUND(L12/5735037*3363000,-3)</f>
        <v>390000</v>
      </c>
      <c r="M8" s="33">
        <v>578000</v>
      </c>
    </row>
    <row r="9" spans="1:13" ht="15.6" x14ac:dyDescent="0.3">
      <c r="A9" s="27">
        <v>2</v>
      </c>
      <c r="B9" s="27" t="s">
        <v>122</v>
      </c>
      <c r="C9" s="31">
        <f>SUM(D9:I9)</f>
        <v>10824000</v>
      </c>
      <c r="D9" s="32">
        <v>8398000</v>
      </c>
      <c r="E9" s="32">
        <v>1867000</v>
      </c>
      <c r="F9" s="32">
        <f>173000-L9</f>
        <v>161000</v>
      </c>
      <c r="G9" s="32">
        <f>28000-M9</f>
        <v>0</v>
      </c>
      <c r="H9" s="112">
        <f>K9+L9+M9</f>
        <v>40000</v>
      </c>
      <c r="I9" s="113">
        <v>358000</v>
      </c>
      <c r="K9" s="33">
        <f>ROUND(0/30697*K18,0)</f>
        <v>0</v>
      </c>
      <c r="L9" s="33">
        <f>ROUND(173000/336*L18,-3)</f>
        <v>12000</v>
      </c>
      <c r="M9" s="33">
        <v>28000</v>
      </c>
    </row>
    <row r="10" spans="1:13" ht="15.6" x14ac:dyDescent="0.3">
      <c r="A10" s="27">
        <v>3</v>
      </c>
      <c r="B10" s="27" t="s">
        <v>123</v>
      </c>
      <c r="C10" s="31">
        <f>SUM(D10:I10)</f>
        <v>157381000</v>
      </c>
      <c r="D10" s="34">
        <f t="shared" ref="D10:I10" si="0">D8+D9</f>
        <v>115352000</v>
      </c>
      <c r="E10" s="34">
        <f t="shared" si="0"/>
        <v>33345000</v>
      </c>
      <c r="F10" s="34">
        <f t="shared" si="0"/>
        <v>3134000</v>
      </c>
      <c r="G10" s="34">
        <f t="shared" si="0"/>
        <v>0</v>
      </c>
      <c r="H10" s="114">
        <f t="shared" si="0"/>
        <v>1008000</v>
      </c>
      <c r="I10" s="115">
        <f t="shared" si="0"/>
        <v>4542000</v>
      </c>
      <c r="K10" s="33">
        <f>K8+K9</f>
        <v>0</v>
      </c>
      <c r="L10" s="33">
        <f>L8+L9</f>
        <v>402000</v>
      </c>
      <c r="M10" s="33">
        <f>M8+M9</f>
        <v>606000</v>
      </c>
    </row>
    <row r="11" spans="1:13" ht="15.6" x14ac:dyDescent="0.3">
      <c r="A11" s="27"/>
      <c r="B11" s="27"/>
      <c r="C11" s="27"/>
      <c r="D11" s="27"/>
      <c r="E11" s="27"/>
      <c r="F11" s="27"/>
      <c r="G11" s="27"/>
      <c r="H11" s="110"/>
      <c r="I11" s="111"/>
    </row>
    <row r="12" spans="1:13" ht="15.6" x14ac:dyDescent="0.3">
      <c r="A12" s="27">
        <v>4</v>
      </c>
      <c r="B12" s="27" t="s">
        <v>124</v>
      </c>
      <c r="C12" s="35">
        <f>SUM(D12:I12)</f>
        <v>255186931</v>
      </c>
      <c r="D12" s="36">
        <v>120721607</v>
      </c>
      <c r="E12" s="36">
        <f>47537282-K12</f>
        <v>47537282</v>
      </c>
      <c r="F12" s="36">
        <f>5735037-L12</f>
        <v>5069530</v>
      </c>
      <c r="G12" s="36">
        <f>1115704-M12</f>
        <v>0</v>
      </c>
      <c r="H12" s="116">
        <f>K12+L12+M12</f>
        <v>1781211</v>
      </c>
      <c r="I12" s="117">
        <f>30580202+39076638+10420461</f>
        <v>80077301</v>
      </c>
      <c r="K12" s="37">
        <f>ROUND(47537282/30697*K18,0)</f>
        <v>0</v>
      </c>
      <c r="L12" s="37">
        <v>665507</v>
      </c>
      <c r="M12" s="37">
        <v>1115704</v>
      </c>
    </row>
    <row r="13" spans="1:13" ht="15.6" x14ac:dyDescent="0.3">
      <c r="A13" s="27">
        <v>5</v>
      </c>
      <c r="B13" s="27" t="s">
        <v>125</v>
      </c>
      <c r="C13" s="118"/>
      <c r="D13" s="119">
        <v>0.38907000000000003</v>
      </c>
      <c r="E13" s="119">
        <v>0.38166</v>
      </c>
      <c r="F13" s="119">
        <v>0.37076999999999999</v>
      </c>
      <c r="G13" s="119">
        <v>0.33645000000000003</v>
      </c>
      <c r="H13" s="120"/>
      <c r="I13" s="121"/>
      <c r="K13" s="39">
        <f>E13</f>
        <v>0.38166</v>
      </c>
      <c r="L13" s="39">
        <f>F13</f>
        <v>0.37076999999999999</v>
      </c>
      <c r="M13" s="39">
        <f>G13</f>
        <v>0.33645000000000003</v>
      </c>
    </row>
    <row r="14" spans="1:13" ht="15.6" x14ac:dyDescent="0.3">
      <c r="A14" s="27">
        <v>6</v>
      </c>
      <c r="B14" s="27" t="s">
        <v>59</v>
      </c>
      <c r="C14" s="31">
        <f>SUM(D14:G14)</f>
        <v>66991864.321709998</v>
      </c>
      <c r="D14" s="31">
        <f>D12*D13</f>
        <v>46969155.63549</v>
      </c>
      <c r="E14" s="31">
        <f>E12*E13</f>
        <v>18143079.048119999</v>
      </c>
      <c r="F14" s="31">
        <f>F12*F13</f>
        <v>1879629.6380999999</v>
      </c>
      <c r="G14" s="31">
        <f>G12*G13</f>
        <v>0</v>
      </c>
      <c r="H14" s="120"/>
      <c r="I14" s="121"/>
      <c r="K14" s="33">
        <f>K12*K13</f>
        <v>0</v>
      </c>
      <c r="L14" s="33">
        <f>L12*L13</f>
        <v>246750.03039</v>
      </c>
      <c r="M14" s="33">
        <f>M12*M13</f>
        <v>375378.61080000002</v>
      </c>
    </row>
    <row r="15" spans="1:13" ht="15.6" x14ac:dyDescent="0.3">
      <c r="A15" s="27"/>
      <c r="B15" s="27"/>
      <c r="C15" s="27"/>
      <c r="D15" s="27"/>
      <c r="E15" s="27"/>
      <c r="F15" s="27"/>
      <c r="G15" s="27"/>
      <c r="H15" s="120"/>
      <c r="I15" s="121"/>
    </row>
    <row r="16" spans="1:13" ht="15.6" x14ac:dyDescent="0.3">
      <c r="A16" s="27">
        <v>7</v>
      </c>
      <c r="B16" s="27" t="s">
        <v>60</v>
      </c>
      <c r="C16" s="31">
        <f>SUM(D16:G16)</f>
        <v>84839135.678290009</v>
      </c>
      <c r="D16" s="34">
        <f>D10-D14</f>
        <v>68382844.36451</v>
      </c>
      <c r="E16" s="34">
        <f>E10-E14</f>
        <v>15201920.951880001</v>
      </c>
      <c r="F16" s="34">
        <f>F10-F14</f>
        <v>1254370.3619000001</v>
      </c>
      <c r="G16" s="34">
        <f>G10-G14</f>
        <v>0</v>
      </c>
      <c r="H16" s="114"/>
      <c r="I16" s="111"/>
      <c r="K16" s="40">
        <f>K10-K14</f>
        <v>0</v>
      </c>
      <c r="L16" s="40">
        <f>L10-L14</f>
        <v>155249.96961</v>
      </c>
      <c r="M16" s="40">
        <f>M10-M14</f>
        <v>230621.38919999998</v>
      </c>
    </row>
    <row r="17" spans="1:13" ht="15.6" x14ac:dyDescent="0.3">
      <c r="A17" s="27"/>
      <c r="B17" s="27"/>
      <c r="C17" s="27"/>
      <c r="D17" s="27"/>
      <c r="E17" s="27"/>
      <c r="F17" s="27"/>
      <c r="G17" s="27"/>
      <c r="H17" s="110"/>
      <c r="I17" s="111"/>
    </row>
    <row r="18" spans="1:13" ht="15.6" x14ac:dyDescent="0.3">
      <c r="A18" s="27">
        <v>8</v>
      </c>
      <c r="B18" s="27" t="s">
        <v>126</v>
      </c>
      <c r="C18" s="35">
        <f>SUM(D18:I18)</f>
        <v>1819516</v>
      </c>
      <c r="D18" s="41">
        <v>1787943</v>
      </c>
      <c r="E18" s="41">
        <f>30697-K18</f>
        <v>30697</v>
      </c>
      <c r="F18" s="41">
        <f>336-L18</f>
        <v>312</v>
      </c>
      <c r="G18" s="41">
        <f>24-M18</f>
        <v>0</v>
      </c>
      <c r="H18" s="116">
        <f>K18+L18+M18</f>
        <v>48</v>
      </c>
      <c r="I18" s="117">
        <f>456+48+12</f>
        <v>516</v>
      </c>
      <c r="K18">
        <v>0</v>
      </c>
      <c r="L18">
        <v>24</v>
      </c>
      <c r="M18">
        <v>24</v>
      </c>
    </row>
    <row r="19" spans="1:13" ht="15.6" x14ac:dyDescent="0.3">
      <c r="A19" s="27">
        <v>9</v>
      </c>
      <c r="B19" s="27" t="s">
        <v>127</v>
      </c>
      <c r="C19" s="31"/>
      <c r="D19" s="122">
        <v>9</v>
      </c>
      <c r="E19" s="122">
        <v>101.44</v>
      </c>
      <c r="F19" s="122">
        <v>252.28</v>
      </c>
      <c r="G19" s="123">
        <f>G18*G17</f>
        <v>0</v>
      </c>
      <c r="H19" s="124"/>
      <c r="I19" s="111"/>
      <c r="K19" s="45">
        <f>E19</f>
        <v>101.44</v>
      </c>
      <c r="L19" s="45">
        <f>F19</f>
        <v>252.28</v>
      </c>
      <c r="M19" s="45">
        <f>G19</f>
        <v>0</v>
      </c>
    </row>
    <row r="20" spans="1:13" ht="15.6" x14ac:dyDescent="0.3">
      <c r="A20" s="27">
        <v>10</v>
      </c>
      <c r="B20" s="27" t="s">
        <v>63</v>
      </c>
      <c r="C20" s="31">
        <f>SUM(D20:G20)</f>
        <v>19284102.039999999</v>
      </c>
      <c r="D20" s="44">
        <f>D19*D18</f>
        <v>16091487</v>
      </c>
      <c r="E20" s="44">
        <f>E19*E18</f>
        <v>3113903.6799999997</v>
      </c>
      <c r="F20" s="44">
        <f>F19*F18</f>
        <v>78711.360000000001</v>
      </c>
      <c r="G20" s="44">
        <f>G19*G18</f>
        <v>0</v>
      </c>
      <c r="H20" s="124"/>
      <c r="I20" s="111"/>
      <c r="K20" s="40">
        <f>K18*K19</f>
        <v>0</v>
      </c>
      <c r="L20" s="40">
        <f>L18*L19</f>
        <v>6054.72</v>
      </c>
      <c r="M20" s="40">
        <f>M18*M19</f>
        <v>0</v>
      </c>
    </row>
    <row r="21" spans="1:13" ht="15.6" x14ac:dyDescent="0.3">
      <c r="A21" s="27"/>
      <c r="B21" s="27"/>
      <c r="C21" s="31"/>
      <c r="D21" s="44"/>
      <c r="E21" s="44"/>
      <c r="F21" s="44"/>
      <c r="G21" s="44"/>
      <c r="H21" s="137" t="s">
        <v>64</v>
      </c>
      <c r="I21" s="138"/>
      <c r="K21" s="40"/>
      <c r="L21" s="40"/>
      <c r="M21" s="40"/>
    </row>
    <row r="22" spans="1:13" ht="15.6" x14ac:dyDescent="0.3">
      <c r="A22" s="27">
        <v>11</v>
      </c>
      <c r="B22" s="27" t="s">
        <v>24</v>
      </c>
      <c r="C22" s="31">
        <f>SUM(D22:G22)</f>
        <v>65555033.638290003</v>
      </c>
      <c r="D22" s="44">
        <f>D16-D20</f>
        <v>52291357.36451</v>
      </c>
      <c r="E22" s="44">
        <f>E16-E20</f>
        <v>12088017.271880001</v>
      </c>
      <c r="F22" s="44">
        <f>F16-F20</f>
        <v>1175659.0019</v>
      </c>
      <c r="G22" s="44">
        <f>G16-G20</f>
        <v>0</v>
      </c>
      <c r="H22" s="137"/>
      <c r="I22" s="138"/>
      <c r="K22" s="40">
        <f>K16-K20</f>
        <v>0</v>
      </c>
      <c r="L22" s="40">
        <f>L16-L20</f>
        <v>149195.24961</v>
      </c>
      <c r="M22" s="40">
        <f>M16-M20</f>
        <v>230621.38919999998</v>
      </c>
    </row>
    <row r="23" spans="1:13" ht="15.6" x14ac:dyDescent="0.3">
      <c r="A23" s="46"/>
      <c r="B23" s="46"/>
      <c r="C23" s="46"/>
      <c r="D23" s="46"/>
      <c r="E23" s="46"/>
      <c r="F23" s="46"/>
      <c r="G23" s="46"/>
      <c r="H23" s="125"/>
      <c r="I23" s="126"/>
    </row>
    <row r="24" spans="1:13" ht="15.6" x14ac:dyDescent="0.3">
      <c r="C24" s="27"/>
      <c r="D24" s="48" t="s">
        <v>65</v>
      </c>
      <c r="E24" s="27" t="s">
        <v>35</v>
      </c>
    </row>
    <row r="25" spans="1:13" ht="15.6" x14ac:dyDescent="0.3">
      <c r="A25" s="27">
        <v>12</v>
      </c>
      <c r="B25" s="27" t="s">
        <v>66</v>
      </c>
      <c r="C25" s="35"/>
      <c r="D25" s="35">
        <f>D18/12</f>
        <v>148995.25</v>
      </c>
      <c r="E25" s="35">
        <f>(E18+F18+G18)/12</f>
        <v>2584.0833333333335</v>
      </c>
    </row>
    <row r="26" spans="1:13" ht="15.6" x14ac:dyDescent="0.3">
      <c r="A26" s="27">
        <v>13</v>
      </c>
      <c r="B26" s="27" t="s">
        <v>67</v>
      </c>
      <c r="C26" s="35"/>
      <c r="D26" s="35">
        <f>D12</f>
        <v>120721607</v>
      </c>
      <c r="E26" s="35">
        <f>E12+F12+G12</f>
        <v>52606812</v>
      </c>
    </row>
    <row r="27" spans="1:13" ht="15.6" x14ac:dyDescent="0.3">
      <c r="A27" s="27">
        <v>14</v>
      </c>
      <c r="B27" s="27" t="s">
        <v>68</v>
      </c>
      <c r="C27" s="31"/>
      <c r="D27" s="31">
        <f>D20</f>
        <v>16091487</v>
      </c>
      <c r="E27" s="31">
        <f>E20+F20+G20</f>
        <v>3192615.0399999996</v>
      </c>
      <c r="F27" s="45"/>
    </row>
    <row r="28" spans="1:13" ht="15.6" x14ac:dyDescent="0.3">
      <c r="A28" s="27">
        <v>15</v>
      </c>
      <c r="B28" s="27" t="s">
        <v>69</v>
      </c>
      <c r="C28" s="35"/>
      <c r="D28" s="35">
        <f>D18</f>
        <v>1787943</v>
      </c>
      <c r="E28" s="35">
        <f>E18+F18+G18</f>
        <v>31009</v>
      </c>
      <c r="F28" s="45"/>
    </row>
    <row r="29" spans="1:13" ht="15.6" x14ac:dyDescent="0.3">
      <c r="A29" s="27">
        <v>16</v>
      </c>
      <c r="B29" s="27" t="s">
        <v>70</v>
      </c>
      <c r="C29" s="31"/>
      <c r="D29" s="42">
        <f>D27/D28</f>
        <v>9</v>
      </c>
      <c r="E29" s="42">
        <f>E27/E28</f>
        <v>102.95769099293751</v>
      </c>
      <c r="F29" s="45"/>
    </row>
    <row r="30" spans="1:13" x14ac:dyDescent="0.3">
      <c r="D30" s="45"/>
    </row>
    <row r="31" spans="1:13" x14ac:dyDescent="0.3">
      <c r="C31" t="s">
        <v>128</v>
      </c>
      <c r="D31" s="40"/>
      <c r="F31" s="40"/>
    </row>
    <row r="32" spans="1:13" x14ac:dyDescent="0.3">
      <c r="C32" t="s">
        <v>129</v>
      </c>
      <c r="D32" s="39">
        <f>D22/D12</f>
        <v>0.43315657125497015</v>
      </c>
      <c r="E32" s="39">
        <f t="shared" ref="E32:F32" si="1">E22/E12</f>
        <v>0.25428498987131826</v>
      </c>
      <c r="F32" s="39">
        <f t="shared" si="1"/>
        <v>0.23190690298706193</v>
      </c>
    </row>
    <row r="33" spans="3:6" x14ac:dyDescent="0.3">
      <c r="C33" t="s">
        <v>130</v>
      </c>
      <c r="D33" s="39">
        <f>D32+D13</f>
        <v>0.82222657125497012</v>
      </c>
      <c r="E33" s="39">
        <f t="shared" ref="E33:F33" si="2">E32+E13</f>
        <v>0.63594498987131831</v>
      </c>
      <c r="F33" s="39">
        <f t="shared" si="2"/>
        <v>0.60267690298706189</v>
      </c>
    </row>
    <row r="36" spans="3:6" x14ac:dyDescent="0.3">
      <c r="D36" s="45"/>
      <c r="F36" s="45"/>
    </row>
    <row r="37" spans="3:6" x14ac:dyDescent="0.3">
      <c r="D37" s="45"/>
      <c r="F37" s="45"/>
    </row>
    <row r="38" spans="3:6" x14ac:dyDescent="0.3">
      <c r="D38" s="45"/>
      <c r="F38" s="45"/>
    </row>
  </sheetData>
  <mergeCells count="4">
    <mergeCell ref="A1:I1"/>
    <mergeCell ref="A2:I2"/>
    <mergeCell ref="A3:I3"/>
    <mergeCell ref="H21:I22"/>
  </mergeCells>
  <pageMargins left="0.6" right="0.6" top="1" bottom="1" header="0.55000000000000004" footer="0.75"/>
  <pageSetup scale="70" orientation="landscape" r:id="rId1"/>
  <headerFooter scaleWithDoc="0">
    <oddHeader>&amp;CDocket No. UG-150205 Authorized Decoupling Baseline</oddHeader>
    <oddFooter>&amp;C&amp;14Attachment 5, Page 1 (UG-150205 Compliance Filing)
ATTACHMENT B  Page 2 of 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22"/>
  <sheetViews>
    <sheetView tabSelected="1" view="pageLayout" topLeftCell="A21" zoomScaleNormal="100" workbookViewId="0">
      <selection activeCell="Q24" sqref="Q24"/>
    </sheetView>
  </sheetViews>
  <sheetFormatPr defaultRowHeight="14.4" x14ac:dyDescent="0.3"/>
  <cols>
    <col min="1" max="1" width="6.44140625" customWidth="1"/>
    <col min="2" max="2" width="38.5546875" customWidth="1"/>
    <col min="3" max="3" width="22.6640625" customWidth="1"/>
    <col min="4" max="5" width="16.44140625" customWidth="1"/>
    <col min="7" max="7" width="13.109375" bestFit="1" customWidth="1"/>
    <col min="8" max="8" width="12" bestFit="1" customWidth="1"/>
  </cols>
  <sheetData>
    <row r="1" spans="1:6" ht="15.6" x14ac:dyDescent="0.3">
      <c r="A1" s="135" t="s">
        <v>0</v>
      </c>
      <c r="B1" s="135"/>
      <c r="C1" s="135"/>
      <c r="D1" s="135"/>
      <c r="E1" s="135"/>
      <c r="F1" s="49"/>
    </row>
    <row r="2" spans="1:6" ht="15.6" x14ac:dyDescent="0.3">
      <c r="A2" s="135" t="s">
        <v>1</v>
      </c>
      <c r="B2" s="135"/>
      <c r="C2" s="135"/>
      <c r="D2" s="135"/>
      <c r="E2" s="135"/>
      <c r="F2" s="49"/>
    </row>
    <row r="3" spans="1:6" ht="15.6" x14ac:dyDescent="0.3">
      <c r="A3" s="136" t="s">
        <v>71</v>
      </c>
      <c r="B3" s="136"/>
      <c r="C3" s="136"/>
      <c r="D3" s="136"/>
      <c r="E3" s="136"/>
      <c r="F3" s="50"/>
    </row>
    <row r="4" spans="1:6" ht="15.6" x14ac:dyDescent="0.3">
      <c r="A4" s="51"/>
      <c r="B4" s="51"/>
      <c r="C4" s="51"/>
      <c r="D4" s="51"/>
      <c r="E4" s="51"/>
    </row>
    <row r="5" spans="1:6" ht="15.6" x14ac:dyDescent="0.3">
      <c r="A5" s="51"/>
      <c r="B5" s="51"/>
      <c r="C5" s="51"/>
      <c r="D5" s="51"/>
      <c r="E5" s="51"/>
    </row>
    <row r="6" spans="1:6" ht="46.8" x14ac:dyDescent="0.3">
      <c r="A6" s="52" t="s">
        <v>2</v>
      </c>
      <c r="B6" s="53"/>
      <c r="C6" s="52" t="s">
        <v>3</v>
      </c>
      <c r="D6" s="52" t="s">
        <v>65</v>
      </c>
      <c r="E6" s="52" t="s">
        <v>72</v>
      </c>
    </row>
    <row r="7" spans="1:6" ht="15.6" x14ac:dyDescent="0.3">
      <c r="A7" s="51"/>
      <c r="B7" s="54" t="s">
        <v>5</v>
      </c>
      <c r="C7" s="54" t="s">
        <v>6</v>
      </c>
      <c r="D7" s="54" t="s">
        <v>7</v>
      </c>
      <c r="E7" s="54" t="s">
        <v>8</v>
      </c>
    </row>
    <row r="8" spans="1:6" ht="15.6" x14ac:dyDescent="0.3">
      <c r="A8" s="54"/>
      <c r="B8" s="55"/>
      <c r="C8" s="54"/>
      <c r="D8" s="54"/>
      <c r="E8" s="54"/>
    </row>
    <row r="9" spans="1:6" ht="15.6" x14ac:dyDescent="0.3">
      <c r="A9" s="54">
        <v>1</v>
      </c>
      <c r="B9" s="55" t="s">
        <v>73</v>
      </c>
      <c r="C9" s="54" t="s">
        <v>131</v>
      </c>
      <c r="D9" s="56">
        <f>'UG-150205 Attachment 5, Page 1'!D22</f>
        <v>52291357.36451</v>
      </c>
      <c r="E9" s="56">
        <f>'UG-150205 Attachment 5, Page 1'!E22+'UG-150205 Attachment 5, Page 1'!F22+'UG-150205 Attachment 5, Page 1'!G22</f>
        <v>13263676.273780001</v>
      </c>
    </row>
    <row r="10" spans="1:6" ht="15.6" x14ac:dyDescent="0.3">
      <c r="A10" s="54"/>
      <c r="B10" s="55"/>
      <c r="C10" s="54"/>
      <c r="D10" s="54"/>
      <c r="E10" s="54"/>
    </row>
    <row r="11" spans="1:6" ht="15.6" x14ac:dyDescent="0.3">
      <c r="A11" s="54">
        <v>2</v>
      </c>
      <c r="B11" s="51" t="s">
        <v>132</v>
      </c>
      <c r="C11" s="54" t="s">
        <v>76</v>
      </c>
      <c r="D11" s="57">
        <f>'UG-150205 Attachment 5, Page 1'!D18/12</f>
        <v>148995.25</v>
      </c>
      <c r="E11" s="57">
        <f>SUM('UG-150205 Attachment 5, Page 1'!E18:G18)/12</f>
        <v>2584.0833333333335</v>
      </c>
    </row>
    <row r="12" spans="1:6" ht="15.6" x14ac:dyDescent="0.3">
      <c r="A12" s="54"/>
      <c r="B12" s="55"/>
      <c r="C12" s="54"/>
      <c r="D12" s="54"/>
      <c r="E12" s="54"/>
    </row>
    <row r="13" spans="1:6" ht="15.6" x14ac:dyDescent="0.3">
      <c r="A13" s="54">
        <v>3</v>
      </c>
      <c r="B13" s="55" t="s">
        <v>77</v>
      </c>
      <c r="C13" s="54" t="str">
        <f>"("&amp;A9&amp;") / ("&amp;A$11&amp;")"</f>
        <v>(1) / (2)</v>
      </c>
      <c r="D13" s="58">
        <f>ROUND(D9/D11,2)</f>
        <v>350.96</v>
      </c>
      <c r="E13" s="58">
        <f>ROUND(E9/E11,2)</f>
        <v>5132.84</v>
      </c>
    </row>
    <row r="14" spans="1:6" ht="15.6" x14ac:dyDescent="0.3">
      <c r="A14" s="54"/>
      <c r="B14" s="55"/>
      <c r="C14" s="54"/>
      <c r="D14" s="54"/>
      <c r="E14" s="54"/>
    </row>
    <row r="15" spans="1:6" ht="15.6" x14ac:dyDescent="0.3">
      <c r="A15" s="54"/>
      <c r="B15" s="51"/>
      <c r="C15" s="51"/>
      <c r="D15" s="63"/>
      <c r="E15" s="63"/>
    </row>
    <row r="16" spans="1:6" ht="15.6" x14ac:dyDescent="0.3">
      <c r="A16" s="54"/>
      <c r="B16" s="64" t="s">
        <v>78</v>
      </c>
      <c r="C16" s="51"/>
      <c r="D16" s="51"/>
      <c r="E16" s="51"/>
    </row>
    <row r="17" spans="1:5" ht="15.6" x14ac:dyDescent="0.3">
      <c r="A17" s="46"/>
      <c r="B17" s="46"/>
      <c r="C17" s="46"/>
      <c r="D17" s="46"/>
      <c r="E17" s="46"/>
    </row>
    <row r="18" spans="1:5" ht="15.6" x14ac:dyDescent="0.3">
      <c r="A18" s="46"/>
      <c r="B18" s="46"/>
      <c r="C18" s="65" t="s">
        <v>79</v>
      </c>
      <c r="D18" s="46"/>
      <c r="E18" s="46"/>
    </row>
    <row r="19" spans="1:5" ht="15.6" x14ac:dyDescent="0.3">
      <c r="A19" s="46"/>
      <c r="B19" s="46"/>
      <c r="C19" s="65" t="s">
        <v>80</v>
      </c>
      <c r="D19" s="66">
        <f>D13*D11</f>
        <v>52291372.939999998</v>
      </c>
      <c r="E19" s="66">
        <f>E13*E11</f>
        <v>13263686.296666669</v>
      </c>
    </row>
    <row r="20" spans="1:5" ht="15.6" x14ac:dyDescent="0.3">
      <c r="A20" s="46"/>
      <c r="B20" s="46"/>
      <c r="C20" s="65" t="s">
        <v>81</v>
      </c>
      <c r="D20" s="66">
        <f>'UG-150205 Attachment 5, Page 1'!D27</f>
        <v>16091487</v>
      </c>
      <c r="E20" s="66">
        <f>'UG-150205 Attachment 5, Page 1'!E27</f>
        <v>3192615.0399999996</v>
      </c>
    </row>
    <row r="21" spans="1:5" ht="15.6" x14ac:dyDescent="0.3">
      <c r="A21" s="46"/>
      <c r="B21" s="46"/>
      <c r="C21" s="65" t="s">
        <v>82</v>
      </c>
      <c r="D21" s="66">
        <f>'UG-150205 Attachment 5, Page 1'!D14</f>
        <v>46969155.63549</v>
      </c>
      <c r="E21" s="66">
        <f>SUM('UG-150205 Attachment 5, Page 1'!E14:G14)</f>
        <v>20022708.686219998</v>
      </c>
    </row>
    <row r="22" spans="1:5" ht="15.6" x14ac:dyDescent="0.3">
      <c r="A22" s="46"/>
      <c r="B22" s="46"/>
      <c r="C22" s="65" t="s">
        <v>4</v>
      </c>
      <c r="D22" s="67">
        <f>SUM(D19:D21)</f>
        <v>115352015.57549</v>
      </c>
      <c r="E22" s="67">
        <f>SUM(E19:E21)</f>
        <v>36479010.022886664</v>
      </c>
    </row>
  </sheetData>
  <mergeCells count="3">
    <mergeCell ref="A1:E1"/>
    <mergeCell ref="A2:E2"/>
    <mergeCell ref="A3:E3"/>
  </mergeCells>
  <printOptions horizontalCentered="1"/>
  <pageMargins left="0.6" right="0.6" top="1" bottom="1" header="0.55000000000000004" footer="0.74"/>
  <pageSetup scale="87" orientation="landscape" r:id="rId1"/>
  <headerFooter scaleWithDoc="0">
    <oddHeader>&amp;CDocket No. UG-150205 Authorized Decoupling Baseline</oddHeader>
    <oddFooter>&amp;C&amp;14Attachment 5, Page 2 (UG-150205 Compliance Filing)
ATTACHMENT B  Page 3 of 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44"/>
  <sheetViews>
    <sheetView tabSelected="1" view="pageLayout" topLeftCell="J11" zoomScaleNormal="100" workbookViewId="0">
      <selection activeCell="Q24" sqref="Q24"/>
    </sheetView>
  </sheetViews>
  <sheetFormatPr defaultRowHeight="14.4" x14ac:dyDescent="0.3"/>
  <cols>
    <col min="2" max="2" width="35.109375" customWidth="1"/>
    <col min="3" max="3" width="17.33203125" customWidth="1"/>
    <col min="4" max="5" width="12.33203125" customWidth="1"/>
    <col min="6" max="6" width="12.44140625" customWidth="1"/>
    <col min="7" max="13" width="11.44140625" customWidth="1"/>
    <col min="14" max="14" width="12.88671875" customWidth="1"/>
    <col min="15" max="15" width="13" customWidth="1"/>
    <col min="16" max="16" width="13.88671875" bestFit="1" customWidth="1"/>
  </cols>
  <sheetData>
    <row r="1" spans="1:16" ht="17.399999999999999" x14ac:dyDescent="0.3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</row>
    <row r="2" spans="1:16" ht="17.399999999999999" x14ac:dyDescent="0.3">
      <c r="A2" s="139" t="str">
        <f>'UG-150205 Attachment 5, Page 2'!A2:E2</f>
        <v>Natural Gas Decoupling Mechanism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</row>
    <row r="3" spans="1:16" ht="17.399999999999999" x14ac:dyDescent="0.3">
      <c r="A3" s="140" t="s">
        <v>83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x14ac:dyDescent="0.3">
      <c r="A4" s="5"/>
      <c r="B4" s="5"/>
      <c r="C4" s="13"/>
      <c r="D4" s="13"/>
      <c r="E4" s="13"/>
      <c r="F4" s="13"/>
      <c r="G4" s="13"/>
      <c r="H4" s="5"/>
      <c r="I4" s="5"/>
      <c r="J4" s="5"/>
      <c r="K4" s="5"/>
      <c r="L4" s="5"/>
      <c r="M4" s="5"/>
      <c r="N4" s="5"/>
      <c r="O4" s="5"/>
      <c r="P4" s="5"/>
    </row>
    <row r="5" spans="1:16" x14ac:dyDescent="0.3">
      <c r="A5" s="5"/>
      <c r="B5" s="5"/>
      <c r="C5" s="13"/>
      <c r="D5" s="13"/>
      <c r="E5" s="13"/>
      <c r="F5" s="13"/>
      <c r="G5" s="13"/>
      <c r="H5" s="5"/>
      <c r="I5" s="5"/>
      <c r="J5" s="5"/>
      <c r="K5" s="5"/>
      <c r="L5" s="5"/>
      <c r="M5" s="5"/>
      <c r="N5" s="5"/>
      <c r="O5" s="5"/>
      <c r="P5" s="5"/>
    </row>
    <row r="6" spans="1:16" ht="26.4" customHeight="1" x14ac:dyDescent="0.3">
      <c r="A6" s="68" t="s">
        <v>2</v>
      </c>
      <c r="B6" s="69"/>
      <c r="C6" s="70" t="s">
        <v>3</v>
      </c>
      <c r="D6" s="71" t="s">
        <v>84</v>
      </c>
      <c r="E6" s="71" t="s">
        <v>85</v>
      </c>
      <c r="F6" s="71" t="s">
        <v>86</v>
      </c>
      <c r="G6" s="71" t="s">
        <v>87</v>
      </c>
      <c r="H6" s="71" t="s">
        <v>88</v>
      </c>
      <c r="I6" s="71" t="s">
        <v>89</v>
      </c>
      <c r="J6" s="71" t="s">
        <v>90</v>
      </c>
      <c r="K6" s="71" t="s">
        <v>91</v>
      </c>
      <c r="L6" s="71" t="s">
        <v>92</v>
      </c>
      <c r="M6" s="71" t="s">
        <v>93</v>
      </c>
      <c r="N6" s="71" t="s">
        <v>94</v>
      </c>
      <c r="O6" s="71" t="s">
        <v>95</v>
      </c>
      <c r="P6" s="68" t="s">
        <v>47</v>
      </c>
    </row>
    <row r="7" spans="1:16" ht="15" customHeight="1" x14ac:dyDescent="0.3">
      <c r="A7" s="5"/>
      <c r="B7" s="13" t="s">
        <v>5</v>
      </c>
      <c r="C7" s="13" t="s">
        <v>6</v>
      </c>
      <c r="D7" s="13" t="s">
        <v>7</v>
      </c>
      <c r="E7" s="13" t="s">
        <v>8</v>
      </c>
      <c r="F7" s="13" t="s">
        <v>9</v>
      </c>
      <c r="G7" s="13" t="s">
        <v>10</v>
      </c>
      <c r="H7" s="13" t="s">
        <v>11</v>
      </c>
      <c r="I7" s="13" t="s">
        <v>12</v>
      </c>
      <c r="J7" s="13" t="s">
        <v>13</v>
      </c>
      <c r="K7" s="13" t="s">
        <v>14</v>
      </c>
      <c r="L7" s="13" t="s">
        <v>15</v>
      </c>
      <c r="M7" s="13" t="s">
        <v>16</v>
      </c>
      <c r="N7" s="13" t="s">
        <v>17</v>
      </c>
      <c r="O7" s="13" t="s">
        <v>18</v>
      </c>
      <c r="P7" s="13" t="s">
        <v>19</v>
      </c>
    </row>
    <row r="8" spans="1:16" ht="15" customHeight="1" x14ac:dyDescent="0.3">
      <c r="A8" s="13">
        <v>1</v>
      </c>
      <c r="B8" s="72"/>
      <c r="C8" s="13"/>
      <c r="D8" s="13"/>
      <c r="E8" s="13"/>
      <c r="F8" s="13"/>
      <c r="G8" s="13"/>
      <c r="H8" s="13"/>
      <c r="I8" s="13"/>
      <c r="J8" s="5"/>
      <c r="K8" s="5"/>
      <c r="L8" s="5"/>
      <c r="M8" s="5"/>
      <c r="N8" s="5"/>
      <c r="O8" s="5"/>
      <c r="P8" s="5"/>
    </row>
    <row r="9" spans="1:16" ht="15" customHeight="1" x14ac:dyDescent="0.3">
      <c r="A9" s="13">
        <f t="shared" ref="A9:A27" si="0">A8+1</f>
        <v>2</v>
      </c>
      <c r="B9" s="73" t="s">
        <v>96</v>
      </c>
      <c r="C9" s="13"/>
      <c r="D9" s="5"/>
      <c r="E9" s="5"/>
      <c r="F9" s="5"/>
      <c r="G9" s="5"/>
      <c r="H9" s="74"/>
      <c r="I9" s="74"/>
      <c r="J9" s="5"/>
      <c r="K9" s="5"/>
      <c r="L9" s="5"/>
      <c r="M9" s="5"/>
      <c r="N9" s="5"/>
      <c r="O9" s="5"/>
      <c r="P9" s="75"/>
    </row>
    <row r="10" spans="1:16" ht="15" customHeight="1" x14ac:dyDescent="0.3">
      <c r="A10" s="13">
        <f t="shared" si="0"/>
        <v>3</v>
      </c>
      <c r="B10" s="76" t="s">
        <v>65</v>
      </c>
      <c r="C10" s="13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75"/>
    </row>
    <row r="11" spans="1:16" ht="15" customHeight="1" x14ac:dyDescent="0.3">
      <c r="A11" s="13">
        <f t="shared" si="0"/>
        <v>4</v>
      </c>
      <c r="B11" s="77" t="s">
        <v>97</v>
      </c>
      <c r="C11" s="13" t="s">
        <v>98</v>
      </c>
      <c r="D11" s="78">
        <v>21149989</v>
      </c>
      <c r="E11" s="78">
        <v>17496849</v>
      </c>
      <c r="F11" s="78">
        <v>14113448</v>
      </c>
      <c r="G11" s="78">
        <v>7866788</v>
      </c>
      <c r="H11" s="78">
        <v>4895089</v>
      </c>
      <c r="I11" s="78">
        <v>2998022</v>
      </c>
      <c r="J11" s="78">
        <v>2095088</v>
      </c>
      <c r="K11" s="78">
        <v>2047777</v>
      </c>
      <c r="L11" s="78">
        <v>2727612</v>
      </c>
      <c r="M11" s="78">
        <v>8666827</v>
      </c>
      <c r="N11" s="78">
        <v>14928966</v>
      </c>
      <c r="O11" s="78">
        <v>21735152</v>
      </c>
      <c r="P11" s="79">
        <f>SUM(D11:O11)</f>
        <v>120721607</v>
      </c>
    </row>
    <row r="12" spans="1:16" ht="15" customHeight="1" x14ac:dyDescent="0.3">
      <c r="A12" s="13">
        <f t="shared" si="0"/>
        <v>5</v>
      </c>
      <c r="B12" s="5" t="s">
        <v>99</v>
      </c>
      <c r="C12" s="80" t="s">
        <v>100</v>
      </c>
      <c r="D12" s="81">
        <f t="shared" ref="D12:O12" si="1">D11/$P11</f>
        <v>0.17519638385860783</v>
      </c>
      <c r="E12" s="81">
        <f t="shared" si="1"/>
        <v>0.14493552094613849</v>
      </c>
      <c r="F12" s="81">
        <f t="shared" si="1"/>
        <v>0.11690904677900783</v>
      </c>
      <c r="G12" s="81">
        <f t="shared" si="1"/>
        <v>6.5164705768040343E-2</v>
      </c>
      <c r="H12" s="81">
        <f t="shared" si="1"/>
        <v>4.0548573877085652E-2</v>
      </c>
      <c r="I12" s="81">
        <f t="shared" si="1"/>
        <v>2.4834179021490328E-2</v>
      </c>
      <c r="J12" s="81">
        <f t="shared" si="1"/>
        <v>1.7354706022095944E-2</v>
      </c>
      <c r="K12" s="81">
        <f t="shared" si="1"/>
        <v>1.6962804347029608E-2</v>
      </c>
      <c r="L12" s="81">
        <f t="shared" si="1"/>
        <v>2.2594232033375766E-2</v>
      </c>
      <c r="M12" s="81">
        <f t="shared" si="1"/>
        <v>7.179184584578964E-2</v>
      </c>
      <c r="N12" s="81">
        <f t="shared" si="1"/>
        <v>0.12366440748258098</v>
      </c>
      <c r="O12" s="81">
        <f t="shared" si="1"/>
        <v>0.18004359401875755</v>
      </c>
      <c r="P12" s="81">
        <f>SUM(D12:O12)</f>
        <v>1</v>
      </c>
    </row>
    <row r="13" spans="1:16" ht="15" customHeight="1" x14ac:dyDescent="0.3">
      <c r="A13" s="13">
        <f t="shared" si="0"/>
        <v>6</v>
      </c>
      <c r="B13" s="5"/>
      <c r="C13" s="82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spans="1:16" ht="15" customHeight="1" x14ac:dyDescent="0.3">
      <c r="A14" s="13">
        <f t="shared" si="0"/>
        <v>7</v>
      </c>
      <c r="B14" s="76" t="s">
        <v>101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</row>
    <row r="15" spans="1:16" ht="15" customHeight="1" x14ac:dyDescent="0.3">
      <c r="A15" s="13">
        <f t="shared" si="0"/>
        <v>8</v>
      </c>
      <c r="B15" s="77" t="s">
        <v>97</v>
      </c>
      <c r="C15" s="13" t="s">
        <v>98</v>
      </c>
      <c r="D15" s="78">
        <v>7724199</v>
      </c>
      <c r="E15" s="78">
        <v>6497617</v>
      </c>
      <c r="F15" s="78">
        <v>5741989</v>
      </c>
      <c r="G15" s="78">
        <v>3833669</v>
      </c>
      <c r="H15" s="78">
        <v>3002355</v>
      </c>
      <c r="I15" s="78">
        <v>2283253</v>
      </c>
      <c r="J15" s="78">
        <v>1727751</v>
      </c>
      <c r="K15" s="78">
        <v>1696708</v>
      </c>
      <c r="L15" s="78">
        <v>2070681</v>
      </c>
      <c r="M15" s="78">
        <v>4248069</v>
      </c>
      <c r="N15" s="78">
        <v>5991318</v>
      </c>
      <c r="O15" s="78">
        <v>7789203</v>
      </c>
      <c r="P15" s="79">
        <f>SUM(D15:O15)</f>
        <v>52606812</v>
      </c>
    </row>
    <row r="16" spans="1:16" ht="15" customHeight="1" x14ac:dyDescent="0.3">
      <c r="A16" s="13">
        <f t="shared" si="0"/>
        <v>9</v>
      </c>
      <c r="B16" s="5" t="s">
        <v>99</v>
      </c>
      <c r="C16" s="80" t="s">
        <v>100</v>
      </c>
      <c r="D16" s="83">
        <f t="shared" ref="D16:O16" si="2">D15/$P15</f>
        <v>0.14682887455715812</v>
      </c>
      <c r="E16" s="83">
        <f t="shared" si="2"/>
        <v>0.12351284468634975</v>
      </c>
      <c r="F16" s="83">
        <f t="shared" si="2"/>
        <v>0.10914915353547749</v>
      </c>
      <c r="G16" s="83">
        <f t="shared" si="2"/>
        <v>7.2874003465558793E-2</v>
      </c>
      <c r="H16" s="83">
        <f t="shared" si="2"/>
        <v>5.7071601297565798E-2</v>
      </c>
      <c r="I16" s="83">
        <f t="shared" si="2"/>
        <v>4.3402230874587118E-2</v>
      </c>
      <c r="J16" s="83">
        <f t="shared" si="2"/>
        <v>3.284272386625519E-2</v>
      </c>
      <c r="K16" s="83">
        <f t="shared" si="2"/>
        <v>3.2252629184220477E-2</v>
      </c>
      <c r="L16" s="83">
        <f t="shared" si="2"/>
        <v>3.9361461401614679E-2</v>
      </c>
      <c r="M16" s="83">
        <f t="shared" si="2"/>
        <v>8.0751310305593127E-2</v>
      </c>
      <c r="N16" s="83">
        <f t="shared" si="2"/>
        <v>0.11388863480265636</v>
      </c>
      <c r="O16" s="83">
        <f t="shared" si="2"/>
        <v>0.1480645320229631</v>
      </c>
      <c r="P16" s="83">
        <f>SUM(D16:O16)</f>
        <v>1</v>
      </c>
    </row>
    <row r="17" spans="1:16" ht="15" customHeight="1" x14ac:dyDescent="0.3">
      <c r="A17" s="13">
        <f t="shared" si="0"/>
        <v>10</v>
      </c>
      <c r="B17" s="5"/>
      <c r="C17" s="13"/>
      <c r="D17" s="83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</row>
    <row r="18" spans="1:16" ht="15" customHeight="1" x14ac:dyDescent="0.3">
      <c r="A18" s="13">
        <f t="shared" si="0"/>
        <v>11</v>
      </c>
      <c r="B18" s="73" t="s">
        <v>102</v>
      </c>
      <c r="C18" s="13"/>
      <c r="D18" s="83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</row>
    <row r="19" spans="1:16" ht="15" customHeight="1" x14ac:dyDescent="0.3">
      <c r="A19" s="13">
        <f t="shared" si="0"/>
        <v>12</v>
      </c>
      <c r="B19" s="76" t="s">
        <v>65</v>
      </c>
      <c r="C19" s="13"/>
      <c r="D19" s="83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ht="15" customHeight="1" x14ac:dyDescent="0.3">
      <c r="A20" s="13">
        <f t="shared" si="0"/>
        <v>13</v>
      </c>
      <c r="B20" s="5" t="s">
        <v>133</v>
      </c>
      <c r="C20" s="13" t="s">
        <v>134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84">
        <f>'UG-150205 Attachment 5, Page 2'!D13</f>
        <v>350.96</v>
      </c>
    </row>
    <row r="21" spans="1:16" ht="15" customHeight="1" x14ac:dyDescent="0.3">
      <c r="A21" s="13">
        <f t="shared" si="0"/>
        <v>14</v>
      </c>
      <c r="B21" s="5" t="s">
        <v>135</v>
      </c>
      <c r="C21" s="13" t="str">
        <f>"("&amp;A$12&amp;") x ("&amp;A20&amp;")"</f>
        <v>(5) x (13)</v>
      </c>
      <c r="D21" s="85">
        <f t="shared" ref="D21:O21" si="3">$P20*D$12</f>
        <v>61.486922879017001</v>
      </c>
      <c r="E21" s="85">
        <f t="shared" si="3"/>
        <v>50.866570431256761</v>
      </c>
      <c r="F21" s="85">
        <f t="shared" si="3"/>
        <v>41.030399057560587</v>
      </c>
      <c r="G21" s="85">
        <f t="shared" si="3"/>
        <v>22.870205136351437</v>
      </c>
      <c r="H21" s="85">
        <f t="shared" si="3"/>
        <v>14.23092748790198</v>
      </c>
      <c r="I21" s="85">
        <f t="shared" si="3"/>
        <v>8.7158034693822444</v>
      </c>
      <c r="J21" s="85">
        <f t="shared" si="3"/>
        <v>6.0908076255147918</v>
      </c>
      <c r="K21" s="85">
        <f t="shared" si="3"/>
        <v>5.9532658136335108</v>
      </c>
      <c r="L21" s="85">
        <f t="shared" si="3"/>
        <v>7.9296716744335587</v>
      </c>
      <c r="M21" s="85">
        <f t="shared" si="3"/>
        <v>25.196066218038329</v>
      </c>
      <c r="N21" s="85">
        <f t="shared" si="3"/>
        <v>43.401260450086617</v>
      </c>
      <c r="O21" s="85">
        <f t="shared" si="3"/>
        <v>63.188099756823149</v>
      </c>
      <c r="P21" s="84">
        <f>SUM(D21:O21)</f>
        <v>350.96</v>
      </c>
    </row>
    <row r="22" spans="1:16" ht="15" customHeight="1" x14ac:dyDescent="0.3">
      <c r="A22" s="13">
        <f t="shared" si="0"/>
        <v>15</v>
      </c>
      <c r="B22" s="5"/>
      <c r="C22" s="86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84"/>
    </row>
    <row r="23" spans="1:16" ht="15" customHeight="1" x14ac:dyDescent="0.3">
      <c r="A23" s="13">
        <f t="shared" si="0"/>
        <v>16</v>
      </c>
      <c r="B23" s="76" t="s">
        <v>101</v>
      </c>
      <c r="C23" s="86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84"/>
    </row>
    <row r="24" spans="1:16" ht="15" customHeight="1" x14ac:dyDescent="0.3">
      <c r="A24" s="13">
        <f t="shared" si="0"/>
        <v>17</v>
      </c>
      <c r="B24" s="5" t="s">
        <v>133</v>
      </c>
      <c r="C24" s="13" t="s">
        <v>134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84">
        <f>'UG-150205 Attachment 5, Page 2'!E13</f>
        <v>5132.84</v>
      </c>
    </row>
    <row r="25" spans="1:16" ht="15" customHeight="1" x14ac:dyDescent="0.3">
      <c r="A25" s="13">
        <f t="shared" si="0"/>
        <v>18</v>
      </c>
      <c r="B25" s="5" t="s">
        <v>135</v>
      </c>
      <c r="C25" s="13" t="str">
        <f>"("&amp;A$16&amp;") x ("&amp;A24&amp;")"</f>
        <v>(9) x (17)</v>
      </c>
      <c r="D25" s="85">
        <f t="shared" ref="D25:O25" si="4">$P24*D$16</f>
        <v>753.64912048196356</v>
      </c>
      <c r="E25" s="85">
        <f t="shared" si="4"/>
        <v>633.97166971988349</v>
      </c>
      <c r="F25" s="85">
        <f t="shared" si="4"/>
        <v>560.24514123304027</v>
      </c>
      <c r="G25" s="85">
        <f t="shared" si="4"/>
        <v>374.05059994815878</v>
      </c>
      <c r="H25" s="85">
        <f t="shared" si="4"/>
        <v>292.93939800419764</v>
      </c>
      <c r="I25" s="85">
        <f t="shared" si="4"/>
        <v>222.77670672231574</v>
      </c>
      <c r="J25" s="85">
        <f t="shared" si="4"/>
        <v>168.5764467696693</v>
      </c>
      <c r="K25" s="85">
        <f t="shared" si="4"/>
        <v>165.54758518193424</v>
      </c>
      <c r="L25" s="85">
        <f t="shared" si="4"/>
        <v>202.0360835406639</v>
      </c>
      <c r="M25" s="85">
        <f t="shared" si="4"/>
        <v>414.48355558896066</v>
      </c>
      <c r="N25" s="85">
        <f t="shared" si="4"/>
        <v>584.57214026046665</v>
      </c>
      <c r="O25" s="85">
        <f t="shared" si="4"/>
        <v>759.99155254874597</v>
      </c>
      <c r="P25" s="84">
        <f>SUM(D25:O25)</f>
        <v>5132.8400000000011</v>
      </c>
    </row>
    <row r="26" spans="1:16" ht="15" customHeight="1" x14ac:dyDescent="0.3">
      <c r="A26" s="13">
        <f t="shared" si="0"/>
        <v>19</v>
      </c>
      <c r="B26" s="5"/>
      <c r="C26" s="86"/>
      <c r="D26" s="13"/>
      <c r="E26" s="13"/>
      <c r="F26" s="13"/>
      <c r="G26" s="13"/>
      <c r="H26" s="5"/>
      <c r="I26" s="5"/>
      <c r="J26" s="5"/>
      <c r="K26" s="5"/>
      <c r="L26" s="5"/>
      <c r="M26" s="5"/>
      <c r="N26" s="5"/>
      <c r="O26" s="5"/>
      <c r="P26" s="84"/>
    </row>
    <row r="27" spans="1:16" ht="15" customHeight="1" x14ac:dyDescent="0.3">
      <c r="A27" s="13">
        <f t="shared" si="0"/>
        <v>20</v>
      </c>
      <c r="B27" s="77" t="s">
        <v>78</v>
      </c>
      <c r="C27" s="13"/>
      <c r="D27" s="13"/>
      <c r="E27" s="13"/>
      <c r="F27" s="13"/>
      <c r="G27" s="13"/>
      <c r="H27" s="5"/>
      <c r="I27" s="5"/>
      <c r="J27" s="5"/>
      <c r="K27" s="5"/>
      <c r="L27" s="5"/>
      <c r="M27" s="5"/>
      <c r="N27" s="5"/>
      <c r="O27" s="5"/>
      <c r="P27" s="5"/>
    </row>
    <row r="28" spans="1:16" ht="15" customHeight="1" x14ac:dyDescent="0.3">
      <c r="A28" s="87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</row>
    <row r="29" spans="1:16" ht="15" customHeight="1" x14ac:dyDescent="0.3"/>
    <row r="30" spans="1:16" ht="15" customHeight="1" x14ac:dyDescent="0.3"/>
    <row r="31" spans="1:16" ht="15" customHeight="1" x14ac:dyDescent="0.3"/>
    <row r="32" spans="1:16" ht="15" customHeight="1" x14ac:dyDescent="0.3"/>
    <row r="33" ht="15" customHeight="1" x14ac:dyDescent="0.3"/>
    <row r="34" ht="15" customHeight="1" x14ac:dyDescent="0.3"/>
    <row r="35" ht="15" customHeight="1" x14ac:dyDescent="0.3"/>
    <row r="36" ht="15" customHeight="1" x14ac:dyDescent="0.3"/>
    <row r="37" ht="15" customHeight="1" x14ac:dyDescent="0.3"/>
    <row r="38" ht="15" customHeight="1" x14ac:dyDescent="0.3"/>
    <row r="39" ht="15" customHeight="1" x14ac:dyDescent="0.3"/>
    <row r="40" ht="15" customHeight="1" x14ac:dyDescent="0.3"/>
    <row r="41" ht="15" customHeight="1" x14ac:dyDescent="0.3"/>
    <row r="42" ht="15" customHeight="1" x14ac:dyDescent="0.3"/>
    <row r="43" ht="15" customHeight="1" x14ac:dyDescent="0.3"/>
    <row r="44" ht="15" customHeight="1" x14ac:dyDescent="0.3"/>
  </sheetData>
  <mergeCells count="3">
    <mergeCell ref="A1:P1"/>
    <mergeCell ref="A2:P2"/>
    <mergeCell ref="A3:P3"/>
  </mergeCells>
  <pageMargins left="0.18" right="0.19" top="1" bottom="1.05" header="0.55000000000000004" footer="0.75"/>
  <pageSetup scale="62" orientation="landscape" r:id="rId1"/>
  <headerFooter scaleWithDoc="0">
    <oddHeader>&amp;CDocket No. UG-150205 Authorized Decoupling Baseline</oddHeader>
    <oddFooter>&amp;C&amp;14Attachment 5, Page 3 (UG-150205 Compliance Filing)
ATTACHMENT B  Page 4 of 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38"/>
  <sheetViews>
    <sheetView workbookViewId="0">
      <selection activeCell="D34" sqref="D34:F35"/>
    </sheetView>
  </sheetViews>
  <sheetFormatPr defaultRowHeight="14.4" x14ac:dyDescent="0.3"/>
  <cols>
    <col min="1" max="1" width="4.5546875" customWidth="1"/>
    <col min="2" max="2" width="41.33203125" customWidth="1"/>
    <col min="3" max="3" width="19.44140625" customWidth="1"/>
    <col min="4" max="4" width="16.88671875" customWidth="1"/>
    <col min="5" max="5" width="19.44140625" customWidth="1"/>
    <col min="6" max="6" width="18.109375" customWidth="1"/>
    <col min="7" max="7" width="16.44140625" customWidth="1"/>
    <col min="8" max="9" width="17.33203125" customWidth="1"/>
    <col min="11" max="11" width="12.88671875" customWidth="1"/>
    <col min="12" max="12" width="11.6640625" customWidth="1"/>
    <col min="13" max="13" width="13.109375" customWidth="1"/>
  </cols>
  <sheetData>
    <row r="1" spans="1:13" ht="15.6" x14ac:dyDescent="0.3">
      <c r="A1" s="135" t="s">
        <v>0</v>
      </c>
      <c r="B1" s="135"/>
      <c r="C1" s="135"/>
      <c r="D1" s="135"/>
      <c r="E1" s="135"/>
      <c r="F1" s="135"/>
      <c r="G1" s="135"/>
      <c r="H1" s="135"/>
      <c r="I1" s="135"/>
    </row>
    <row r="2" spans="1:13" ht="15.6" x14ac:dyDescent="0.3">
      <c r="A2" s="135" t="s">
        <v>1</v>
      </c>
      <c r="B2" s="135"/>
      <c r="C2" s="135"/>
      <c r="D2" s="135"/>
      <c r="E2" s="135"/>
      <c r="F2" s="135"/>
      <c r="G2" s="135"/>
      <c r="H2" s="135"/>
      <c r="I2" s="135"/>
    </row>
    <row r="3" spans="1:13" ht="15.6" x14ac:dyDescent="0.3">
      <c r="A3" s="136" t="s">
        <v>39</v>
      </c>
      <c r="B3" s="136"/>
      <c r="C3" s="136"/>
      <c r="D3" s="136"/>
      <c r="E3" s="136"/>
      <c r="F3" s="136"/>
      <c r="G3" s="136"/>
      <c r="H3" s="136"/>
      <c r="I3" s="136"/>
    </row>
    <row r="4" spans="1:13" ht="15.6" x14ac:dyDescent="0.3">
      <c r="A4" s="27"/>
      <c r="B4" s="27"/>
      <c r="C4" s="27"/>
      <c r="D4" s="27"/>
      <c r="E4" s="27"/>
      <c r="F4" s="27"/>
      <c r="G4" s="27"/>
      <c r="H4" s="27"/>
      <c r="I4" s="28"/>
    </row>
    <row r="5" spans="1:13" ht="15.6" x14ac:dyDescent="0.3">
      <c r="A5" s="27"/>
      <c r="B5" s="27"/>
      <c r="C5" s="29" t="s">
        <v>40</v>
      </c>
      <c r="D5" s="29" t="s">
        <v>41</v>
      </c>
      <c r="E5" s="29" t="s">
        <v>42</v>
      </c>
      <c r="F5" s="29" t="s">
        <v>43</v>
      </c>
      <c r="G5" s="29" t="s">
        <v>44</v>
      </c>
      <c r="H5" s="29" t="s">
        <v>45</v>
      </c>
      <c r="I5" s="29" t="s">
        <v>45</v>
      </c>
      <c r="K5" s="29" t="s">
        <v>46</v>
      </c>
      <c r="L5" s="29" t="s">
        <v>46</v>
      </c>
      <c r="M5" s="29" t="s">
        <v>46</v>
      </c>
    </row>
    <row r="6" spans="1:13" ht="15.6" x14ac:dyDescent="0.3">
      <c r="A6" s="27"/>
      <c r="B6" s="27"/>
      <c r="C6" s="30" t="s">
        <v>47</v>
      </c>
      <c r="D6" s="30" t="s">
        <v>48</v>
      </c>
      <c r="E6" s="30" t="s">
        <v>49</v>
      </c>
      <c r="F6" s="30" t="s">
        <v>50</v>
      </c>
      <c r="G6" s="30" t="s">
        <v>51</v>
      </c>
      <c r="H6" s="30" t="s">
        <v>52</v>
      </c>
      <c r="I6" s="30" t="s">
        <v>53</v>
      </c>
      <c r="K6" s="29">
        <v>112</v>
      </c>
      <c r="L6" s="29">
        <v>122</v>
      </c>
      <c r="M6" s="29">
        <v>132</v>
      </c>
    </row>
    <row r="7" spans="1:13" ht="15.6" x14ac:dyDescent="0.3">
      <c r="A7" s="27"/>
      <c r="B7" s="27"/>
      <c r="C7" s="27"/>
      <c r="D7" s="27"/>
      <c r="E7" s="27"/>
      <c r="F7" s="27"/>
      <c r="G7" s="27"/>
      <c r="H7" s="27"/>
      <c r="I7" s="28"/>
    </row>
    <row r="8" spans="1:13" ht="15.6" x14ac:dyDescent="0.3">
      <c r="A8" s="27">
        <v>1</v>
      </c>
      <c r="B8" s="27" t="s">
        <v>54</v>
      </c>
      <c r="C8" s="31">
        <f>SUM(D8:I8)</f>
        <v>153075000</v>
      </c>
      <c r="D8" s="32">
        <v>110008000</v>
      </c>
      <c r="E8" s="32">
        <f>34391000-K8</f>
        <v>34391000</v>
      </c>
      <c r="F8" s="32">
        <f>3932000-L8</f>
        <v>3645000</v>
      </c>
      <c r="G8" s="32">
        <f>768000-M8</f>
        <v>0</v>
      </c>
      <c r="H8" s="32">
        <f>K8+L8+M8</f>
        <v>1055000</v>
      </c>
      <c r="I8" s="32">
        <f>2434000+1542000</f>
        <v>3976000</v>
      </c>
      <c r="K8" s="33">
        <f>ROUND(34391207/30276*K18,0)</f>
        <v>0</v>
      </c>
      <c r="L8" s="33">
        <f>ROUND(3932000/329*L18,-3)</f>
        <v>287000</v>
      </c>
      <c r="M8" s="33">
        <v>768000</v>
      </c>
    </row>
    <row r="9" spans="1:13" ht="15.6" x14ac:dyDescent="0.3">
      <c r="A9" s="27">
        <v>2</v>
      </c>
      <c r="B9" s="27" t="s">
        <v>55</v>
      </c>
      <c r="C9" s="31">
        <f>SUM(D9:I9)</f>
        <v>8500000</v>
      </c>
      <c r="D9" s="32">
        <v>6581000</v>
      </c>
      <c r="E9" s="32">
        <f>1515000-K9</f>
        <v>1515000</v>
      </c>
      <c r="F9" s="32">
        <f>181000-L9</f>
        <v>168000</v>
      </c>
      <c r="G9" s="32">
        <f>43000-M9</f>
        <v>0</v>
      </c>
      <c r="H9" s="32">
        <f>K9+L9+M9</f>
        <v>56000</v>
      </c>
      <c r="I9" s="32">
        <v>180000</v>
      </c>
      <c r="K9" s="33">
        <f>ROUND(1515124/30276*K18,0)</f>
        <v>0</v>
      </c>
      <c r="L9" s="33">
        <f>ROUND(181000/329*L18,-3)</f>
        <v>13000</v>
      </c>
      <c r="M9" s="33">
        <v>43000</v>
      </c>
    </row>
    <row r="10" spans="1:13" ht="15.6" x14ac:dyDescent="0.3">
      <c r="A10" s="27">
        <v>3</v>
      </c>
      <c r="B10" s="27" t="s">
        <v>56</v>
      </c>
      <c r="C10" s="31">
        <f>SUM(D10:I10)</f>
        <v>161575000</v>
      </c>
      <c r="D10" s="34">
        <f t="shared" ref="D10:I10" si="0">D8+D9</f>
        <v>116589000</v>
      </c>
      <c r="E10" s="34">
        <f t="shared" si="0"/>
        <v>35906000</v>
      </c>
      <c r="F10" s="34">
        <f t="shared" si="0"/>
        <v>3813000</v>
      </c>
      <c r="G10" s="34">
        <f t="shared" si="0"/>
        <v>0</v>
      </c>
      <c r="H10" s="34">
        <f t="shared" si="0"/>
        <v>1111000</v>
      </c>
      <c r="I10" s="34">
        <f t="shared" si="0"/>
        <v>4156000</v>
      </c>
      <c r="K10" s="33">
        <f>K8+K9</f>
        <v>0</v>
      </c>
      <c r="L10" s="33">
        <f>L8+L9</f>
        <v>300000</v>
      </c>
      <c r="M10" s="33">
        <f>M8+M9</f>
        <v>811000</v>
      </c>
    </row>
    <row r="11" spans="1:13" ht="15.6" x14ac:dyDescent="0.3">
      <c r="A11" s="27"/>
      <c r="B11" s="27"/>
      <c r="C11" s="27"/>
      <c r="D11" s="27"/>
      <c r="E11" s="27"/>
      <c r="F11" s="27"/>
      <c r="G11" s="27"/>
      <c r="H11" s="27"/>
      <c r="I11" s="28"/>
    </row>
    <row r="12" spans="1:13" ht="15.6" x14ac:dyDescent="0.3">
      <c r="A12" s="27">
        <v>4</v>
      </c>
      <c r="B12" s="27" t="s">
        <v>57</v>
      </c>
      <c r="C12" s="35">
        <f>SUM(D12:I12)</f>
        <v>247662972</v>
      </c>
      <c r="D12" s="36">
        <v>117011207</v>
      </c>
      <c r="E12" s="36">
        <f>46256893-K12</f>
        <v>46256893</v>
      </c>
      <c r="F12" s="36">
        <f>5940558-L12</f>
        <v>5507204</v>
      </c>
      <c r="G12" s="36">
        <f>1288220-M12</f>
        <v>0</v>
      </c>
      <c r="H12" s="36">
        <f>K12+L12+M12</f>
        <v>1721574</v>
      </c>
      <c r="I12" s="36">
        <f>31023878+36271255+9870961</f>
        <v>77166094</v>
      </c>
      <c r="K12" s="37">
        <f>ROUND(46256893/29797*K18,0)</f>
        <v>0</v>
      </c>
      <c r="L12" s="37">
        <f>ROUND(5940558/329*24,0)</f>
        <v>433354</v>
      </c>
      <c r="M12" s="37">
        <v>1288220</v>
      </c>
    </row>
    <row r="13" spans="1:13" ht="15.6" x14ac:dyDescent="0.3">
      <c r="A13" s="27">
        <v>5</v>
      </c>
      <c r="B13" s="27" t="s">
        <v>58</v>
      </c>
      <c r="C13" s="27"/>
      <c r="D13" s="38">
        <v>0.49802999999999997</v>
      </c>
      <c r="E13" s="38">
        <v>0.49535000000000001</v>
      </c>
      <c r="F13" s="38">
        <v>0.47449000000000002</v>
      </c>
      <c r="G13" s="38">
        <v>0.44955000000000001</v>
      </c>
      <c r="K13" s="39">
        <f>E13</f>
        <v>0.49535000000000001</v>
      </c>
      <c r="L13" s="39">
        <f>F13</f>
        <v>0.47449000000000002</v>
      </c>
      <c r="M13" s="39">
        <f>G13</f>
        <v>0.44955000000000001</v>
      </c>
    </row>
    <row r="14" spans="1:13" ht="15.6" x14ac:dyDescent="0.3">
      <c r="A14" s="27">
        <v>6</v>
      </c>
      <c r="B14" s="27" t="s">
        <v>59</v>
      </c>
      <c r="C14" s="31">
        <f>SUM(D14:G14)</f>
        <v>83801556.595720008</v>
      </c>
      <c r="D14" s="31">
        <f>D12*D13</f>
        <v>58275091.42221</v>
      </c>
      <c r="E14" s="31">
        <f>E12*E13</f>
        <v>22913351.947549999</v>
      </c>
      <c r="F14" s="31">
        <f>F12*F13</f>
        <v>2613113.22596</v>
      </c>
      <c r="G14" s="31">
        <f>G12*G13</f>
        <v>0</v>
      </c>
      <c r="K14" s="33">
        <f>K12*K13</f>
        <v>0</v>
      </c>
      <c r="L14" s="33">
        <f>L12*L13</f>
        <v>205622.13946000001</v>
      </c>
      <c r="M14" s="33">
        <f>M12*M13</f>
        <v>579119.30099999998</v>
      </c>
    </row>
    <row r="15" spans="1:13" ht="15.6" x14ac:dyDescent="0.3">
      <c r="A15" s="27"/>
      <c r="B15" s="27"/>
      <c r="C15" s="27"/>
      <c r="D15" s="27"/>
      <c r="E15" s="27"/>
      <c r="F15" s="27"/>
      <c r="G15" s="27"/>
    </row>
    <row r="16" spans="1:13" ht="15.6" x14ac:dyDescent="0.3">
      <c r="A16" s="27">
        <v>7</v>
      </c>
      <c r="B16" s="27" t="s">
        <v>60</v>
      </c>
      <c r="C16" s="31">
        <f>SUM(D16:G16)</f>
        <v>72506443.404279992</v>
      </c>
      <c r="D16" s="34">
        <f>D10-D14</f>
        <v>58313908.57779</v>
      </c>
      <c r="E16" s="34">
        <f>E10-E14</f>
        <v>12992648.052450001</v>
      </c>
      <c r="F16" s="34">
        <f>F10-F14</f>
        <v>1199886.77404</v>
      </c>
      <c r="G16" s="34">
        <f>G10-G14</f>
        <v>0</v>
      </c>
      <c r="H16" s="34"/>
      <c r="I16" s="28"/>
      <c r="K16" s="40">
        <f>K10-K14</f>
        <v>0</v>
      </c>
      <c r="L16" s="40">
        <f>L10-L14</f>
        <v>94377.860539999994</v>
      </c>
      <c r="M16" s="40">
        <f>M10-M14</f>
        <v>231880.69900000002</v>
      </c>
    </row>
    <row r="17" spans="1:13" ht="15.6" x14ac:dyDescent="0.3">
      <c r="A17" s="27"/>
      <c r="B17" s="27"/>
      <c r="C17" s="27"/>
      <c r="D17" s="27"/>
      <c r="E17" s="27"/>
      <c r="F17" s="27"/>
      <c r="G17" s="27"/>
      <c r="H17" s="27"/>
      <c r="I17" s="28"/>
    </row>
    <row r="18" spans="1:13" ht="15.6" x14ac:dyDescent="0.3">
      <c r="A18" s="27">
        <v>8</v>
      </c>
      <c r="B18" s="27" t="s">
        <v>61</v>
      </c>
      <c r="C18" s="35">
        <f>SUM(D18:I18)</f>
        <v>1833425</v>
      </c>
      <c r="D18" s="41">
        <v>1802235</v>
      </c>
      <c r="E18" s="41">
        <f>30276-K18</f>
        <v>30276</v>
      </c>
      <c r="F18" s="41">
        <f>329-L18</f>
        <v>305</v>
      </c>
      <c r="G18" s="41">
        <f>24-M18</f>
        <v>0</v>
      </c>
      <c r="H18" s="36">
        <f>K18+L18+M18</f>
        <v>48</v>
      </c>
      <c r="I18" s="36">
        <f>501+48+12</f>
        <v>561</v>
      </c>
      <c r="K18">
        <v>0</v>
      </c>
      <c r="L18">
        <v>24</v>
      </c>
      <c r="M18">
        <v>24</v>
      </c>
    </row>
    <row r="19" spans="1:13" ht="15.6" x14ac:dyDescent="0.3">
      <c r="A19" s="27">
        <v>9</v>
      </c>
      <c r="B19" s="27" t="s">
        <v>62</v>
      </c>
      <c r="C19" s="31"/>
      <c r="D19" s="42">
        <v>9</v>
      </c>
      <c r="E19" s="42">
        <v>87.04</v>
      </c>
      <c r="F19" s="42">
        <v>215.24</v>
      </c>
      <c r="G19" s="43">
        <f>G18*G17</f>
        <v>0</v>
      </c>
      <c r="H19" s="44"/>
      <c r="I19" s="28"/>
      <c r="K19" s="45">
        <f>E19</f>
        <v>87.04</v>
      </c>
      <c r="L19" s="45">
        <f>F19</f>
        <v>215.24</v>
      </c>
      <c r="M19" s="45">
        <f>G19</f>
        <v>0</v>
      </c>
    </row>
    <row r="20" spans="1:13" ht="15.6" x14ac:dyDescent="0.3">
      <c r="A20" s="27">
        <v>10</v>
      </c>
      <c r="B20" s="27" t="s">
        <v>63</v>
      </c>
      <c r="C20" s="31">
        <f>SUM(D20:G20)</f>
        <v>18920986.239999998</v>
      </c>
      <c r="D20" s="44">
        <f>D19*D18</f>
        <v>16220115</v>
      </c>
      <c r="E20" s="44">
        <f>E19*E18</f>
        <v>2635223.04</v>
      </c>
      <c r="F20" s="44">
        <f>F19*F18</f>
        <v>65648.2</v>
      </c>
      <c r="G20" s="44">
        <f>G19*G18</f>
        <v>0</v>
      </c>
      <c r="H20" s="44"/>
      <c r="I20" s="28"/>
      <c r="K20" s="40">
        <f>K18*K19</f>
        <v>0</v>
      </c>
      <c r="L20" s="40">
        <f>L18*L19</f>
        <v>5165.76</v>
      </c>
      <c r="M20" s="40">
        <f>M18*M19</f>
        <v>0</v>
      </c>
    </row>
    <row r="21" spans="1:13" ht="15.6" x14ac:dyDescent="0.3">
      <c r="A21" s="27"/>
      <c r="B21" s="27"/>
      <c r="C21" s="31"/>
      <c r="D21" s="44"/>
      <c r="E21" s="44"/>
      <c r="F21" s="44"/>
      <c r="G21" s="44"/>
      <c r="H21" s="141" t="s">
        <v>64</v>
      </c>
      <c r="I21" s="141"/>
      <c r="K21" s="40"/>
      <c r="L21" s="40"/>
      <c r="M21" s="40"/>
    </row>
    <row r="22" spans="1:13" ht="15.6" x14ac:dyDescent="0.3">
      <c r="A22" s="27">
        <v>11</v>
      </c>
      <c r="B22" s="27" t="s">
        <v>24</v>
      </c>
      <c r="C22" s="31">
        <f>SUM(D22:G22)</f>
        <v>53585457.164280005</v>
      </c>
      <c r="D22" s="44">
        <f>D16-D20</f>
        <v>42093793.57779</v>
      </c>
      <c r="E22" s="44">
        <f>E16-E20</f>
        <v>10357425.012450002</v>
      </c>
      <c r="F22" s="44">
        <f>F16-F20</f>
        <v>1134238.5740400001</v>
      </c>
      <c r="G22" s="44">
        <f>G16-G20</f>
        <v>0</v>
      </c>
      <c r="H22" s="141"/>
      <c r="I22" s="141"/>
      <c r="K22" s="40">
        <f>K16-K20</f>
        <v>0</v>
      </c>
      <c r="L22" s="40">
        <f>L16-L20</f>
        <v>89212.100539999999</v>
      </c>
      <c r="M22" s="40">
        <f>M16-M20</f>
        <v>231880.69900000002</v>
      </c>
    </row>
    <row r="23" spans="1:13" ht="15.6" x14ac:dyDescent="0.3">
      <c r="A23" s="46"/>
      <c r="B23" s="46"/>
      <c r="C23" s="46"/>
      <c r="D23" s="46"/>
      <c r="E23" s="46"/>
      <c r="F23" s="46"/>
      <c r="G23" s="46"/>
      <c r="H23" s="47"/>
      <c r="I23" s="47"/>
    </row>
    <row r="24" spans="1:13" ht="15.6" x14ac:dyDescent="0.3">
      <c r="C24" s="27"/>
      <c r="D24" s="48" t="s">
        <v>65</v>
      </c>
      <c r="E24" s="27" t="s">
        <v>35</v>
      </c>
    </row>
    <row r="25" spans="1:13" ht="15.6" x14ac:dyDescent="0.3">
      <c r="A25" s="27">
        <v>12</v>
      </c>
      <c r="B25" s="27" t="s">
        <v>66</v>
      </c>
      <c r="C25" s="35"/>
      <c r="D25" s="35">
        <f>D18/12</f>
        <v>150186.25</v>
      </c>
      <c r="E25" s="35">
        <f>(E18+F18+G18)/12</f>
        <v>2548.4166666666665</v>
      </c>
    </row>
    <row r="26" spans="1:13" ht="15.6" x14ac:dyDescent="0.3">
      <c r="A26" s="27">
        <v>13</v>
      </c>
      <c r="B26" s="27" t="s">
        <v>67</v>
      </c>
      <c r="C26" s="35"/>
      <c r="D26" s="35">
        <f>D12</f>
        <v>117011207</v>
      </c>
      <c r="E26" s="35">
        <f>E12+F12+G12</f>
        <v>51764097</v>
      </c>
    </row>
    <row r="27" spans="1:13" ht="15.6" x14ac:dyDescent="0.3">
      <c r="A27" s="27">
        <v>14</v>
      </c>
      <c r="B27" s="27" t="s">
        <v>68</v>
      </c>
      <c r="C27" s="31"/>
      <c r="D27" s="31">
        <f>D20</f>
        <v>16220115</v>
      </c>
      <c r="E27" s="31">
        <f>E20+F20+G20</f>
        <v>2700871.24</v>
      </c>
      <c r="F27" s="45"/>
    </row>
    <row r="28" spans="1:13" ht="15.6" x14ac:dyDescent="0.3">
      <c r="A28" s="27">
        <v>15</v>
      </c>
      <c r="B28" s="27" t="s">
        <v>69</v>
      </c>
      <c r="C28" s="35"/>
      <c r="D28" s="35">
        <f>D18</f>
        <v>1802235</v>
      </c>
      <c r="E28" s="35">
        <f>E18+F18+G18</f>
        <v>30581</v>
      </c>
      <c r="F28" s="45"/>
    </row>
    <row r="29" spans="1:13" ht="15.6" x14ac:dyDescent="0.3">
      <c r="A29" s="27">
        <v>16</v>
      </c>
      <c r="B29" s="27" t="s">
        <v>70</v>
      </c>
      <c r="C29" s="31"/>
      <c r="D29" s="42">
        <f>D27/D28</f>
        <v>9</v>
      </c>
      <c r="E29" s="42">
        <f>E27/E28</f>
        <v>88.318604362185681</v>
      </c>
      <c r="F29" s="45"/>
    </row>
    <row r="30" spans="1:13" x14ac:dyDescent="0.3">
      <c r="D30" s="45"/>
    </row>
    <row r="31" spans="1:13" x14ac:dyDescent="0.3">
      <c r="D31" s="40"/>
      <c r="F31" s="40"/>
    </row>
    <row r="32" spans="1:13" x14ac:dyDescent="0.3">
      <c r="D32" s="45"/>
      <c r="F32" s="40"/>
    </row>
    <row r="33" spans="4:6" x14ac:dyDescent="0.3">
      <c r="D33" s="45"/>
      <c r="F33" s="45"/>
    </row>
    <row r="36" spans="4:6" x14ac:dyDescent="0.3">
      <c r="D36" s="45"/>
      <c r="F36" s="45"/>
    </row>
    <row r="37" spans="4:6" x14ac:dyDescent="0.3">
      <c r="D37" s="45"/>
      <c r="F37" s="45"/>
    </row>
    <row r="38" spans="4:6" x14ac:dyDescent="0.3">
      <c r="D38" s="45"/>
      <c r="F38" s="45"/>
    </row>
  </sheetData>
  <mergeCells count="4">
    <mergeCell ref="A1:I1"/>
    <mergeCell ref="A2:I2"/>
    <mergeCell ref="A3:I3"/>
    <mergeCell ref="H21:I22"/>
  </mergeCells>
  <pageMargins left="0.6" right="0.6" top="0.9" bottom="0.75" header="0.6" footer="0.75"/>
  <pageSetup scale="73" firstPageNumber="2" orientation="landscape" useFirstPageNumber="1" r:id="rId1"/>
  <headerFooter scaleWithDoc="0">
    <oddHeader>&amp;CUG-140189 Authorized Decoupling Base</oddHeader>
    <oddFooter xml:space="preserve">&amp;C&amp;14APPENDIX 5, Page 1
&amp;R&amp;14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6"/>
  <sheetViews>
    <sheetView workbookViewId="0">
      <selection activeCell="D34" sqref="D34:F35"/>
    </sheetView>
  </sheetViews>
  <sheetFormatPr defaultRowHeight="14.4" x14ac:dyDescent="0.3"/>
  <cols>
    <col min="1" max="1" width="6.44140625" customWidth="1"/>
    <col min="2" max="2" width="38.5546875" customWidth="1"/>
    <col min="3" max="3" width="22.6640625" customWidth="1"/>
    <col min="4" max="5" width="16.44140625" customWidth="1"/>
    <col min="7" max="7" width="13.109375" bestFit="1" customWidth="1"/>
    <col min="8" max="8" width="12" bestFit="1" customWidth="1"/>
  </cols>
  <sheetData>
    <row r="1" spans="1:6" ht="15.6" x14ac:dyDescent="0.3">
      <c r="A1" s="135" t="s">
        <v>0</v>
      </c>
      <c r="B1" s="135"/>
      <c r="C1" s="135"/>
      <c r="D1" s="135"/>
      <c r="E1" s="135"/>
      <c r="F1" s="49"/>
    </row>
    <row r="2" spans="1:6" ht="15.6" x14ac:dyDescent="0.3">
      <c r="A2" s="135" t="s">
        <v>1</v>
      </c>
      <c r="B2" s="135"/>
      <c r="C2" s="135"/>
      <c r="D2" s="135"/>
      <c r="E2" s="135"/>
      <c r="F2" s="49"/>
    </row>
    <row r="3" spans="1:6" ht="15.6" x14ac:dyDescent="0.3">
      <c r="A3" s="136" t="s">
        <v>71</v>
      </c>
      <c r="B3" s="136"/>
      <c r="C3" s="136"/>
      <c r="D3" s="136"/>
      <c r="E3" s="136"/>
      <c r="F3" s="50"/>
    </row>
    <row r="4" spans="1:6" ht="15.6" x14ac:dyDescent="0.3">
      <c r="A4" s="51"/>
      <c r="B4" s="51"/>
      <c r="C4" s="51"/>
      <c r="D4" s="51"/>
      <c r="E4" s="51"/>
    </row>
    <row r="5" spans="1:6" ht="15.6" x14ac:dyDescent="0.3">
      <c r="A5" s="51"/>
      <c r="B5" s="51"/>
      <c r="C5" s="51"/>
      <c r="D5" s="51"/>
      <c r="E5" s="51"/>
    </row>
    <row r="6" spans="1:6" ht="46.8" x14ac:dyDescent="0.3">
      <c r="A6" s="52" t="s">
        <v>2</v>
      </c>
      <c r="B6" s="53"/>
      <c r="C6" s="52" t="s">
        <v>3</v>
      </c>
      <c r="D6" s="52" t="s">
        <v>65</v>
      </c>
      <c r="E6" s="52" t="s">
        <v>72</v>
      </c>
    </row>
    <row r="7" spans="1:6" ht="15.6" x14ac:dyDescent="0.3">
      <c r="A7" s="51"/>
      <c r="B7" s="54" t="s">
        <v>5</v>
      </c>
      <c r="C7" s="54" t="s">
        <v>6</v>
      </c>
      <c r="D7" s="54" t="s">
        <v>7</v>
      </c>
      <c r="E7" s="54" t="s">
        <v>8</v>
      </c>
    </row>
    <row r="8" spans="1:6" ht="15.6" x14ac:dyDescent="0.3">
      <c r="A8" s="54"/>
      <c r="B8" s="55"/>
      <c r="C8" s="54"/>
      <c r="D8" s="54"/>
      <c r="E8" s="54"/>
    </row>
    <row r="9" spans="1:6" ht="15.6" x14ac:dyDescent="0.3">
      <c r="A9" s="54">
        <v>1</v>
      </c>
      <c r="B9" s="55" t="s">
        <v>73</v>
      </c>
      <c r="C9" s="54" t="s">
        <v>74</v>
      </c>
      <c r="D9" s="56">
        <f>'UG-140189 Appendix 5, Page 1'!D22</f>
        <v>42093793.57779</v>
      </c>
      <c r="E9" s="56">
        <f>'UG-140189 Appendix 5, Page 1'!E22+'UG-140189 Appendix 5, Page 1'!F22+'UG-140189 Appendix 5, Page 1'!G22</f>
        <v>11491663.586490002</v>
      </c>
    </row>
    <row r="10" spans="1:6" ht="15.6" x14ac:dyDescent="0.3">
      <c r="A10" s="54"/>
      <c r="B10" s="55"/>
      <c r="C10" s="54"/>
      <c r="D10" s="54"/>
      <c r="E10" s="54"/>
    </row>
    <row r="11" spans="1:6" ht="15.6" x14ac:dyDescent="0.3">
      <c r="A11" s="54">
        <v>2</v>
      </c>
      <c r="B11" s="51" t="s">
        <v>75</v>
      </c>
      <c r="C11" s="54" t="s">
        <v>76</v>
      </c>
      <c r="D11" s="57">
        <f>'UG-140189 Appendix 5, Page 1'!D18/12</f>
        <v>150186.25</v>
      </c>
      <c r="E11" s="57">
        <f>SUM('UG-140189 Appendix 5, Page 1'!E18:G18)/12</f>
        <v>2548.4166666666665</v>
      </c>
    </row>
    <row r="12" spans="1:6" ht="15.6" x14ac:dyDescent="0.3">
      <c r="A12" s="54"/>
      <c r="B12" s="55"/>
      <c r="C12" s="54"/>
      <c r="D12" s="54"/>
      <c r="E12" s="54"/>
    </row>
    <row r="13" spans="1:6" ht="15.6" x14ac:dyDescent="0.3">
      <c r="A13" s="54">
        <v>3</v>
      </c>
      <c r="B13" s="55" t="s">
        <v>77</v>
      </c>
      <c r="C13" s="54" t="str">
        <f>"("&amp;A9&amp;") / ("&amp;A$11&amp;")"</f>
        <v>(1) / (2)</v>
      </c>
      <c r="D13" s="58">
        <f>ROUND(D9/D11,2)</f>
        <v>280.27999999999997</v>
      </c>
      <c r="E13" s="58">
        <f>ROUND(E9/E11,2)</f>
        <v>4509.33</v>
      </c>
    </row>
    <row r="14" spans="1:6" ht="15.6" x14ac:dyDescent="0.3">
      <c r="A14" s="54"/>
      <c r="B14" s="55"/>
      <c r="C14" s="54"/>
      <c r="D14" s="54"/>
      <c r="E14" s="54"/>
    </row>
    <row r="15" spans="1:6" s="62" customFormat="1" ht="15.6" hidden="1" x14ac:dyDescent="0.3">
      <c r="A15" s="59" t="e">
        <f>#REF!+1</f>
        <v>#REF!</v>
      </c>
      <c r="B15" s="60" t="e">
        <f>#REF!</f>
        <v>#REF!</v>
      </c>
      <c r="C15" s="59" t="e">
        <f>"("&amp;#REF!&amp;") - ("&amp;#REF!&amp;")"</f>
        <v>#REF!</v>
      </c>
      <c r="D15" s="61" t="e">
        <f>#REF!-#REF!</f>
        <v>#REF!</v>
      </c>
      <c r="E15" s="61" t="e">
        <f>#REF!-#REF!</f>
        <v>#REF!</v>
      </c>
    </row>
    <row r="16" spans="1:6" s="62" customFormat="1" ht="15.6" hidden="1" x14ac:dyDescent="0.3">
      <c r="A16" s="59" t="e">
        <f t="shared" ref="A16:A18" si="0">A15+1</f>
        <v>#REF!</v>
      </c>
      <c r="B16" s="60" t="e">
        <f>#REF!</f>
        <v>#REF!</v>
      </c>
      <c r="C16" s="59" t="e">
        <f>"("&amp;#REF!&amp;") - ("&amp;#REF!&amp;")"</f>
        <v>#REF!</v>
      </c>
      <c r="D16" s="61" t="e">
        <f>#REF!-#REF!</f>
        <v>#REF!</v>
      </c>
      <c r="E16" s="61" t="e">
        <f>#REF!-#REF!</f>
        <v>#REF!</v>
      </c>
    </row>
    <row r="17" spans="1:5" s="62" customFormat="1" ht="15.6" hidden="1" x14ac:dyDescent="0.3">
      <c r="A17" s="59" t="e">
        <f t="shared" si="0"/>
        <v>#REF!</v>
      </c>
      <c r="B17" s="60" t="e">
        <f>#REF!</f>
        <v>#REF!</v>
      </c>
      <c r="C17" s="59" t="e">
        <f>"("&amp;#REF!&amp;") - ("&amp;#REF!&amp;")"</f>
        <v>#REF!</v>
      </c>
      <c r="D17" s="61" t="e">
        <f>#REF!-#REF!</f>
        <v>#REF!</v>
      </c>
      <c r="E17" s="61" t="e">
        <f>#REF!-#REF!</f>
        <v>#REF!</v>
      </c>
    </row>
    <row r="18" spans="1:5" s="62" customFormat="1" ht="15.6" hidden="1" x14ac:dyDescent="0.3">
      <c r="A18" s="59" t="e">
        <f t="shared" si="0"/>
        <v>#REF!</v>
      </c>
      <c r="B18" s="60" t="e">
        <f>#REF!</f>
        <v>#REF!</v>
      </c>
      <c r="C18" s="59" t="e">
        <f>"("&amp;#REF!&amp;") - ("&amp;#REF!&amp;")"</f>
        <v>#REF!</v>
      </c>
      <c r="D18" s="61" t="e">
        <f>#REF!-#REF!</f>
        <v>#REF!</v>
      </c>
      <c r="E18" s="61" t="e">
        <f>#REF!-#REF!</f>
        <v>#REF!</v>
      </c>
    </row>
    <row r="19" spans="1:5" ht="15.6" x14ac:dyDescent="0.3">
      <c r="A19" s="54"/>
      <c r="B19" s="51"/>
      <c r="C19" s="51"/>
      <c r="D19" s="63"/>
      <c r="E19" s="63"/>
    </row>
    <row r="20" spans="1:5" ht="15.6" x14ac:dyDescent="0.3">
      <c r="A20" s="54"/>
      <c r="B20" s="64" t="s">
        <v>78</v>
      </c>
      <c r="C20" s="51"/>
      <c r="D20" s="51"/>
      <c r="E20" s="51"/>
    </row>
    <row r="21" spans="1:5" ht="15.6" x14ac:dyDescent="0.3">
      <c r="A21" s="46"/>
      <c r="B21" s="46"/>
      <c r="C21" s="46"/>
      <c r="D21" s="46"/>
      <c r="E21" s="46"/>
    </row>
    <row r="22" spans="1:5" ht="15.6" x14ac:dyDescent="0.3">
      <c r="A22" s="46"/>
      <c r="B22" s="46"/>
      <c r="C22" s="65" t="s">
        <v>79</v>
      </c>
      <c r="D22" s="46"/>
      <c r="E22" s="46"/>
    </row>
    <row r="23" spans="1:5" ht="15.6" x14ac:dyDescent="0.3">
      <c r="A23" s="46"/>
      <c r="B23" s="46"/>
      <c r="C23" s="65" t="s">
        <v>80</v>
      </c>
      <c r="D23" s="66">
        <f>D13*D11</f>
        <v>42094202.149999999</v>
      </c>
      <c r="E23" s="66">
        <f>E13*E11</f>
        <v>11491651.727499999</v>
      </c>
    </row>
    <row r="24" spans="1:5" ht="15.6" x14ac:dyDescent="0.3">
      <c r="A24" s="46"/>
      <c r="B24" s="46"/>
      <c r="C24" s="65" t="s">
        <v>81</v>
      </c>
      <c r="D24" s="66">
        <f>'UG-140189 Appendix 5, Page 1'!D27</f>
        <v>16220115</v>
      </c>
      <c r="E24" s="66">
        <f>'UG-140189 Appendix 5, Page 1'!E27</f>
        <v>2700871.24</v>
      </c>
    </row>
    <row r="25" spans="1:5" ht="15.6" x14ac:dyDescent="0.3">
      <c r="A25" s="46"/>
      <c r="B25" s="46"/>
      <c r="C25" s="65" t="s">
        <v>82</v>
      </c>
      <c r="D25" s="66">
        <f>'UG-140189 Appendix 5, Page 1'!D14</f>
        <v>58275091.42221</v>
      </c>
      <c r="E25" s="66">
        <f>SUM('UG-140189 Appendix 5, Page 1'!E14:G14)</f>
        <v>25526465.17351</v>
      </c>
    </row>
    <row r="26" spans="1:5" ht="15.6" x14ac:dyDescent="0.3">
      <c r="A26" s="46"/>
      <c r="B26" s="46"/>
      <c r="C26" s="65" t="s">
        <v>4</v>
      </c>
      <c r="D26" s="67">
        <f>SUM(D23:D25)</f>
        <v>116589408.57221</v>
      </c>
      <c r="E26" s="67">
        <f>SUM(E23:E25)</f>
        <v>39718988.141010001</v>
      </c>
    </row>
  </sheetData>
  <mergeCells count="3">
    <mergeCell ref="A1:E1"/>
    <mergeCell ref="A2:E2"/>
    <mergeCell ref="A3:E3"/>
  </mergeCells>
  <printOptions horizontalCentered="1"/>
  <pageMargins left="0.6" right="0.6" top="0.9" bottom="0.75" header="0.6" footer="0.74"/>
  <pageSetup scale="87" orientation="landscape" r:id="rId1"/>
  <headerFooter scaleWithDoc="0">
    <oddHeader>&amp;CUG-140189 Authorized Decoupling Base</oddHeader>
    <oddFooter xml:space="preserve">&amp;C&amp;14APPENDIX 5, Page 2
&amp;R&amp;14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44"/>
  <sheetViews>
    <sheetView topLeftCell="A15" workbookViewId="0">
      <selection activeCell="G41" sqref="G41"/>
    </sheetView>
  </sheetViews>
  <sheetFormatPr defaultRowHeight="14.4" x14ac:dyDescent="0.3"/>
  <cols>
    <col min="2" max="2" width="35.109375" customWidth="1"/>
    <col min="3" max="3" width="17.33203125" customWidth="1"/>
    <col min="4" max="5" width="12.33203125" customWidth="1"/>
    <col min="6" max="6" width="12.44140625" customWidth="1"/>
    <col min="7" max="13" width="11.44140625" customWidth="1"/>
    <col min="14" max="14" width="12.88671875" customWidth="1"/>
    <col min="15" max="15" width="13" customWidth="1"/>
    <col min="16" max="16" width="13.88671875" bestFit="1" customWidth="1"/>
  </cols>
  <sheetData>
    <row r="1" spans="1:16" ht="17.399999999999999" x14ac:dyDescent="0.3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</row>
    <row r="2" spans="1:16" ht="17.399999999999999" x14ac:dyDescent="0.3">
      <c r="A2" s="139" t="str">
        <f>'UG-140189 Appendix 5, Page 2'!A2:E2</f>
        <v>Natural Gas Decoupling Mechanism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</row>
    <row r="3" spans="1:16" ht="17.399999999999999" x14ac:dyDescent="0.3">
      <c r="A3" s="140" t="s">
        <v>83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x14ac:dyDescent="0.3">
      <c r="A4" s="5"/>
      <c r="B4" s="5"/>
      <c r="C4" s="13"/>
      <c r="D4" s="13"/>
      <c r="E4" s="13"/>
      <c r="F4" s="13"/>
      <c r="G4" s="13"/>
      <c r="H4" s="5"/>
      <c r="I4" s="5"/>
      <c r="J4" s="5"/>
      <c r="K4" s="5"/>
      <c r="L4" s="5"/>
      <c r="M4" s="5"/>
      <c r="N4" s="5"/>
      <c r="O4" s="5"/>
      <c r="P4" s="5"/>
    </row>
    <row r="5" spans="1:16" x14ac:dyDescent="0.3">
      <c r="A5" s="5"/>
      <c r="B5" s="5"/>
      <c r="C5" s="13"/>
      <c r="D5" s="13"/>
      <c r="E5" s="13"/>
      <c r="F5" s="13"/>
      <c r="G5" s="13"/>
      <c r="H5" s="5"/>
      <c r="I5" s="5"/>
      <c r="J5" s="5"/>
      <c r="K5" s="5"/>
      <c r="L5" s="5"/>
      <c r="M5" s="5"/>
      <c r="N5" s="5"/>
      <c r="O5" s="5"/>
      <c r="P5" s="5"/>
    </row>
    <row r="6" spans="1:16" ht="26.4" customHeight="1" x14ac:dyDescent="0.3">
      <c r="A6" s="68" t="s">
        <v>2</v>
      </c>
      <c r="B6" s="69"/>
      <c r="C6" s="70" t="s">
        <v>3</v>
      </c>
      <c r="D6" s="71" t="s">
        <v>84</v>
      </c>
      <c r="E6" s="71" t="s">
        <v>85</v>
      </c>
      <c r="F6" s="71" t="s">
        <v>86</v>
      </c>
      <c r="G6" s="71" t="s">
        <v>87</v>
      </c>
      <c r="H6" s="71" t="s">
        <v>88</v>
      </c>
      <c r="I6" s="71" t="s">
        <v>89</v>
      </c>
      <c r="J6" s="71" t="s">
        <v>90</v>
      </c>
      <c r="K6" s="71" t="s">
        <v>91</v>
      </c>
      <c r="L6" s="71" t="s">
        <v>92</v>
      </c>
      <c r="M6" s="71" t="s">
        <v>93</v>
      </c>
      <c r="N6" s="71" t="s">
        <v>94</v>
      </c>
      <c r="O6" s="71" t="s">
        <v>95</v>
      </c>
      <c r="P6" s="68" t="s">
        <v>47</v>
      </c>
    </row>
    <row r="7" spans="1:16" ht="15" customHeight="1" x14ac:dyDescent="0.3">
      <c r="A7" s="5"/>
      <c r="B7" s="13" t="s">
        <v>5</v>
      </c>
      <c r="C7" s="13" t="s">
        <v>6</v>
      </c>
      <c r="D7" s="13" t="s">
        <v>7</v>
      </c>
      <c r="E7" s="13" t="s">
        <v>8</v>
      </c>
      <c r="F7" s="13" t="s">
        <v>9</v>
      </c>
      <c r="G7" s="13" t="s">
        <v>10</v>
      </c>
      <c r="H7" s="13" t="s">
        <v>11</v>
      </c>
      <c r="I7" s="13" t="s">
        <v>12</v>
      </c>
      <c r="J7" s="13" t="s">
        <v>13</v>
      </c>
      <c r="K7" s="13" t="s">
        <v>14</v>
      </c>
      <c r="L7" s="13" t="s">
        <v>15</v>
      </c>
      <c r="M7" s="13" t="s">
        <v>16</v>
      </c>
      <c r="N7" s="13" t="s">
        <v>17</v>
      </c>
      <c r="O7" s="13" t="s">
        <v>18</v>
      </c>
      <c r="P7" s="13" t="s">
        <v>19</v>
      </c>
    </row>
    <row r="8" spans="1:16" ht="15" customHeight="1" x14ac:dyDescent="0.3">
      <c r="A8" s="13">
        <v>1</v>
      </c>
      <c r="B8" s="72"/>
      <c r="C8" s="13"/>
      <c r="D8" s="13"/>
      <c r="E8" s="13"/>
      <c r="F8" s="13"/>
      <c r="G8" s="13"/>
      <c r="H8" s="13"/>
      <c r="I8" s="13"/>
      <c r="J8" s="5"/>
      <c r="K8" s="5"/>
      <c r="L8" s="5"/>
      <c r="M8" s="5"/>
      <c r="N8" s="5"/>
      <c r="O8" s="5"/>
      <c r="P8" s="5"/>
    </row>
    <row r="9" spans="1:16" ht="15" customHeight="1" x14ac:dyDescent="0.3">
      <c r="A9" s="13">
        <f t="shared" ref="A9:A27" si="0">A8+1</f>
        <v>2</v>
      </c>
      <c r="B9" s="73" t="s">
        <v>96</v>
      </c>
      <c r="C9" s="13"/>
      <c r="D9" s="5"/>
      <c r="E9" s="5"/>
      <c r="F9" s="5"/>
      <c r="G9" s="5"/>
      <c r="H9" s="74"/>
      <c r="I9" s="74"/>
      <c r="J9" s="5"/>
      <c r="K9" s="5"/>
      <c r="L9" s="5"/>
      <c r="M9" s="5"/>
      <c r="N9" s="5"/>
      <c r="O9" s="5"/>
      <c r="P9" s="75"/>
    </row>
    <row r="10" spans="1:16" ht="15" customHeight="1" x14ac:dyDescent="0.3">
      <c r="A10" s="13">
        <f t="shared" si="0"/>
        <v>3</v>
      </c>
      <c r="B10" s="76" t="s">
        <v>65</v>
      </c>
      <c r="C10" s="13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75"/>
    </row>
    <row r="11" spans="1:16" ht="15" customHeight="1" x14ac:dyDescent="0.3">
      <c r="A11" s="13">
        <f t="shared" si="0"/>
        <v>4</v>
      </c>
      <c r="B11" s="77" t="s">
        <v>97</v>
      </c>
      <c r="C11" s="13" t="s">
        <v>98</v>
      </c>
      <c r="D11" s="78">
        <v>20096514.542463232</v>
      </c>
      <c r="E11" s="78">
        <v>16729825.823665593</v>
      </c>
      <c r="F11" s="78">
        <v>14285474.217013976</v>
      </c>
      <c r="G11" s="78">
        <v>9202394.4743490461</v>
      </c>
      <c r="H11" s="78">
        <v>5127081.5418580826</v>
      </c>
      <c r="I11" s="78">
        <v>3376940.6746393559</v>
      </c>
      <c r="J11" s="78">
        <v>2456170.9911564719</v>
      </c>
      <c r="K11" s="78">
        <v>2227453.2497947016</v>
      </c>
      <c r="L11" s="78">
        <v>2907961.7436219263</v>
      </c>
      <c r="M11" s="78">
        <v>6931034.129332168</v>
      </c>
      <c r="N11" s="78">
        <v>13836643.035156259</v>
      </c>
      <c r="O11" s="78">
        <v>19833712.677342694</v>
      </c>
      <c r="P11" s="79">
        <f>SUM(D11:O11)</f>
        <v>117011207.10039353</v>
      </c>
    </row>
    <row r="12" spans="1:16" ht="15" customHeight="1" x14ac:dyDescent="0.3">
      <c r="A12" s="13">
        <f t="shared" si="0"/>
        <v>5</v>
      </c>
      <c r="B12" s="5" t="s">
        <v>99</v>
      </c>
      <c r="C12" s="80" t="s">
        <v>100</v>
      </c>
      <c r="D12" s="81">
        <f t="shared" ref="D12:O12" si="1">D11/$P11</f>
        <v>0.17174863024206544</v>
      </c>
      <c r="E12" s="81">
        <f t="shared" si="1"/>
        <v>0.14297626901081106</v>
      </c>
      <c r="F12" s="81">
        <f t="shared" si="1"/>
        <v>0.12208637592087476</v>
      </c>
      <c r="G12" s="81">
        <f t="shared" si="1"/>
        <v>7.864541100284142E-2</v>
      </c>
      <c r="H12" s="81">
        <f t="shared" si="1"/>
        <v>4.3817012651267993E-2</v>
      </c>
      <c r="I12" s="81">
        <f t="shared" si="1"/>
        <v>2.8859976393047555E-2</v>
      </c>
      <c r="J12" s="81">
        <f t="shared" si="1"/>
        <v>2.0990903794788827E-2</v>
      </c>
      <c r="K12" s="81">
        <f t="shared" si="1"/>
        <v>1.9036238536395803E-2</v>
      </c>
      <c r="L12" s="81">
        <f t="shared" si="1"/>
        <v>2.4851993374676896E-2</v>
      </c>
      <c r="M12" s="81">
        <f t="shared" si="1"/>
        <v>5.9233934091334206E-2</v>
      </c>
      <c r="N12" s="81">
        <f t="shared" si="1"/>
        <v>0.11825057939351626</v>
      </c>
      <c r="O12" s="81">
        <f t="shared" si="1"/>
        <v>0.1695026755883795</v>
      </c>
      <c r="P12" s="81">
        <f>SUM(D12:O12)</f>
        <v>0.99999999999999978</v>
      </c>
    </row>
    <row r="13" spans="1:16" ht="15" customHeight="1" x14ac:dyDescent="0.3">
      <c r="A13" s="13">
        <f t="shared" si="0"/>
        <v>6</v>
      </c>
      <c r="B13" s="5"/>
      <c r="C13" s="82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spans="1:16" ht="15" customHeight="1" x14ac:dyDescent="0.3">
      <c r="A14" s="13">
        <f t="shared" si="0"/>
        <v>7</v>
      </c>
      <c r="B14" s="76" t="s">
        <v>101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</row>
    <row r="15" spans="1:16" ht="15" customHeight="1" x14ac:dyDescent="0.3">
      <c r="A15" s="13">
        <f t="shared" si="0"/>
        <v>8</v>
      </c>
      <c r="B15" s="77" t="s">
        <v>97</v>
      </c>
      <c r="C15" s="13" t="s">
        <v>98</v>
      </c>
      <c r="D15" s="78">
        <v>7372431.8376394054</v>
      </c>
      <c r="E15" s="78">
        <v>6284928.3995770253</v>
      </c>
      <c r="F15" s="78">
        <v>5638127.5299781673</v>
      </c>
      <c r="G15" s="78">
        <v>3840835.0036948542</v>
      </c>
      <c r="H15" s="78">
        <v>2388634.3428298216</v>
      </c>
      <c r="I15" s="78">
        <v>1911614.4174657979</v>
      </c>
      <c r="J15" s="78">
        <v>1631752.6518489029</v>
      </c>
      <c r="K15" s="78">
        <v>1792654.1238930894</v>
      </c>
      <c r="L15" s="78">
        <v>2433461.3706143918</v>
      </c>
      <c r="M15" s="78">
        <v>4483159.8392895078</v>
      </c>
      <c r="N15" s="78">
        <v>6399826.3376744026</v>
      </c>
      <c r="O15" s="78">
        <v>7586670.8416441465</v>
      </c>
      <c r="P15" s="79">
        <f>SUM(D15:O15)</f>
        <v>51764096.696149513</v>
      </c>
    </row>
    <row r="16" spans="1:16" ht="15" customHeight="1" x14ac:dyDescent="0.3">
      <c r="A16" s="13">
        <f t="shared" si="0"/>
        <v>9</v>
      </c>
      <c r="B16" s="5" t="s">
        <v>99</v>
      </c>
      <c r="C16" s="80" t="s">
        <v>100</v>
      </c>
      <c r="D16" s="83">
        <f t="shared" ref="D16:O16" si="2">D15/$P15</f>
        <v>0.14242365477591354</v>
      </c>
      <c r="E16" s="83">
        <f t="shared" si="2"/>
        <v>0.12141481839177021</v>
      </c>
      <c r="F16" s="83">
        <f t="shared" si="2"/>
        <v>0.10891965454499201</v>
      </c>
      <c r="G16" s="83">
        <f t="shared" si="2"/>
        <v>7.4198822134194722E-2</v>
      </c>
      <c r="H16" s="83">
        <f t="shared" si="2"/>
        <v>4.6144615578841947E-2</v>
      </c>
      <c r="I16" s="83">
        <f t="shared" si="2"/>
        <v>3.6929349481104608E-2</v>
      </c>
      <c r="J16" s="83">
        <f t="shared" si="2"/>
        <v>3.152286538345566E-2</v>
      </c>
      <c r="K16" s="83">
        <f t="shared" si="2"/>
        <v>3.4631225855553976E-2</v>
      </c>
      <c r="L16" s="83">
        <f t="shared" si="2"/>
        <v>4.701060244320665E-2</v>
      </c>
      <c r="M16" s="83">
        <f t="shared" si="2"/>
        <v>8.6607516124646081E-2</v>
      </c>
      <c r="N16" s="83">
        <f t="shared" si="2"/>
        <v>0.12363446377207729</v>
      </c>
      <c r="O16" s="83">
        <f t="shared" si="2"/>
        <v>0.14656241151424329</v>
      </c>
      <c r="P16" s="83">
        <f>SUM(D16:O16)</f>
        <v>1</v>
      </c>
    </row>
    <row r="17" spans="1:16" ht="15" customHeight="1" x14ac:dyDescent="0.3">
      <c r="A17" s="13">
        <f t="shared" si="0"/>
        <v>10</v>
      </c>
      <c r="B17" s="5"/>
      <c r="C17" s="13"/>
      <c r="D17" s="83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</row>
    <row r="18" spans="1:16" ht="15" customHeight="1" x14ac:dyDescent="0.3">
      <c r="A18" s="13">
        <f t="shared" si="0"/>
        <v>11</v>
      </c>
      <c r="B18" s="73" t="s">
        <v>102</v>
      </c>
      <c r="C18" s="13"/>
      <c r="D18" s="83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</row>
    <row r="19" spans="1:16" ht="15" customHeight="1" x14ac:dyDescent="0.3">
      <c r="A19" s="13">
        <f t="shared" si="0"/>
        <v>12</v>
      </c>
      <c r="B19" s="76" t="s">
        <v>65</v>
      </c>
      <c r="C19" s="13"/>
      <c r="D19" s="83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ht="15" customHeight="1" x14ac:dyDescent="0.3">
      <c r="A20" s="13">
        <f t="shared" si="0"/>
        <v>13</v>
      </c>
      <c r="B20" s="5" t="s">
        <v>103</v>
      </c>
      <c r="C20" s="13" t="s">
        <v>104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84">
        <f>'UG-140189 Appendix 5, Page 2'!D13</f>
        <v>280.27999999999997</v>
      </c>
    </row>
    <row r="21" spans="1:16" ht="15" customHeight="1" x14ac:dyDescent="0.3">
      <c r="A21" s="13">
        <f t="shared" si="0"/>
        <v>14</v>
      </c>
      <c r="B21" s="5" t="s">
        <v>105</v>
      </c>
      <c r="C21" s="13" t="str">
        <f>"("&amp;A$12&amp;") x ("&amp;A20&amp;")"</f>
        <v>(5) x (13)</v>
      </c>
      <c r="D21" s="85">
        <f t="shared" ref="D21:O21" si="3">$P20*D$12</f>
        <v>48.137706084246098</v>
      </c>
      <c r="E21" s="85">
        <f t="shared" si="3"/>
        <v>40.073388678350121</v>
      </c>
      <c r="F21" s="85">
        <f t="shared" si="3"/>
        <v>34.218369443102773</v>
      </c>
      <c r="G21" s="85">
        <f t="shared" si="3"/>
        <v>22.042735795876393</v>
      </c>
      <c r="H21" s="85">
        <f t="shared" si="3"/>
        <v>12.281032305897392</v>
      </c>
      <c r="I21" s="85">
        <f t="shared" si="3"/>
        <v>8.0888741834433677</v>
      </c>
      <c r="J21" s="85">
        <f t="shared" si="3"/>
        <v>5.8833305156034115</v>
      </c>
      <c r="K21" s="85">
        <f t="shared" si="3"/>
        <v>5.3354769369810153</v>
      </c>
      <c r="L21" s="85">
        <f t="shared" si="3"/>
        <v>6.9655167030544396</v>
      </c>
      <c r="M21" s="85">
        <f t="shared" si="3"/>
        <v>16.602087047119149</v>
      </c>
      <c r="N21" s="85">
        <f t="shared" si="3"/>
        <v>33.14327239241473</v>
      </c>
      <c r="O21" s="85">
        <f t="shared" si="3"/>
        <v>47.508209913911003</v>
      </c>
      <c r="P21" s="84">
        <f>SUM(D21:O21)</f>
        <v>280.27999999999986</v>
      </c>
    </row>
    <row r="22" spans="1:16" ht="15" customHeight="1" x14ac:dyDescent="0.3">
      <c r="A22" s="13">
        <f t="shared" si="0"/>
        <v>15</v>
      </c>
      <c r="B22" s="5"/>
      <c r="C22" s="86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84"/>
    </row>
    <row r="23" spans="1:16" ht="15" customHeight="1" x14ac:dyDescent="0.3">
      <c r="A23" s="13">
        <f t="shared" si="0"/>
        <v>16</v>
      </c>
      <c r="B23" s="76" t="s">
        <v>101</v>
      </c>
      <c r="C23" s="86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84"/>
    </row>
    <row r="24" spans="1:16" ht="15" customHeight="1" x14ac:dyDescent="0.3">
      <c r="A24" s="13">
        <f t="shared" si="0"/>
        <v>17</v>
      </c>
      <c r="B24" s="5" t="s">
        <v>103</v>
      </c>
      <c r="C24" s="13" t="s">
        <v>104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84">
        <f>'UG-140189 Appendix 5, Page 2'!E13</f>
        <v>4509.33</v>
      </c>
    </row>
    <row r="25" spans="1:16" ht="15" customHeight="1" x14ac:dyDescent="0.3">
      <c r="A25" s="13">
        <f t="shared" si="0"/>
        <v>18</v>
      </c>
      <c r="B25" s="5" t="s">
        <v>105</v>
      </c>
      <c r="C25" s="13" t="str">
        <f>"("&amp;A$16&amp;") x ("&amp;A24&amp;")"</f>
        <v>(9) x (17)</v>
      </c>
      <c r="D25" s="85">
        <f t="shared" ref="D25:O25" si="4">$P24*D$16</f>
        <v>642.23525919067015</v>
      </c>
      <c r="E25" s="85">
        <f t="shared" si="4"/>
        <v>547.49948301856114</v>
      </c>
      <c r="F25" s="85">
        <f t="shared" si="4"/>
        <v>491.15466582936881</v>
      </c>
      <c r="G25" s="85">
        <f t="shared" si="4"/>
        <v>334.58697461438828</v>
      </c>
      <c r="H25" s="85">
        <f t="shared" si="4"/>
        <v>208.08129936813936</v>
      </c>
      <c r="I25" s="85">
        <f t="shared" si="4"/>
        <v>166.52662349562945</v>
      </c>
      <c r="J25" s="85">
        <f t="shared" si="4"/>
        <v>142.14700255957811</v>
      </c>
      <c r="K25" s="85">
        <f t="shared" si="4"/>
        <v>156.16362568722522</v>
      </c>
      <c r="L25" s="85">
        <f t="shared" si="4"/>
        <v>211.98631991522504</v>
      </c>
      <c r="M25" s="85">
        <f t="shared" si="4"/>
        <v>390.54187068635031</v>
      </c>
      <c r="N25" s="85">
        <f t="shared" si="4"/>
        <v>557.50859652134125</v>
      </c>
      <c r="O25" s="85">
        <f t="shared" si="4"/>
        <v>660.89827911352268</v>
      </c>
      <c r="P25" s="84">
        <f>SUM(D25:O25)</f>
        <v>4509.33</v>
      </c>
    </row>
    <row r="26" spans="1:16" ht="15" customHeight="1" x14ac:dyDescent="0.3">
      <c r="A26" s="13">
        <f t="shared" si="0"/>
        <v>19</v>
      </c>
      <c r="B26" s="5"/>
      <c r="C26" s="86"/>
      <c r="D26" s="13"/>
      <c r="E26" s="13"/>
      <c r="F26" s="13"/>
      <c r="G26" s="13"/>
      <c r="H26" s="5"/>
      <c r="I26" s="5"/>
      <c r="J26" s="5"/>
      <c r="K26" s="5"/>
      <c r="L26" s="5"/>
      <c r="M26" s="5"/>
      <c r="N26" s="5"/>
      <c r="O26" s="5"/>
      <c r="P26" s="84"/>
    </row>
    <row r="27" spans="1:16" ht="15" customHeight="1" x14ac:dyDescent="0.3">
      <c r="A27" s="13">
        <f t="shared" si="0"/>
        <v>20</v>
      </c>
      <c r="B27" s="77" t="s">
        <v>78</v>
      </c>
      <c r="C27" s="13"/>
      <c r="D27" s="13"/>
      <c r="E27" s="13"/>
      <c r="F27" s="13"/>
      <c r="G27" s="13"/>
      <c r="H27" s="5"/>
      <c r="I27" s="5"/>
      <c r="J27" s="5"/>
      <c r="K27" s="5"/>
      <c r="L27" s="5"/>
      <c r="M27" s="5"/>
      <c r="N27" s="5"/>
      <c r="O27" s="5"/>
      <c r="P27" s="5"/>
    </row>
    <row r="28" spans="1:16" ht="15" customHeight="1" x14ac:dyDescent="0.3">
      <c r="A28" s="87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</row>
    <row r="29" spans="1:16" ht="15" customHeight="1" x14ac:dyDescent="0.3"/>
    <row r="30" spans="1:16" ht="15" customHeight="1" x14ac:dyDescent="0.3"/>
    <row r="31" spans="1:16" ht="15" customHeight="1" x14ac:dyDescent="0.3"/>
    <row r="32" spans="1:16" ht="15" customHeight="1" x14ac:dyDescent="0.3"/>
    <row r="33" ht="15" customHeight="1" x14ac:dyDescent="0.3"/>
    <row r="34" ht="15" customHeight="1" x14ac:dyDescent="0.3"/>
    <row r="35" ht="15" customHeight="1" x14ac:dyDescent="0.3"/>
    <row r="36" ht="15" customHeight="1" x14ac:dyDescent="0.3"/>
    <row r="37" ht="15" customHeight="1" x14ac:dyDescent="0.3"/>
    <row r="38" ht="15" customHeight="1" x14ac:dyDescent="0.3"/>
    <row r="39" ht="15" customHeight="1" x14ac:dyDescent="0.3"/>
    <row r="40" ht="15" customHeight="1" x14ac:dyDescent="0.3"/>
    <row r="41" ht="15" customHeight="1" x14ac:dyDescent="0.3"/>
    <row r="42" ht="15" customHeight="1" x14ac:dyDescent="0.3"/>
    <row r="43" ht="15" customHeight="1" x14ac:dyDescent="0.3"/>
    <row r="44" ht="15" customHeight="1" x14ac:dyDescent="0.3"/>
  </sheetData>
  <mergeCells count="3">
    <mergeCell ref="A1:P1"/>
    <mergeCell ref="A2:P2"/>
    <mergeCell ref="A3:P3"/>
  </mergeCells>
  <printOptions horizontalCentered="1"/>
  <pageMargins left="0.18" right="0.19" top="0.9" bottom="0.75" header="0.6" footer="0.75"/>
  <pageSetup scale="62" orientation="landscape" r:id="rId1"/>
  <headerFooter scaleWithDoc="0">
    <oddHeader>&amp;CUG-140189  Authorized Decoupling Base</oddHeader>
    <oddFooter xml:space="preserve">&amp;C&amp;14APPENDIX 5, Page 3
&amp;R&amp;14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CBB5A9A69531142BCCD0B22C95C28DD" ma:contentTypeVersion="104" ma:contentTypeDescription="" ma:contentTypeScope="" ma:versionID="da4b190d905f5282aadc003635d8f98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2017-08-31T07:00:00+00:00</OpenedDate>
    <Date1 xmlns="dc463f71-b30c-4ab2-9473-d307f9d35888">2017-08-31T07:00:00+00:00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170942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9D7FBC7E-1D47-4EDE-9106-FD63C95FBA76}"/>
</file>

<file path=customXml/itemProps2.xml><?xml version="1.0" encoding="utf-8"?>
<ds:datastoreItem xmlns:ds="http://schemas.openxmlformats.org/officeDocument/2006/customXml" ds:itemID="{5D89BDAF-3270-4B85-9825-37E8228A1F56}"/>
</file>

<file path=customXml/itemProps3.xml><?xml version="1.0" encoding="utf-8"?>
<ds:datastoreItem xmlns:ds="http://schemas.openxmlformats.org/officeDocument/2006/customXml" ds:itemID="{FB8E5576-1CD8-4701-95D8-784940E1076E}"/>
</file>

<file path=customXml/itemProps4.xml><?xml version="1.0" encoding="utf-8"?>
<ds:datastoreItem xmlns:ds="http://schemas.openxmlformats.org/officeDocument/2006/customXml" ds:itemID="{DFCC0752-D637-493C-BE8E-1197759168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Natural Gas Deferral</vt:lpstr>
      <vt:lpstr>UG-150205 Attachment 5, Page 1</vt:lpstr>
      <vt:lpstr>UG-150205 Attachment 5, Page 2</vt:lpstr>
      <vt:lpstr>UG-150205 Attachment 5, Page 3</vt:lpstr>
      <vt:lpstr>UG-140189 Appendix 5, Page 1</vt:lpstr>
      <vt:lpstr>UG-140189 Appendix 5, Page 2</vt:lpstr>
      <vt:lpstr>UG-140189 Appendix 5, Page 3</vt:lpstr>
      <vt:lpstr>'UG-140189 Appendix 5, Page 1'!Print_Area</vt:lpstr>
      <vt:lpstr>'UG-140189 Appendix 5, Page 2'!Print_Area</vt:lpstr>
      <vt:lpstr>'UG-150205 Attachment 5, Page 1'!Print_Area</vt:lpstr>
      <vt:lpstr>'UG-150205 Attachment 5, Page 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2017-08-29T20:44:59Z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0x0101006E56B4D1795A2E4DB2F0B01679ED314A00BCBB5A9A69531142BCCD0B22C95C28DD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