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3.xml" ContentType="application/vnd.openxmlformats-officedocument.customXml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4.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August 2017\August 25 Friday\Cascade Natural Gas\"/>
    </mc:Choice>
  </mc:AlternateContent>
  <bookViews>
    <workbookView xWindow="0" yWindow="0" windowWidth="17970" windowHeight="6930"/>
  </bookViews>
  <sheets>
    <sheet name="DG 01253" sheetId="6" r:id="rId1"/>
    <sheet name="DG 01254" sheetId="7" r:id="rId2"/>
    <sheet name="DG 01286" sheetId="17" r:id="rId3"/>
    <sheet name="DEFERRALS" sheetId="30" r:id="rId4"/>
    <sheet name="RA 1860.20479" sheetId="11" r:id="rId5"/>
    <sheet name="RA 20430" sheetId="12" r:id="rId6"/>
    <sheet name="RA 20431" sheetId="13" r:id="rId7"/>
    <sheet name="RA 20444" sheetId="14" r:id="rId8"/>
    <sheet name="RA 20449" sheetId="15" r:id="rId9"/>
    <sheet name="RA 20477" sheetId="8" r:id="rId10"/>
    <sheet name="RA 1862.20478" sheetId="18"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_xlnm.Print_Area" localSheetId="3">DEFERRALS!$A$1:$G$23</definedName>
    <definedName name="_xlnm.Print_Area" localSheetId="0">'DG 01253'!$A$1:$H$59</definedName>
    <definedName name="_xlnm.Print_Area" localSheetId="1">'DG 01254'!$A$1:$H$59</definedName>
    <definedName name="_xlnm.Print_Area" localSheetId="2">'DG 01286'!$A$1:$H$28</definedName>
    <definedName name="_xlnm.Print_Area" localSheetId="11">'FERC Interest Rates'!$A$1:$D$73</definedName>
    <definedName name="_xlnm.Print_Area" localSheetId="4">'RA 1860.20479'!$A$1:$H$20</definedName>
    <definedName name="_xlnm.Print_Area" localSheetId="10">'RA 1862.20478'!$A$1:$H$26</definedName>
    <definedName name="_xlnm.Print_Area" localSheetId="5">'RA 20430'!$A$1:$H$59</definedName>
    <definedName name="_xlnm.Print_Area" localSheetId="6">'RA 20431'!$A$1:$H$59</definedName>
    <definedName name="_xlnm.Print_Area" localSheetId="7">'RA 20444'!$A$1:$H$59</definedName>
    <definedName name="_xlnm.Print_Area" localSheetId="8">'RA 20449'!$A$1:$H$59</definedName>
    <definedName name="_xlnm.Print_Area" localSheetId="9">'RA 20477'!$A$1:$H$22</definedName>
    <definedName name="_xlnm.Print_Area" localSheetId="12">'Therm Sales'!$A$1:$P$49</definedName>
  </definedNames>
  <calcPr calcId="171027"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30" l="1"/>
  <c r="D9" i="30"/>
  <c r="D10" i="30" s="1"/>
  <c r="C9" i="30"/>
  <c r="B2" i="30"/>
  <c r="F9" i="30" l="1"/>
  <c r="F10" i="30" s="1"/>
  <c r="C13" i="30"/>
  <c r="C19" i="30" s="1"/>
  <c r="C10" i="30"/>
  <c r="E13" i="30"/>
  <c r="E19" i="30" s="1"/>
  <c r="E10" i="30"/>
  <c r="D19" i="30"/>
  <c r="D13" i="30"/>
  <c r="F19" i="30" l="1"/>
  <c r="A26" i="18" l="1"/>
  <c r="A25" i="18"/>
  <c r="A24" i="18"/>
  <c r="A23" i="18"/>
  <c r="A22" i="18"/>
  <c r="A21" i="18"/>
  <c r="A20" i="18"/>
  <c r="A19" i="18"/>
  <c r="E18" i="18"/>
  <c r="A18" i="18"/>
  <c r="H17" i="18"/>
  <c r="A28" i="17"/>
  <c r="A27" i="17"/>
  <c r="A26" i="17"/>
  <c r="A25" i="17"/>
  <c r="A24" i="17"/>
  <c r="A23" i="17"/>
  <c r="A22" i="17"/>
  <c r="A21" i="17"/>
  <c r="A20" i="17"/>
  <c r="A19" i="17"/>
  <c r="E18" i="17"/>
  <c r="A18" i="17"/>
  <c r="H17" i="17"/>
  <c r="D59" i="15"/>
  <c r="A59" i="15"/>
  <c r="D58" i="15"/>
  <c r="A58" i="15"/>
  <c r="D57" i="15"/>
  <c r="A57" i="15"/>
  <c r="D56" i="15"/>
  <c r="A56"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D59" i="14"/>
  <c r="A59" i="14"/>
  <c r="D58" i="14"/>
  <c r="A58" i="14"/>
  <c r="D57" i="14"/>
  <c r="A57" i="14"/>
  <c r="D56" i="14"/>
  <c r="A56" i="14"/>
  <c r="D55" i="14"/>
  <c r="A55" i="14"/>
  <c r="D54" i="14"/>
  <c r="A54" i="14"/>
  <c r="D53" i="14"/>
  <c r="A53" i="14"/>
  <c r="D52" i="14"/>
  <c r="A52" i="14"/>
  <c r="A51" i="14"/>
  <c r="D49" i="14"/>
  <c r="A49" i="14"/>
  <c r="D48" i="14"/>
  <c r="A48" i="14"/>
  <c r="D47" i="14"/>
  <c r="A47" i="14"/>
  <c r="D46" i="14"/>
  <c r="A46" i="14"/>
  <c r="A45" i="14"/>
  <c r="A44" i="14"/>
  <c r="A43" i="14"/>
  <c r="A42" i="14"/>
  <c r="A41" i="14"/>
  <c r="A40" i="14"/>
  <c r="A39" i="14"/>
  <c r="A37" i="14"/>
  <c r="A36" i="14"/>
  <c r="A35" i="14"/>
  <c r="A34" i="14"/>
  <c r="A33" i="14"/>
  <c r="A32" i="14"/>
  <c r="A31" i="14"/>
  <c r="A30" i="14"/>
  <c r="A29" i="14"/>
  <c r="A28" i="14"/>
  <c r="A27" i="14"/>
  <c r="A26" i="14"/>
  <c r="A25" i="14"/>
  <c r="D23" i="14"/>
  <c r="A23" i="14"/>
  <c r="A22" i="14"/>
  <c r="A21" i="14"/>
  <c r="A20" i="14"/>
  <c r="D19" i="14"/>
  <c r="A19" i="14"/>
  <c r="A18" i="14"/>
  <c r="A17" i="14"/>
  <c r="A16" i="14"/>
  <c r="A15" i="14"/>
  <c r="A14" i="14"/>
  <c r="A13" i="14"/>
  <c r="A12" i="14"/>
  <c r="A59" i="13"/>
  <c r="D58" i="13"/>
  <c r="A58" i="13"/>
  <c r="A57" i="13"/>
  <c r="D56" i="13"/>
  <c r="A56" i="13"/>
  <c r="D55" i="13"/>
  <c r="A55"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D12" i="13"/>
  <c r="A12" i="13"/>
  <c r="D59" i="12"/>
  <c r="A59" i="12"/>
  <c r="A58" i="12"/>
  <c r="A57" i="12"/>
  <c r="A56" i="12"/>
  <c r="D55" i="12"/>
  <c r="A55" i="12"/>
  <c r="D54" i="12"/>
  <c r="A54" i="12"/>
  <c r="A53" i="12"/>
  <c r="D52" i="12"/>
  <c r="A52" i="12"/>
  <c r="A51" i="12"/>
  <c r="A49" i="12"/>
  <c r="D48" i="12"/>
  <c r="A48" i="12"/>
  <c r="A47" i="12"/>
  <c r="D46" i="12"/>
  <c r="A46" i="12"/>
  <c r="A45" i="12"/>
  <c r="A44" i="12"/>
  <c r="A43" i="12"/>
  <c r="A42" i="12"/>
  <c r="A41" i="12"/>
  <c r="A40" i="12"/>
  <c r="A39" i="12"/>
  <c r="A37" i="12"/>
  <c r="A36" i="12"/>
  <c r="A35" i="12"/>
  <c r="A34" i="12"/>
  <c r="A33" i="12"/>
  <c r="A32" i="12"/>
  <c r="A31" i="12"/>
  <c r="A30" i="12"/>
  <c r="A29" i="12"/>
  <c r="A28" i="12"/>
  <c r="A27" i="12"/>
  <c r="A26" i="12"/>
  <c r="A25" i="12"/>
  <c r="A23" i="12"/>
  <c r="A22" i="12"/>
  <c r="A21" i="12"/>
  <c r="A20" i="12"/>
  <c r="A19" i="12"/>
  <c r="A18" i="12"/>
  <c r="A17" i="12"/>
  <c r="D16" i="12"/>
  <c r="A16" i="12"/>
  <c r="D15" i="12"/>
  <c r="A15" i="12"/>
  <c r="A14" i="12"/>
  <c r="A13" i="12"/>
  <c r="A12" i="12"/>
  <c r="A20" i="11"/>
  <c r="D19" i="11"/>
  <c r="A19" i="11"/>
  <c r="A18" i="11"/>
  <c r="A17" i="11"/>
  <c r="A16" i="11"/>
  <c r="A15" i="11"/>
  <c r="D14" i="11"/>
  <c r="A14" i="11"/>
  <c r="A13" i="11"/>
  <c r="D12" i="11"/>
  <c r="H12" i="11" s="1"/>
  <c r="H13" i="11" s="1"/>
  <c r="A12" i="11"/>
  <c r="A22" i="8"/>
  <c r="A21" i="8"/>
  <c r="A20" i="8"/>
  <c r="A19" i="8"/>
  <c r="A18" i="8"/>
  <c r="A17" i="8"/>
  <c r="A16" i="8"/>
  <c r="A15" i="8"/>
  <c r="A14" i="8"/>
  <c r="A13" i="8"/>
  <c r="F12" i="8"/>
  <c r="H12" i="8" s="1"/>
  <c r="A12" i="8"/>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52" i="4"/>
  <c r="H52" i="4"/>
  <c r="E52" i="4"/>
  <c r="I52" i="4" s="1"/>
  <c r="A52" i="4"/>
  <c r="N51" i="4"/>
  <c r="I51" i="4"/>
  <c r="H51" i="4"/>
  <c r="E51" i="4"/>
  <c r="A51" i="4"/>
  <c r="N50" i="4"/>
  <c r="H50" i="4"/>
  <c r="I50" i="4" s="1"/>
  <c r="E50" i="4"/>
  <c r="A50" i="4"/>
  <c r="N49" i="4"/>
  <c r="M49" i="4"/>
  <c r="J49" i="4"/>
  <c r="G49" i="4"/>
  <c r="H49" i="4" s="1"/>
  <c r="I49" i="4" s="1"/>
  <c r="E49" i="4"/>
  <c r="A49" i="4"/>
  <c r="N48" i="4"/>
  <c r="M48" i="4"/>
  <c r="J48" i="4"/>
  <c r="G48" i="4"/>
  <c r="H48" i="4" s="1"/>
  <c r="I48" i="4" s="1"/>
  <c r="E48" i="4"/>
  <c r="A48" i="4"/>
  <c r="N47" i="4"/>
  <c r="M47" i="4"/>
  <c r="J47" i="4"/>
  <c r="G47" i="4"/>
  <c r="H47" i="4" s="1"/>
  <c r="I47" i="4" s="1"/>
  <c r="E47" i="4"/>
  <c r="A47" i="4"/>
  <c r="N46" i="4"/>
  <c r="M46" i="4"/>
  <c r="J46" i="4"/>
  <c r="G46" i="4"/>
  <c r="H46" i="4" s="1"/>
  <c r="I46" i="4" s="1"/>
  <c r="E46" i="4"/>
  <c r="A46" i="4"/>
  <c r="N45" i="4"/>
  <c r="M45" i="4"/>
  <c r="J45" i="4"/>
  <c r="G45" i="4"/>
  <c r="H45" i="4" s="1"/>
  <c r="I45" i="4" s="1"/>
  <c r="E45" i="4"/>
  <c r="A45" i="4"/>
  <c r="N44" i="4"/>
  <c r="M44" i="4"/>
  <c r="J44" i="4"/>
  <c r="G44" i="4"/>
  <c r="H44" i="4" s="1"/>
  <c r="F44" i="4"/>
  <c r="E44" i="4"/>
  <c r="A44" i="4"/>
  <c r="M43" i="4"/>
  <c r="J43" i="4"/>
  <c r="N43" i="4" s="1"/>
  <c r="G43" i="4"/>
  <c r="F43" i="4"/>
  <c r="H43" i="4" s="1"/>
  <c r="E43" i="4"/>
  <c r="A43" i="4"/>
  <c r="N42" i="4"/>
  <c r="M42" i="4"/>
  <c r="J42" i="4"/>
  <c r="G42" i="4"/>
  <c r="F42" i="4"/>
  <c r="H42" i="4" s="1"/>
  <c r="E42" i="4"/>
  <c r="I42" i="4" s="1"/>
  <c r="A42" i="4"/>
  <c r="M41" i="4"/>
  <c r="J41" i="4"/>
  <c r="N41" i="4" s="1"/>
  <c r="H41" i="4"/>
  <c r="G41" i="4"/>
  <c r="F41" i="4"/>
  <c r="E41" i="4"/>
  <c r="I41" i="4" s="1"/>
  <c r="A41" i="4"/>
  <c r="N40" i="4"/>
  <c r="M40" i="4"/>
  <c r="J40" i="4"/>
  <c r="G40" i="4"/>
  <c r="H40" i="4" s="1"/>
  <c r="F40" i="4"/>
  <c r="E40" i="4"/>
  <c r="A40" i="4"/>
  <c r="M39" i="4"/>
  <c r="J39" i="4"/>
  <c r="N39" i="4" s="1"/>
  <c r="G39" i="4"/>
  <c r="F39" i="4"/>
  <c r="H39" i="4" s="1"/>
  <c r="E39" i="4"/>
  <c r="I39" i="4" s="1"/>
  <c r="A39" i="4"/>
  <c r="N38" i="4"/>
  <c r="M38" i="4"/>
  <c r="J38" i="4"/>
  <c r="G38" i="4"/>
  <c r="F38" i="4"/>
  <c r="H38" i="4" s="1"/>
  <c r="E38" i="4"/>
  <c r="I38" i="4" s="1"/>
  <c r="A38" i="4"/>
  <c r="M37" i="4"/>
  <c r="J37" i="4"/>
  <c r="N37" i="4" s="1"/>
  <c r="H37" i="4"/>
  <c r="G37" i="4"/>
  <c r="F37" i="4"/>
  <c r="E37" i="4"/>
  <c r="I37" i="4" s="1"/>
  <c r="A37" i="4"/>
  <c r="N36" i="4"/>
  <c r="M36" i="4"/>
  <c r="J36" i="4"/>
  <c r="G36" i="4"/>
  <c r="H36" i="4" s="1"/>
  <c r="F36" i="4"/>
  <c r="E36" i="4"/>
  <c r="I36" i="4" s="1"/>
  <c r="A36" i="4"/>
  <c r="M35" i="4"/>
  <c r="J35" i="4"/>
  <c r="N35" i="4" s="1"/>
  <c r="G35" i="4"/>
  <c r="F35" i="4"/>
  <c r="H35" i="4" s="1"/>
  <c r="E35" i="4"/>
  <c r="A35" i="4"/>
  <c r="P34" i="4"/>
  <c r="M34" i="4"/>
  <c r="J34" i="4"/>
  <c r="N34" i="4" s="1"/>
  <c r="G34" i="4"/>
  <c r="F34" i="4"/>
  <c r="H34" i="4" s="1"/>
  <c r="E34" i="4"/>
  <c r="A34" i="4"/>
  <c r="N33" i="4"/>
  <c r="M33" i="4"/>
  <c r="J33" i="4"/>
  <c r="G33" i="4"/>
  <c r="F33" i="4"/>
  <c r="H33" i="4" s="1"/>
  <c r="E33" i="4"/>
  <c r="A33" i="4"/>
  <c r="P32" i="4"/>
  <c r="N32" i="4"/>
  <c r="M32" i="4"/>
  <c r="J32" i="4"/>
  <c r="G32" i="4"/>
  <c r="H32" i="4" s="1"/>
  <c r="F32" i="4"/>
  <c r="E32" i="4"/>
  <c r="I32" i="4" s="1"/>
  <c r="A32" i="4"/>
  <c r="P31" i="4"/>
  <c r="N31" i="4"/>
  <c r="M31" i="4"/>
  <c r="J31" i="4"/>
  <c r="G31" i="4"/>
  <c r="H31" i="4" s="1"/>
  <c r="F31" i="4"/>
  <c r="E31" i="4"/>
  <c r="I31" i="4" s="1"/>
  <c r="A31" i="4"/>
  <c r="P30" i="4"/>
  <c r="N30" i="4"/>
  <c r="M30" i="4"/>
  <c r="J30" i="4"/>
  <c r="G30" i="4"/>
  <c r="H30" i="4" s="1"/>
  <c r="F30" i="4"/>
  <c r="E30" i="4"/>
  <c r="I30" i="4" s="1"/>
  <c r="A30" i="4"/>
  <c r="P29" i="4"/>
  <c r="N29" i="4"/>
  <c r="M29" i="4"/>
  <c r="J29" i="4"/>
  <c r="G29" i="4"/>
  <c r="H29" i="4" s="1"/>
  <c r="F29" i="4"/>
  <c r="E29" i="4"/>
  <c r="I29" i="4" s="1"/>
  <c r="A29" i="4"/>
  <c r="P28" i="4"/>
  <c r="N28" i="4"/>
  <c r="M28" i="4"/>
  <c r="J28" i="4"/>
  <c r="G28" i="4"/>
  <c r="H28" i="4" s="1"/>
  <c r="F28" i="4"/>
  <c r="E28" i="4"/>
  <c r="I28" i="4" s="1"/>
  <c r="D28" i="4"/>
  <c r="C28" i="4"/>
  <c r="A28" i="4"/>
  <c r="P27" i="4"/>
  <c r="N27" i="4"/>
  <c r="M27" i="4"/>
  <c r="J27" i="4"/>
  <c r="G27" i="4"/>
  <c r="F27" i="4"/>
  <c r="H27" i="4" s="1"/>
  <c r="D27" i="4"/>
  <c r="C27" i="4"/>
  <c r="E27" i="4" s="1"/>
  <c r="I27" i="4" s="1"/>
  <c r="A27" i="4"/>
  <c r="P26" i="4"/>
  <c r="N26" i="4"/>
  <c r="M26" i="4"/>
  <c r="J26" i="4"/>
  <c r="G26" i="4"/>
  <c r="H26" i="4" s="1"/>
  <c r="F26" i="4"/>
  <c r="E26" i="4"/>
  <c r="I26" i="4" s="1"/>
  <c r="A26" i="4"/>
  <c r="P25" i="4"/>
  <c r="N25" i="4"/>
  <c r="M25" i="4"/>
  <c r="J25" i="4"/>
  <c r="G25" i="4"/>
  <c r="H25" i="4" s="1"/>
  <c r="F25" i="4"/>
  <c r="E25" i="4"/>
  <c r="I25" i="4" s="1"/>
  <c r="A25" i="4"/>
  <c r="P24" i="4"/>
  <c r="N24" i="4"/>
  <c r="M24" i="4"/>
  <c r="J24" i="4"/>
  <c r="G24" i="4"/>
  <c r="H24" i="4" s="1"/>
  <c r="F24" i="4"/>
  <c r="E24" i="4"/>
  <c r="I24" i="4" s="1"/>
  <c r="A24" i="4"/>
  <c r="P23" i="4"/>
  <c r="N23" i="4"/>
  <c r="M23" i="4"/>
  <c r="J23" i="4"/>
  <c r="G23" i="4"/>
  <c r="H23" i="4" s="1"/>
  <c r="F23" i="4"/>
  <c r="E23" i="4"/>
  <c r="I23" i="4" s="1"/>
  <c r="A23" i="4"/>
  <c r="P22" i="4"/>
  <c r="N22" i="4"/>
  <c r="M22" i="4"/>
  <c r="J22" i="4"/>
  <c r="G22" i="4"/>
  <c r="H22" i="4" s="1"/>
  <c r="F22" i="4"/>
  <c r="E22" i="4"/>
  <c r="I22" i="4" s="1"/>
  <c r="A22" i="4"/>
  <c r="P21" i="4"/>
  <c r="N21" i="4"/>
  <c r="M21" i="4"/>
  <c r="J21" i="4"/>
  <c r="G21" i="4"/>
  <c r="H21" i="4" s="1"/>
  <c r="F21" i="4"/>
  <c r="E21" i="4"/>
  <c r="I21" i="4" s="1"/>
  <c r="A21" i="4"/>
  <c r="P20" i="4"/>
  <c r="N20" i="4"/>
  <c r="M20" i="4"/>
  <c r="J20" i="4"/>
  <c r="I20" i="4"/>
  <c r="H20" i="4"/>
  <c r="G20" i="4"/>
  <c r="E20" i="4"/>
  <c r="A20" i="4"/>
  <c r="P19" i="4"/>
  <c r="M19" i="4"/>
  <c r="J19" i="4"/>
  <c r="N19" i="4" s="1"/>
  <c r="H19" i="4"/>
  <c r="G19" i="4"/>
  <c r="F19" i="4"/>
  <c r="E19" i="4"/>
  <c r="I19" i="4" s="1"/>
  <c r="A19" i="4"/>
  <c r="P18" i="4"/>
  <c r="M18" i="4"/>
  <c r="J18" i="4"/>
  <c r="N18" i="4" s="1"/>
  <c r="H18" i="4"/>
  <c r="G18" i="4"/>
  <c r="F18" i="4"/>
  <c r="E18" i="4"/>
  <c r="I18" i="4" s="1"/>
  <c r="A18" i="4"/>
  <c r="P17" i="4"/>
  <c r="M17" i="4"/>
  <c r="J17" i="4"/>
  <c r="N17" i="4" s="1"/>
  <c r="H17" i="4"/>
  <c r="G17" i="4"/>
  <c r="F17" i="4"/>
  <c r="E17" i="4"/>
  <c r="I17" i="4" s="1"/>
  <c r="A17" i="4"/>
  <c r="P16" i="4"/>
  <c r="M16" i="4"/>
  <c r="J16" i="4"/>
  <c r="N16" i="4" s="1"/>
  <c r="H16" i="4"/>
  <c r="G16" i="4"/>
  <c r="F16" i="4"/>
  <c r="E16" i="4"/>
  <c r="I16" i="4" s="1"/>
  <c r="A16" i="4"/>
  <c r="P15" i="4"/>
  <c r="M15" i="4"/>
  <c r="J15" i="4"/>
  <c r="N15" i="4" s="1"/>
  <c r="H15" i="4"/>
  <c r="G15" i="4"/>
  <c r="F15" i="4"/>
  <c r="E15" i="4"/>
  <c r="I15" i="4" s="1"/>
  <c r="A15" i="4"/>
  <c r="P14" i="4"/>
  <c r="M14" i="4"/>
  <c r="J14" i="4"/>
  <c r="N14" i="4" s="1"/>
  <c r="H14" i="4"/>
  <c r="G14" i="4"/>
  <c r="F14" i="4"/>
  <c r="E14" i="4"/>
  <c r="I14" i="4" s="1"/>
  <c r="A14" i="4"/>
  <c r="P13" i="4"/>
  <c r="M13" i="4"/>
  <c r="J13" i="4"/>
  <c r="N13" i="4" s="1"/>
  <c r="H13" i="4"/>
  <c r="G13" i="4"/>
  <c r="F13" i="4"/>
  <c r="E13" i="4"/>
  <c r="I13" i="4" s="1"/>
  <c r="A13" i="4"/>
  <c r="P12" i="4"/>
  <c r="M12" i="4"/>
  <c r="J12" i="4"/>
  <c r="N12" i="4" s="1"/>
  <c r="H12" i="4"/>
  <c r="G12" i="4"/>
  <c r="F12" i="4"/>
  <c r="E12" i="4"/>
  <c r="I12" i="4" s="1"/>
  <c r="A12" i="4"/>
  <c r="P11" i="4"/>
  <c r="M11" i="4"/>
  <c r="J11" i="4"/>
  <c r="N11" i="4" s="1"/>
  <c r="H11" i="4"/>
  <c r="G11" i="4"/>
  <c r="F11" i="4"/>
  <c r="E11" i="4"/>
  <c r="I11" i="4" s="1"/>
  <c r="A11" i="4"/>
  <c r="P10" i="4"/>
  <c r="M10" i="4"/>
  <c r="J10" i="4"/>
  <c r="N10" i="4" s="1"/>
  <c r="H10" i="4"/>
  <c r="G10" i="4"/>
  <c r="F10" i="4"/>
  <c r="E10" i="4"/>
  <c r="I10" i="4" s="1"/>
  <c r="A10" i="4"/>
  <c r="P9" i="4"/>
  <c r="M9" i="4"/>
  <c r="J9" i="4"/>
  <c r="N9" i="4" s="1"/>
  <c r="H9" i="4"/>
  <c r="G9" i="4"/>
  <c r="F9" i="4"/>
  <c r="E9" i="4"/>
  <c r="I9" i="4" s="1"/>
  <c r="A9" i="4"/>
  <c r="P8" i="4"/>
  <c r="M8" i="4"/>
  <c r="J8" i="4"/>
  <c r="N8" i="4" s="1"/>
  <c r="H8" i="4"/>
  <c r="G8" i="4"/>
  <c r="F8" i="4"/>
  <c r="E8" i="4"/>
  <c r="I8" i="4" s="1"/>
  <c r="A8" i="4"/>
  <c r="P7" i="4"/>
  <c r="M7" i="4"/>
  <c r="J7" i="4"/>
  <c r="N7" i="4" s="1"/>
  <c r="H7" i="4"/>
  <c r="G7" i="4"/>
  <c r="F7" i="4"/>
  <c r="E7" i="4"/>
  <c r="I7" i="4" s="1"/>
  <c r="A7" i="4"/>
  <c r="P6" i="4"/>
  <c r="M6" i="4"/>
  <c r="J6" i="4"/>
  <c r="N6" i="4" s="1"/>
  <c r="H6" i="4"/>
  <c r="G6" i="4"/>
  <c r="F6" i="4"/>
  <c r="E6" i="4"/>
  <c r="I6" i="4" s="1"/>
  <c r="A6" i="4"/>
  <c r="P5" i="4"/>
  <c r="M5" i="4"/>
  <c r="J5" i="4"/>
  <c r="N5" i="4" s="1"/>
  <c r="H5" i="4"/>
  <c r="G5" i="4"/>
  <c r="F5" i="4"/>
  <c r="E5" i="4"/>
  <c r="I5" i="4" s="1"/>
  <c r="A5" i="4"/>
  <c r="B66" i="3"/>
  <c r="B67" i="3" s="1"/>
  <c r="B68" i="3" s="1"/>
  <c r="B69" i="3" s="1"/>
  <c r="B65" i="3"/>
  <c r="B63" i="3"/>
  <c r="B62" i="3"/>
  <c r="B54" i="3"/>
  <c r="B55" i="3" s="1"/>
  <c r="B56" i="3" s="1"/>
  <c r="B57" i="3" s="1"/>
  <c r="B58" i="3" s="1"/>
  <c r="B59" i="3" s="1"/>
  <c r="B60" i="3" s="1"/>
  <c r="B53" i="3"/>
  <c r="B51" i="3"/>
  <c r="B50" i="3"/>
  <c r="B12" i="3"/>
  <c r="B13" i="3" s="1"/>
  <c r="B14" i="3" s="1"/>
  <c r="B15" i="3" s="1"/>
  <c r="B16" i="3" s="1"/>
  <c r="B17" i="3" s="1"/>
  <c r="B18" i="3" s="1"/>
  <c r="B19" i="3" s="1"/>
  <c r="B20" i="3" s="1"/>
  <c r="B11" i="3"/>
  <c r="K7" i="4" l="1"/>
  <c r="O7" i="4" s="1"/>
  <c r="K11" i="4"/>
  <c r="O11" i="4" s="1"/>
  <c r="K14" i="4"/>
  <c r="O14" i="4" s="1"/>
  <c r="K16" i="4"/>
  <c r="O16" i="4" s="1"/>
  <c r="K19" i="4"/>
  <c r="O19" i="4" s="1"/>
  <c r="K28" i="4"/>
  <c r="O28" i="4" s="1"/>
  <c r="K29" i="4"/>
  <c r="O29" i="4" s="1"/>
  <c r="K30" i="4"/>
  <c r="O30" i="4" s="1"/>
  <c r="K31" i="4"/>
  <c r="O31" i="4" s="1"/>
  <c r="K32" i="4"/>
  <c r="O32" i="4" s="1"/>
  <c r="I33" i="4"/>
  <c r="K36" i="4"/>
  <c r="O36" i="4" s="1"/>
  <c r="I43" i="4"/>
  <c r="C25" i="17"/>
  <c r="E25" i="17" s="1"/>
  <c r="C23" i="18"/>
  <c r="E23" i="18" s="1"/>
  <c r="K46" i="4"/>
  <c r="O46" i="4" s="1"/>
  <c r="C27" i="17"/>
  <c r="E27" i="17" s="1"/>
  <c r="C25" i="18"/>
  <c r="E25" i="18" s="1"/>
  <c r="K48" i="4"/>
  <c r="O48" i="4" s="1"/>
  <c r="K50" i="4"/>
  <c r="O50" i="4" s="1"/>
  <c r="K52" i="4"/>
  <c r="O52" i="4" s="1"/>
  <c r="K5" i="4"/>
  <c r="O5" i="4" s="1"/>
  <c r="K6" i="4"/>
  <c r="O6" i="4" s="1"/>
  <c r="K12" i="4"/>
  <c r="O12" i="4" s="1"/>
  <c r="K15" i="4"/>
  <c r="O15" i="4" s="1"/>
  <c r="K17" i="4"/>
  <c r="O17" i="4" s="1"/>
  <c r="K18" i="4"/>
  <c r="O18" i="4" s="1"/>
  <c r="K21" i="4"/>
  <c r="O21" i="4" s="1"/>
  <c r="K23" i="4"/>
  <c r="O23" i="4" s="1"/>
  <c r="K25" i="4"/>
  <c r="O25" i="4" s="1"/>
  <c r="C18" i="17"/>
  <c r="K39" i="4"/>
  <c r="O39" i="4" s="1"/>
  <c r="C21" i="17"/>
  <c r="E21" i="17" s="1"/>
  <c r="C19" i="18"/>
  <c r="E19" i="18" s="1"/>
  <c r="K42" i="4"/>
  <c r="O42" i="4" s="1"/>
  <c r="F12" i="13"/>
  <c r="H12" i="13" s="1"/>
  <c r="F12" i="15"/>
  <c r="H12" i="15"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F12" i="7"/>
  <c r="H12" i="7" s="1"/>
  <c r="F12" i="6"/>
  <c r="H12" i="6" s="1"/>
  <c r="I35" i="4"/>
  <c r="K38" i="4"/>
  <c r="O38" i="4" s="1"/>
  <c r="C18" i="18"/>
  <c r="C20" i="17"/>
  <c r="E20" i="17" s="1"/>
  <c r="K41" i="4"/>
  <c r="O41" i="4" s="1"/>
  <c r="I44" i="4"/>
  <c r="C24" i="17"/>
  <c r="E24" i="17" s="1"/>
  <c r="C22" i="18"/>
  <c r="E22" i="18" s="1"/>
  <c r="K45" i="4"/>
  <c r="O45" i="4" s="1"/>
  <c r="C26" i="17"/>
  <c r="E26" i="17" s="1"/>
  <c r="C24" i="18"/>
  <c r="E24" i="18" s="1"/>
  <c r="K47" i="4"/>
  <c r="O47" i="4" s="1"/>
  <c r="C28" i="17"/>
  <c r="E28" i="17" s="1"/>
  <c r="C26" i="18"/>
  <c r="E26" i="18" s="1"/>
  <c r="K49" i="4"/>
  <c r="O49" i="4" s="1"/>
  <c r="K8" i="4"/>
  <c r="O8" i="4" s="1"/>
  <c r="K9" i="4"/>
  <c r="O9" i="4" s="1"/>
  <c r="K10" i="4"/>
  <c r="O10" i="4" s="1"/>
  <c r="K13" i="4"/>
  <c r="O13" i="4" s="1"/>
  <c r="K22" i="4"/>
  <c r="O22" i="4" s="1"/>
  <c r="K24" i="4"/>
  <c r="O24" i="4" s="1"/>
  <c r="K26" i="4"/>
  <c r="O26" i="4" s="1"/>
  <c r="K27" i="4"/>
  <c r="O27" i="4" s="1"/>
  <c r="I34" i="4"/>
  <c r="K37" i="4"/>
  <c r="O37" i="4" s="1"/>
  <c r="I40" i="4"/>
  <c r="K51" i="4"/>
  <c r="O51" i="4" s="1"/>
  <c r="F12" i="12"/>
  <c r="H12" i="12" s="1"/>
  <c r="K20" i="4"/>
  <c r="O20" i="4" s="1"/>
  <c r="F13" i="8"/>
  <c r="H13" i="8" s="1"/>
  <c r="H14" i="11"/>
  <c r="F12" i="14"/>
  <c r="H12" i="14" s="1"/>
  <c r="F18" i="18"/>
  <c r="H18" i="18" s="1"/>
  <c r="H18" i="17"/>
  <c r="F18" i="17"/>
  <c r="F14" i="8" l="1"/>
  <c r="H14" i="8" s="1"/>
  <c r="F19" i="18"/>
  <c r="H19" i="18" s="1"/>
  <c r="C23" i="17"/>
  <c r="E23" i="17" s="1"/>
  <c r="C21" i="18"/>
  <c r="E21" i="18" s="1"/>
  <c r="K44" i="4"/>
  <c r="O44" i="4" s="1"/>
  <c r="F13" i="14"/>
  <c r="H13" i="14" s="1"/>
  <c r="H15" i="11"/>
  <c r="K35" i="4"/>
  <c r="O35" i="4" s="1"/>
  <c r="F13" i="15"/>
  <c r="H13" i="15" s="1"/>
  <c r="F19" i="17"/>
  <c r="H19" i="17" s="1"/>
  <c r="F13" i="13"/>
  <c r="H13" i="13" s="1"/>
  <c r="C19" i="17"/>
  <c r="E19" i="17" s="1"/>
  <c r="K40" i="4"/>
  <c r="O40" i="4" s="1"/>
  <c r="K34" i="4"/>
  <c r="O34" i="4" s="1"/>
  <c r="F13" i="7"/>
  <c r="H13" i="7" s="1"/>
  <c r="F13" i="6"/>
  <c r="H13" i="6" s="1"/>
  <c r="F13" i="12"/>
  <c r="H13" i="12" s="1"/>
  <c r="C22" i="17"/>
  <c r="E22" i="17" s="1"/>
  <c r="C20" i="18"/>
  <c r="E20" i="18" s="1"/>
  <c r="K43" i="4"/>
  <c r="O43" i="4" s="1"/>
  <c r="K33" i="4"/>
  <c r="O33" i="4" s="1"/>
  <c r="F14" i="12" l="1"/>
  <c r="H14" i="12" s="1"/>
  <c r="F15" i="8"/>
  <c r="H15" i="8" s="1"/>
  <c r="F14" i="7"/>
  <c r="H14" i="7" s="1"/>
  <c r="F14" i="14"/>
  <c r="H14" i="14" s="1"/>
  <c r="H16" i="11"/>
  <c r="F20" i="18"/>
  <c r="H20" i="18" s="1"/>
  <c r="F14" i="6"/>
  <c r="H14" i="6" s="1"/>
  <c r="F14" i="15"/>
  <c r="H14" i="15" s="1"/>
  <c r="F14" i="13"/>
  <c r="H14" i="13" s="1"/>
  <c r="F20" i="17"/>
  <c r="H20" i="17" s="1"/>
  <c r="F21" i="18" l="1"/>
  <c r="H21" i="18" s="1"/>
  <c r="F15" i="14"/>
  <c r="H15" i="14" s="1"/>
  <c r="F15" i="7"/>
  <c r="H15" i="7"/>
  <c r="F15" i="6"/>
  <c r="H15" i="6" s="1"/>
  <c r="H15" i="15"/>
  <c r="F15" i="15"/>
  <c r="H15" i="13"/>
  <c r="F15" i="13"/>
  <c r="F21" i="17"/>
  <c r="H21" i="17" s="1"/>
  <c r="F15" i="12"/>
  <c r="H15" i="12" s="1"/>
  <c r="F16" i="8"/>
  <c r="H16" i="8" s="1"/>
  <c r="H17" i="11"/>
  <c r="F16" i="6" l="1"/>
  <c r="H16" i="6" s="1"/>
  <c r="F22" i="18"/>
  <c r="H22" i="18" s="1"/>
  <c r="F16" i="12"/>
  <c r="H16" i="12" s="1"/>
  <c r="F22" i="17"/>
  <c r="H22" i="17" s="1"/>
  <c r="F16" i="14"/>
  <c r="H16" i="14" s="1"/>
  <c r="F16" i="13"/>
  <c r="H16" i="13" s="1"/>
  <c r="F16" i="15"/>
  <c r="H16" i="15" s="1"/>
  <c r="F16" i="7"/>
  <c r="H16" i="7" s="1"/>
  <c r="H17" i="8"/>
  <c r="F17" i="8"/>
  <c r="H18" i="11"/>
  <c r="F17" i="14" l="1"/>
  <c r="H17" i="14" s="1"/>
  <c r="F23" i="17"/>
  <c r="H23" i="17" s="1"/>
  <c r="F17" i="6"/>
  <c r="H17" i="6" s="1"/>
  <c r="F17" i="12"/>
  <c r="H17" i="12" s="1"/>
  <c r="F17" i="7"/>
  <c r="H17" i="7" s="1"/>
  <c r="F17" i="15"/>
  <c r="H17" i="15" s="1"/>
  <c r="H19" i="11"/>
  <c r="H17" i="13"/>
  <c r="F17" i="13"/>
  <c r="H23" i="18"/>
  <c r="F23" i="18"/>
  <c r="F18" i="8"/>
  <c r="H18" i="8" s="1"/>
  <c r="F18" i="15" l="1"/>
  <c r="H18" i="15" s="1"/>
  <c r="F18" i="12"/>
  <c r="H18" i="12" s="1"/>
  <c r="F19" i="8"/>
  <c r="H19" i="8" s="1"/>
  <c r="F18" i="6"/>
  <c r="H18" i="6" s="1"/>
  <c r="F24" i="17"/>
  <c r="H24" i="17" s="1"/>
  <c r="F18" i="13"/>
  <c r="H18" i="13" s="1"/>
  <c r="H20" i="11"/>
  <c r="F18" i="14"/>
  <c r="H18" i="14" s="1"/>
  <c r="F24" i="18"/>
  <c r="H24" i="18" s="1"/>
  <c r="F18" i="7"/>
  <c r="H18" i="7" s="1"/>
  <c r="F25" i="18" l="1"/>
  <c r="H25" i="18" s="1"/>
  <c r="F20" i="8"/>
  <c r="H20" i="8" s="1"/>
  <c r="F19" i="7"/>
  <c r="H19" i="7" s="1"/>
  <c r="F19" i="13"/>
  <c r="H19" i="13" s="1"/>
  <c r="F19" i="15"/>
  <c r="H19" i="15" s="1"/>
  <c r="F19" i="14"/>
  <c r="H19" i="14" s="1"/>
  <c r="F19" i="12"/>
  <c r="H19" i="12" s="1"/>
  <c r="F19" i="6"/>
  <c r="H19" i="6" s="1"/>
  <c r="F25" i="17"/>
  <c r="H25" i="17" s="1"/>
  <c r="F21" i="8" l="1"/>
  <c r="H21" i="8" s="1"/>
  <c r="F26" i="17"/>
  <c r="H26" i="17" s="1"/>
  <c r="F20" i="6"/>
  <c r="H20" i="6" s="1"/>
  <c r="F20" i="13"/>
  <c r="H20" i="13" s="1"/>
  <c r="F26" i="18"/>
  <c r="F20" i="7"/>
  <c r="H20" i="7" s="1"/>
  <c r="F20" i="12"/>
  <c r="H20" i="12" s="1"/>
  <c r="F20" i="14"/>
  <c r="H20" i="14" s="1"/>
  <c r="F20" i="15"/>
  <c r="H20" i="15" s="1"/>
  <c r="F21" i="7" l="1"/>
  <c r="H21" i="7" s="1"/>
  <c r="F22" i="8"/>
  <c r="H21" i="14"/>
  <c r="F21" i="14"/>
  <c r="F21" i="12"/>
  <c r="H21" i="12" s="1"/>
  <c r="F21" i="13"/>
  <c r="H21" i="13" s="1"/>
  <c r="F21" i="6"/>
  <c r="H21" i="6" s="1"/>
  <c r="F27" i="17"/>
  <c r="H27" i="17" s="1"/>
  <c r="F21" i="15"/>
  <c r="H21" i="15" s="1"/>
  <c r="H26" i="18"/>
  <c r="F22" i="15" l="1"/>
  <c r="H22" i="15" s="1"/>
  <c r="F22" i="13"/>
  <c r="H22" i="13" s="1"/>
  <c r="F22" i="12"/>
  <c r="H22" i="12" s="1"/>
  <c r="F22" i="7"/>
  <c r="H22" i="7"/>
  <c r="F22" i="6"/>
  <c r="H22" i="6" s="1"/>
  <c r="F28" i="17"/>
  <c r="H22" i="8"/>
  <c r="F22" i="14"/>
  <c r="H22" i="14" s="1"/>
  <c r="F23" i="12" l="1"/>
  <c r="H23" i="12" s="1"/>
  <c r="F23" i="13"/>
  <c r="H23" i="13" s="1"/>
  <c r="F23" i="6"/>
  <c r="H23" i="6" s="1"/>
  <c r="F23" i="15"/>
  <c r="H23" i="15" s="1"/>
  <c r="H28" i="17"/>
  <c r="F23" i="7"/>
  <c r="H23" i="7" s="1"/>
  <c r="H23" i="14"/>
  <c r="F23" i="14"/>
  <c r="H24" i="12" l="1"/>
  <c r="H24" i="14"/>
  <c r="H24" i="7"/>
  <c r="H24" i="6"/>
  <c r="H24" i="13"/>
  <c r="H24" i="15"/>
  <c r="F25" i="13" l="1"/>
  <c r="H25" i="13" s="1"/>
  <c r="F25" i="6"/>
  <c r="H25" i="6" s="1"/>
  <c r="F25" i="14"/>
  <c r="H25" i="14" s="1"/>
  <c r="F25" i="7"/>
  <c r="H25" i="7"/>
  <c r="F25" i="15"/>
  <c r="H25" i="15" s="1"/>
  <c r="F25" i="12"/>
  <c r="H25" i="12" s="1"/>
  <c r="F26" i="14" l="1"/>
  <c r="H26" i="14" s="1"/>
  <c r="H26" i="6"/>
  <c r="F26" i="6"/>
  <c r="F26" i="12"/>
  <c r="H26" i="12" s="1"/>
  <c r="F26" i="15"/>
  <c r="H26" i="15" s="1"/>
  <c r="F26" i="13"/>
  <c r="H26" i="13" s="1"/>
  <c r="F26" i="7"/>
  <c r="H26" i="7" s="1"/>
  <c r="F27" i="7" l="1"/>
  <c r="H27" i="7" s="1"/>
  <c r="F27" i="14"/>
  <c r="H27" i="14" s="1"/>
  <c r="F27" i="15"/>
  <c r="H27" i="15" s="1"/>
  <c r="F27" i="6"/>
  <c r="H27" i="6" s="1"/>
  <c r="F27" i="13"/>
  <c r="H27" i="13" s="1"/>
  <c r="F27" i="12"/>
  <c r="H27" i="12" s="1"/>
  <c r="F28" i="12" l="1"/>
  <c r="H28" i="12" s="1"/>
  <c r="H28" i="7"/>
  <c r="F28" i="7"/>
  <c r="F28" i="15"/>
  <c r="H28" i="15" s="1"/>
  <c r="F28" i="6"/>
  <c r="H28" i="6" s="1"/>
  <c r="F28" i="14"/>
  <c r="H28" i="14" s="1"/>
  <c r="F28" i="13"/>
  <c r="H28" i="13" s="1"/>
  <c r="F29" i="13" l="1"/>
  <c r="H29" i="13" s="1"/>
  <c r="F29" i="6"/>
  <c r="H29" i="6" s="1"/>
  <c r="F29" i="15"/>
  <c r="H29" i="15" s="1"/>
  <c r="F29" i="12"/>
  <c r="H29" i="12" s="1"/>
  <c r="F29" i="7"/>
  <c r="H29" i="7" s="1"/>
  <c r="F29" i="14"/>
  <c r="H29" i="14" s="1"/>
  <c r="F30" i="7" l="1"/>
  <c r="H30" i="7" s="1"/>
  <c r="F30" i="14"/>
  <c r="H30" i="14" s="1"/>
  <c r="F30" i="13"/>
  <c r="H30" i="13" s="1"/>
  <c r="F30" i="12"/>
  <c r="H30" i="12" s="1"/>
  <c r="F30" i="6"/>
  <c r="H30" i="6" s="1"/>
  <c r="F30" i="15"/>
  <c r="H30" i="15" s="1"/>
  <c r="F31" i="7" l="1"/>
  <c r="H31" i="7" s="1"/>
  <c r="F31" i="6"/>
  <c r="H31" i="6" s="1"/>
  <c r="F31" i="12"/>
  <c r="H31" i="12" s="1"/>
  <c r="F31" i="15"/>
  <c r="H31" i="15"/>
  <c r="F31" i="13"/>
  <c r="H31" i="13" s="1"/>
  <c r="H31" i="14"/>
  <c r="F31" i="14"/>
  <c r="F32" i="6" l="1"/>
  <c r="H32" i="6" s="1"/>
  <c r="F32" i="7"/>
  <c r="H32" i="7" s="1"/>
  <c r="F32" i="14"/>
  <c r="H32" i="14" s="1"/>
  <c r="F32" i="15"/>
  <c r="H32" i="15"/>
  <c r="F32" i="13"/>
  <c r="H32" i="13" s="1"/>
  <c r="F32" i="12"/>
  <c r="H32" i="12" s="1"/>
  <c r="F33" i="7" l="1"/>
  <c r="H33" i="7" s="1"/>
  <c r="F33" i="14"/>
  <c r="H33" i="14" s="1"/>
  <c r="F33" i="6"/>
  <c r="H33" i="6" s="1"/>
  <c r="F33" i="12"/>
  <c r="H33" i="12"/>
  <c r="F33" i="15"/>
  <c r="H33" i="15"/>
  <c r="F33" i="13"/>
  <c r="H33" i="13" s="1"/>
  <c r="F34" i="7" l="1"/>
  <c r="H34" i="7" s="1"/>
  <c r="F34" i="6"/>
  <c r="H34" i="6" s="1"/>
  <c r="F34" i="13"/>
  <c r="H34" i="13"/>
  <c r="H34" i="14"/>
  <c r="F34" i="14"/>
  <c r="F34" i="15"/>
  <c r="H34" i="15" s="1"/>
  <c r="F34" i="12"/>
  <c r="H34" i="12" s="1"/>
  <c r="F35" i="15" l="1"/>
  <c r="H35" i="15" s="1"/>
  <c r="H35" i="7"/>
  <c r="H35" i="6"/>
  <c r="F35" i="12"/>
  <c r="H35" i="12" s="1"/>
  <c r="F35" i="13"/>
  <c r="H35" i="13" s="1"/>
  <c r="F35" i="14"/>
  <c r="H35" i="14" s="1"/>
  <c r="F36" i="14" l="1"/>
  <c r="H36" i="14" s="1"/>
  <c r="F36" i="13"/>
  <c r="H36" i="13" s="1"/>
  <c r="F36" i="12"/>
  <c r="H36" i="12"/>
  <c r="F36" i="15"/>
  <c r="H36" i="15" s="1"/>
  <c r="F36" i="6"/>
  <c r="H36" i="6"/>
  <c r="F36" i="7"/>
  <c r="H36" i="7" s="1"/>
  <c r="F37" i="7" l="1"/>
  <c r="H37" i="7" s="1"/>
  <c r="F37" i="15"/>
  <c r="H37" i="15" s="1"/>
  <c r="F37" i="13"/>
  <c r="H37" i="13" s="1"/>
  <c r="F37" i="14"/>
  <c r="H37" i="14" s="1"/>
  <c r="F37" i="12"/>
  <c r="H37" i="12"/>
  <c r="F37" i="6"/>
  <c r="H37" i="6" s="1"/>
  <c r="H38" i="13" l="1"/>
  <c r="F38" i="7"/>
  <c r="H38" i="7" s="1"/>
  <c r="H38" i="14"/>
  <c r="F38" i="6"/>
  <c r="H38" i="6" s="1"/>
  <c r="H38" i="15"/>
  <c r="H38" i="12"/>
  <c r="F39" i="12" l="1"/>
  <c r="H39" i="12" s="1"/>
  <c r="F39" i="14"/>
  <c r="H39" i="14"/>
  <c r="F39" i="13"/>
  <c r="H39" i="13" s="1"/>
  <c r="F39" i="6"/>
  <c r="H39" i="6" s="1"/>
  <c r="F39" i="7"/>
  <c r="H39" i="7" s="1"/>
  <c r="F39" i="15"/>
  <c r="H39" i="15" s="1"/>
  <c r="F40" i="15" l="1"/>
  <c r="H40" i="15" s="1"/>
  <c r="F40" i="7"/>
  <c r="H40" i="7" s="1"/>
  <c r="F40" i="13"/>
  <c r="H40" i="13" s="1"/>
  <c r="F40" i="12"/>
  <c r="H40" i="12" s="1"/>
  <c r="F40" i="14"/>
  <c r="H40" i="14" s="1"/>
  <c r="F40" i="6"/>
  <c r="H40" i="6" s="1"/>
  <c r="F41" i="6" l="1"/>
  <c r="H41" i="6" s="1"/>
  <c r="F41" i="14"/>
  <c r="H41" i="14" s="1"/>
  <c r="F41" i="12"/>
  <c r="H41" i="12" s="1"/>
  <c r="F41" i="15"/>
  <c r="H41" i="15" s="1"/>
  <c r="F41" i="13"/>
  <c r="H41" i="13" s="1"/>
  <c r="F41" i="7"/>
  <c r="H41" i="7" s="1"/>
  <c r="F42" i="15" l="1"/>
  <c r="H42" i="15" s="1"/>
  <c r="F42" i="7"/>
  <c r="H42" i="7" s="1"/>
  <c r="F42" i="14"/>
  <c r="H42" i="14" s="1"/>
  <c r="F42" i="6"/>
  <c r="H42" i="6" s="1"/>
  <c r="F42" i="12"/>
  <c r="H42" i="12" s="1"/>
  <c r="F42" i="13"/>
  <c r="H42" i="13" s="1"/>
  <c r="F43" i="15" l="1"/>
  <c r="H43" i="15" s="1"/>
  <c r="F43" i="13"/>
  <c r="H43" i="13" s="1"/>
  <c r="F43" i="6"/>
  <c r="H43" i="6" s="1"/>
  <c r="F43" i="7"/>
  <c r="H43" i="7" s="1"/>
  <c r="H43" i="12"/>
  <c r="F43" i="12"/>
  <c r="F43" i="14"/>
  <c r="H43" i="14"/>
  <c r="F44" i="6" l="1"/>
  <c r="H44" i="6" s="1"/>
  <c r="F44" i="7"/>
  <c r="H44" i="7" s="1"/>
  <c r="F44" i="14"/>
  <c r="H44" i="14" s="1"/>
  <c r="F44" i="13"/>
  <c r="H44" i="13" s="1"/>
  <c r="F44" i="12"/>
  <c r="H44" i="12" s="1"/>
  <c r="F44" i="15"/>
  <c r="H44" i="15" s="1"/>
  <c r="F45" i="12" l="1"/>
  <c r="H45" i="12" s="1"/>
  <c r="F45" i="15"/>
  <c r="H45" i="15" s="1"/>
  <c r="F45" i="13"/>
  <c r="H45" i="13" s="1"/>
  <c r="F45" i="7"/>
  <c r="H45" i="7" s="1"/>
  <c r="F45" i="14"/>
  <c r="H45" i="14" s="1"/>
  <c r="F45" i="6"/>
  <c r="H45" i="6" s="1"/>
  <c r="F46" i="14" l="1"/>
  <c r="H46" i="14" s="1"/>
  <c r="F46" i="6"/>
  <c r="H46" i="6" s="1"/>
  <c r="F46" i="7"/>
  <c r="H46" i="7" s="1"/>
  <c r="F46" i="13"/>
  <c r="H46" i="13" s="1"/>
  <c r="F46" i="12"/>
  <c r="H46" i="12" s="1"/>
  <c r="F46" i="15"/>
  <c r="H46" i="15" s="1"/>
  <c r="F47" i="15" l="1"/>
  <c r="H47" i="15" s="1"/>
  <c r="F47" i="6"/>
  <c r="H47" i="6" s="1"/>
  <c r="F47" i="14"/>
  <c r="H47" i="14" s="1"/>
  <c r="H47" i="7"/>
  <c r="F47" i="7"/>
  <c r="F47" i="12"/>
  <c r="H47" i="12" s="1"/>
  <c r="F47" i="13"/>
  <c r="H47" i="13" s="1"/>
  <c r="H48" i="6" l="1"/>
  <c r="F48" i="14"/>
  <c r="H48" i="14" s="1"/>
  <c r="F48" i="13"/>
  <c r="H48" i="13" s="1"/>
  <c r="F48" i="15"/>
  <c r="H48" i="15" s="1"/>
  <c r="F48" i="12"/>
  <c r="H48" i="12" s="1"/>
  <c r="H48" i="7"/>
  <c r="F49" i="12" l="1"/>
  <c r="H49" i="12" s="1"/>
  <c r="F49" i="15"/>
  <c r="H49" i="15" s="1"/>
  <c r="F49" i="14"/>
  <c r="H49" i="14" s="1"/>
  <c r="F49" i="7"/>
  <c r="H49" i="7" s="1"/>
  <c r="F49" i="13"/>
  <c r="H49" i="13" s="1"/>
  <c r="F49" i="6"/>
  <c r="H49" i="6" s="1"/>
  <c r="H50" i="15" l="1"/>
  <c r="F50" i="7"/>
  <c r="H50" i="7" s="1"/>
  <c r="H50" i="13"/>
  <c r="F50" i="6"/>
  <c r="H50" i="6" s="1"/>
  <c r="H50" i="14"/>
  <c r="H50" i="12"/>
  <c r="F51" i="6" l="1"/>
  <c r="H51" i="6" s="1"/>
  <c r="F51" i="7"/>
  <c r="H51" i="7" s="1"/>
  <c r="F51" i="13"/>
  <c r="H51" i="13"/>
  <c r="F51" i="14"/>
  <c r="H51" i="14" s="1"/>
  <c r="F51" i="12"/>
  <c r="H51" i="12" s="1"/>
  <c r="F51" i="15"/>
  <c r="H51" i="15" s="1"/>
  <c r="F52" i="12" l="1"/>
  <c r="H52" i="12" s="1"/>
  <c r="F52" i="14"/>
  <c r="H52" i="14" s="1"/>
  <c r="H52" i="15"/>
  <c r="F52" i="15"/>
  <c r="F52" i="13"/>
  <c r="H52" i="13" s="1"/>
  <c r="F52" i="6"/>
  <c r="H52" i="6" s="1"/>
  <c r="H52" i="7"/>
  <c r="F52" i="7"/>
  <c r="F53" i="6" l="1"/>
  <c r="H53" i="6" s="1"/>
  <c r="F53" i="13"/>
  <c r="H53" i="13" s="1"/>
  <c r="F53" i="12"/>
  <c r="H53" i="12" s="1"/>
  <c r="F53" i="14"/>
  <c r="H53" i="14" s="1"/>
  <c r="F53" i="15"/>
  <c r="H53" i="15" s="1"/>
  <c r="F53" i="7"/>
  <c r="H53" i="7" s="1"/>
  <c r="F54" i="7" l="1"/>
  <c r="H54" i="7" s="1"/>
  <c r="F54" i="13"/>
  <c r="H54" i="13" s="1"/>
  <c r="F54" i="6"/>
  <c r="H54" i="6" s="1"/>
  <c r="F54" i="14"/>
  <c r="H54" i="14" s="1"/>
  <c r="F54" i="15"/>
  <c r="H54" i="15" s="1"/>
  <c r="F54" i="12"/>
  <c r="H54" i="12" s="1"/>
  <c r="F55" i="15" l="1"/>
  <c r="H55" i="15" s="1"/>
  <c r="H55" i="12"/>
  <c r="F55" i="12"/>
  <c r="F55" i="14"/>
  <c r="H55" i="14" s="1"/>
  <c r="F55" i="7"/>
  <c r="H55" i="7" s="1"/>
  <c r="F55" i="6"/>
  <c r="H55" i="6"/>
  <c r="F55" i="13"/>
  <c r="H55" i="13" s="1"/>
  <c r="F56" i="15" l="1"/>
  <c r="H56" i="15" s="1"/>
  <c r="H56" i="7"/>
  <c r="F56" i="7"/>
  <c r="F56" i="13"/>
  <c r="H56" i="13" s="1"/>
  <c r="F56" i="6"/>
  <c r="H56" i="6" s="1"/>
  <c r="F56" i="12"/>
  <c r="H56" i="12" s="1"/>
  <c r="F56" i="14"/>
  <c r="H56" i="14" s="1"/>
  <c r="F57" i="12" l="1"/>
  <c r="H57" i="12" s="1"/>
  <c r="H57" i="15"/>
  <c r="F57" i="15"/>
  <c r="F57" i="14"/>
  <c r="H57" i="14" s="1"/>
  <c r="F57" i="6"/>
  <c r="H57" i="6" s="1"/>
  <c r="F57" i="13"/>
  <c r="H57" i="13" s="1"/>
  <c r="F57" i="7"/>
  <c r="H57" i="7" s="1"/>
  <c r="F58" i="13" l="1"/>
  <c r="H58" i="13" s="1"/>
  <c r="H58" i="12"/>
  <c r="F58" i="12"/>
  <c r="F58" i="7"/>
  <c r="H58" i="7" s="1"/>
  <c r="F58" i="14"/>
  <c r="H58" i="14" s="1"/>
  <c r="F58" i="15"/>
  <c r="H58" i="15" s="1"/>
  <c r="F58" i="6"/>
  <c r="H58" i="6" s="1"/>
  <c r="F59" i="7" l="1"/>
  <c r="F59" i="15"/>
  <c r="F59" i="13"/>
  <c r="F59" i="6"/>
  <c r="H59" i="6" s="1"/>
  <c r="H59" i="14"/>
  <c r="F59" i="14"/>
  <c r="F59" i="12"/>
  <c r="H59" i="12" l="1"/>
  <c r="H59" i="15"/>
  <c r="H59" i="13"/>
  <c r="H59" i="7"/>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<sst xmlns="http://schemas.openxmlformats.org/spreadsheetml/2006/main" count="375" uniqueCount="129">
  <si>
    <t>N/A</t>
  </si>
  <si>
    <t>47WA.6011.28051</t>
  </si>
  <si>
    <t>Residential [4800]</t>
  </si>
  <si>
    <t>47WA.2530.01253</t>
  </si>
  <si>
    <t>47WA.2530.01254</t>
  </si>
  <si>
    <t>Commercial [4810]</t>
  </si>
  <si>
    <t>Industrial [4809]</t>
  </si>
  <si>
    <t xml:space="preserve"> </t>
  </si>
  <si>
    <t>47WA.2530.01286</t>
  </si>
  <si>
    <t>Total</t>
  </si>
  <si>
    <t>47WA.1862.20430</t>
  </si>
  <si>
    <t>47WA.1862.20431</t>
  </si>
  <si>
    <t>47WA.1862.20444</t>
  </si>
  <si>
    <t>47WA.1862.20449</t>
  </si>
  <si>
    <t>47WA.1862.20478</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</si>
  <si>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</si>
  <si>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</si>
  <si>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</si>
  <si>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</si>
  <si>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</si>
  <si>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</si>
  <si>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</si>
  <si>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</si>
  <si>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</si>
  <si>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</si>
  <si>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</si>
  <si>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</si>
  <si>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</si>
  <si>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</si>
  <si>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</si>
  <si>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</si>
  <si>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</si>
  <si>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</si>
  <si>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</si>
  <si>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</si>
  <si>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</si>
  <si>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</si>
  <si>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</si>
  <si>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</si>
  <si>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</si>
  <si>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</si>
  <si>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Total Firm</t>
  </si>
  <si>
    <t>Industrial/ Small Commercial [4811]</t>
  </si>
  <si>
    <t>Institutional [4813]</t>
  </si>
  <si>
    <t>Total Interruptible</t>
  </si>
  <si>
    <t>Schedules</t>
  </si>
  <si>
    <t>Therms</t>
  </si>
  <si>
    <t>NET NONCORE</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</si>
  <si>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</si>
  <si>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</si>
  <si>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</si>
  <si>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</si>
  <si>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</si>
  <si>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</si>
  <si>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</si>
  <si>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</si>
  <si>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</si>
  <si>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</si>
  <si>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</si>
  <si>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</si>
  <si>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</si>
  <si>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</si>
  <si>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</si>
  <si>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</si>
  <si>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</si>
  <si>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</si>
  <si>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</si>
  <si>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</si>
  <si>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</si>
  <si>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</si>
  <si>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</si>
  <si>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</si>
  <si>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</si>
  <si>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</si>
  <si>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</si>
  <si>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</si>
  <si>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12/31/2016</t>
  </si>
  <si>
    <t>n/a</t>
  </si>
  <si>
    <t>To record deferral activity for the Washington Decoupling Mechanism (Rule 21)</t>
  </si>
  <si>
    <t>Balance forward 08/31/2016</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</si>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</sst>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409]mmm\-yy;@"/>
    <numFmt numFmtId="165" formatCode="_(* #,##0_);_(* \(#,##0\);_(* &quot;-&quot;??_);_(@_)"/>
    <numFmt numFmtId="166" formatCode="mm/dd/yy;@"/>
    <numFmt numFmtId="167" formatCode="m/d/yy;@"/>
    <numFmt numFmtId="168" formatCode="#,##0.00000_);\(#,##0.00000\)"/>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amily val="2"/>
    </font>
    <font>
      <b/>
      <sz val="10"/>
      <name val="Arial"/>
      <family val="2"/>
    </font>
    <font>
      <u/>
      <sz val="11"/>
      <name val="Arial"/>
      <family val="2"/>
    </font>
    <font>
      <sz val="11"/>
      <name val="Arial"/>
      <family val="2"/>
    </font>
    <font>
      <u/>
      <sz val="10"/>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23" fillId="0" borderId="0"/>
  </cellStyleXfs>
  <cellXfs count="232">
    <xf numFmtId="39" fontId="0" fillId="0" borderId="0" xfId="0"/>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7" fontId="10" fillId="0" borderId="16" xfId="0" applyNumberFormat="1" applyFont="1" applyBorder="1" applyAlignment="1" applyProtection="1">
      <alignment horizontal="center" wrapText="1"/>
    </xf>
    <xf numFmtId="39" fontId="10" fillId="0" borderId="17" xfId="0" applyNumberFormat="1" applyFont="1" applyBorder="1" applyAlignment="1" applyProtection="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7" fontId="9" fillId="0" borderId="21" xfId="0" applyNumberFormat="1"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7" fontId="9" fillId="0" borderId="9" xfId="0" applyNumberFormat="1" applyFont="1" applyBorder="1"/>
    <xf numFmtId="165" fontId="9" fillId="0" borderId="2" xfId="1" applyNumberFormat="1" applyFont="1" applyBorder="1"/>
    <xf numFmtId="37" fontId="9" fillId="0" borderId="20"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21"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6"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7" fontId="4" fillId="0" borderId="0" xfId="0" applyNumberFormat="1" applyFont="1" applyBorder="1"/>
    <xf numFmtId="168"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7" fontId="4" fillId="0" borderId="0" xfId="0" applyNumberFormat="1" applyFont="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0" fontId="23" fillId="0" borderId="0" xfId="9"/>
    <xf numFmtId="0" fontId="26" fillId="0" borderId="0" xfId="9" applyFont="1" applyFill="1" applyAlignment="1">
      <alignment horizontal="left" indent="1"/>
    </xf>
    <xf numFmtId="0" fontId="2" fillId="0" borderId="0" xfId="9" applyFont="1" applyFill="1"/>
    <xf numFmtId="0" fontId="23" fillId="0" borderId="0" xfId="9" applyFill="1"/>
    <xf numFmtId="0" fontId="7" fillId="0" borderId="0" xfId="9" applyFont="1" applyFill="1" applyAlignment="1"/>
    <xf numFmtId="0" fontId="7" fillId="0" borderId="0" xfId="9" applyFont="1" applyFill="1" applyAlignment="1">
      <alignment horizontal="right"/>
    </xf>
    <xf numFmtId="0" fontId="24" fillId="0" borderId="0" xfId="9" applyFont="1" applyFill="1" applyAlignment="1">
      <alignment horizontal="center" vertical="center"/>
    </xf>
    <xf numFmtId="0" fontId="7" fillId="0" borderId="0" xfId="9" applyFont="1" applyFill="1"/>
    <xf numFmtId="170" fontId="7" fillId="0" borderId="0" xfId="9" applyNumberFormat="1" applyFont="1" applyFill="1" applyBorder="1" applyAlignment="1">
      <alignment horizontal="left"/>
    </xf>
    <xf numFmtId="170" fontId="7" fillId="0" borderId="0" xfId="9" applyNumberFormat="1" applyFont="1" applyFill="1" applyBorder="1" applyAlignment="1"/>
    <xf numFmtId="0" fontId="23" fillId="0" borderId="14" xfId="9" applyFill="1" applyBorder="1" applyAlignment="1">
      <alignment horizontal="center"/>
    </xf>
    <xf numFmtId="0" fontId="23" fillId="0" borderId="2" xfId="9" applyFill="1" applyBorder="1" applyAlignment="1">
      <alignment horizontal="center"/>
    </xf>
    <xf numFmtId="0" fontId="24" fillId="0" borderId="0" xfId="9" applyFont="1" applyFill="1" applyBorder="1"/>
    <xf numFmtId="0" fontId="25" fillId="0" borderId="0" xfId="9" applyFont="1" applyFill="1" applyBorder="1" applyAlignment="1">
      <alignment horizontal="center"/>
    </xf>
    <xf numFmtId="0" fontId="25" fillId="0" borderId="29" xfId="9" applyFont="1" applyFill="1" applyBorder="1" applyAlignment="1">
      <alignment horizontal="center"/>
    </xf>
    <xf numFmtId="0" fontId="26" fillId="0" borderId="2" xfId="9" applyFont="1" applyFill="1" applyBorder="1"/>
    <xf numFmtId="0" fontId="24" fillId="0" borderId="2" xfId="9" applyFont="1" applyFill="1" applyBorder="1"/>
    <xf numFmtId="0" fontId="26" fillId="0" borderId="2" xfId="9" applyFont="1" applyFill="1" applyBorder="1" applyAlignment="1">
      <alignment horizontal="center"/>
    </xf>
    <xf numFmtId="0" fontId="26" fillId="0" borderId="30" xfId="9" applyFont="1" applyFill="1" applyBorder="1" applyAlignment="1">
      <alignment horizontal="center"/>
    </xf>
    <xf numFmtId="0" fontId="27" fillId="0" borderId="0" xfId="9" applyFont="1" applyFill="1" applyAlignment="1">
      <alignment horizontal="center"/>
    </xf>
    <xf numFmtId="0" fontId="27" fillId="0" borderId="29" xfId="9" applyFont="1" applyFill="1" applyBorder="1" applyAlignment="1">
      <alignment horizontal="center"/>
    </xf>
    <xf numFmtId="44" fontId="26" fillId="0" borderId="0" xfId="9" applyNumberFormat="1" applyFont="1" applyFill="1" applyBorder="1" applyAlignment="1">
      <alignment horizontal="center"/>
    </xf>
    <xf numFmtId="44" fontId="26" fillId="0" borderId="29" xfId="9" applyNumberFormat="1" applyFont="1" applyFill="1" applyBorder="1" applyAlignment="1">
      <alignment horizontal="center"/>
    </xf>
    <xf numFmtId="44" fontId="26" fillId="0" borderId="2" xfId="9" applyNumberFormat="1" applyFont="1" applyFill="1" applyBorder="1"/>
    <xf numFmtId="44" fontId="26" fillId="0" borderId="2" xfId="4" applyFont="1" applyFill="1" applyBorder="1"/>
    <xf numFmtId="44" fontId="26" fillId="0" borderId="30" xfId="4" applyFont="1" applyFill="1" applyBorder="1"/>
    <xf numFmtId="44" fontId="26" fillId="0" borderId="0" xfId="4" applyFont="1" applyFill="1"/>
    <xf numFmtId="44" fontId="26" fillId="0" borderId="31" xfId="4" applyFont="1" applyFill="1" applyBorder="1"/>
    <xf numFmtId="44" fontId="26" fillId="0" borderId="1" xfId="4" applyFont="1" applyFill="1" applyBorder="1"/>
    <xf numFmtId="0" fontId="26" fillId="0" borderId="1" xfId="4" applyNumberFormat="1" applyFont="1" applyFill="1" applyBorder="1" applyAlignment="1">
      <alignment horizontal="left"/>
    </xf>
    <xf numFmtId="0" fontId="26" fillId="0" borderId="2" xfId="9" applyFont="1" applyFill="1" applyBorder="1" applyAlignment="1">
      <alignment horizontal="left" indent="1"/>
    </xf>
    <xf numFmtId="0" fontId="2" fillId="0" borderId="2" xfId="9" applyFont="1" applyFill="1" applyBorder="1"/>
    <xf numFmtId="44" fontId="26" fillId="0" borderId="29" xfId="4" applyFont="1" applyFill="1" applyBorder="1"/>
    <xf numFmtId="44" fontId="26" fillId="0" borderId="0" xfId="9" applyNumberFormat="1" applyFont="1" applyFill="1"/>
    <xf numFmtId="0" fontId="28" fillId="0" borderId="17" xfId="9" applyFont="1" applyFill="1" applyBorder="1" applyAlignment="1">
      <alignment horizontal="left" indent="1"/>
    </xf>
    <xf numFmtId="0" fontId="24" fillId="0" borderId="17" xfId="9" applyFont="1" applyFill="1" applyBorder="1"/>
    <xf numFmtId="44" fontId="28" fillId="0" borderId="17" xfId="9" applyNumberFormat="1" applyFont="1" applyFill="1" applyBorder="1"/>
    <xf numFmtId="44" fontId="28" fillId="0" borderId="32" xfId="9" applyNumberFormat="1" applyFont="1" applyFill="1" applyBorder="1"/>
    <xf numFmtId="0" fontId="26" fillId="0" borderId="0" xfId="9" applyFont="1" applyFill="1"/>
    <xf numFmtId="0" fontId="26" fillId="0" borderId="29" xfId="9" applyFont="1" applyFill="1" applyBorder="1"/>
    <xf numFmtId="0" fontId="26" fillId="0" borderId="1" xfId="9" applyFont="1" applyFill="1" applyBorder="1"/>
    <xf numFmtId="165" fontId="2" fillId="0" borderId="0" xfId="5" applyNumberFormat="1" applyFont="1" applyFill="1"/>
    <xf numFmtId="44" fontId="26" fillId="0" borderId="0" xfId="9" applyNumberFormat="1" applyFont="1" applyFill="1" applyAlignment="1">
      <alignment horizontal="center"/>
    </xf>
    <xf numFmtId="44" fontId="26" fillId="0" borderId="1" xfId="9" applyNumberFormat="1" applyFont="1" applyFill="1" applyBorder="1" applyAlignment="1">
      <alignment horizontal="left"/>
    </xf>
    <xf numFmtId="44" fontId="29" fillId="0" borderId="29" xfId="9" applyNumberFormat="1" applyFont="1" applyFill="1" applyBorder="1" applyAlignment="1">
      <alignment horizontal="center"/>
    </xf>
    <xf numFmtId="0" fontId="29" fillId="0" borderId="0" xfId="9" applyFont="1" applyFill="1" applyAlignment="1">
      <alignment horizontal="center"/>
    </xf>
    <xf numFmtId="49" fontId="25" fillId="0" borderId="0" xfId="9" applyNumberFormat="1" applyFont="1" applyFill="1" applyAlignment="1">
      <alignment horizontal="center"/>
    </xf>
    <xf numFmtId="49" fontId="25" fillId="0" borderId="29" xfId="9" applyNumberFormat="1" applyFont="1" applyFill="1" applyBorder="1" applyAlignment="1">
      <alignment horizontal="center"/>
    </xf>
    <xf numFmtId="44" fontId="26" fillId="0" borderId="29" xfId="9" applyNumberFormat="1" applyFont="1" applyFill="1" applyBorder="1"/>
    <xf numFmtId="44" fontId="26" fillId="0" borderId="0" xfId="9" applyNumberFormat="1" applyFont="1" applyFill="1" applyAlignment="1">
      <alignment horizontal="right"/>
    </xf>
    <xf numFmtId="0" fontId="26" fillId="0" borderId="0" xfId="9" applyFont="1" applyFill="1" applyAlignment="1">
      <alignment horizontal="right"/>
    </xf>
    <xf numFmtId="0" fontId="29" fillId="0" borderId="33" xfId="9" applyFont="1" applyFill="1" applyBorder="1" applyAlignment="1">
      <alignment horizontal="center"/>
    </xf>
    <xf numFmtId="0" fontId="2" fillId="0" borderId="0" xfId="9" applyFont="1" applyFill="1" applyBorder="1"/>
    <xf numFmtId="44" fontId="23" fillId="0" borderId="0" xfId="9" applyNumberFormat="1" applyFill="1"/>
    <xf numFmtId="0" fontId="23" fillId="0" borderId="0" xfId="9" applyFill="1" applyAlignment="1">
      <alignment horizontal="center"/>
    </xf>
    <xf numFmtId="165" fontId="30" fillId="0" borderId="0" xfId="5" applyNumberFormat="1" applyFont="1" applyFill="1"/>
    <xf numFmtId="44" fontId="26" fillId="0" borderId="0" xfId="4" applyFont="1" applyFill="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19"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21"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21" xfId="0" applyNumberFormat="1" applyFont="1" applyFill="1" applyBorder="1" applyAlignment="1" applyProtection="1">
      <alignment horizontal="left"/>
      <protection locked="0"/>
    </xf>
    <xf numFmtId="39" fontId="4" fillId="0" borderId="0" xfId="0" applyFont="1" applyBorder="1" applyAlignment="1">
      <alignment horizontal="right"/>
    </xf>
    <xf numFmtId="39" fontId="4" fillId="0" borderId="22" xfId="0" applyFont="1" applyBorder="1" applyAlignment="1">
      <alignment horizontal="left" vertical="top"/>
    </xf>
    <xf numFmtId="39" fontId="4" fillId="0" borderId="23" xfId="0" applyFont="1" applyBorder="1" applyAlignment="1">
      <alignment horizontal="left" vertical="top"/>
    </xf>
    <xf numFmtId="39" fontId="4" fillId="0" borderId="23" xfId="0" applyFont="1" applyBorder="1" applyAlignment="1">
      <alignment horizontal="left" vertical="top" wrapText="1"/>
    </xf>
    <xf numFmtId="39" fontId="4" fillId="0" borderId="24"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13"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3" fillId="0" borderId="2" xfId="9"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19"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3" fillId="0" borderId="10" xfId="0" applyFont="1" applyBorder="1" applyAlignment="1">
      <alignment horizontal="left"/>
    </xf>
    <xf numFmtId="39" fontId="3" fillId="0" borderId="11" xfId="0" applyFont="1" applyBorder="1" applyAlignment="1">
      <alignment horizontal="left"/>
    </xf>
    <xf numFmtId="39" fontId="3" fillId="0" borderId="12" xfId="0" applyFont="1" applyBorder="1" applyAlignment="1">
      <alignment horizontal="left"/>
    </xf>
    <xf numFmtId="39" fontId="3" fillId="0" borderId="13" xfId="0" applyFont="1" applyBorder="1" applyAlignment="1">
      <alignment horizontal="left"/>
    </xf>
    <xf numFmtId="39" fontId="3" fillId="0" borderId="14" xfId="0" applyFont="1" applyBorder="1" applyAlignment="1">
      <alignment horizontal="left"/>
    </xf>
    <xf numFmtId="39" fontId="3" fillId="0" borderId="15" xfId="0" applyFont="1" applyBorder="1" applyAlignment="1">
      <alignment horizontal="left"/>
    </xf>
    <xf numFmtId="39" fontId="6" fillId="0" borderId="5"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16" xfId="0" applyNumberFormat="1" applyFont="1" applyBorder="1" applyAlignment="1">
      <alignment horizontal="center"/>
    </xf>
    <xf numFmtId="37" fontId="6" fillId="0" borderId="17" xfId="0" applyNumberFormat="1" applyFont="1" applyBorder="1" applyAlignment="1">
      <alignment horizontal="center"/>
    </xf>
    <xf numFmtId="37" fontId="6" fillId="0" borderId="18" xfId="0" applyNumberFormat="1" applyFont="1" applyBorder="1" applyAlignment="1">
      <alignment horizontal="center"/>
    </xf>
    <xf numFmtId="39" fontId="14" fillId="0" borderId="4"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5"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9"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9" fontId="6" fillId="0" borderId="16" xfId="0" applyNumberFormat="1" applyFont="1" applyBorder="1" applyAlignment="1" applyProtection="1">
      <alignment horizontal="center"/>
    </xf>
    <xf numFmtId="39" fontId="6" fillId="0" borderId="17" xfId="0" applyNumberFormat="1" applyFont="1" applyBorder="1" applyAlignment="1" applyProtection="1">
      <alignment horizontal="center"/>
    </xf>
    <xf numFmtId="39" fontId="14" fillId="0" borderId="5"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10">
    <cellStyle name="Comma" xfId="1" builtinId="3"/>
    <cellStyle name="Comma 3" xfId="5"/>
    <cellStyle name="Currency 3" xfId="4"/>
    <cellStyle name="Hyperlink" xfId="6" builtinId="8"/>
    <cellStyle name="Normal" xfId="0" builtinId="0"/>
    <cellStyle name="Normal 2" xfId="8"/>
    <cellStyle name="Normal 3" xfId="3"/>
    <cellStyle name="Normal 4" xfId="9"/>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Dept/Rates/Deferrals%202017/07-2017/Core%20GC%20Allocations%207-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sheetName val="OR Rates 2015"/>
      <sheetName val="OR Rates"/>
      <sheetName val="OR Deferrals Incl true-up 2"/>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ow r="48">
          <cell r="J48">
            <v>1966924.0799999998</v>
          </cell>
        </row>
      </sheetData>
      <sheetData sheetId="8" refreshError="1"/>
      <sheetData sheetId="9" refreshError="1"/>
      <sheetData sheetId="10" refreshError="1"/>
      <sheetData sheetId="11">
        <row r="2">
          <cell r="D2">
            <v>42947</v>
          </cell>
        </row>
        <row r="42">
          <cell r="J42">
            <v>1377884.4700000004</v>
          </cell>
        </row>
        <row r="43">
          <cell r="J43">
            <v>3839542.4499999997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abSelected="1" view="pageBreakPreview" zoomScale="115" zoomScaleNormal="75" zoomScaleSheetLayoutView="115" workbookViewId="0">
      <pane xSplit="1" ySplit="10" topLeftCell="B51" activePane="bottomRight" state="frozen"/>
      <selection activeCell="C13" sqref="C13"/>
      <selection pane="topRight" activeCell="C13" sqref="C13"/>
      <selection pane="bottomLeft" activeCell="C13" sqref="C13"/>
      <selection pane="bottomRight" activeCell="I52" sqref="I52"/>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57" t="s">
        <v>49</v>
      </c>
      <c r="B1" s="158"/>
      <c r="C1" s="159" t="s">
        <v>50</v>
      </c>
      <c r="D1" s="159"/>
      <c r="E1" s="159"/>
      <c r="F1" s="159"/>
      <c r="G1" s="159"/>
      <c r="H1" s="160"/>
    </row>
    <row r="2" spans="1:12" x14ac:dyDescent="0.2">
      <c r="A2" s="161" t="s">
        <v>51</v>
      </c>
      <c r="B2" s="162"/>
      <c r="C2" s="163" t="s">
        <v>52</v>
      </c>
      <c r="D2" s="163"/>
      <c r="E2" s="163"/>
      <c r="F2" s="163"/>
      <c r="G2" s="163"/>
      <c r="H2" s="164"/>
    </row>
    <row r="3" spans="1:12" x14ac:dyDescent="0.2">
      <c r="A3" s="161" t="s">
        <v>53</v>
      </c>
      <c r="B3" s="162"/>
      <c r="C3" s="163" t="s">
        <v>3</v>
      </c>
      <c r="D3" s="163"/>
      <c r="E3" s="163"/>
      <c r="F3" s="163"/>
      <c r="G3" s="163"/>
      <c r="H3" s="164"/>
    </row>
    <row r="4" spans="1:12" x14ac:dyDescent="0.2">
      <c r="A4" s="161" t="s">
        <v>54</v>
      </c>
      <c r="B4" s="162"/>
      <c r="C4" s="165" t="s">
        <v>55</v>
      </c>
      <c r="D4" s="165"/>
      <c r="E4" s="165"/>
      <c r="F4" s="165"/>
      <c r="G4" s="165"/>
      <c r="H4" s="166"/>
    </row>
    <row r="5" spans="1:12" x14ac:dyDescent="0.2">
      <c r="A5" s="161" t="s">
        <v>56</v>
      </c>
      <c r="B5" s="162"/>
      <c r="C5" s="163" t="s">
        <v>57</v>
      </c>
      <c r="D5" s="163"/>
      <c r="E5" s="163"/>
      <c r="F5" s="163"/>
      <c r="G5" s="163"/>
      <c r="H5" s="164"/>
    </row>
    <row r="6" spans="1:12" x14ac:dyDescent="0.2">
      <c r="A6" s="161" t="s">
        <v>58</v>
      </c>
      <c r="B6" s="162"/>
      <c r="C6" s="163" t="s">
        <v>0</v>
      </c>
      <c r="D6" s="163"/>
      <c r="E6" s="163"/>
      <c r="F6" s="163"/>
      <c r="G6" s="163"/>
      <c r="H6" s="164"/>
    </row>
    <row r="7" spans="1:12" ht="29.25" customHeight="1" x14ac:dyDescent="0.2">
      <c r="A7" s="168" t="s">
        <v>59</v>
      </c>
      <c r="B7" s="169"/>
      <c r="C7" s="170" t="s">
        <v>60</v>
      </c>
      <c r="D7" s="170"/>
      <c r="E7" s="170"/>
      <c r="F7" s="170"/>
      <c r="G7" s="170"/>
      <c r="H7" s="171"/>
    </row>
    <row r="8" spans="1:12" x14ac:dyDescent="0.2">
      <c r="B8" s="50"/>
      <c r="G8" s="51" t="s">
        <v>61</v>
      </c>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1">
        <v>-1120659.83</v>
      </c>
      <c r="K11" s="54"/>
      <c r="L11" s="55"/>
    </row>
    <row r="12" spans="1:12" hidden="1" x14ac:dyDescent="0.2">
      <c r="A12" s="56">
        <f>'FERC Interest Rates'!A20</f>
        <v>41608</v>
      </c>
      <c r="D12" s="1">
        <v>93596.04</v>
      </c>
      <c r="F12" s="3">
        <f>ROUND(H11*VLOOKUP(A12,FERCINT13,2)/365*VLOOKUP(A12,FERCINT13,3),2)</f>
        <v>-2993.54</v>
      </c>
      <c r="H12" s="1">
        <f t="shared" ref="H12:H47" si="0">H11+SUM(D12:G12)</f>
        <v>-1030057.3300000001</v>
      </c>
      <c r="K12" s="54"/>
      <c r="L12" s="55"/>
    </row>
    <row r="13" spans="1:12" hidden="1" x14ac:dyDescent="0.2">
      <c r="A13" s="56">
        <f>'FERC Interest Rates'!A21</f>
        <v>41639</v>
      </c>
      <c r="D13" s="1">
        <v>-302560.25</v>
      </c>
      <c r="F13" s="3">
        <f t="shared" ref="F13" si="1">ROUND(H12*VLOOKUP(A13,FERCINT13,2)/365*VLOOKUP(A13,FERCINT13,3),2)</f>
        <v>-2843.24</v>
      </c>
      <c r="H13" s="1">
        <f t="shared" si="0"/>
        <v>-1335460.82</v>
      </c>
      <c r="K13" s="54"/>
      <c r="L13" s="55"/>
    </row>
    <row r="14" spans="1:12" hidden="1" x14ac:dyDescent="0.2">
      <c r="A14" s="56">
        <f>'FERC Interest Rates'!A22</f>
        <v>41670</v>
      </c>
      <c r="D14" s="1">
        <v>192476.01</v>
      </c>
      <c r="F14" s="3">
        <f t="shared" ref="F14:F23" si="2">ROUND(H13*VLOOKUP(A14,FERCINT14,2)/365*VLOOKUP(A14,FERCINT14,3),2)</f>
        <v>-3686.24</v>
      </c>
      <c r="H14" s="1">
        <f t="shared" si="0"/>
        <v>-1146671.05</v>
      </c>
      <c r="K14" s="54"/>
      <c r="L14" s="55"/>
    </row>
    <row r="15" spans="1:12" hidden="1" x14ac:dyDescent="0.2">
      <c r="A15" s="56">
        <f>'FERC Interest Rates'!A23</f>
        <v>41698</v>
      </c>
      <c r="D15" s="1">
        <v>1883159.68</v>
      </c>
      <c r="F15" s="3">
        <f t="shared" si="2"/>
        <v>-2858.82</v>
      </c>
      <c r="H15" s="1">
        <f t="shared" si="0"/>
        <v>733629.80999999982</v>
      </c>
      <c r="K15" s="54"/>
      <c r="L15" s="55"/>
    </row>
    <row r="16" spans="1:12" hidden="1" x14ac:dyDescent="0.2">
      <c r="A16" s="56">
        <f>'FERC Interest Rates'!A24</f>
        <v>41729</v>
      </c>
      <c r="D16" s="1">
        <v>1966862.04</v>
      </c>
      <c r="F16" s="3">
        <f t="shared" si="2"/>
        <v>2025.02</v>
      </c>
      <c r="H16" s="1">
        <f t="shared" si="0"/>
        <v>2702516.87</v>
      </c>
      <c r="K16" s="54"/>
      <c r="L16" s="55"/>
    </row>
    <row r="17" spans="1:12" hidden="1" x14ac:dyDescent="0.2">
      <c r="A17" s="56">
        <f>'FERC Interest Rates'!A25</f>
        <v>41759</v>
      </c>
      <c r="D17" s="1">
        <f>-274443.54-10556.4</f>
        <v>-284999.94</v>
      </c>
      <c r="F17" s="3">
        <f t="shared" si="2"/>
        <v>7219.05</v>
      </c>
      <c r="H17" s="1">
        <f t="shared" si="0"/>
        <v>2424735.98</v>
      </c>
      <c r="K17" s="54"/>
      <c r="L17" s="55"/>
    </row>
    <row r="18" spans="1:12" hidden="1" x14ac:dyDescent="0.2">
      <c r="A18" s="56">
        <f>'FERC Interest Rates'!A26</f>
        <v>41790</v>
      </c>
      <c r="D18" s="1">
        <v>1506.11</v>
      </c>
      <c r="F18" s="3">
        <f t="shared" si="2"/>
        <v>6692.94</v>
      </c>
      <c r="H18" s="1">
        <f t="shared" si="0"/>
        <v>2432935.0299999998</v>
      </c>
      <c r="K18" s="54"/>
      <c r="L18" s="55"/>
    </row>
    <row r="19" spans="1:12" hidden="1" x14ac:dyDescent="0.2">
      <c r="A19" s="56">
        <f>'FERC Interest Rates'!A27</f>
        <v>41820</v>
      </c>
      <c r="D19" s="1">
        <v>152709.69</v>
      </c>
      <c r="F19" s="3">
        <f t="shared" si="2"/>
        <v>6498.94</v>
      </c>
      <c r="H19" s="1">
        <f t="shared" si="0"/>
        <v>2592143.6599999997</v>
      </c>
      <c r="K19" s="54"/>
      <c r="L19" s="55"/>
    </row>
    <row r="20" spans="1:12" hidden="1" x14ac:dyDescent="0.2">
      <c r="A20" s="56">
        <f>'FERC Interest Rates'!A28</f>
        <v>41851</v>
      </c>
      <c r="D20" s="1">
        <v>167726.51</v>
      </c>
      <c r="F20" s="3">
        <f t="shared" si="2"/>
        <v>7155.03</v>
      </c>
      <c r="H20" s="1">
        <f t="shared" si="0"/>
        <v>2767025.1999999997</v>
      </c>
      <c r="K20" s="54"/>
      <c r="L20" s="55"/>
    </row>
    <row r="21" spans="1:12" hidden="1" x14ac:dyDescent="0.2">
      <c r="A21" s="56">
        <f>'FERC Interest Rates'!A29</f>
        <v>41882</v>
      </c>
      <c r="D21" s="1">
        <v>-467001.19</v>
      </c>
      <c r="F21" s="3">
        <f t="shared" si="2"/>
        <v>7637.75</v>
      </c>
      <c r="H21" s="1">
        <f t="shared" si="0"/>
        <v>2307661.7599999998</v>
      </c>
      <c r="K21" s="54"/>
      <c r="L21" s="55"/>
    </row>
    <row r="22" spans="1:12" hidden="1" x14ac:dyDescent="0.2">
      <c r="A22" s="56">
        <f>'FERC Interest Rates'!A30</f>
        <v>41912</v>
      </c>
      <c r="D22" s="1">
        <v>-76065.69</v>
      </c>
      <c r="F22" s="3">
        <f t="shared" si="2"/>
        <v>6164.3</v>
      </c>
      <c r="H22" s="1">
        <f t="shared" si="0"/>
        <v>2237760.3699999996</v>
      </c>
      <c r="K22" s="54"/>
      <c r="L22" s="55"/>
    </row>
    <row r="23" spans="1:12" hidden="1" x14ac:dyDescent="0.2">
      <c r="A23" s="56">
        <f>'FERC Interest Rates'!A31</f>
        <v>41943</v>
      </c>
      <c r="D23" s="1">
        <v>-41866.550000000003</v>
      </c>
      <c r="F23" s="3">
        <f t="shared" si="2"/>
        <v>6176.83</v>
      </c>
      <c r="H23" s="57">
        <f t="shared" si="0"/>
        <v>2202070.6499999994</v>
      </c>
      <c r="K23" s="54"/>
      <c r="L23" s="55"/>
    </row>
    <row r="24" spans="1:12" x14ac:dyDescent="0.2">
      <c r="A24" s="167" t="s">
        <v>70</v>
      </c>
      <c r="B24" s="167"/>
      <c r="C24" s="167"/>
      <c r="D24" s="167"/>
      <c r="E24" s="167"/>
      <c r="F24" s="167"/>
      <c r="G24" s="1">
        <v>-2789754.01</v>
      </c>
      <c r="H24" s="57">
        <f t="shared" si="0"/>
        <v>-587683.36000000034</v>
      </c>
    </row>
    <row r="25" spans="1:12" x14ac:dyDescent="0.2">
      <c r="A25" s="56">
        <f>'FERC Interest Rates'!A32</f>
        <v>41973</v>
      </c>
      <c r="D25" s="1">
        <v>-388093.17</v>
      </c>
      <c r="F25" s="3">
        <f t="shared" ref="F25" si="3">ROUND(H24*VLOOKUP(A25,FERCINT14,2)/365*VLOOKUP(A25,FERCINT14,3),2)</f>
        <v>-1569.84</v>
      </c>
      <c r="H25" s="57">
        <f t="shared" si="0"/>
        <v>-977346.37000000034</v>
      </c>
      <c r="K25" s="54"/>
      <c r="L25" s="55"/>
    </row>
    <row r="26" spans="1:12" x14ac:dyDescent="0.2">
      <c r="A26" s="56">
        <f>'FERC Interest Rates'!A33</f>
        <v>42004</v>
      </c>
      <c r="D26" s="1">
        <v>50810.48</v>
      </c>
      <c r="F26" s="3">
        <f t="shared" ref="F26" si="4">ROUND(H25*VLOOKUP(A26,FERCINT14,2)/365*VLOOKUP(A26,FERCINT14,3),2)</f>
        <v>-2697.74</v>
      </c>
      <c r="H26" s="57">
        <f t="shared" si="0"/>
        <v>-929233.63000000035</v>
      </c>
      <c r="K26" s="54"/>
      <c r="L26" s="55"/>
    </row>
    <row r="27" spans="1:12" x14ac:dyDescent="0.2">
      <c r="A27" s="56">
        <f>'FERC Interest Rates'!A34</f>
        <v>42035</v>
      </c>
      <c r="D27" s="1">
        <v>-1925336.63</v>
      </c>
      <c r="F27" s="3">
        <f t="shared" ref="F27:F39" si="5">ROUND(H26*VLOOKUP(A27,FERCINT15,2)/365*VLOOKUP(A27,FERCINT15,3),2)</f>
        <v>-2564.94</v>
      </c>
      <c r="H27" s="57">
        <f t="shared" si="0"/>
        <v>-2857135.2</v>
      </c>
      <c r="K27" s="54"/>
      <c r="L27" s="55"/>
    </row>
    <row r="28" spans="1:12" x14ac:dyDescent="0.2">
      <c r="A28" s="56">
        <f>'FERC Interest Rates'!A35</f>
        <v>42063</v>
      </c>
      <c r="D28" s="1">
        <v>-1353526.41</v>
      </c>
      <c r="F28" s="3">
        <f t="shared" si="5"/>
        <v>-7123.27</v>
      </c>
      <c r="H28" s="57">
        <f t="shared" si="0"/>
        <v>-4217784.88</v>
      </c>
      <c r="K28" s="54"/>
      <c r="L28" s="55"/>
    </row>
    <row r="29" spans="1:12" x14ac:dyDescent="0.2">
      <c r="A29" s="56">
        <f>'FERC Interest Rates'!A36</f>
        <v>42094</v>
      </c>
      <c r="D29" s="1">
        <v>-1683298.68</v>
      </c>
      <c r="F29" s="3">
        <f t="shared" si="5"/>
        <v>-11642.24</v>
      </c>
      <c r="H29" s="57">
        <f t="shared" si="0"/>
        <v>-5912725.7999999998</v>
      </c>
      <c r="K29" s="54"/>
      <c r="L29" s="55"/>
    </row>
    <row r="30" spans="1:12" x14ac:dyDescent="0.2">
      <c r="A30" s="56">
        <f>'FERC Interest Rates'!A37</f>
        <v>42124</v>
      </c>
      <c r="D30" s="1">
        <v>-1792191.55</v>
      </c>
      <c r="F30" s="3">
        <f t="shared" si="5"/>
        <v>-15794.27</v>
      </c>
      <c r="H30" s="57">
        <f t="shared" si="0"/>
        <v>-7720711.6200000001</v>
      </c>
      <c r="K30" s="54"/>
      <c r="L30" s="55"/>
    </row>
    <row r="31" spans="1:12" x14ac:dyDescent="0.2">
      <c r="A31" s="56">
        <f>'FERC Interest Rates'!A38</f>
        <v>42155</v>
      </c>
      <c r="D31" s="1">
        <v>-1388193.03</v>
      </c>
      <c r="F31" s="3">
        <f t="shared" si="5"/>
        <v>-21311.279999999999</v>
      </c>
      <c r="H31" s="57">
        <f t="shared" si="0"/>
        <v>-9130215.9299999997</v>
      </c>
      <c r="K31" s="54"/>
      <c r="L31" s="55"/>
    </row>
    <row r="32" spans="1:12" x14ac:dyDescent="0.2">
      <c r="A32" s="56">
        <f>'FERC Interest Rates'!A39</f>
        <v>42185</v>
      </c>
      <c r="D32" s="1">
        <v>26234.13</v>
      </c>
      <c r="F32" s="3">
        <f t="shared" si="5"/>
        <v>-24388.93</v>
      </c>
      <c r="H32" s="57">
        <f t="shared" si="0"/>
        <v>-9128370.7300000004</v>
      </c>
      <c r="K32" s="54"/>
      <c r="L32" s="55"/>
    </row>
    <row r="33" spans="1:12" x14ac:dyDescent="0.2">
      <c r="A33" s="56">
        <f>'FERC Interest Rates'!A40</f>
        <v>42216</v>
      </c>
      <c r="D33" s="1">
        <v>-864942.07999999996</v>
      </c>
      <c r="F33" s="3">
        <f t="shared" si="5"/>
        <v>-25196.799999999999</v>
      </c>
      <c r="H33" s="57">
        <f t="shared" si="0"/>
        <v>-10018509.610000001</v>
      </c>
      <c r="K33" s="54"/>
      <c r="L33" s="55"/>
    </row>
    <row r="34" spans="1:12" x14ac:dyDescent="0.2">
      <c r="A34" s="56">
        <f>'FERC Interest Rates'!A41</f>
        <v>42247</v>
      </c>
      <c r="D34" s="1">
        <v>-127139.21</v>
      </c>
      <c r="F34" s="3">
        <f t="shared" si="5"/>
        <v>-27653.83</v>
      </c>
      <c r="H34" s="57">
        <f t="shared" si="0"/>
        <v>-10173302.65</v>
      </c>
      <c r="K34" s="54"/>
      <c r="L34" s="55"/>
    </row>
    <row r="35" spans="1:12" x14ac:dyDescent="0.2">
      <c r="A35" s="167" t="s">
        <v>71</v>
      </c>
      <c r="B35" s="167"/>
      <c r="C35" s="167"/>
      <c r="D35" s="167"/>
      <c r="E35" s="167"/>
      <c r="F35" s="167"/>
      <c r="G35" s="1">
        <v>9178833.8800000008</v>
      </c>
      <c r="H35" s="57">
        <f t="shared" si="0"/>
        <v>-994468.76999999955</v>
      </c>
      <c r="K35" s="54"/>
      <c r="L35" s="55"/>
    </row>
    <row r="36" spans="1:12" x14ac:dyDescent="0.2">
      <c r="A36" s="56">
        <f>'FERC Interest Rates'!A42</f>
        <v>42277</v>
      </c>
      <c r="D36" s="1">
        <v>-585536.48</v>
      </c>
      <c r="F36" s="3">
        <f>ROUND(H35*VLOOKUP(A36,FERCINT15,2)/365*VLOOKUP(A36,FERCINT15,3),2)</f>
        <v>-2656.46</v>
      </c>
      <c r="H36" s="57">
        <f t="shared" si="0"/>
        <v>-1582661.7099999995</v>
      </c>
      <c r="K36" s="54"/>
      <c r="L36" s="55"/>
    </row>
    <row r="37" spans="1:12" x14ac:dyDescent="0.2">
      <c r="A37" s="56">
        <f>'FERC Interest Rates'!A43</f>
        <v>42308</v>
      </c>
      <c r="D37" s="1">
        <v>-465803</v>
      </c>
      <c r="F37" s="3">
        <f t="shared" si="5"/>
        <v>-4368.58</v>
      </c>
      <c r="H37" s="57">
        <f>H36+SUM(D37:G37)</f>
        <v>-2052833.2899999996</v>
      </c>
      <c r="K37" s="54"/>
      <c r="L37" s="55"/>
    </row>
    <row r="38" spans="1:12" x14ac:dyDescent="0.2">
      <c r="A38" s="56">
        <f>'FERC Interest Rates'!A44</f>
        <v>42338</v>
      </c>
      <c r="D38" s="1">
        <v>-1544843.34</v>
      </c>
      <c r="F38" s="3">
        <f t="shared" si="5"/>
        <v>-5483.6</v>
      </c>
      <c r="H38" s="57">
        <f>H37+SUM(D38:G38)</f>
        <v>-3603160.2299999995</v>
      </c>
      <c r="K38" s="54"/>
      <c r="L38" s="55"/>
    </row>
    <row r="39" spans="1:12" x14ac:dyDescent="0.2">
      <c r="A39" s="56">
        <f>'FERC Interest Rates'!A45</f>
        <v>42369</v>
      </c>
      <c r="D39" s="1">
        <v>-1645881.86</v>
      </c>
      <c r="F39" s="3">
        <f t="shared" si="5"/>
        <v>-9945.7099999999991</v>
      </c>
      <c r="H39" s="57">
        <f>H38+SUM(D39:G39)</f>
        <v>-5258987.8</v>
      </c>
      <c r="K39" s="54"/>
      <c r="L39" s="55"/>
    </row>
    <row r="40" spans="1:12" x14ac:dyDescent="0.2">
      <c r="A40" s="56">
        <f>'FERC Interest Rates'!A46</f>
        <v>42400</v>
      </c>
      <c r="D40" s="1">
        <v>-2154994.2799999998</v>
      </c>
      <c r="F40" s="3">
        <f t="shared" ref="F40:F52" si="6">ROUND(H39*VLOOKUP(A40,FERCINT16,2)/365*VLOOKUP(A40,FERCINT16,3),2)</f>
        <v>-14516.25</v>
      </c>
      <c r="H40" s="57">
        <f t="shared" si="0"/>
        <v>-7428498.3300000001</v>
      </c>
      <c r="K40" s="54"/>
      <c r="L40" s="55"/>
    </row>
    <row r="41" spans="1:12" x14ac:dyDescent="0.2">
      <c r="A41" s="56">
        <f>'FERC Interest Rates'!A47</f>
        <v>42429</v>
      </c>
      <c r="D41" s="1">
        <v>-1476931.21</v>
      </c>
      <c r="F41" s="3">
        <f t="shared" si="6"/>
        <v>-19181.810000000001</v>
      </c>
      <c r="G41" s="1">
        <v>-99.96</v>
      </c>
      <c r="H41" s="57">
        <f t="shared" si="0"/>
        <v>-8924711.3100000005</v>
      </c>
      <c r="K41" s="54"/>
      <c r="L41" s="55"/>
    </row>
    <row r="42" spans="1:12" x14ac:dyDescent="0.2">
      <c r="A42" s="56">
        <f>'FERC Interest Rates'!A48</f>
        <v>42460</v>
      </c>
      <c r="D42" s="1">
        <v>-1690305.69</v>
      </c>
      <c r="F42" s="3">
        <f t="shared" si="6"/>
        <v>-24634.65</v>
      </c>
      <c r="G42" s="1">
        <v>-6148.88</v>
      </c>
      <c r="H42" s="57">
        <f t="shared" si="0"/>
        <v>-10645800.530000001</v>
      </c>
      <c r="K42" s="54"/>
      <c r="L42" s="55"/>
    </row>
    <row r="43" spans="1:12" x14ac:dyDescent="0.2">
      <c r="A43" s="56">
        <f>'FERC Interest Rates'!A49</f>
        <v>42490</v>
      </c>
      <c r="D43" s="1">
        <v>-1904970.39</v>
      </c>
      <c r="F43" s="3">
        <f t="shared" si="6"/>
        <v>-30274.91</v>
      </c>
      <c r="G43" s="1">
        <v>-710.41</v>
      </c>
      <c r="H43" s="57">
        <f t="shared" si="0"/>
        <v>-12581756.24</v>
      </c>
      <c r="K43" s="54"/>
      <c r="L43" s="55"/>
    </row>
    <row r="44" spans="1:12" x14ac:dyDescent="0.2">
      <c r="A44" s="56">
        <f>'FERC Interest Rates'!A50</f>
        <v>42521</v>
      </c>
      <c r="D44" s="1">
        <v>-1147138.95</v>
      </c>
      <c r="F44" s="3">
        <f t="shared" si="6"/>
        <v>-36973.129999999997</v>
      </c>
      <c r="G44" s="1">
        <v>-389.13</v>
      </c>
      <c r="H44" s="57">
        <f t="shared" si="0"/>
        <v>-13766257.449999999</v>
      </c>
      <c r="K44" s="54"/>
      <c r="L44" s="55"/>
    </row>
    <row r="45" spans="1:12" x14ac:dyDescent="0.2">
      <c r="A45" s="56">
        <f>'FERC Interest Rates'!A51</f>
        <v>42551</v>
      </c>
      <c r="D45" s="1">
        <v>-588401.41</v>
      </c>
      <c r="F45" s="3">
        <f t="shared" si="6"/>
        <v>-39148.97</v>
      </c>
      <c r="G45" s="1">
        <v>-6060.87</v>
      </c>
      <c r="H45" s="57">
        <f t="shared" si="0"/>
        <v>-14399868.699999999</v>
      </c>
      <c r="K45" s="54"/>
      <c r="L45" s="55"/>
    </row>
    <row r="46" spans="1:12" x14ac:dyDescent="0.2">
      <c r="A46" s="56">
        <f>'FERC Interest Rates'!A52</f>
        <v>42582</v>
      </c>
      <c r="D46" s="1">
        <v>-455489.75</v>
      </c>
      <c r="F46" s="3">
        <f t="shared" si="6"/>
        <v>-42805.09</v>
      </c>
      <c r="G46" s="1">
        <f>-500654.43+42805.09+455489.75</f>
        <v>-2359.5899999999674</v>
      </c>
      <c r="H46" s="57">
        <f t="shared" si="0"/>
        <v>-14900523.129999999</v>
      </c>
      <c r="K46" s="54"/>
      <c r="L46" s="55"/>
    </row>
    <row r="47" spans="1:12" x14ac:dyDescent="0.2">
      <c r="A47" s="56">
        <f>'FERC Interest Rates'!A53</f>
        <v>42613</v>
      </c>
      <c r="D47" s="1">
        <v>-147435.35</v>
      </c>
      <c r="F47" s="3">
        <f t="shared" si="6"/>
        <v>-44293.34</v>
      </c>
      <c r="G47" s="1">
        <f>-192518.19+44293.34+147435.35</f>
        <v>-789.5</v>
      </c>
      <c r="H47" s="57">
        <f t="shared" si="0"/>
        <v>-15093041.319999998</v>
      </c>
      <c r="K47" s="54"/>
      <c r="L47" s="55"/>
    </row>
    <row r="48" spans="1:12" x14ac:dyDescent="0.2">
      <c r="A48" s="167" t="s">
        <v>72</v>
      </c>
      <c r="B48" s="167"/>
      <c r="C48" s="167"/>
      <c r="D48" s="167"/>
      <c r="E48" s="167"/>
      <c r="F48" s="167"/>
      <c r="G48" s="1">
        <v>14485606.119999999</v>
      </c>
      <c r="H48" s="57">
        <f t="shared" ref="H48" si="7">H47+SUM(D48:G48)</f>
        <v>-607435.19999999925</v>
      </c>
      <c r="K48" s="54"/>
      <c r="L48" s="55"/>
    </row>
    <row r="49" spans="1:12" x14ac:dyDescent="0.2">
      <c r="A49" s="56">
        <f>'FERC Interest Rates'!A54</f>
        <v>42643</v>
      </c>
      <c r="D49" s="1">
        <v>-199542.95</v>
      </c>
      <c r="F49" s="3">
        <f>ROUND(H48*VLOOKUP(A49,FERCINT16,2)/365*VLOOKUP(A49,FERCINT16,3),2)</f>
        <v>-1747.42</v>
      </c>
      <c r="G49" s="1">
        <f>-310.25-73.21-249.6-110.16-216.72-71.88</f>
        <v>-1031.82</v>
      </c>
      <c r="H49" s="57">
        <f>H48+SUM(D49:G49)</f>
        <v>-809757.38999999932</v>
      </c>
      <c r="K49" s="54"/>
      <c r="L49" s="55"/>
    </row>
    <row r="50" spans="1:12" x14ac:dyDescent="0.2">
      <c r="A50" s="56">
        <f>'FERC Interest Rates'!A55</f>
        <v>42674</v>
      </c>
      <c r="D50" s="1">
        <v>-335397.51</v>
      </c>
      <c r="F50" s="3">
        <f t="shared" si="6"/>
        <v>-2407.09</v>
      </c>
      <c r="G50" s="1">
        <f>-30-310.25+71.88-71.88-246.4-71.88-47.92+74.63+310.25+323.5</f>
        <v>1.9300000000000637</v>
      </c>
      <c r="H50" s="57">
        <f t="shared" ref="H50:H59" si="8">H49+SUM(D50:G50)</f>
        <v>-1147560.0599999994</v>
      </c>
      <c r="K50" s="54"/>
      <c r="L50" s="55"/>
    </row>
    <row r="51" spans="1:12" x14ac:dyDescent="0.2">
      <c r="A51" s="56">
        <f>'FERC Interest Rates'!A56</f>
        <v>42704</v>
      </c>
      <c r="D51" s="1">
        <v>704713.46</v>
      </c>
      <c r="F51" s="3">
        <f t="shared" si="6"/>
        <v>-3301.2</v>
      </c>
      <c r="G51" s="1">
        <v>-447.57</v>
      </c>
      <c r="H51" s="57">
        <f t="shared" si="8"/>
        <v>-446595.3699999993</v>
      </c>
      <c r="K51" s="54"/>
      <c r="L51" s="55"/>
    </row>
    <row r="52" spans="1:12" x14ac:dyDescent="0.2">
      <c r="A52" s="56">
        <f>'FERC Interest Rates'!A57</f>
        <v>42735</v>
      </c>
      <c r="D52" s="1">
        <f>3430803.48-399700.78</f>
        <v>3031102.7</v>
      </c>
      <c r="F52" s="3">
        <f t="shared" si="6"/>
        <v>-1327.55</v>
      </c>
      <c r="G52" s="1">
        <f>-647-1045.5-597-647-261.38-65.34-36.76-21.78-4.27</f>
        <v>-3326.0300000000007</v>
      </c>
      <c r="H52" s="57">
        <f t="shared" si="8"/>
        <v>2579853.7500000014</v>
      </c>
      <c r="K52" s="54"/>
      <c r="L52" s="55"/>
    </row>
    <row r="53" spans="1:12" x14ac:dyDescent="0.2">
      <c r="A53" s="56">
        <f>'FERC Interest Rates'!A58</f>
        <v>42766</v>
      </c>
      <c r="D53" s="1">
        <v>4901066.0599999996</v>
      </c>
      <c r="F53" s="3">
        <f t="shared" ref="F53:F59" si="9">ROUND(H52*VLOOKUP(A53,FERCINT17,2)/365*VLOOKUP(A53,FERCINT17,3),2)</f>
        <v>7668.88</v>
      </c>
      <c r="G53" s="1">
        <f>-500-47.92-323.37-51.28-50-5.56-3.73+1045.5+47.92</f>
        <v>111.5600000000001</v>
      </c>
      <c r="H53" s="57">
        <f t="shared" si="8"/>
        <v>7488700.25</v>
      </c>
      <c r="K53" s="54"/>
      <c r="L53" s="55"/>
    </row>
    <row r="54" spans="1:12" x14ac:dyDescent="0.2">
      <c r="A54" s="56">
        <f>'FERC Interest Rates'!A59</f>
        <v>42794</v>
      </c>
      <c r="D54" s="1">
        <v>1733602.92</v>
      </c>
      <c r="F54" s="3">
        <f t="shared" si="9"/>
        <v>20106.650000000001</v>
      </c>
      <c r="G54" s="1">
        <f>-278.19-174.25</f>
        <v>-452.44</v>
      </c>
      <c r="H54" s="57">
        <f t="shared" si="8"/>
        <v>9241957.379999999</v>
      </c>
      <c r="K54" s="54"/>
      <c r="L54" s="55"/>
    </row>
    <row r="55" spans="1:12" x14ac:dyDescent="0.2">
      <c r="A55" s="56">
        <f>'FERC Interest Rates'!A60</f>
        <v>42825</v>
      </c>
      <c r="D55" s="1">
        <v>-778930.47</v>
      </c>
      <c r="F55" s="3">
        <f t="shared" si="9"/>
        <v>27472.67</v>
      </c>
      <c r="G55" s="1">
        <f>-364.45+50</f>
        <v>-314.45</v>
      </c>
      <c r="H55" s="57">
        <f t="shared" si="8"/>
        <v>8490185.129999999</v>
      </c>
      <c r="K55" s="54"/>
      <c r="L55" s="55"/>
    </row>
    <row r="56" spans="1:12" x14ac:dyDescent="0.2">
      <c r="A56" s="56">
        <f>'FERC Interest Rates'!A61</f>
        <v>42855</v>
      </c>
      <c r="D56" s="1">
        <v>-354428.35</v>
      </c>
      <c r="F56" s="3">
        <f t="shared" si="9"/>
        <v>25889.25</v>
      </c>
      <c r="G56" s="1">
        <v>-2323.67</v>
      </c>
      <c r="H56" s="57">
        <f t="shared" si="8"/>
        <v>8159322.3599999994</v>
      </c>
      <c r="K56" s="54"/>
      <c r="L56" s="55"/>
    </row>
    <row r="57" spans="1:12" x14ac:dyDescent="0.2">
      <c r="A57" s="56">
        <f>'FERC Interest Rates'!A62</f>
        <v>42886</v>
      </c>
      <c r="D57" s="1">
        <v>-371160.81</v>
      </c>
      <c r="F57" s="3">
        <f t="shared" si="9"/>
        <v>25709.69</v>
      </c>
      <c r="G57" s="1">
        <f>-1494-717-2.79-15.87</f>
        <v>-2229.66</v>
      </c>
      <c r="H57" s="57">
        <f t="shared" si="8"/>
        <v>7811641.5799999991</v>
      </c>
      <c r="K57" s="54"/>
      <c r="L57" s="55"/>
    </row>
    <row r="58" spans="1:12" x14ac:dyDescent="0.2">
      <c r="A58" s="56">
        <f>'FERC Interest Rates'!A63</f>
        <v>42916</v>
      </c>
      <c r="D58" s="1">
        <v>734514.16</v>
      </c>
      <c r="F58" s="3">
        <f t="shared" si="9"/>
        <v>23820.16</v>
      </c>
      <c r="G58" s="1">
        <f>95.84-101.09-358.5-43.56-727-2.45</f>
        <v>-1136.76</v>
      </c>
      <c r="H58" s="57">
        <f t="shared" si="8"/>
        <v>8568839.1399999987</v>
      </c>
      <c r="K58" s="54"/>
      <c r="L58" s="55"/>
    </row>
    <row r="59" spans="1:12" x14ac:dyDescent="0.2">
      <c r="A59" s="56">
        <f>'FERC Interest Rates'!A64</f>
        <v>42947</v>
      </c>
      <c r="D59" s="1">
        <v>-589039.61</v>
      </c>
      <c r="F59" s="3">
        <f t="shared" si="9"/>
        <v>28819.47</v>
      </c>
      <c r="G59" s="1">
        <f>-2091-1434-197.63</f>
        <v>-3722.63</v>
      </c>
      <c r="H59" s="57">
        <f t="shared" si="8"/>
        <v>8004896.3699999992</v>
      </c>
      <c r="K59" s="54"/>
      <c r="L59" s="55"/>
    </row>
    <row r="60" spans="1:12" x14ac:dyDescent="0.2">
      <c r="A60" s="56"/>
      <c r="F60" s="3"/>
      <c r="H60" s="57"/>
      <c r="K60" s="54"/>
      <c r="L60" s="55"/>
    </row>
    <row r="61" spans="1:12" x14ac:dyDescent="0.2">
      <c r="A61" s="56"/>
      <c r="K61" s="54"/>
      <c r="L61" s="55"/>
    </row>
    <row r="62" spans="1:12" x14ac:dyDescent="0.2">
      <c r="A62" s="56"/>
      <c r="K62" s="54"/>
      <c r="L62" s="55"/>
    </row>
    <row r="63" spans="1:12" x14ac:dyDescent="0.2">
      <c r="K63" s="54"/>
      <c r="L63" s="55"/>
    </row>
    <row r="64" spans="1:12" x14ac:dyDescent="0.2">
      <c r="K64" s="54"/>
      <c r="L64" s="55"/>
    </row>
    <row r="65" spans="11:12" x14ac:dyDescent="0.2">
      <c r="K65" s="54"/>
      <c r="L65" s="55"/>
    </row>
    <row r="66" spans="11:12" x14ac:dyDescent="0.2">
      <c r="K66" s="54"/>
      <c r="L66" s="55"/>
    </row>
    <row r="67" spans="11:12" x14ac:dyDescent="0.2">
      <c r="K67" s="54"/>
      <c r="L67" s="55"/>
    </row>
    <row r="68" spans="11:12" x14ac:dyDescent="0.2">
      <c r="K68" s="54"/>
      <c r="L68" s="55"/>
    </row>
    <row r="69" spans="11:12" x14ac:dyDescent="0.2">
      <c r="K69" s="54"/>
      <c r="L69" s="55"/>
    </row>
    <row r="70" spans="11:12" x14ac:dyDescent="0.2">
      <c r="K70" s="54"/>
      <c r="L70" s="55"/>
    </row>
    <row r="71" spans="11:12" x14ac:dyDescent="0.2">
      <c r="K71" s="54"/>
      <c r="L71" s="55"/>
    </row>
    <row r="72" spans="11:12" x14ac:dyDescent="0.2">
      <c r="K72" s="54"/>
    </row>
    <row r="73" spans="11:12" x14ac:dyDescent="0.2">
      <c r="K73" s="54"/>
    </row>
    <row r="74" spans="11:12" x14ac:dyDescent="0.2">
      <c r="K74" s="54"/>
    </row>
    <row r="75" spans="11:12" x14ac:dyDescent="0.2">
      <c r="K75" s="54"/>
    </row>
    <row r="76" spans="11:12" x14ac:dyDescent="0.2">
      <c r="K76" s="54"/>
    </row>
    <row r="77" spans="11:12" x14ac:dyDescent="0.2">
      <c r="K77" s="54"/>
    </row>
  </sheetData>
  <mergeCells count="19">
    <mergeCell ref="A48:F48"/>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96" zoomScaleNormal="75" zoomScaleSheetLayoutView="96" workbookViewId="0">
      <pane xSplit="1" ySplit="10" topLeftCell="B11" activePane="bottomRight" state="frozen"/>
      <selection activeCell="I52" sqref="I52"/>
      <selection pane="topRight" activeCell="I52" sqref="I52"/>
      <selection pane="bottomLeft" activeCell="I52" sqref="I52"/>
      <selection pane="bottomRight" activeCell="I52" sqref="I52"/>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8.44140625" style="1" customWidth="1"/>
    <col min="7" max="7" width="9.5546875" style="1" bestFit="1" customWidth="1"/>
    <col min="8" max="8" width="12.6640625" style="1" bestFit="1" customWidth="1"/>
    <col min="9" max="9" width="15.109375" style="1" bestFit="1" customWidth="1"/>
    <col min="10" max="10" width="16.33203125" style="1" bestFit="1" customWidth="1"/>
    <col min="11" max="11" width="9" style="54" bestFit="1" customWidth="1"/>
    <col min="12" max="12" width="10.44140625" style="1" bestFit="1" customWidth="1"/>
    <col min="13" max="16384" width="8.88671875" style="1"/>
  </cols>
  <sheetData>
    <row r="1" spans="1:12" x14ac:dyDescent="0.2">
      <c r="A1" s="174" t="s">
        <v>49</v>
      </c>
      <c r="B1" s="175"/>
      <c r="C1" s="198" t="s">
        <v>50</v>
      </c>
      <c r="D1" s="198"/>
      <c r="E1" s="198"/>
      <c r="F1" s="198"/>
      <c r="G1" s="198"/>
      <c r="H1" s="199"/>
    </row>
    <row r="2" spans="1:12" x14ac:dyDescent="0.2">
      <c r="A2" s="178" t="s">
        <v>51</v>
      </c>
      <c r="B2" s="162"/>
      <c r="C2" s="163" t="s">
        <v>75</v>
      </c>
      <c r="D2" s="163"/>
      <c r="E2" s="163"/>
      <c r="F2" s="163"/>
      <c r="G2" s="163"/>
      <c r="H2" s="181"/>
    </row>
    <row r="3" spans="1:12" x14ac:dyDescent="0.2">
      <c r="A3" s="178" t="s">
        <v>53</v>
      </c>
      <c r="B3" s="162"/>
      <c r="C3" s="163" t="s">
        <v>15</v>
      </c>
      <c r="D3" s="163"/>
      <c r="E3" s="163"/>
      <c r="F3" s="163"/>
      <c r="G3" s="163"/>
      <c r="H3" s="181"/>
    </row>
    <row r="4" spans="1:12" s="66" customFormat="1" x14ac:dyDescent="0.2">
      <c r="A4" s="178" t="s">
        <v>54</v>
      </c>
      <c r="B4" s="162"/>
      <c r="C4" s="165" t="s">
        <v>55</v>
      </c>
      <c r="D4" s="165"/>
      <c r="E4" s="165"/>
      <c r="F4" s="165"/>
      <c r="G4" s="165"/>
      <c r="H4" s="182"/>
      <c r="K4" s="69"/>
    </row>
    <row r="5" spans="1:12" x14ac:dyDescent="0.2">
      <c r="A5" s="178" t="s">
        <v>56</v>
      </c>
      <c r="B5" s="162"/>
      <c r="C5" s="165" t="s">
        <v>76</v>
      </c>
      <c r="D5" s="165"/>
      <c r="E5" s="165"/>
      <c r="F5" s="165"/>
      <c r="G5" s="165"/>
      <c r="H5" s="182"/>
    </row>
    <row r="6" spans="1:12" x14ac:dyDescent="0.2">
      <c r="A6" s="178" t="s">
        <v>58</v>
      </c>
      <c r="B6" s="162"/>
      <c r="C6" s="165" t="s">
        <v>77</v>
      </c>
      <c r="D6" s="165"/>
      <c r="E6" s="165"/>
      <c r="F6" s="165"/>
      <c r="G6" s="165"/>
      <c r="H6" s="182"/>
    </row>
    <row r="7" spans="1:12" ht="13.5" thickBot="1" x14ac:dyDescent="0.25">
      <c r="A7" s="183" t="s">
        <v>59</v>
      </c>
      <c r="B7" s="184"/>
      <c r="C7" s="185" t="s">
        <v>78</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x14ac:dyDescent="0.2">
      <c r="A11" s="173" t="s">
        <v>79</v>
      </c>
      <c r="B11" s="173"/>
      <c r="C11" s="173"/>
      <c r="D11" s="173"/>
      <c r="E11" s="173"/>
      <c r="F11" s="173"/>
      <c r="G11" s="173"/>
      <c r="H11" s="70">
        <v>0</v>
      </c>
      <c r="L11" s="55"/>
    </row>
    <row r="12" spans="1:12" x14ac:dyDescent="0.2">
      <c r="A12" s="65">
        <f>'FERC Interest Rates'!A54</f>
        <v>42643</v>
      </c>
      <c r="D12" s="1">
        <v>20479.23</v>
      </c>
      <c r="F12" s="1">
        <f>ROUND(H11*VLOOKUP(A12,FERCINT16,2)/365*VLOOKUP(A12,FERCINT16,3),2)</f>
        <v>0</v>
      </c>
      <c r="H12" s="70">
        <f>+SUM(D12:G12)+H11</f>
        <v>20479.23</v>
      </c>
      <c r="L12" s="55"/>
    </row>
    <row r="13" spans="1:12" x14ac:dyDescent="0.2">
      <c r="A13" s="65">
        <f>'FERC Interest Rates'!A55</f>
        <v>42674</v>
      </c>
      <c r="D13" s="1">
        <v>123109.02</v>
      </c>
      <c r="F13" s="1">
        <f>ROUND(H12*VLOOKUP(A13,FERCINT16,2)/365*VLOOKUP(A13,FERCINT16,3),2)</f>
        <v>60.88</v>
      </c>
      <c r="H13" s="70">
        <f t="shared" ref="H13:H22" si="0">+SUM(D13:G13)+H12</f>
        <v>143649.13</v>
      </c>
      <c r="L13" s="55"/>
    </row>
    <row r="14" spans="1:12" x14ac:dyDescent="0.2">
      <c r="A14" s="65">
        <f>'FERC Interest Rates'!A56</f>
        <v>42704</v>
      </c>
      <c r="D14" s="1">
        <v>1588267.12</v>
      </c>
      <c r="F14" s="1">
        <f>ROUND(H13*VLOOKUP(A14,FERCINT16,2)/365*VLOOKUP(A14,FERCINT16,3),2)</f>
        <v>413.24</v>
      </c>
      <c r="H14" s="70">
        <f t="shared" si="0"/>
        <v>1732329.4900000002</v>
      </c>
      <c r="L14" s="55"/>
    </row>
    <row r="15" spans="1:12" x14ac:dyDescent="0.2">
      <c r="A15" s="65">
        <f>'FERC Interest Rates'!A57</f>
        <v>42735</v>
      </c>
      <c r="D15" s="1">
        <v>-1829811.82</v>
      </c>
      <c r="F15" s="1">
        <f>ROUND(H14*VLOOKUP(A15,FERCINT16,2)/365*VLOOKUP(A15,FERCINT16,3),2)</f>
        <v>5149.53</v>
      </c>
      <c r="H15" s="1">
        <f t="shared" si="0"/>
        <v>-92332.799999999814</v>
      </c>
      <c r="L15" s="55"/>
    </row>
    <row r="16" spans="1:12" x14ac:dyDescent="0.2">
      <c r="A16" s="65">
        <f>'FERC Interest Rates'!A58</f>
        <v>42766</v>
      </c>
      <c r="D16" s="1">
        <v>-3120606.16</v>
      </c>
      <c r="F16" s="1">
        <f t="shared" ref="F16:F22" si="1">ROUND(H15*VLOOKUP(A16,FERCINT17,2)/365*VLOOKUP(A16,FERCINT17,3),2)</f>
        <v>-274.47000000000003</v>
      </c>
      <c r="H16" s="1">
        <f t="shared" si="0"/>
        <v>-3213213.43</v>
      </c>
      <c r="L16" s="55"/>
    </row>
    <row r="17" spans="1:12" x14ac:dyDescent="0.2">
      <c r="A17" s="65">
        <f>'FERC Interest Rates'!A59</f>
        <v>42794</v>
      </c>
      <c r="D17" s="1">
        <v>-1259177.8</v>
      </c>
      <c r="F17" s="1">
        <f t="shared" si="1"/>
        <v>-8627.26</v>
      </c>
      <c r="H17" s="1">
        <f t="shared" si="0"/>
        <v>-4481018.49</v>
      </c>
      <c r="L17" s="55"/>
    </row>
    <row r="18" spans="1:12" x14ac:dyDescent="0.2">
      <c r="A18" s="65">
        <f>'FERC Interest Rates'!A60</f>
        <v>42825</v>
      </c>
      <c r="D18" s="1">
        <v>-614656.88</v>
      </c>
      <c r="F18" s="1">
        <f t="shared" si="1"/>
        <v>-13320.29</v>
      </c>
      <c r="H18" s="1">
        <f t="shared" si="0"/>
        <v>-5108995.66</v>
      </c>
      <c r="L18" s="55"/>
    </row>
    <row r="19" spans="1:12" x14ac:dyDescent="0.2">
      <c r="A19" s="65">
        <f>'FERC Interest Rates'!A61</f>
        <v>42855</v>
      </c>
      <c r="D19" s="1">
        <v>-779690.7</v>
      </c>
      <c r="F19" s="1">
        <f t="shared" si="1"/>
        <v>-15578.94</v>
      </c>
      <c r="H19" s="1">
        <f t="shared" si="0"/>
        <v>-5904265.2999999998</v>
      </c>
      <c r="L19" s="55"/>
    </row>
    <row r="20" spans="1:12" x14ac:dyDescent="0.2">
      <c r="A20" s="65">
        <f>'FERC Interest Rates'!A62</f>
        <v>42886</v>
      </c>
      <c r="D20" s="1">
        <v>-345870.06</v>
      </c>
      <c r="F20" s="1">
        <f t="shared" si="1"/>
        <v>-18604.099999999999</v>
      </c>
      <c r="H20" s="1">
        <f t="shared" si="0"/>
        <v>-6268739.46</v>
      </c>
      <c r="L20" s="55"/>
    </row>
    <row r="21" spans="1:12" x14ac:dyDescent="0.2">
      <c r="A21" s="65">
        <f>'FERC Interest Rates'!A63</f>
        <v>42916</v>
      </c>
      <c r="D21" s="1">
        <v>741392.05</v>
      </c>
      <c r="F21" s="1">
        <f t="shared" si="1"/>
        <v>-19115.36</v>
      </c>
      <c r="H21" s="1">
        <f t="shared" si="0"/>
        <v>-5546462.7699999996</v>
      </c>
      <c r="L21" s="55"/>
    </row>
    <row r="22" spans="1:12" x14ac:dyDescent="0.2">
      <c r="A22" s="65">
        <f>'FERC Interest Rates'!A64</f>
        <v>42947</v>
      </c>
      <c r="D22" s="1">
        <v>139789.29999999999</v>
      </c>
      <c r="F22" s="1">
        <f t="shared" si="1"/>
        <v>-18654.349999999999</v>
      </c>
      <c r="H22" s="1">
        <f t="shared" si="0"/>
        <v>-5425327.8199999994</v>
      </c>
      <c r="L22" s="55"/>
    </row>
    <row r="23" spans="1:12" x14ac:dyDescent="0.2">
      <c r="A23" s="65"/>
      <c r="L23" s="55"/>
    </row>
    <row r="24" spans="1:12" x14ac:dyDescent="0.2">
      <c r="A24" s="65"/>
      <c r="L24" s="55"/>
    </row>
    <row r="25" spans="1:12" x14ac:dyDescent="0.2">
      <c r="A25" s="65"/>
      <c r="L25" s="55"/>
    </row>
    <row r="26" spans="1:12" x14ac:dyDescent="0.2">
      <c r="A26" s="65"/>
      <c r="L26" s="55"/>
    </row>
    <row r="27" spans="1:12" x14ac:dyDescent="0.2">
      <c r="A27" s="65"/>
      <c r="L27" s="55"/>
    </row>
    <row r="48" spans="8:8" x14ac:dyDescent="0.2">
      <c r="H48" s="71"/>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tabSelected="1" view="pageBreakPreview" zoomScaleNormal="100" zoomScaleSheetLayoutView="100" workbookViewId="0">
      <selection activeCell="I52" sqref="I52"/>
    </sheetView>
  </sheetViews>
  <sheetFormatPr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54" bestFit="1" customWidth="1"/>
    <col min="12" max="12" width="10.44140625" style="1" bestFit="1" customWidth="1"/>
    <col min="13" max="16384" width="8.88671875" style="1"/>
  </cols>
  <sheetData>
    <row r="1" spans="1:12" x14ac:dyDescent="0.2">
      <c r="A1" s="174" t="s">
        <v>49</v>
      </c>
      <c r="B1" s="175"/>
      <c r="C1" s="187" t="s">
        <v>50</v>
      </c>
      <c r="D1" s="187"/>
      <c r="E1" s="187"/>
      <c r="F1" s="187"/>
      <c r="G1" s="187"/>
      <c r="H1" s="188"/>
      <c r="I1" s="74"/>
    </row>
    <row r="2" spans="1:12" x14ac:dyDescent="0.2">
      <c r="A2" s="178" t="s">
        <v>51</v>
      </c>
      <c r="B2" s="162"/>
      <c r="C2" s="189" t="s">
        <v>107</v>
      </c>
      <c r="D2" s="189"/>
      <c r="E2" s="189"/>
      <c r="F2" s="189"/>
      <c r="G2" s="189"/>
      <c r="H2" s="190"/>
      <c r="I2" s="74"/>
    </row>
    <row r="3" spans="1:12" x14ac:dyDescent="0.2">
      <c r="A3" s="178" t="s">
        <v>53</v>
      </c>
      <c r="B3" s="162"/>
      <c r="C3" s="189" t="s">
        <v>14</v>
      </c>
      <c r="D3" s="189"/>
      <c r="E3" s="189"/>
      <c r="F3" s="189"/>
      <c r="G3" s="189"/>
      <c r="H3" s="190"/>
      <c r="I3" s="74"/>
    </row>
    <row r="4" spans="1:12" x14ac:dyDescent="0.2">
      <c r="A4" s="178" t="s">
        <v>54</v>
      </c>
      <c r="B4" s="162"/>
      <c r="C4" s="191" t="s">
        <v>55</v>
      </c>
      <c r="D4" s="191"/>
      <c r="E4" s="191"/>
      <c r="F4" s="191"/>
      <c r="G4" s="191"/>
      <c r="H4" s="192"/>
      <c r="I4" s="74"/>
    </row>
    <row r="5" spans="1:12" x14ac:dyDescent="0.2">
      <c r="A5" s="178" t="s">
        <v>56</v>
      </c>
      <c r="B5" s="162"/>
      <c r="C5" s="191" t="s">
        <v>0</v>
      </c>
      <c r="D5" s="191"/>
      <c r="E5" s="191"/>
      <c r="F5" s="191"/>
      <c r="G5" s="191"/>
      <c r="H5" s="192"/>
      <c r="I5" s="74"/>
    </row>
    <row r="6" spans="1:12" x14ac:dyDescent="0.2">
      <c r="A6" s="178" t="s">
        <v>58</v>
      </c>
      <c r="B6" s="162"/>
      <c r="C6" s="191" t="s">
        <v>108</v>
      </c>
      <c r="D6" s="191"/>
      <c r="E6" s="191"/>
      <c r="F6" s="191"/>
      <c r="G6" s="191"/>
      <c r="H6" s="192"/>
      <c r="I6" s="74"/>
    </row>
    <row r="7" spans="1:12" ht="13.5" thickBot="1" x14ac:dyDescent="0.25">
      <c r="A7" s="183" t="s">
        <v>59</v>
      </c>
      <c r="B7" s="184"/>
      <c r="C7" s="194" t="s">
        <v>109</v>
      </c>
      <c r="D7" s="194"/>
      <c r="E7" s="194"/>
      <c r="F7" s="194"/>
      <c r="G7" s="194"/>
      <c r="H7" s="195"/>
      <c r="I7" s="75"/>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x14ac:dyDescent="0.2">
      <c r="A11" s="76"/>
      <c r="B11" s="76"/>
      <c r="C11" s="76"/>
      <c r="D11" s="76"/>
      <c r="E11" s="76"/>
      <c r="F11" s="76"/>
      <c r="G11" s="76"/>
      <c r="H11" s="77"/>
      <c r="I11" s="75"/>
    </row>
    <row r="12" spans="1:12" x14ac:dyDescent="0.2">
      <c r="A12" s="193" t="s">
        <v>110</v>
      </c>
      <c r="B12" s="193"/>
      <c r="C12" s="193"/>
      <c r="D12" s="193"/>
      <c r="E12" s="193"/>
      <c r="F12" s="193"/>
      <c r="G12" s="78">
        <v>519697.25</v>
      </c>
      <c r="H12" s="77"/>
      <c r="I12" s="79"/>
      <c r="J12" s="57"/>
    </row>
    <row r="13" spans="1:12" x14ac:dyDescent="0.2">
      <c r="A13" s="193" t="s">
        <v>111</v>
      </c>
      <c r="B13" s="193"/>
      <c r="C13" s="193"/>
      <c r="D13" s="193"/>
      <c r="E13" s="193"/>
      <c r="F13" s="193"/>
      <c r="G13" s="78">
        <v>90886.69</v>
      </c>
      <c r="H13" s="77"/>
      <c r="I13" s="79"/>
      <c r="J13" s="57"/>
    </row>
    <row r="14" spans="1:12" x14ac:dyDescent="0.2">
      <c r="A14" s="193" t="s">
        <v>112</v>
      </c>
      <c r="B14" s="193"/>
      <c r="C14" s="193"/>
      <c r="D14" s="193"/>
      <c r="E14" s="193"/>
      <c r="F14" s="193"/>
      <c r="G14" s="78">
        <v>1915128.08</v>
      </c>
      <c r="H14" s="77"/>
      <c r="I14" s="79"/>
      <c r="J14" s="57"/>
    </row>
    <row r="15" spans="1:12" x14ac:dyDescent="0.2">
      <c r="A15" s="193" t="s">
        <v>113</v>
      </c>
      <c r="B15" s="193"/>
      <c r="C15" s="193"/>
      <c r="D15" s="193"/>
      <c r="E15" s="193"/>
      <c r="F15" s="193"/>
      <c r="G15" s="78">
        <v>441993.05</v>
      </c>
      <c r="H15" s="77"/>
      <c r="I15" s="75"/>
    </row>
    <row r="16" spans="1:12" x14ac:dyDescent="0.2">
      <c r="A16" s="193" t="s">
        <v>114</v>
      </c>
      <c r="B16" s="193"/>
      <c r="C16" s="193"/>
      <c r="D16" s="193"/>
      <c r="E16" s="193"/>
      <c r="F16" s="193"/>
      <c r="G16" s="80">
        <v>581148.86</v>
      </c>
      <c r="H16" s="77"/>
      <c r="I16" s="75"/>
    </row>
    <row r="17" spans="1:12" x14ac:dyDescent="0.2">
      <c r="A17" s="81"/>
      <c r="B17" s="78"/>
      <c r="C17" s="78"/>
      <c r="D17" s="78"/>
      <c r="E17" s="83"/>
      <c r="F17" s="78"/>
      <c r="G17" s="78"/>
      <c r="H17" s="77">
        <f>SUM(G12:G16)</f>
        <v>3548853.9299999997</v>
      </c>
      <c r="I17" s="75"/>
    </row>
    <row r="18" spans="1:12" s="3" customFormat="1" x14ac:dyDescent="0.2">
      <c r="A18" s="65">
        <f>'FERC Interest Rates'!A56</f>
        <v>42704</v>
      </c>
      <c r="B18" s="86" t="s">
        <v>106</v>
      </c>
      <c r="C18" s="96">
        <f>'Therm Sales'!I41</f>
        <v>14546209</v>
      </c>
      <c r="D18" s="87"/>
      <c r="E18" s="97">
        <f>(9630311*-0.01027)+(4915898*-0.01364)</f>
        <v>-165956.14269000001</v>
      </c>
      <c r="F18" s="79">
        <f>ROUND(H17*VLOOKUP(A18,FERCINT16,2)/365*VLOOKUP(A18,FERCINT16,3),2)</f>
        <v>10209.030000000001</v>
      </c>
      <c r="G18" s="89"/>
      <c r="H18" s="90">
        <f>H17+SUM(E18:G18)</f>
        <v>3393106.8173099998</v>
      </c>
      <c r="I18" s="84"/>
      <c r="J18" s="91"/>
      <c r="K18" s="98"/>
      <c r="L18" s="85"/>
    </row>
    <row r="19" spans="1:12" x14ac:dyDescent="0.2">
      <c r="A19" s="65">
        <f>'FERC Interest Rates'!A57</f>
        <v>42735</v>
      </c>
      <c r="B19" s="99">
        <v>-1.3639999999999999E-2</v>
      </c>
      <c r="C19" s="96">
        <f>'Therm Sales'!I42</f>
        <v>29320569</v>
      </c>
      <c r="D19" s="92"/>
      <c r="E19" s="88">
        <f>ROUND(C19*B19,2)-0.01</f>
        <v>-399932.57</v>
      </c>
      <c r="F19" s="79">
        <f>ROUND(H18*VLOOKUP(A19,FERCINT16,2)/365*VLOOKUP(A19,FERCINT16,3),2)</f>
        <v>10086.36</v>
      </c>
      <c r="G19" s="75"/>
      <c r="H19" s="94">
        <f>H18+SUM(D19:G19)</f>
        <v>3003260.6073099999</v>
      </c>
      <c r="I19" s="79"/>
      <c r="J19" s="57"/>
      <c r="K19" s="98"/>
      <c r="L19" s="85"/>
    </row>
    <row r="20" spans="1:12" x14ac:dyDescent="0.2">
      <c r="A20" s="65">
        <f>'FERC Interest Rates'!A58</f>
        <v>42766</v>
      </c>
      <c r="B20" s="99">
        <v>-1.3639999999999999E-2</v>
      </c>
      <c r="C20" s="96">
        <f>'Therm Sales'!I43</f>
        <v>50070976</v>
      </c>
      <c r="D20" s="92"/>
      <c r="E20" s="88">
        <f>ROUND(C20*B20,2)+0.01</f>
        <v>-682968.1</v>
      </c>
      <c r="F20" s="57">
        <f>ROUND(H19*VLOOKUP(A20,FERCINT17,2)/365*VLOOKUP(A20,FERCINT17,3),2)</f>
        <v>8927.5</v>
      </c>
      <c r="G20" s="75"/>
      <c r="H20" s="94">
        <f t="shared" ref="H20:H26" si="0">H19+SUM(D20:G20)</f>
        <v>2329220.0073099998</v>
      </c>
      <c r="J20" s="57"/>
      <c r="K20" s="98"/>
      <c r="L20" s="95"/>
    </row>
    <row r="21" spans="1:12" x14ac:dyDescent="0.2">
      <c r="A21" s="65">
        <f>'FERC Interest Rates'!A59</f>
        <v>42794</v>
      </c>
      <c r="B21" s="99">
        <v>-1.3639999999999999E-2</v>
      </c>
      <c r="C21" s="96">
        <f>'Therm Sales'!I44</f>
        <v>39357111</v>
      </c>
      <c r="D21" s="92"/>
      <c r="E21" s="93">
        <f t="shared" ref="E21:E25" si="1">ROUND(C21*B21,2)</f>
        <v>-536830.99</v>
      </c>
      <c r="F21" s="79">
        <f t="shared" ref="F21:F26" si="2">ROUND(H20*VLOOKUP(A21,FERCINT17,2)/365*VLOOKUP(A21,FERCINT17,3),2)</f>
        <v>6253.8</v>
      </c>
      <c r="G21" s="75"/>
      <c r="H21" s="94">
        <f t="shared" si="0"/>
        <v>1798642.8173099998</v>
      </c>
      <c r="J21" s="57"/>
      <c r="K21" s="98"/>
      <c r="L21" s="95"/>
    </row>
    <row r="22" spans="1:12" x14ac:dyDescent="0.2">
      <c r="A22" s="65">
        <f>'FERC Interest Rates'!A60</f>
        <v>42825</v>
      </c>
      <c r="B22" s="99">
        <v>-1.3639999999999999E-2</v>
      </c>
      <c r="C22" s="96">
        <f>'Therm Sales'!I45</f>
        <v>35872415</v>
      </c>
      <c r="D22" s="92"/>
      <c r="E22" s="93">
        <f t="shared" si="1"/>
        <v>-489299.74</v>
      </c>
      <c r="F22" s="79">
        <f t="shared" si="2"/>
        <v>5346.65</v>
      </c>
      <c r="G22" s="75"/>
      <c r="H22" s="94">
        <f t="shared" si="0"/>
        <v>1314689.72731</v>
      </c>
      <c r="J22" s="57"/>
      <c r="K22" s="98"/>
      <c r="L22" s="95"/>
    </row>
    <row r="23" spans="1:12" x14ac:dyDescent="0.2">
      <c r="A23" s="65">
        <f>'FERC Interest Rates'!A61</f>
        <v>42855</v>
      </c>
      <c r="B23" s="99">
        <v>-1.3639999999999999E-2</v>
      </c>
      <c r="C23" s="96">
        <f>'Therm Sales'!I46</f>
        <v>21376214</v>
      </c>
      <c r="D23" s="92"/>
      <c r="E23" s="93">
        <f t="shared" si="1"/>
        <v>-291571.56</v>
      </c>
      <c r="F23" s="79">
        <f t="shared" si="2"/>
        <v>4008.9</v>
      </c>
      <c r="G23" s="75"/>
      <c r="H23" s="94">
        <f t="shared" si="0"/>
        <v>1027127.0673100001</v>
      </c>
      <c r="J23" s="57"/>
      <c r="K23" s="98"/>
      <c r="L23" s="95"/>
    </row>
    <row r="24" spans="1:12" x14ac:dyDescent="0.2">
      <c r="A24" s="65">
        <f>'FERC Interest Rates'!A62</f>
        <v>42886</v>
      </c>
      <c r="B24" s="99">
        <v>-1.3639999999999999E-2</v>
      </c>
      <c r="C24" s="96">
        <f>'Therm Sales'!I47</f>
        <v>15973162</v>
      </c>
      <c r="D24" s="92"/>
      <c r="E24" s="93">
        <f t="shared" si="1"/>
        <v>-217873.93</v>
      </c>
      <c r="F24" s="79">
        <f t="shared" si="2"/>
        <v>3236.44</v>
      </c>
      <c r="G24" s="75"/>
      <c r="H24" s="94">
        <f t="shared" si="0"/>
        <v>812489.57731000008</v>
      </c>
      <c r="J24" s="57"/>
      <c r="K24" s="98"/>
      <c r="L24" s="95"/>
    </row>
    <row r="25" spans="1:12" x14ac:dyDescent="0.2">
      <c r="A25" s="65">
        <f>'FERC Interest Rates'!A63</f>
        <v>42916</v>
      </c>
      <c r="B25" s="99">
        <v>-1.3639999999999999E-2</v>
      </c>
      <c r="C25" s="96">
        <f>'Therm Sales'!I48</f>
        <v>10444773</v>
      </c>
      <c r="D25" s="73"/>
      <c r="E25" s="93">
        <f t="shared" si="1"/>
        <v>-142466.70000000001</v>
      </c>
      <c r="F25" s="79">
        <f t="shared" si="2"/>
        <v>2477.54</v>
      </c>
      <c r="H25" s="94">
        <f t="shared" si="0"/>
        <v>672500.41731000005</v>
      </c>
      <c r="J25" s="57"/>
      <c r="K25" s="98"/>
      <c r="L25" s="95"/>
    </row>
    <row r="26" spans="1:12" x14ac:dyDescent="0.2">
      <c r="A26" s="65">
        <f>'FERC Interest Rates'!A64</f>
        <v>42947</v>
      </c>
      <c r="B26" s="99">
        <v>-1.3639999999999999E-2</v>
      </c>
      <c r="C26" s="96">
        <f>'Therm Sales'!I49</f>
        <v>6810348</v>
      </c>
      <c r="D26" s="73"/>
      <c r="E26" s="88">
        <f>ROUND(C26*B26,2)-0.01</f>
        <v>-92893.159999999989</v>
      </c>
      <c r="F26" s="79">
        <f t="shared" si="2"/>
        <v>2261.81</v>
      </c>
      <c r="H26" s="94">
        <f t="shared" si="0"/>
        <v>581869.06731000007</v>
      </c>
      <c r="J26" s="57"/>
      <c r="K26" s="98"/>
      <c r="L26" s="95"/>
    </row>
    <row r="27" spans="1:12" x14ac:dyDescent="0.2">
      <c r="A27" s="65"/>
      <c r="B27" s="99"/>
      <c r="C27" s="96"/>
      <c r="D27" s="73"/>
      <c r="E27" s="93"/>
      <c r="F27" s="79"/>
      <c r="H27" s="94"/>
      <c r="J27" s="57"/>
      <c r="K27" s="98"/>
      <c r="L27" s="95"/>
    </row>
    <row r="28" spans="1:12" x14ac:dyDescent="0.2">
      <c r="A28" s="65"/>
      <c r="B28" s="99"/>
      <c r="C28" s="96"/>
      <c r="D28" s="73"/>
      <c r="E28" s="93"/>
      <c r="F28" s="79"/>
      <c r="H28" s="94"/>
      <c r="J28" s="57"/>
      <c r="K28" s="98"/>
      <c r="L28" s="95"/>
    </row>
    <row r="29" spans="1:12" x14ac:dyDescent="0.2">
      <c r="A29" s="65"/>
      <c r="B29" s="99"/>
      <c r="C29" s="96"/>
      <c r="D29" s="73"/>
      <c r="E29" s="93"/>
      <c r="F29" s="79"/>
      <c r="H29" s="94"/>
      <c r="J29" s="57"/>
      <c r="K29" s="98"/>
      <c r="L29" s="95"/>
    </row>
    <row r="30" spans="1:12" x14ac:dyDescent="0.2">
      <c r="A30" s="65"/>
      <c r="B30" s="99"/>
      <c r="C30" s="96"/>
      <c r="D30" s="73"/>
      <c r="E30" s="93"/>
      <c r="F30" s="79"/>
      <c r="H30" s="94"/>
      <c r="J30" s="57"/>
      <c r="K30" s="98"/>
      <c r="L30" s="95"/>
    </row>
    <row r="31" spans="1:12" x14ac:dyDescent="0.2">
      <c r="A31" s="167"/>
      <c r="B31" s="167"/>
      <c r="C31" s="167"/>
      <c r="D31" s="167"/>
      <c r="E31" s="167"/>
      <c r="F31" s="167"/>
      <c r="H31" s="94"/>
      <c r="J31" s="57"/>
    </row>
    <row r="37" spans="5:5" x14ac:dyDescent="0.2">
      <c r="E37" s="1" t="s">
        <v>7</v>
      </c>
    </row>
  </sheetData>
  <mergeCells count="21">
    <mergeCell ref="A15:F15"/>
    <mergeCell ref="A16:F16"/>
    <mergeCell ref="A31:F3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E69"/>
  <sheetViews>
    <sheetView showGridLines="0" tabSelected="1" view="pageBreakPreview" topLeftCell="A55" zoomScaleNormal="60" zoomScaleSheetLayoutView="100" workbookViewId="0">
      <selection activeCell="I52" sqref="I52"/>
    </sheetView>
  </sheetViews>
  <sheetFormatPr defaultColWidth="12.77734375" defaultRowHeight="12.75" x14ac:dyDescent="0.2"/>
  <cols>
    <col min="1" max="3" width="13.77734375" style="1" customWidth="1"/>
    <col min="4" max="4" width="2.5546875" style="1" bestFit="1" customWidth="1"/>
    <col min="5" max="22" width="12.77734375" style="1"/>
    <col min="23" max="23" width="12.77734375" style="1" customWidth="1"/>
    <col min="24" max="85" width="12.77734375" style="1"/>
    <col min="86" max="86" width="13.6640625" style="1" customWidth="1"/>
    <col min="87" max="16384" width="12.77734375" style="1"/>
  </cols>
  <sheetData>
    <row r="1" spans="1:5" s="5" customFormat="1" ht="15.75" x14ac:dyDescent="0.25">
      <c r="A1" s="4" t="s">
        <v>16</v>
      </c>
      <c r="B1" s="4"/>
      <c r="C1" s="4"/>
      <c r="D1" s="4"/>
    </row>
    <row r="2" spans="1:5" s="5" customFormat="1" ht="15.75" x14ac:dyDescent="0.25">
      <c r="A2" s="4" t="s">
        <v>17</v>
      </c>
      <c r="B2" s="4"/>
      <c r="C2" s="4"/>
      <c r="D2" s="4"/>
    </row>
    <row r="3" spans="1:5" s="5" customFormat="1" ht="15.75" x14ac:dyDescent="0.25">
      <c r="A3" s="4" t="s">
        <v>18</v>
      </c>
      <c r="B3" s="4"/>
      <c r="C3" s="4"/>
      <c r="D3" s="4"/>
    </row>
    <row r="4" spans="1:5" x14ac:dyDescent="0.2">
      <c r="A4" s="6"/>
      <c r="B4" s="6"/>
      <c r="C4" s="6"/>
      <c r="D4" s="6"/>
    </row>
    <row r="5" spans="1:5" ht="15.75" customHeight="1" x14ac:dyDescent="0.2">
      <c r="A5" s="6" t="s">
        <v>19</v>
      </c>
      <c r="B5" s="6"/>
      <c r="C5" s="6"/>
      <c r="D5" s="6"/>
    </row>
    <row r="6" spans="1:5" ht="15.75" customHeight="1" x14ac:dyDescent="0.2">
      <c r="A6" s="6" t="s">
        <v>20</v>
      </c>
      <c r="B6" s="6"/>
      <c r="C6" s="6"/>
      <c r="D6" s="6"/>
    </row>
    <row r="7" spans="1:5" ht="15.75" customHeight="1" x14ac:dyDescent="0.2">
      <c r="A7" s="7" t="s">
        <v>21</v>
      </c>
      <c r="B7" s="8"/>
      <c r="C7" s="8"/>
      <c r="D7" s="8"/>
    </row>
    <row r="8" spans="1:5" x14ac:dyDescent="0.2">
      <c r="A8" s="6"/>
      <c r="B8" s="6"/>
      <c r="C8" s="6"/>
      <c r="D8" s="6"/>
    </row>
    <row r="9" spans="1:5" x14ac:dyDescent="0.2">
      <c r="A9" s="9" t="s">
        <v>22</v>
      </c>
      <c r="B9" s="9" t="s">
        <v>23</v>
      </c>
      <c r="C9" s="9" t="s">
        <v>24</v>
      </c>
      <c r="D9" s="9"/>
      <c r="E9" s="10"/>
    </row>
    <row r="10" spans="1:5" x14ac:dyDescent="0.2">
      <c r="A10" s="11">
        <v>41305</v>
      </c>
      <c r="B10" s="12">
        <v>3.2500000000000001E-2</v>
      </c>
      <c r="C10" s="13">
        <v>31</v>
      </c>
      <c r="D10" s="206" t="s">
        <v>25</v>
      </c>
    </row>
    <row r="11" spans="1:5" x14ac:dyDescent="0.2">
      <c r="A11" s="14">
        <v>41333</v>
      </c>
      <c r="B11" s="15">
        <f>B10</f>
        <v>3.2500000000000001E-2</v>
      </c>
      <c r="C11" s="16">
        <v>28</v>
      </c>
      <c r="D11" s="207"/>
    </row>
    <row r="12" spans="1:5" x14ac:dyDescent="0.2">
      <c r="A12" s="14">
        <v>41364</v>
      </c>
      <c r="B12" s="15">
        <f>B11</f>
        <v>3.2500000000000001E-2</v>
      </c>
      <c r="C12" s="16">
        <v>31</v>
      </c>
      <c r="D12" s="207"/>
    </row>
    <row r="13" spans="1:5" x14ac:dyDescent="0.2">
      <c r="A13" s="14">
        <v>41394</v>
      </c>
      <c r="B13" s="15">
        <f t="shared" ref="B13:B33" si="0">B12</f>
        <v>3.2500000000000001E-2</v>
      </c>
      <c r="C13" s="16">
        <v>30</v>
      </c>
      <c r="D13" s="207"/>
    </row>
    <row r="14" spans="1:5" x14ac:dyDescent="0.2">
      <c r="A14" s="14">
        <v>41425</v>
      </c>
      <c r="B14" s="15">
        <f t="shared" si="0"/>
        <v>3.2500000000000001E-2</v>
      </c>
      <c r="C14" s="16">
        <v>31</v>
      </c>
      <c r="D14" s="207"/>
    </row>
    <row r="15" spans="1:5" x14ac:dyDescent="0.2">
      <c r="A15" s="14">
        <v>41455</v>
      </c>
      <c r="B15" s="15">
        <f t="shared" si="0"/>
        <v>3.2500000000000001E-2</v>
      </c>
      <c r="C15" s="16">
        <v>30</v>
      </c>
      <c r="D15" s="207"/>
    </row>
    <row r="16" spans="1:5" x14ac:dyDescent="0.2">
      <c r="A16" s="14">
        <v>41486</v>
      </c>
      <c r="B16" s="15">
        <f t="shared" si="0"/>
        <v>3.2500000000000001E-2</v>
      </c>
      <c r="C16" s="16">
        <v>31</v>
      </c>
      <c r="D16" s="207"/>
    </row>
    <row r="17" spans="1:4" x14ac:dyDescent="0.2">
      <c r="A17" s="14">
        <v>41517</v>
      </c>
      <c r="B17" s="15">
        <f t="shared" si="0"/>
        <v>3.2500000000000001E-2</v>
      </c>
      <c r="C17" s="16">
        <v>31</v>
      </c>
      <c r="D17" s="207"/>
    </row>
    <row r="18" spans="1:4" x14ac:dyDescent="0.2">
      <c r="A18" s="14">
        <v>41547</v>
      </c>
      <c r="B18" s="15">
        <f t="shared" si="0"/>
        <v>3.2500000000000001E-2</v>
      </c>
      <c r="C18" s="16">
        <v>30</v>
      </c>
      <c r="D18" s="207"/>
    </row>
    <row r="19" spans="1:4" x14ac:dyDescent="0.2">
      <c r="A19" s="14">
        <v>41578</v>
      </c>
      <c r="B19" s="15">
        <f t="shared" si="0"/>
        <v>3.2500000000000001E-2</v>
      </c>
      <c r="C19" s="16">
        <v>31</v>
      </c>
      <c r="D19" s="207"/>
    </row>
    <row r="20" spans="1:4" x14ac:dyDescent="0.2">
      <c r="A20" s="14">
        <v>41608</v>
      </c>
      <c r="B20" s="15">
        <f t="shared" si="0"/>
        <v>3.2500000000000001E-2</v>
      </c>
      <c r="C20" s="16">
        <v>30</v>
      </c>
      <c r="D20" s="207"/>
    </row>
    <row r="21" spans="1:4" x14ac:dyDescent="0.2">
      <c r="A21" s="17">
        <v>41639</v>
      </c>
      <c r="B21" s="18">
        <f t="shared" si="0"/>
        <v>3.2500000000000001E-2</v>
      </c>
      <c r="C21" s="19">
        <v>31</v>
      </c>
      <c r="D21" s="208"/>
    </row>
    <row r="22" spans="1:4" ht="12.75" customHeight="1" x14ac:dyDescent="0.2">
      <c r="A22" s="11">
        <v>41670</v>
      </c>
      <c r="B22" s="15">
        <f t="shared" si="0"/>
        <v>3.2500000000000001E-2</v>
      </c>
      <c r="C22" s="13">
        <v>31</v>
      </c>
      <c r="D22" s="206" t="s">
        <v>26</v>
      </c>
    </row>
    <row r="23" spans="1:4" x14ac:dyDescent="0.2">
      <c r="A23" s="14">
        <v>41698</v>
      </c>
      <c r="B23" s="15">
        <f t="shared" si="0"/>
        <v>3.2500000000000001E-2</v>
      </c>
      <c r="C23" s="16">
        <v>28</v>
      </c>
      <c r="D23" s="207"/>
    </row>
    <row r="24" spans="1:4" x14ac:dyDescent="0.2">
      <c r="A24" s="14">
        <v>41729</v>
      </c>
      <c r="B24" s="15">
        <f t="shared" si="0"/>
        <v>3.2500000000000001E-2</v>
      </c>
      <c r="C24" s="16">
        <v>31</v>
      </c>
      <c r="D24" s="207"/>
    </row>
    <row r="25" spans="1:4" x14ac:dyDescent="0.2">
      <c r="A25" s="14">
        <v>41759</v>
      </c>
      <c r="B25" s="15">
        <f t="shared" si="0"/>
        <v>3.2500000000000001E-2</v>
      </c>
      <c r="C25" s="16">
        <v>30</v>
      </c>
      <c r="D25" s="207"/>
    </row>
    <row r="26" spans="1:4" x14ac:dyDescent="0.2">
      <c r="A26" s="14">
        <v>41790</v>
      </c>
      <c r="B26" s="15">
        <f t="shared" si="0"/>
        <v>3.2500000000000001E-2</v>
      </c>
      <c r="C26" s="16">
        <v>31</v>
      </c>
      <c r="D26" s="207"/>
    </row>
    <row r="27" spans="1:4" x14ac:dyDescent="0.2">
      <c r="A27" s="14">
        <v>41820</v>
      </c>
      <c r="B27" s="15">
        <f t="shared" si="0"/>
        <v>3.2500000000000001E-2</v>
      </c>
      <c r="C27" s="16">
        <v>30</v>
      </c>
      <c r="D27" s="207"/>
    </row>
    <row r="28" spans="1:4" x14ac:dyDescent="0.2">
      <c r="A28" s="14">
        <v>41851</v>
      </c>
      <c r="B28" s="15">
        <f t="shared" si="0"/>
        <v>3.2500000000000001E-2</v>
      </c>
      <c r="C28" s="16">
        <v>31</v>
      </c>
      <c r="D28" s="207"/>
    </row>
    <row r="29" spans="1:4" x14ac:dyDescent="0.2">
      <c r="A29" s="14">
        <v>41882</v>
      </c>
      <c r="B29" s="15">
        <f t="shared" si="0"/>
        <v>3.2500000000000001E-2</v>
      </c>
      <c r="C29" s="16">
        <v>31</v>
      </c>
      <c r="D29" s="207"/>
    </row>
    <row r="30" spans="1:4" x14ac:dyDescent="0.2">
      <c r="A30" s="14">
        <v>41912</v>
      </c>
      <c r="B30" s="15">
        <f t="shared" si="0"/>
        <v>3.2500000000000001E-2</v>
      </c>
      <c r="C30" s="16">
        <v>30</v>
      </c>
      <c r="D30" s="207"/>
    </row>
    <row r="31" spans="1:4" x14ac:dyDescent="0.2">
      <c r="A31" s="14">
        <v>41943</v>
      </c>
      <c r="B31" s="15">
        <f t="shared" si="0"/>
        <v>3.2500000000000001E-2</v>
      </c>
      <c r="C31" s="16">
        <v>31</v>
      </c>
      <c r="D31" s="207"/>
    </row>
    <row r="32" spans="1:4" x14ac:dyDescent="0.2">
      <c r="A32" s="14">
        <v>41973</v>
      </c>
      <c r="B32" s="15">
        <f t="shared" si="0"/>
        <v>3.2500000000000001E-2</v>
      </c>
      <c r="C32" s="16">
        <v>30</v>
      </c>
      <c r="D32" s="207"/>
    </row>
    <row r="33" spans="1:4" x14ac:dyDescent="0.2">
      <c r="A33" s="17">
        <v>42004</v>
      </c>
      <c r="B33" s="18">
        <f t="shared" si="0"/>
        <v>3.2500000000000001E-2</v>
      </c>
      <c r="C33" s="19">
        <v>31</v>
      </c>
      <c r="D33" s="208"/>
    </row>
    <row r="34" spans="1:4" ht="12.75" customHeight="1" x14ac:dyDescent="0.2">
      <c r="A34" s="11">
        <v>42035</v>
      </c>
      <c r="B34" s="15">
        <f>B33</f>
        <v>3.2500000000000001E-2</v>
      </c>
      <c r="C34" s="13">
        <v>31</v>
      </c>
      <c r="D34" s="206" t="s">
        <v>27</v>
      </c>
    </row>
    <row r="35" spans="1:4" x14ac:dyDescent="0.2">
      <c r="A35" s="14">
        <v>42063</v>
      </c>
      <c r="B35" s="15">
        <f t="shared" ref="B35:B69" si="1">B34</f>
        <v>3.2500000000000001E-2</v>
      </c>
      <c r="C35" s="16">
        <v>28</v>
      </c>
      <c r="D35" s="207"/>
    </row>
    <row r="36" spans="1:4" x14ac:dyDescent="0.2">
      <c r="A36" s="14">
        <v>42094</v>
      </c>
      <c r="B36" s="15">
        <f t="shared" si="1"/>
        <v>3.2500000000000001E-2</v>
      </c>
      <c r="C36" s="16">
        <v>31</v>
      </c>
      <c r="D36" s="207"/>
    </row>
    <row r="37" spans="1:4" x14ac:dyDescent="0.2">
      <c r="A37" s="14">
        <v>42124</v>
      </c>
      <c r="B37" s="15">
        <f t="shared" si="1"/>
        <v>3.2500000000000001E-2</v>
      </c>
      <c r="C37" s="16">
        <v>30</v>
      </c>
      <c r="D37" s="207"/>
    </row>
    <row r="38" spans="1:4" x14ac:dyDescent="0.2">
      <c r="A38" s="14">
        <v>42155</v>
      </c>
      <c r="B38" s="15">
        <f t="shared" si="1"/>
        <v>3.2500000000000001E-2</v>
      </c>
      <c r="C38" s="16">
        <v>31</v>
      </c>
      <c r="D38" s="207"/>
    </row>
    <row r="39" spans="1:4" x14ac:dyDescent="0.2">
      <c r="A39" s="14">
        <v>42185</v>
      </c>
      <c r="B39" s="15">
        <f t="shared" si="1"/>
        <v>3.2500000000000001E-2</v>
      </c>
      <c r="C39" s="16">
        <v>30</v>
      </c>
      <c r="D39" s="207"/>
    </row>
    <row r="40" spans="1:4" x14ac:dyDescent="0.2">
      <c r="A40" s="14">
        <v>42216</v>
      </c>
      <c r="B40" s="15">
        <f t="shared" si="1"/>
        <v>3.2500000000000001E-2</v>
      </c>
      <c r="C40" s="16">
        <v>31</v>
      </c>
      <c r="D40" s="207"/>
    </row>
    <row r="41" spans="1:4" x14ac:dyDescent="0.2">
      <c r="A41" s="14">
        <v>42247</v>
      </c>
      <c r="B41" s="15">
        <f t="shared" si="1"/>
        <v>3.2500000000000001E-2</v>
      </c>
      <c r="C41" s="16">
        <v>31</v>
      </c>
      <c r="D41" s="207"/>
    </row>
    <row r="42" spans="1:4" x14ac:dyDescent="0.2">
      <c r="A42" s="14">
        <v>42277</v>
      </c>
      <c r="B42" s="15">
        <f t="shared" si="1"/>
        <v>3.2500000000000001E-2</v>
      </c>
      <c r="C42" s="16">
        <v>30</v>
      </c>
      <c r="D42" s="207"/>
    </row>
    <row r="43" spans="1:4" x14ac:dyDescent="0.2">
      <c r="A43" s="14">
        <v>42308</v>
      </c>
      <c r="B43" s="15">
        <f t="shared" si="1"/>
        <v>3.2500000000000001E-2</v>
      </c>
      <c r="C43" s="16">
        <v>31</v>
      </c>
      <c r="D43" s="207"/>
    </row>
    <row r="44" spans="1:4" x14ac:dyDescent="0.2">
      <c r="A44" s="14">
        <v>42338</v>
      </c>
      <c r="B44" s="15">
        <f t="shared" si="1"/>
        <v>3.2500000000000001E-2</v>
      </c>
      <c r="C44" s="16">
        <v>30</v>
      </c>
      <c r="D44" s="207"/>
    </row>
    <row r="45" spans="1:4" x14ac:dyDescent="0.2">
      <c r="A45" s="17">
        <v>42369</v>
      </c>
      <c r="B45" s="18">
        <f t="shared" si="1"/>
        <v>3.2500000000000001E-2</v>
      </c>
      <c r="C45" s="19">
        <v>31</v>
      </c>
      <c r="D45" s="208"/>
    </row>
    <row r="46" spans="1:4" ht="12.75" customHeight="1" x14ac:dyDescent="0.2">
      <c r="A46" s="14">
        <v>42400</v>
      </c>
      <c r="B46" s="15">
        <f t="shared" si="1"/>
        <v>3.2500000000000001E-2</v>
      </c>
      <c r="C46" s="13">
        <v>31</v>
      </c>
      <c r="D46" s="206" t="s">
        <v>28</v>
      </c>
    </row>
    <row r="47" spans="1:4" x14ac:dyDescent="0.2">
      <c r="A47" s="14">
        <v>42429</v>
      </c>
      <c r="B47" s="15">
        <f t="shared" si="1"/>
        <v>3.2500000000000001E-2</v>
      </c>
      <c r="C47" s="16">
        <v>29</v>
      </c>
      <c r="D47" s="207"/>
    </row>
    <row r="48" spans="1:4" x14ac:dyDescent="0.2">
      <c r="A48" s="14">
        <v>42460</v>
      </c>
      <c r="B48" s="15">
        <f t="shared" si="1"/>
        <v>3.2500000000000001E-2</v>
      </c>
      <c r="C48" s="16">
        <v>31</v>
      </c>
      <c r="D48" s="207"/>
    </row>
    <row r="49" spans="1:4" x14ac:dyDescent="0.2">
      <c r="A49" s="14">
        <v>42490</v>
      </c>
      <c r="B49" s="15">
        <v>3.4599999999999999E-2</v>
      </c>
      <c r="C49" s="16">
        <v>30</v>
      </c>
      <c r="D49" s="207"/>
    </row>
    <row r="50" spans="1:4" x14ac:dyDescent="0.2">
      <c r="A50" s="14">
        <v>42521</v>
      </c>
      <c r="B50" s="15">
        <f t="shared" si="1"/>
        <v>3.4599999999999999E-2</v>
      </c>
      <c r="C50" s="16">
        <v>31</v>
      </c>
      <c r="D50" s="207"/>
    </row>
    <row r="51" spans="1:4" x14ac:dyDescent="0.2">
      <c r="A51" s="14">
        <v>42551</v>
      </c>
      <c r="B51" s="15">
        <f t="shared" si="1"/>
        <v>3.4599999999999999E-2</v>
      </c>
      <c r="C51" s="16">
        <v>30</v>
      </c>
      <c r="D51" s="207"/>
    </row>
    <row r="52" spans="1:4" x14ac:dyDescent="0.2">
      <c r="A52" s="14">
        <v>42582</v>
      </c>
      <c r="B52" s="15">
        <v>3.5000000000000003E-2</v>
      </c>
      <c r="C52" s="16">
        <v>31</v>
      </c>
      <c r="D52" s="207"/>
    </row>
    <row r="53" spans="1:4" x14ac:dyDescent="0.2">
      <c r="A53" s="14">
        <v>42613</v>
      </c>
      <c r="B53" s="15">
        <f t="shared" si="1"/>
        <v>3.5000000000000003E-2</v>
      </c>
      <c r="C53" s="16">
        <v>31</v>
      </c>
      <c r="D53" s="207"/>
    </row>
    <row r="54" spans="1:4" x14ac:dyDescent="0.2">
      <c r="A54" s="14">
        <v>42643</v>
      </c>
      <c r="B54" s="15">
        <f t="shared" si="1"/>
        <v>3.5000000000000003E-2</v>
      </c>
      <c r="C54" s="16">
        <v>30</v>
      </c>
      <c r="D54" s="207"/>
    </row>
    <row r="55" spans="1:4" x14ac:dyDescent="0.2">
      <c r="A55" s="14">
        <v>42674</v>
      </c>
      <c r="B55" s="15">
        <f t="shared" si="1"/>
        <v>3.5000000000000003E-2</v>
      </c>
      <c r="C55" s="16">
        <v>31</v>
      </c>
      <c r="D55" s="207"/>
    </row>
    <row r="56" spans="1:4" x14ac:dyDescent="0.2">
      <c r="A56" s="14">
        <v>42704</v>
      </c>
      <c r="B56" s="15">
        <f t="shared" si="1"/>
        <v>3.5000000000000003E-2</v>
      </c>
      <c r="C56" s="16">
        <v>30</v>
      </c>
      <c r="D56" s="207"/>
    </row>
    <row r="57" spans="1:4" x14ac:dyDescent="0.2">
      <c r="A57" s="17">
        <v>42735</v>
      </c>
      <c r="B57" s="18">
        <f t="shared" si="1"/>
        <v>3.5000000000000003E-2</v>
      </c>
      <c r="C57" s="19">
        <v>31</v>
      </c>
      <c r="D57" s="208"/>
    </row>
    <row r="58" spans="1:4" ht="12.75" customHeight="1" x14ac:dyDescent="0.2">
      <c r="A58" s="14">
        <v>42766</v>
      </c>
      <c r="B58" s="15">
        <f t="shared" si="1"/>
        <v>3.5000000000000003E-2</v>
      </c>
      <c r="C58" s="13">
        <v>31</v>
      </c>
      <c r="D58" s="206" t="s">
        <v>29</v>
      </c>
    </row>
    <row r="59" spans="1:4" x14ac:dyDescent="0.2">
      <c r="A59" s="14">
        <v>42794</v>
      </c>
      <c r="B59" s="15">
        <f t="shared" si="1"/>
        <v>3.5000000000000003E-2</v>
      </c>
      <c r="C59" s="16">
        <v>28</v>
      </c>
      <c r="D59" s="207"/>
    </row>
    <row r="60" spans="1:4" x14ac:dyDescent="0.2">
      <c r="A60" s="14">
        <v>42825</v>
      </c>
      <c r="B60" s="15">
        <f t="shared" si="1"/>
        <v>3.5000000000000003E-2</v>
      </c>
      <c r="C60" s="16">
        <v>31</v>
      </c>
      <c r="D60" s="207"/>
    </row>
    <row r="61" spans="1:4" x14ac:dyDescent="0.2">
      <c r="A61" s="14">
        <v>42855</v>
      </c>
      <c r="B61" s="15">
        <v>3.7100000000000001E-2</v>
      </c>
      <c r="C61" s="16">
        <v>30</v>
      </c>
      <c r="D61" s="207"/>
    </row>
    <row r="62" spans="1:4" x14ac:dyDescent="0.2">
      <c r="A62" s="14">
        <v>42886</v>
      </c>
      <c r="B62" s="15">
        <f t="shared" si="1"/>
        <v>3.7100000000000001E-2</v>
      </c>
      <c r="C62" s="16">
        <v>31</v>
      </c>
      <c r="D62" s="207"/>
    </row>
    <row r="63" spans="1:4" x14ac:dyDescent="0.2">
      <c r="A63" s="14">
        <v>42916</v>
      </c>
      <c r="B63" s="15">
        <f t="shared" si="1"/>
        <v>3.7100000000000001E-2</v>
      </c>
      <c r="C63" s="16">
        <v>30</v>
      </c>
      <c r="D63" s="207"/>
    </row>
    <row r="64" spans="1:4" x14ac:dyDescent="0.2">
      <c r="A64" s="14">
        <v>42947</v>
      </c>
      <c r="B64" s="15">
        <v>3.9600000000000003E-2</v>
      </c>
      <c r="C64" s="16">
        <v>31</v>
      </c>
      <c r="D64" s="207"/>
    </row>
    <row r="65" spans="1:4" x14ac:dyDescent="0.2">
      <c r="A65" s="14">
        <v>42978</v>
      </c>
      <c r="B65" s="15">
        <f t="shared" si="1"/>
        <v>3.9600000000000003E-2</v>
      </c>
      <c r="C65" s="16">
        <v>31</v>
      </c>
      <c r="D65" s="207"/>
    </row>
    <row r="66" spans="1:4" x14ac:dyDescent="0.2">
      <c r="A66" s="14">
        <v>43008</v>
      </c>
      <c r="B66" s="15">
        <f t="shared" si="1"/>
        <v>3.9600000000000003E-2</v>
      </c>
      <c r="C66" s="16">
        <v>30</v>
      </c>
      <c r="D66" s="207"/>
    </row>
    <row r="67" spans="1:4" x14ac:dyDescent="0.2">
      <c r="A67" s="14">
        <v>43039</v>
      </c>
      <c r="B67" s="15">
        <f t="shared" si="1"/>
        <v>3.9600000000000003E-2</v>
      </c>
      <c r="C67" s="16">
        <v>31</v>
      </c>
      <c r="D67" s="207"/>
    </row>
    <row r="68" spans="1:4" x14ac:dyDescent="0.2">
      <c r="A68" s="14">
        <v>43069</v>
      </c>
      <c r="B68" s="15">
        <f t="shared" si="1"/>
        <v>3.9600000000000003E-2</v>
      </c>
      <c r="C68" s="16">
        <v>30</v>
      </c>
      <c r="D68" s="207"/>
    </row>
    <row r="69" spans="1:4" x14ac:dyDescent="0.2">
      <c r="A69" s="17">
        <v>43100</v>
      </c>
      <c r="B69" s="18">
        <f t="shared" si="1"/>
        <v>3.9600000000000003E-2</v>
      </c>
      <c r="C69" s="19">
        <v>31</v>
      </c>
      <c r="D69" s="208"/>
    </row>
  </sheetData>
  <mergeCells count="5">
    <mergeCell ref="D10:D21"/>
    <mergeCell ref="D22:D33"/>
    <mergeCell ref="D34:D45"/>
    <mergeCell ref="D46:D57"/>
    <mergeCell ref="D58:D69"/>
  </mergeCells>
  <hyperlinks>
    <hyperlink ref="A7" r:id="rId1"/>
  </hyperlinks>
  <printOptions gridLinesSet="0"/>
  <pageMargins left="0.5" right="0.25" top="0.5" bottom="0.25" header="0.5" footer="0.5"/>
  <pageSetup scale="83" fitToHeight="0" orientation="portrait" r:id="rId2"/>
  <headerFooter scaleWithDoc="0"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showGridLines="0" tabSelected="1" view="pageBreakPreview" zoomScaleNormal="60" zoomScaleSheetLayoutView="100" workbookViewId="0">
      <pane xSplit="1" ySplit="4" topLeftCell="B38" activePane="bottomRight" state="frozen"/>
      <selection activeCell="I52" sqref="I52"/>
      <selection pane="topRight" activeCell="I52" sqref="I52"/>
      <selection pane="bottomLeft" activeCell="I52" sqref="I52"/>
      <selection pane="bottomRight" activeCell="I52" sqref="I52"/>
    </sheetView>
  </sheetViews>
  <sheetFormatPr defaultRowHeight="12.75" x14ac:dyDescent="0.2"/>
  <cols>
    <col min="1" max="1" width="8.33203125" style="1" bestFit="1" customWidth="1"/>
    <col min="2" max="2" width="11.77734375" style="43" bestFit="1" customWidth="1"/>
    <col min="3" max="3" width="12.33203125" style="43" bestFit="1" customWidth="1"/>
    <col min="4" max="4" width="10.77734375" style="43" bestFit="1" customWidth="1"/>
    <col min="5" max="5" width="8.5546875" style="44" bestFit="1" customWidth="1"/>
    <col min="6" max="6" width="8" style="29" bestFit="1" customWidth="1"/>
    <col min="7" max="7" width="6.88671875" style="43" customWidth="1"/>
    <col min="8" max="8" width="8.6640625" style="44" bestFit="1" customWidth="1"/>
    <col min="9" max="9" width="8.5546875" style="44" bestFit="1" customWidth="1"/>
    <col min="10" max="10" width="11.77734375" style="45" customWidth="1"/>
    <col min="11" max="11" width="10.5546875" style="44" customWidth="1"/>
    <col min="12" max="12" width="7.88671875" style="46" customWidth="1"/>
    <col min="13" max="13" width="12" style="47" bestFit="1" customWidth="1"/>
    <col min="14" max="14" width="9.6640625" style="44" bestFit="1" customWidth="1"/>
    <col min="15" max="15" width="8.88671875" style="48" customWidth="1"/>
    <col min="16" max="16" width="6.5546875" style="49" customWidth="1"/>
    <col min="17" max="17" width="18.88671875" style="1" bestFit="1" customWidth="1"/>
    <col min="18" max="21" width="12.77734375" style="1" customWidth="1"/>
    <col min="22" max="16384" width="8.88671875" style="1"/>
  </cols>
  <sheetData>
    <row r="1" spans="1:16" ht="15.75" x14ac:dyDescent="0.25">
      <c r="A1" s="211" t="s">
        <v>30</v>
      </c>
      <c r="B1" s="212"/>
      <c r="C1" s="212"/>
      <c r="D1" s="212"/>
      <c r="E1" s="212"/>
      <c r="F1" s="212"/>
      <c r="G1" s="212"/>
      <c r="H1" s="212"/>
      <c r="I1" s="212"/>
      <c r="J1" s="212"/>
      <c r="K1" s="212"/>
      <c r="L1" s="212"/>
      <c r="M1" s="212"/>
      <c r="N1" s="212"/>
      <c r="O1" s="212"/>
      <c r="P1" s="213"/>
    </row>
    <row r="2" spans="1:16" ht="16.5" thickBot="1" x14ac:dyDescent="0.3">
      <c r="A2" s="214" t="s">
        <v>31</v>
      </c>
      <c r="B2" s="215"/>
      <c r="C2" s="215"/>
      <c r="D2" s="215"/>
      <c r="E2" s="215"/>
      <c r="F2" s="215"/>
      <c r="G2" s="215"/>
      <c r="H2" s="215"/>
      <c r="I2" s="215"/>
      <c r="J2" s="215"/>
      <c r="K2" s="215"/>
      <c r="L2" s="215"/>
      <c r="M2" s="215"/>
      <c r="N2" s="215"/>
      <c r="O2" s="215"/>
      <c r="P2" s="216"/>
    </row>
    <row r="3" spans="1:16" s="20" customFormat="1" ht="15.75" customHeight="1" x14ac:dyDescent="0.2">
      <c r="A3" s="217" t="s">
        <v>32</v>
      </c>
      <c r="B3" s="219" t="s">
        <v>33</v>
      </c>
      <c r="C3" s="220"/>
      <c r="D3" s="220"/>
      <c r="E3" s="221"/>
      <c r="F3" s="219" t="s">
        <v>34</v>
      </c>
      <c r="G3" s="220"/>
      <c r="H3" s="221"/>
      <c r="I3" s="222" t="s">
        <v>35</v>
      </c>
      <c r="J3" s="224" t="s">
        <v>36</v>
      </c>
      <c r="K3" s="226" t="s">
        <v>37</v>
      </c>
      <c r="L3" s="228" t="s">
        <v>38</v>
      </c>
      <c r="M3" s="229"/>
      <c r="N3" s="229"/>
      <c r="O3" s="230" t="s">
        <v>39</v>
      </c>
      <c r="P3" s="209" t="s">
        <v>40</v>
      </c>
    </row>
    <row r="4" spans="1:16" s="25" customFormat="1" ht="60" customHeight="1" x14ac:dyDescent="0.2">
      <c r="A4" s="218"/>
      <c r="B4" s="21" t="s">
        <v>2</v>
      </c>
      <c r="C4" s="21" t="s">
        <v>5</v>
      </c>
      <c r="D4" s="21" t="s">
        <v>6</v>
      </c>
      <c r="E4" s="22" t="s">
        <v>41</v>
      </c>
      <c r="F4" s="23" t="s">
        <v>42</v>
      </c>
      <c r="G4" s="21" t="s">
        <v>43</v>
      </c>
      <c r="H4" s="22" t="s">
        <v>44</v>
      </c>
      <c r="I4" s="223"/>
      <c r="J4" s="225"/>
      <c r="K4" s="227"/>
      <c r="L4" s="22" t="s">
        <v>45</v>
      </c>
      <c r="M4" s="24" t="s">
        <v>46</v>
      </c>
      <c r="N4" s="22" t="s">
        <v>47</v>
      </c>
      <c r="O4" s="231"/>
      <c r="P4" s="210"/>
    </row>
    <row r="5" spans="1:16" x14ac:dyDescent="0.2">
      <c r="A5" s="26">
        <f>'FERC Interest Rates'!A20</f>
        <v>41608</v>
      </c>
      <c r="B5" s="27">
        <v>8981544</v>
      </c>
      <c r="C5" s="27">
        <v>6245512</v>
      </c>
      <c r="D5" s="27">
        <v>1246219</v>
      </c>
      <c r="E5" s="28">
        <f t="shared" ref="E5:E28" si="0">SUM(B5:D5)</f>
        <v>16473275</v>
      </c>
      <c r="F5" s="29">
        <f>-3562+4052+1032</f>
        <v>1522</v>
      </c>
      <c r="G5" s="27">
        <f>-391811+391811+473546</f>
        <v>473546</v>
      </c>
      <c r="H5" s="28">
        <f t="shared" ref="H5:H18" si="1">SUM(F5:G5)</f>
        <v>475068</v>
      </c>
      <c r="I5" s="30">
        <f t="shared" ref="I5:I52" si="2">E5+H5</f>
        <v>16948343</v>
      </c>
      <c r="J5" s="27">
        <f>-42876225-32657013+42877182+32657503+39204659+27378417</f>
        <v>66584523</v>
      </c>
      <c r="K5" s="30">
        <f t="shared" ref="K5" si="3">I5+J5</f>
        <v>83532866</v>
      </c>
      <c r="L5" s="31" t="s">
        <v>48</v>
      </c>
      <c r="M5" s="32">
        <f>6694156+496393+160011+2427804+415916+1440127+893391+560544+1022722+273455-(6694156+496393+160011+2427804+415916+1440127+893391+560544+1022722+273455)+6877899+554962+2079912+3071618+306266+1422327+784739+529710+1054644+278549</f>
        <v>16960626</v>
      </c>
      <c r="N5" s="28">
        <f t="shared" ref="N5:N36" si="4">J5-M5</f>
        <v>49623897</v>
      </c>
      <c r="O5" s="30">
        <f t="shared" ref="O5:O52" si="5">K5-M5</f>
        <v>66572240</v>
      </c>
      <c r="P5" s="33">
        <f>-496393+496393+554962</f>
        <v>554962</v>
      </c>
    </row>
    <row r="6" spans="1:16" x14ac:dyDescent="0.2">
      <c r="A6" s="26">
        <f>'FERC Interest Rates'!A21</f>
        <v>41639</v>
      </c>
      <c r="B6" s="27">
        <v>18320588</v>
      </c>
      <c r="C6" s="27">
        <v>11226493</v>
      </c>
      <c r="D6" s="27">
        <v>3079194</v>
      </c>
      <c r="E6" s="28">
        <f t="shared" si="0"/>
        <v>32626275</v>
      </c>
      <c r="F6" s="29">
        <f>-1032+1032+9420</f>
        <v>9420</v>
      </c>
      <c r="G6" s="27">
        <f>-473546+473546+594027</f>
        <v>594027</v>
      </c>
      <c r="H6" s="28">
        <f t="shared" si="1"/>
        <v>603447</v>
      </c>
      <c r="I6" s="30">
        <f t="shared" si="2"/>
        <v>33229722</v>
      </c>
      <c r="J6" s="27">
        <f>-39204659-27378417+39042548+27378417+42249626+40077801</f>
        <v>82165316</v>
      </c>
      <c r="K6" s="30">
        <f>I6+J6</f>
        <v>115395038</v>
      </c>
      <c r="L6" s="31" t="s">
        <v>48</v>
      </c>
      <c r="M6" s="32">
        <f>6877899+554962+2079912+2904516+306266+1422327+784739+529710+1054644+278549-(6877899+554962+2079912+3071618+306266+1422327+784739+529710+1054644+278549)+7483576+646377+5363751+3070454+401145+2035761+871026+432080+1151260+295911</f>
        <v>21584239</v>
      </c>
      <c r="N6" s="28">
        <f t="shared" si="4"/>
        <v>60581077</v>
      </c>
      <c r="O6" s="30">
        <f t="shared" si="5"/>
        <v>93810799</v>
      </c>
      <c r="P6" s="33">
        <f>-554962+554962+646377</f>
        <v>646377</v>
      </c>
    </row>
    <row r="7" spans="1:16" x14ac:dyDescent="0.2">
      <c r="A7" s="26">
        <f>'FERC Interest Rates'!A22</f>
        <v>41670</v>
      </c>
      <c r="B7" s="27">
        <v>20899551</v>
      </c>
      <c r="C7" s="27">
        <v>15807954</v>
      </c>
      <c r="D7" s="27">
        <v>1390372</v>
      </c>
      <c r="E7" s="28">
        <f t="shared" si="0"/>
        <v>38097877</v>
      </c>
      <c r="F7" s="29">
        <f>-9420+9420+8828</f>
        <v>8828</v>
      </c>
      <c r="G7" s="27">
        <f>-594027+594027+549498</f>
        <v>549498</v>
      </c>
      <c r="H7" s="28">
        <f t="shared" si="1"/>
        <v>558326</v>
      </c>
      <c r="I7" s="30">
        <f t="shared" si="2"/>
        <v>38656203</v>
      </c>
      <c r="J7" s="27">
        <f>-42249626-40077801+42261388+40077801+43482656+31005941</f>
        <v>74500359</v>
      </c>
      <c r="K7" s="30">
        <f t="shared" ref="K7:K36" si="6">I7+J7</f>
        <v>113156562</v>
      </c>
      <c r="L7" s="31" t="s">
        <v>48</v>
      </c>
      <c r="M7" s="32">
        <f>7483576+650345+5363751+3070454+401145+2035761+871026+432080+1151260+295911-(7483576+646377+5363751+3070454+401145+2035761+871026+432080+1151260+295911)+7924631+591555+530261+2952608+274556+1903119+968198+560606+1168015+296681</f>
        <v>17174198</v>
      </c>
      <c r="N7" s="28">
        <f t="shared" si="4"/>
        <v>57326161</v>
      </c>
      <c r="O7" s="30">
        <f t="shared" si="5"/>
        <v>95982364</v>
      </c>
      <c r="P7" s="33">
        <f>-646377+650345+591555</f>
        <v>595523</v>
      </c>
    </row>
    <row r="8" spans="1:16" x14ac:dyDescent="0.2">
      <c r="A8" s="26">
        <f>'FERC Interest Rates'!A23</f>
        <v>41698</v>
      </c>
      <c r="B8" s="27">
        <v>18728366</v>
      </c>
      <c r="C8" s="27">
        <v>13972473</v>
      </c>
      <c r="D8" s="27">
        <v>1430555</v>
      </c>
      <c r="E8" s="28">
        <f t="shared" si="0"/>
        <v>34131394</v>
      </c>
      <c r="F8" s="29">
        <f>-8828+8828+14228</f>
        <v>14228</v>
      </c>
      <c r="G8" s="27">
        <f>-549498+549498+509515</f>
        <v>509515</v>
      </c>
      <c r="H8" s="28">
        <f t="shared" si="1"/>
        <v>523743</v>
      </c>
      <c r="I8" s="30">
        <f t="shared" si="2"/>
        <v>34655137</v>
      </c>
      <c r="J8" s="27">
        <f>-43482656-31005941+43519263+31240262+37914010+26420186</f>
        <v>64605124</v>
      </c>
      <c r="K8" s="30">
        <f t="shared" si="6"/>
        <v>99260261</v>
      </c>
      <c r="L8" s="31" t="s">
        <v>48</v>
      </c>
      <c r="M8" s="32">
        <f>7924631+591555+764582+2952608+274556+1903119+968198+560606+1168015+296681-(7924631+591555+530261+2952608+274556+1903119+968198+560606+1168015+296681)+7052079+530616+2340924+3093441+320341+1568449+697252+430841+1002529+285932</f>
        <v>17556725</v>
      </c>
      <c r="N8" s="28">
        <f t="shared" si="4"/>
        <v>47048399</v>
      </c>
      <c r="O8" s="30">
        <f t="shared" si="5"/>
        <v>81703536</v>
      </c>
      <c r="P8" s="33">
        <f>-591555+591555+530616</f>
        <v>530616</v>
      </c>
    </row>
    <row r="9" spans="1:16" x14ac:dyDescent="0.2">
      <c r="A9" s="26">
        <f>'FERC Interest Rates'!A24</f>
        <v>41729</v>
      </c>
      <c r="B9" s="27">
        <v>16273150</v>
      </c>
      <c r="C9" s="27">
        <v>12143699</v>
      </c>
      <c r="D9" s="27">
        <v>1316970</v>
      </c>
      <c r="E9" s="28">
        <f t="shared" si="0"/>
        <v>29733819</v>
      </c>
      <c r="F9" s="29">
        <f>-14228+14228+13441</f>
        <v>13441</v>
      </c>
      <c r="G9" s="27">
        <f>-509515+509515+447136</f>
        <v>447136</v>
      </c>
      <c r="H9" s="28">
        <f t="shared" si="1"/>
        <v>460577</v>
      </c>
      <c r="I9" s="30">
        <f t="shared" si="2"/>
        <v>30194396</v>
      </c>
      <c r="J9" s="27">
        <f>-37914010-26420186+37923911+26420186+38417588+12622035</f>
        <v>51049524</v>
      </c>
      <c r="K9" s="30">
        <f t="shared" si="6"/>
        <v>81243920</v>
      </c>
      <c r="L9" s="31" t="s">
        <v>48</v>
      </c>
      <c r="M9" s="32">
        <f>7052079+530616+2340924+3093441+320341+1568449+697252+430841+1002529+285932-(7052079+530616+2340924+3093441+320341+1568449+697252+430841+1002529+285932)+10350347+506888+358742+3325061+664366+1689724+886841+442692+1067268+298497</f>
        <v>19590426</v>
      </c>
      <c r="N9" s="28">
        <f t="shared" si="4"/>
        <v>31459098</v>
      </c>
      <c r="O9" s="30">
        <f t="shared" si="5"/>
        <v>61653494</v>
      </c>
      <c r="P9" s="33">
        <f>-530616+530616+506888</f>
        <v>506888</v>
      </c>
    </row>
    <row r="10" spans="1:16" x14ac:dyDescent="0.2">
      <c r="A10" s="26">
        <f>'FERC Interest Rates'!A25</f>
        <v>41759</v>
      </c>
      <c r="B10" s="27">
        <v>10535035</v>
      </c>
      <c r="C10" s="27">
        <v>6890795</v>
      </c>
      <c r="D10" s="27">
        <v>1792618</v>
      </c>
      <c r="E10" s="28">
        <f t="shared" si="0"/>
        <v>19218448</v>
      </c>
      <c r="F10" s="29">
        <f>-13441+13441+13712</f>
        <v>13712</v>
      </c>
      <c r="G10" s="27">
        <f>-447136+447136+369197</f>
        <v>369197</v>
      </c>
      <c r="H10" s="28">
        <f t="shared" si="1"/>
        <v>382909</v>
      </c>
      <c r="I10" s="30">
        <f t="shared" si="2"/>
        <v>19601357</v>
      </c>
      <c r="J10" s="27">
        <f>-38417588-12622035+38424653+12622035+35791910-1689724+12474229</f>
        <v>46583480</v>
      </c>
      <c r="K10" s="30">
        <f t="shared" si="6"/>
        <v>66184837</v>
      </c>
      <c r="L10" s="31" t="s">
        <v>48</v>
      </c>
      <c r="M10" s="32">
        <f>10350347+499489+358742+3325061+664366+1698951+886841+442692+1067268+298497-(10350347+506888+358742+3325061+664366+1689724+886841+442692+1067268+298497)+9796313+429432+80912+2379064+880319+1657442+751000+321536+1050993+291110</f>
        <v>17639949</v>
      </c>
      <c r="N10" s="28">
        <f t="shared" si="4"/>
        <v>28943531</v>
      </c>
      <c r="O10" s="30">
        <f t="shared" si="5"/>
        <v>48544888</v>
      </c>
      <c r="P10" s="33">
        <f>-506888+499489+429432</f>
        <v>422033</v>
      </c>
    </row>
    <row r="11" spans="1:16" x14ac:dyDescent="0.2">
      <c r="A11" s="26">
        <f>'FERC Interest Rates'!A26</f>
        <v>41790</v>
      </c>
      <c r="B11" s="27">
        <v>6529687</v>
      </c>
      <c r="C11" s="27">
        <v>5039544</v>
      </c>
      <c r="D11" s="27">
        <v>730395</v>
      </c>
      <c r="E11" s="28">
        <f t="shared" si="0"/>
        <v>12299626</v>
      </c>
      <c r="F11" s="29">
        <f>-13712+13712+7236</f>
        <v>7236</v>
      </c>
      <c r="G11" s="27">
        <f>-369197+369197+280289</f>
        <v>280289</v>
      </c>
      <c r="H11" s="28">
        <f t="shared" si="1"/>
        <v>287525</v>
      </c>
      <c r="I11" s="30">
        <f t="shared" si="2"/>
        <v>12587151</v>
      </c>
      <c r="J11" s="27">
        <f>-35791910+1689724-12474229+34110077+12473803+33859025+11641045</f>
        <v>45507535</v>
      </c>
      <c r="K11" s="30">
        <f t="shared" si="6"/>
        <v>58094686</v>
      </c>
      <c r="L11" s="31" t="s">
        <v>48</v>
      </c>
      <c r="M11" s="32">
        <f>9796313+429432+80912+2379064+880319+1657442+751000+321536+1050993+291110-(9796313+429432+80912+2379064+880319+1657442+751000+321536+1050993+291110)+6382262+410029+544843+2415879+816156+1521158+508591+363130+1076119+289404</f>
        <v>14327571</v>
      </c>
      <c r="N11" s="28">
        <f t="shared" si="4"/>
        <v>31179964</v>
      </c>
      <c r="O11" s="30">
        <f t="shared" si="5"/>
        <v>43767115</v>
      </c>
      <c r="P11" s="33">
        <f>-429432+429432+410029</f>
        <v>410029</v>
      </c>
    </row>
    <row r="12" spans="1:16" x14ac:dyDescent="0.2">
      <c r="A12" s="26">
        <f>'FERC Interest Rates'!A27</f>
        <v>41820</v>
      </c>
      <c r="B12" s="27">
        <v>3836089</v>
      </c>
      <c r="C12" s="27">
        <v>3473639</v>
      </c>
      <c r="D12" s="27">
        <v>585889</v>
      </c>
      <c r="E12" s="28">
        <f t="shared" si="0"/>
        <v>7895617</v>
      </c>
      <c r="F12" s="29">
        <f>-7236+7236+12495</f>
        <v>12495</v>
      </c>
      <c r="G12" s="27">
        <f>-280289+280289+236982</f>
        <v>236982</v>
      </c>
      <c r="H12" s="28">
        <f t="shared" si="1"/>
        <v>249477</v>
      </c>
      <c r="I12" s="30">
        <f t="shared" si="2"/>
        <v>8145094</v>
      </c>
      <c r="J12" s="27">
        <f>-33859025-11641045+33861261+11641045+33441588+9166991</f>
        <v>42610815</v>
      </c>
      <c r="K12" s="30">
        <f t="shared" si="6"/>
        <v>50755909</v>
      </c>
      <c r="L12" s="31" t="s">
        <v>48</v>
      </c>
      <c r="M12" s="32">
        <f>6382262+410029+544843+2415879+816156+1521158+508591+363130+1076119+289404-(6382262+410029+544843+2415879+816156+1521158+508591+363130+1076119+289404)+5496890+368800+100442+2601535+574764+1429307+631237+325924+1072958+266055</f>
        <v>12867912</v>
      </c>
      <c r="N12" s="28">
        <f t="shared" si="4"/>
        <v>29742903</v>
      </c>
      <c r="O12" s="30">
        <f t="shared" si="5"/>
        <v>37887997</v>
      </c>
      <c r="P12" s="33">
        <f>-410029+410029+368800</f>
        <v>368800</v>
      </c>
    </row>
    <row r="13" spans="1:16" x14ac:dyDescent="0.2">
      <c r="A13" s="26">
        <f>'FERC Interest Rates'!A28</f>
        <v>41851</v>
      </c>
      <c r="B13" s="27">
        <v>3200841</v>
      </c>
      <c r="C13" s="27">
        <v>3132555</v>
      </c>
      <c r="D13" s="27">
        <v>589225</v>
      </c>
      <c r="E13" s="28">
        <f t="shared" si="0"/>
        <v>6922621</v>
      </c>
      <c r="F13" s="29">
        <f>-12495+12495+9729</f>
        <v>9729</v>
      </c>
      <c r="G13" s="27">
        <f>-236982+236982+230095</f>
        <v>230095</v>
      </c>
      <c r="H13" s="28">
        <f t="shared" si="1"/>
        <v>239824</v>
      </c>
      <c r="I13" s="30">
        <f t="shared" si="2"/>
        <v>7162445</v>
      </c>
      <c r="J13" s="27">
        <f>-33441588-9166991+33447225+9166991+34241270+26302235</f>
        <v>60549142</v>
      </c>
      <c r="K13" s="30">
        <f t="shared" si="6"/>
        <v>67711587</v>
      </c>
      <c r="L13" s="31" t="s">
        <v>48</v>
      </c>
      <c r="M13" s="32">
        <f>5496890+371579+100442+2601535+574764+1429307+631237+325924+1072958+266055-(5496890+368800+100442+2601535+574764+1429307+631237+325924+1072958+266055)+6437743+362338+2115355+2428151+719594+1420571+430483+210238+1083197+270305</f>
        <v>15480754</v>
      </c>
      <c r="N13" s="28">
        <f t="shared" si="4"/>
        <v>45068388</v>
      </c>
      <c r="O13" s="30">
        <f t="shared" si="5"/>
        <v>52230833</v>
      </c>
      <c r="P13" s="33">
        <f>-368800+371579+362338</f>
        <v>365117</v>
      </c>
    </row>
    <row r="14" spans="1:16" x14ac:dyDescent="0.2">
      <c r="A14" s="26">
        <f>'FERC Interest Rates'!A29</f>
        <v>41882</v>
      </c>
      <c r="B14" s="27">
        <v>2405032</v>
      </c>
      <c r="C14" s="27">
        <v>2624238</v>
      </c>
      <c r="D14" s="27">
        <v>469407</v>
      </c>
      <c r="E14" s="28">
        <f t="shared" si="0"/>
        <v>5498677</v>
      </c>
      <c r="F14" s="29">
        <f>-9729+9729+11012</f>
        <v>11012</v>
      </c>
      <c r="G14" s="27">
        <f>-230095+230095+209217</f>
        <v>209217</v>
      </c>
      <c r="H14" s="28">
        <f t="shared" si="1"/>
        <v>220229</v>
      </c>
      <c r="I14" s="30">
        <f t="shared" si="2"/>
        <v>5718906</v>
      </c>
      <c r="J14" s="27">
        <f>-34241270-26302235+34190840+26302235+35905732+41041046</f>
        <v>76896348</v>
      </c>
      <c r="K14" s="30">
        <f t="shared" si="6"/>
        <v>82615254</v>
      </c>
      <c r="L14" s="31" t="s">
        <v>48</v>
      </c>
      <c r="M14" s="32">
        <f>6437743+362338+2115355+2428151+719594+1420571+430483+210238+1083197+270305-(6437743+362338+2115355+2428151+719594+1420571+430483+210238+1083197+270305)+6468590+386762+5042350+2333053+500625+1378732+767133+428981+1079807+270265</f>
        <v>18656298</v>
      </c>
      <c r="N14" s="28">
        <f t="shared" si="4"/>
        <v>58240050</v>
      </c>
      <c r="O14" s="30">
        <f t="shared" si="5"/>
        <v>63958956</v>
      </c>
      <c r="P14" s="33">
        <f>-362338+362338+386762</f>
        <v>386762</v>
      </c>
    </row>
    <row r="15" spans="1:16" x14ac:dyDescent="0.2">
      <c r="A15" s="26">
        <f>'FERC Interest Rates'!A30</f>
        <v>41912</v>
      </c>
      <c r="B15" s="27">
        <v>2661734</v>
      </c>
      <c r="C15" s="27">
        <v>2810250</v>
      </c>
      <c r="D15" s="27">
        <v>633602</v>
      </c>
      <c r="E15" s="28">
        <f t="shared" si="0"/>
        <v>6105586</v>
      </c>
      <c r="F15" s="29">
        <f>-11012+11012+12365</f>
        <v>12365</v>
      </c>
      <c r="G15" s="27">
        <f>-209217+209217+251364</f>
        <v>251364</v>
      </c>
      <c r="H15" s="28">
        <f t="shared" si="1"/>
        <v>263729</v>
      </c>
      <c r="I15" s="30">
        <f t="shared" si="2"/>
        <v>6369315</v>
      </c>
      <c r="J15" s="27">
        <f>-35905732-41041046+35905963+41041046+37015948+38913065</f>
        <v>75929244</v>
      </c>
      <c r="K15" s="30">
        <f t="shared" si="6"/>
        <v>82298559</v>
      </c>
      <c r="L15" s="31" t="s">
        <v>48</v>
      </c>
      <c r="M15" s="32">
        <f>6468590+386762+5042350+2333053+500625+1378732+767133+428981+1079807+270265-(6468590+386762+5042350+2333053+500625+1378732+767133+428981+1079807+270265)+6768259+397090+4746980+2796281+172941+1499626+782947+412733+1044404+257076</f>
        <v>18878337</v>
      </c>
      <c r="N15" s="28">
        <f t="shared" si="4"/>
        <v>57050907</v>
      </c>
      <c r="O15" s="30">
        <f t="shared" si="5"/>
        <v>63420222</v>
      </c>
      <c r="P15" s="33">
        <f>-386762+386762+397090</f>
        <v>397090</v>
      </c>
    </row>
    <row r="16" spans="1:16" x14ac:dyDescent="0.2">
      <c r="A16" s="34">
        <f>'FERC Interest Rates'!A31</f>
        <v>41943</v>
      </c>
      <c r="B16" s="35">
        <v>3641361</v>
      </c>
      <c r="C16" s="35">
        <v>3597412</v>
      </c>
      <c r="D16" s="35">
        <v>1455055</v>
      </c>
      <c r="E16" s="36">
        <f t="shared" si="0"/>
        <v>8693828</v>
      </c>
      <c r="F16" s="37">
        <f>-12365+12365+12119</f>
        <v>12119</v>
      </c>
      <c r="G16" s="35">
        <f>-251364+251364+300915</f>
        <v>300915</v>
      </c>
      <c r="H16" s="36">
        <f t="shared" si="1"/>
        <v>313034</v>
      </c>
      <c r="I16" s="38">
        <f t="shared" si="2"/>
        <v>9006862</v>
      </c>
      <c r="J16" s="35">
        <f>-37015948-38913065+37019829+38913065+41711206+26835958</f>
        <v>68551045</v>
      </c>
      <c r="K16" s="38">
        <f t="shared" si="6"/>
        <v>77557907</v>
      </c>
      <c r="L16" s="39" t="s">
        <v>48</v>
      </c>
      <c r="M16" s="35">
        <f>6768259+400820+4746980+2796281+172941+1499626+782947+412733+1044404+257076-(6768259+397090+4746980+2796281+172941+1499626+782947+412733+1044404+257076)+7053573+428038+602341+2997600+38078+1574772+801305+400565+1128241+282568</f>
        <v>15310811</v>
      </c>
      <c r="N16" s="36">
        <f t="shared" si="4"/>
        <v>53240234</v>
      </c>
      <c r="O16" s="38">
        <f t="shared" si="5"/>
        <v>62247096</v>
      </c>
      <c r="P16" s="35">
        <f>-397090+400820+428038</f>
        <v>431768</v>
      </c>
    </row>
    <row r="17" spans="1:16" x14ac:dyDescent="0.2">
      <c r="A17" s="26">
        <f>'FERC Interest Rates'!A32</f>
        <v>41973</v>
      </c>
      <c r="B17" s="27">
        <v>6851471</v>
      </c>
      <c r="C17" s="27">
        <v>4831845</v>
      </c>
      <c r="D17" s="27">
        <v>977303</v>
      </c>
      <c r="E17" s="28">
        <f t="shared" si="0"/>
        <v>12660619</v>
      </c>
      <c r="F17" s="29">
        <f>-12119+12119+11804</f>
        <v>11804</v>
      </c>
      <c r="G17" s="27">
        <f>-300915+300915+461069</f>
        <v>461069</v>
      </c>
      <c r="H17" s="28">
        <f t="shared" si="1"/>
        <v>472873</v>
      </c>
      <c r="I17" s="30">
        <f t="shared" si="2"/>
        <v>13133492</v>
      </c>
      <c r="J17" s="27">
        <f>-41711206-26835958+41710039+26835958+42244606+21309993</f>
        <v>63553432</v>
      </c>
      <c r="K17" s="30">
        <f t="shared" si="6"/>
        <v>76686924</v>
      </c>
      <c r="L17" s="31" t="s">
        <v>48</v>
      </c>
      <c r="M17" s="32">
        <f>7053573+428038+602341+2997600+38078+1574772+801305+400565+1128241+282568-(7053573+428038+602341+2997600+38078+1574772+801305+400565+1128241+282568)+7251568+535558+2317939+3141571+362918+1926299+824310+457802+1171801+290801</f>
        <v>18280567</v>
      </c>
      <c r="N17" s="28">
        <f t="shared" si="4"/>
        <v>45272865</v>
      </c>
      <c r="O17" s="30">
        <f t="shared" si="5"/>
        <v>58406357</v>
      </c>
      <c r="P17" s="33">
        <f>-428038+428038+535558</f>
        <v>535558</v>
      </c>
    </row>
    <row r="18" spans="1:16" x14ac:dyDescent="0.2">
      <c r="A18" s="26">
        <f>'FERC Interest Rates'!A33</f>
        <v>42004</v>
      </c>
      <c r="B18" s="27">
        <v>16768304</v>
      </c>
      <c r="C18" s="27">
        <v>12223769</v>
      </c>
      <c r="D18" s="27">
        <v>1506794</v>
      </c>
      <c r="E18" s="28">
        <f t="shared" si="0"/>
        <v>30498867</v>
      </c>
      <c r="F18" s="29">
        <f>-11804+11804+11017</f>
        <v>11017</v>
      </c>
      <c r="G18" s="27">
        <f>-461069+461069+527921</f>
        <v>527921</v>
      </c>
      <c r="H18" s="28">
        <f t="shared" si="1"/>
        <v>538938</v>
      </c>
      <c r="I18" s="30">
        <f t="shared" si="2"/>
        <v>31037805</v>
      </c>
      <c r="J18" s="27">
        <f>-42244606-21309993+42268246+21245123+42259375+20530964</f>
        <v>62749109</v>
      </c>
      <c r="K18" s="30">
        <f t="shared" si="6"/>
        <v>93786914</v>
      </c>
      <c r="L18" s="31" t="s">
        <v>48</v>
      </c>
      <c r="M18" s="32">
        <f>7251568+535558+2317939+3141571+298048+1926299+824310+457802+1171801+290801-(7251568+535558+2317939+3141571+362918+1926299+824310+457802+1171801+290801)+7671976+596910+1235157+3610898+362819+2082095+831536+448199+1199625+297405</f>
        <v>18271750</v>
      </c>
      <c r="N18" s="28">
        <f t="shared" si="4"/>
        <v>44477359</v>
      </c>
      <c r="O18" s="30">
        <f t="shared" si="5"/>
        <v>75515164</v>
      </c>
      <c r="P18" s="33">
        <f>-535558+535558+596910</f>
        <v>596910</v>
      </c>
    </row>
    <row r="19" spans="1:16" x14ac:dyDescent="0.2">
      <c r="A19" s="26">
        <f>'FERC Interest Rates'!A34</f>
        <v>42035</v>
      </c>
      <c r="B19" s="27">
        <v>17578866</v>
      </c>
      <c r="C19" s="27">
        <v>12961800</v>
      </c>
      <c r="D19" s="27">
        <v>1412476</v>
      </c>
      <c r="E19" s="28">
        <f t="shared" si="0"/>
        <v>31953142</v>
      </c>
      <c r="F19" s="29">
        <f>-11017+11017+12204</f>
        <v>12204</v>
      </c>
      <c r="G19" s="27">
        <f>-527921+527921+529386</f>
        <v>529386</v>
      </c>
      <c r="H19" s="28">
        <f t="shared" ref="H19:H28" si="7">SUM(F19:G19)</f>
        <v>541590</v>
      </c>
      <c r="I19" s="30">
        <f t="shared" si="2"/>
        <v>32494732</v>
      </c>
      <c r="J19" s="27">
        <f>-42259375-20530964+42269854+20530964+41276535+19117684</f>
        <v>60404698</v>
      </c>
      <c r="K19" s="30">
        <f t="shared" si="6"/>
        <v>92899430</v>
      </c>
      <c r="L19" s="31" t="s">
        <v>48</v>
      </c>
      <c r="M19" s="32">
        <f>7671976+601614+1235157+3610898+362819+2082095+831536+448199+1199625+297405-(7671976+596910+1235157+3610898+362819+2082095+831536+448199+1199625+297405)+7775240+628657+261306+2998359+565275+2128262+1002064+552389+1164723+315674</f>
        <v>17396653</v>
      </c>
      <c r="N19" s="28">
        <f t="shared" si="4"/>
        <v>43008045</v>
      </c>
      <c r="O19" s="30">
        <f t="shared" si="5"/>
        <v>75502777</v>
      </c>
      <c r="P19" s="33">
        <f>-596910+601614+628657</f>
        <v>633361</v>
      </c>
    </row>
    <row r="20" spans="1:16" x14ac:dyDescent="0.2">
      <c r="A20" s="26">
        <f>'FERC Interest Rates'!A35</f>
        <v>42063</v>
      </c>
      <c r="B20" s="27">
        <v>14997100</v>
      </c>
      <c r="C20" s="27">
        <v>11518730</v>
      </c>
      <c r="D20" s="27">
        <v>1613976</v>
      </c>
      <c r="E20" s="28">
        <f t="shared" si="0"/>
        <v>28129806</v>
      </c>
      <c r="F20" s="29">
        <v>14542</v>
      </c>
      <c r="G20" s="27">
        <f>-529386+529366+405270</f>
        <v>405250</v>
      </c>
      <c r="H20" s="28">
        <f t="shared" si="7"/>
        <v>419792</v>
      </c>
      <c r="I20" s="30">
        <f t="shared" si="2"/>
        <v>28549598</v>
      </c>
      <c r="J20" s="27">
        <f>-41276535-19117684+41280723+19117539+34347690+12512992</f>
        <v>46864725</v>
      </c>
      <c r="K20" s="30">
        <f t="shared" si="6"/>
        <v>75414323</v>
      </c>
      <c r="L20" s="31" t="s">
        <v>48</v>
      </c>
      <c r="M20" s="32">
        <f>7775240+628657+261306+2998359+565275+2128262+1002064+552389+1164723+315674-(7775240+628657+261306+2998359+565275+2128262+1002064+552389+1164723+315674)+5552771+509140+113871+2075909+864722+1967544+801800+470618+1096799+284521</f>
        <v>13737695</v>
      </c>
      <c r="N20" s="28">
        <f t="shared" si="4"/>
        <v>33127030</v>
      </c>
      <c r="O20" s="30">
        <f t="shared" si="5"/>
        <v>61676628</v>
      </c>
      <c r="P20" s="33">
        <f>-628657+628657+509140</f>
        <v>509140</v>
      </c>
    </row>
    <row r="21" spans="1:16" x14ac:dyDescent="0.2">
      <c r="A21" s="26">
        <f>'FERC Interest Rates'!A36</f>
        <v>42094</v>
      </c>
      <c r="B21" s="27">
        <v>12686420</v>
      </c>
      <c r="C21" s="27">
        <v>9397664</v>
      </c>
      <c r="D21" s="27">
        <v>1284186</v>
      </c>
      <c r="E21" s="28">
        <f t="shared" si="0"/>
        <v>23368270</v>
      </c>
      <c r="F21" s="29">
        <f>-14542+14415+9557</f>
        <v>9430</v>
      </c>
      <c r="G21" s="27">
        <f>-405270+405270+394245</f>
        <v>394245</v>
      </c>
      <c r="H21" s="28">
        <f t="shared" si="7"/>
        <v>403675</v>
      </c>
      <c r="I21" s="30">
        <f t="shared" si="2"/>
        <v>23771945</v>
      </c>
      <c r="J21" s="27">
        <f>-34347690-12512992+34352010+12512992+38005282+20640594</f>
        <v>58650196</v>
      </c>
      <c r="K21" s="30">
        <f t="shared" si="6"/>
        <v>82422141</v>
      </c>
      <c r="L21" s="31" t="s">
        <v>48</v>
      </c>
      <c r="M21" s="32">
        <f>5552771+509140+113871+2075909+864722+1967544+801800+470618+1096799+284521-(5552771+509140+113871+2075909+864722+1967544+801800+470618+1096799+284521)+7235152+531599+201239+2265435+683468+2369837+650095+383330+1085376+314698</f>
        <v>15720229</v>
      </c>
      <c r="N21" s="28">
        <f t="shared" si="4"/>
        <v>42929967</v>
      </c>
      <c r="O21" s="30">
        <f t="shared" si="5"/>
        <v>66701912</v>
      </c>
      <c r="P21" s="33">
        <f>-509140+509140+531599</f>
        <v>531599</v>
      </c>
    </row>
    <row r="22" spans="1:16" x14ac:dyDescent="0.2">
      <c r="A22" s="26">
        <f>'FERC Interest Rates'!A37</f>
        <v>42124</v>
      </c>
      <c r="B22" s="27">
        <v>9059678</v>
      </c>
      <c r="C22" s="27">
        <v>6918371</v>
      </c>
      <c r="D22" s="27">
        <v>935256</v>
      </c>
      <c r="E22" s="28">
        <f t="shared" si="0"/>
        <v>16913305</v>
      </c>
      <c r="F22" s="29">
        <f>-9557+9254+12199</f>
        <v>11896</v>
      </c>
      <c r="G22" s="27">
        <f>-394245+394245+361119</f>
        <v>361119</v>
      </c>
      <c r="H22" s="28">
        <f t="shared" si="7"/>
        <v>373015</v>
      </c>
      <c r="I22" s="30">
        <f t="shared" si="2"/>
        <v>17286320</v>
      </c>
      <c r="J22" s="27">
        <f>-38005282-20640594+38009615+20640594+33858981+20115722</f>
        <v>53979036</v>
      </c>
      <c r="K22" s="30">
        <f t="shared" si="6"/>
        <v>71265356</v>
      </c>
      <c r="L22" s="31" t="s">
        <v>48</v>
      </c>
      <c r="M22" s="32">
        <f>7235152+533473+201239+2265435+683468+2369837+650095+383330+1085376+314698-(7235152+531599+201239+2265435+683468+2369837+650095+383330+1085376+314698)+6684964+463039+552050+2607855+93873+1702162+890245+361162+1107762+342282</f>
        <v>14807268</v>
      </c>
      <c r="N22" s="28">
        <f t="shared" si="4"/>
        <v>39171768</v>
      </c>
      <c r="O22" s="30">
        <f t="shared" si="5"/>
        <v>56458088</v>
      </c>
      <c r="P22" s="33">
        <f>-531599+533473+463039</f>
        <v>464913</v>
      </c>
    </row>
    <row r="23" spans="1:16" x14ac:dyDescent="0.2">
      <c r="A23" s="26">
        <f>'FERC Interest Rates'!A38</f>
        <v>42155</v>
      </c>
      <c r="B23" s="27">
        <v>6136917</v>
      </c>
      <c r="C23" s="27">
        <v>4971568</v>
      </c>
      <c r="D23" s="27">
        <v>856194</v>
      </c>
      <c r="E23" s="28">
        <f t="shared" si="0"/>
        <v>11964679</v>
      </c>
      <c r="F23" s="29">
        <f>-12199+12199+14905</f>
        <v>14905</v>
      </c>
      <c r="G23" s="27">
        <f>-361119+361119+268036</f>
        <v>268036</v>
      </c>
      <c r="H23" s="28">
        <f t="shared" si="7"/>
        <v>282941</v>
      </c>
      <c r="I23" s="30">
        <f t="shared" si="2"/>
        <v>12247620</v>
      </c>
      <c r="J23" s="27">
        <f>-33858981-20115722+33860743+20115722+33470121+27542200</f>
        <v>61014083</v>
      </c>
      <c r="K23" s="30">
        <f t="shared" si="6"/>
        <v>73261703</v>
      </c>
      <c r="L23" s="31" t="s">
        <v>48</v>
      </c>
      <c r="M23" s="32">
        <f>6684964+463039+552050+2609617+93873+1702162+890245+361162+1107762+342282-(6684964+463039+552050+2607855+93873+1702162+890245+361162+1107762+342282)+7000246+456023+1621381+2652137+524882+1621847+374191+391728+1106384+340345</f>
        <v>16090926</v>
      </c>
      <c r="N23" s="28">
        <f t="shared" si="4"/>
        <v>44923157</v>
      </c>
      <c r="O23" s="30">
        <f t="shared" si="5"/>
        <v>57170777</v>
      </c>
      <c r="P23" s="33">
        <f>-463039+463039+456023</f>
        <v>456023</v>
      </c>
    </row>
    <row r="24" spans="1:16" x14ac:dyDescent="0.2">
      <c r="A24" s="26">
        <f>'FERC Interest Rates'!A39</f>
        <v>42185</v>
      </c>
      <c r="B24" s="27">
        <v>3875649</v>
      </c>
      <c r="C24" s="27">
        <v>3719322</v>
      </c>
      <c r="D24" s="27">
        <v>678441</v>
      </c>
      <c r="E24" s="28">
        <f t="shared" si="0"/>
        <v>8273412</v>
      </c>
      <c r="F24" s="29">
        <f>-14905+14905+16538</f>
        <v>16538</v>
      </c>
      <c r="G24" s="27">
        <f>-268036+268036+223986</f>
        <v>223986</v>
      </c>
      <c r="H24" s="28">
        <f t="shared" si="7"/>
        <v>240524</v>
      </c>
      <c r="I24" s="30">
        <f t="shared" si="2"/>
        <v>8513936</v>
      </c>
      <c r="J24" s="27">
        <f>-33470121-27542200+33471024+27542200+32081827+26900425</f>
        <v>58983155</v>
      </c>
      <c r="K24" s="30">
        <f t="shared" si="6"/>
        <v>67497091</v>
      </c>
      <c r="L24" s="31" t="s">
        <v>48</v>
      </c>
      <c r="M24" s="32">
        <f>7000246+456023+1621381+2652137+524882+1621847+374191+391728+1106384+340345-(7000246+456023+1621381+2652137+524882+1621847+374191+391728+1106384+340345)+3937653+391055+5658892+2168854+1382635+1646732+737859+425098+1015536+329092</f>
        <v>17693406</v>
      </c>
      <c r="N24" s="28">
        <f t="shared" si="4"/>
        <v>41289749</v>
      </c>
      <c r="O24" s="30">
        <f t="shared" si="5"/>
        <v>49803685</v>
      </c>
      <c r="P24" s="33">
        <f>-456023+456023+391055</f>
        <v>391055</v>
      </c>
    </row>
    <row r="25" spans="1:16" x14ac:dyDescent="0.2">
      <c r="A25" s="26">
        <f>'FERC Interest Rates'!A40</f>
        <v>42216</v>
      </c>
      <c r="B25" s="27">
        <v>2480569</v>
      </c>
      <c r="C25" s="27">
        <v>2695667</v>
      </c>
      <c r="D25" s="27">
        <v>589631</v>
      </c>
      <c r="E25" s="28">
        <f t="shared" si="0"/>
        <v>5765867</v>
      </c>
      <c r="F25" s="29">
        <f>-16538+16538+8369</f>
        <v>8369</v>
      </c>
      <c r="G25" s="27">
        <f>-223986+223986+197044</f>
        <v>197044</v>
      </c>
      <c r="H25" s="28">
        <f t="shared" si="7"/>
        <v>205413</v>
      </c>
      <c r="I25" s="30">
        <f t="shared" si="2"/>
        <v>5971280</v>
      </c>
      <c r="J25" s="27">
        <f>-32081827-26900425+32083570+26898912+29865378+40621369</f>
        <v>70486977</v>
      </c>
      <c r="K25" s="30">
        <f>I25+J25</f>
        <v>76458257</v>
      </c>
      <c r="L25" s="31" t="s">
        <v>48</v>
      </c>
      <c r="M25" s="32">
        <f>3937653+392798+5658892+2168854+1382635+1646732+737859+425098+1015536+329092-(3937653+391055+5658892+2168854+1382635+1646732+737859+425098+1015536+329092)+7284221+382367+5999621+2253453+469138+1673592+658284+325589+1103993+323435</f>
        <v>20475436</v>
      </c>
      <c r="N25" s="28">
        <f>J25-M25</f>
        <v>50011541</v>
      </c>
      <c r="O25" s="30">
        <f t="shared" si="5"/>
        <v>55982821</v>
      </c>
      <c r="P25" s="33">
        <f>-391055+392798+382367</f>
        <v>384110</v>
      </c>
    </row>
    <row r="26" spans="1:16" x14ac:dyDescent="0.2">
      <c r="A26" s="26">
        <f>'FERC Interest Rates'!A41</f>
        <v>42247</v>
      </c>
      <c r="B26" s="27">
        <v>2474134</v>
      </c>
      <c r="C26" s="27">
        <v>2789182</v>
      </c>
      <c r="D26" s="27">
        <v>586174</v>
      </c>
      <c r="E26" s="28">
        <f t="shared" si="0"/>
        <v>5849490</v>
      </c>
      <c r="F26" s="29">
        <f>-8369+8369+11302</f>
        <v>11302</v>
      </c>
      <c r="G26" s="27">
        <f>-197044+197044+188629</f>
        <v>188629</v>
      </c>
      <c r="H26" s="28">
        <f t="shared" si="7"/>
        <v>199931</v>
      </c>
      <c r="I26" s="30">
        <f t="shared" si="2"/>
        <v>6049421</v>
      </c>
      <c r="J26" s="27">
        <f>-29865378-40621369+29865378+40621369+31792227+36774894</f>
        <v>68567121</v>
      </c>
      <c r="K26" s="30">
        <f t="shared" si="6"/>
        <v>74616542</v>
      </c>
      <c r="L26" s="31" t="s">
        <v>48</v>
      </c>
      <c r="M26" s="32">
        <f>7284221+382367+5999621+2253453+469138+1673592+658284+325589+1103993+323435-(7284221+382367+5999621+2253453+469138+1673592+658284+325589+1103993+323435)+5979173+397888+4103554+1975935+1000277+1584845+784690+404637+1090094+324857</f>
        <v>17645950</v>
      </c>
      <c r="N26" s="28">
        <f t="shared" si="4"/>
        <v>50921171</v>
      </c>
      <c r="O26" s="30">
        <f t="shared" si="5"/>
        <v>56970592</v>
      </c>
      <c r="P26" s="33">
        <f>-382367+382367+397888</f>
        <v>397888</v>
      </c>
    </row>
    <row r="27" spans="1:16" x14ac:dyDescent="0.2">
      <c r="A27" s="26">
        <f>'FERC Interest Rates'!A42</f>
        <v>42277</v>
      </c>
      <c r="B27" s="27">
        <v>2883443</v>
      </c>
      <c r="C27" s="27">
        <f>2956283+10810</f>
        <v>2967093</v>
      </c>
      <c r="D27" s="27">
        <f>1097150+10275</f>
        <v>1107425</v>
      </c>
      <c r="E27" s="28">
        <f t="shared" si="0"/>
        <v>6957961</v>
      </c>
      <c r="F27" s="29">
        <f>-11302+11302+10868</f>
        <v>10868</v>
      </c>
      <c r="G27" s="27">
        <f>-188629+188629+238237</f>
        <v>238237</v>
      </c>
      <c r="H27" s="28">
        <f t="shared" si="7"/>
        <v>249105</v>
      </c>
      <c r="I27" s="30">
        <f t="shared" si="2"/>
        <v>7207066</v>
      </c>
      <c r="J27" s="27">
        <f>-31792227-36774894+31792227+36774894+33527440+33218245</f>
        <v>66745685</v>
      </c>
      <c r="K27" s="30">
        <f t="shared" si="6"/>
        <v>73952751</v>
      </c>
      <c r="L27" s="31" t="s">
        <v>48</v>
      </c>
      <c r="M27" s="32">
        <f>5979173+397888+4103554+1975935+1000277+1584845+784690+404637+1090094+324857-(5979173+397888+4103554+1975935+1000277+1584845+784690+404637+1090094+324857)+6663969+400700+2529166+1980304+859837+1282479+714718+417143+1052339+327569</f>
        <v>16228224</v>
      </c>
      <c r="N27" s="28">
        <f t="shared" si="4"/>
        <v>50517461</v>
      </c>
      <c r="O27" s="30">
        <f t="shared" si="5"/>
        <v>57724527</v>
      </c>
      <c r="P27" s="33">
        <f>-397888+397888+400700</f>
        <v>400700</v>
      </c>
    </row>
    <row r="28" spans="1:16" x14ac:dyDescent="0.2">
      <c r="A28" s="34">
        <f>'FERC Interest Rates'!A43</f>
        <v>42308</v>
      </c>
      <c r="B28" s="35">
        <v>4297977</v>
      </c>
      <c r="C28" s="35">
        <f>-10810+3997908</f>
        <v>3987098</v>
      </c>
      <c r="D28" s="35">
        <f>-10275+1402526</f>
        <v>1392251</v>
      </c>
      <c r="E28" s="36">
        <f t="shared" si="0"/>
        <v>9677326</v>
      </c>
      <c r="F28" s="37">
        <f>-10868+10868+11066</f>
        <v>11066</v>
      </c>
      <c r="G28" s="35">
        <f>-238237+238237+286826</f>
        <v>286826</v>
      </c>
      <c r="H28" s="36">
        <f t="shared" si="7"/>
        <v>297892</v>
      </c>
      <c r="I28" s="38">
        <f t="shared" si="2"/>
        <v>9975218</v>
      </c>
      <c r="J28" s="40">
        <f>-33527440-33218245+33530455+33218245+38814601+32479005</f>
        <v>71296621</v>
      </c>
      <c r="K28" s="38">
        <f t="shared" si="6"/>
        <v>81271839</v>
      </c>
      <c r="L28" s="39" t="s">
        <v>48</v>
      </c>
      <c r="M28" s="41">
        <f>6663969+403715+2529166+1980304+859837+1282479+714718+417143+1052339+327569-(6663969+400700+2529166+1980304+859837+1282479+714718+417143+1052339+327569)+7576528+445697+1221919+2731712+275052+1875869+854414+417872+1105719+323839</f>
        <v>16831636</v>
      </c>
      <c r="N28" s="36">
        <f t="shared" si="4"/>
        <v>54464985</v>
      </c>
      <c r="O28" s="38">
        <f t="shared" si="5"/>
        <v>64440203</v>
      </c>
      <c r="P28" s="42">
        <f>-400700+403715+445697</f>
        <v>448712</v>
      </c>
    </row>
    <row r="29" spans="1:16" x14ac:dyDescent="0.2">
      <c r="A29" s="26">
        <f>'FERC Interest Rates'!A44</f>
        <v>42338</v>
      </c>
      <c r="B29" s="27">
        <v>7123102</v>
      </c>
      <c r="C29" s="27">
        <v>5044532</v>
      </c>
      <c r="D29" s="27">
        <v>935529</v>
      </c>
      <c r="E29" s="28">
        <f t="shared" ref="E29:E40" si="8">SUM(B29:D29)</f>
        <v>13103163</v>
      </c>
      <c r="F29" s="29">
        <f>-11066+11066+15659</f>
        <v>15659</v>
      </c>
      <c r="G29" s="27">
        <f>-286826+286826+424322</f>
        <v>424322</v>
      </c>
      <c r="H29" s="28">
        <f t="shared" ref="H29:H30" si="9">SUM(F29:G29)</f>
        <v>439981</v>
      </c>
      <c r="I29" s="30">
        <f t="shared" si="2"/>
        <v>13543144</v>
      </c>
      <c r="J29" s="27">
        <f>-38814601-32479005+38810516+32637068+38536211+36698347</f>
        <v>75388536</v>
      </c>
      <c r="K29" s="30">
        <f t="shared" si="6"/>
        <v>88931680</v>
      </c>
      <c r="L29" s="31" t="s">
        <v>48</v>
      </c>
      <c r="M29" s="32">
        <f>7576528+445697+1379982+2731712+275052+1875869+854414+417872+1105719+323839-(7576528+445697+1221919+2731712+275052+1875869+854414+417872+1105719+323839)+7257509+535022+4079051+3147933+331951+2441091+854240+492348+1032222+332415</f>
        <v>20661845</v>
      </c>
      <c r="N29" s="28">
        <f t="shared" si="4"/>
        <v>54726691</v>
      </c>
      <c r="O29" s="30">
        <f t="shared" si="5"/>
        <v>68269835</v>
      </c>
      <c r="P29" s="33">
        <f>-445697+445697+535022</f>
        <v>535022</v>
      </c>
    </row>
    <row r="30" spans="1:16" x14ac:dyDescent="0.2">
      <c r="A30" s="26">
        <f>'FERC Interest Rates'!A45</f>
        <v>42369</v>
      </c>
      <c r="B30" s="27">
        <v>16299312</v>
      </c>
      <c r="C30" s="27">
        <v>11530090</v>
      </c>
      <c r="D30" s="27">
        <v>1360411</v>
      </c>
      <c r="E30" s="28">
        <f t="shared" si="8"/>
        <v>29189813</v>
      </c>
      <c r="F30" s="29">
        <f>-15659+406+272</f>
        <v>-14981</v>
      </c>
      <c r="G30" s="27">
        <f>-424322+424322+491485</f>
        <v>491485</v>
      </c>
      <c r="H30" s="28">
        <f t="shared" si="9"/>
        <v>476504</v>
      </c>
      <c r="I30" s="30">
        <f t="shared" si="2"/>
        <v>29666317</v>
      </c>
      <c r="J30" s="27">
        <f>-38536211-36698347+38694815+36698347+41166774+28548549</f>
        <v>69873927</v>
      </c>
      <c r="K30" s="30">
        <f t="shared" si="6"/>
        <v>99540244</v>
      </c>
      <c r="L30" s="31" t="s">
        <v>48</v>
      </c>
      <c r="M30" s="32">
        <f>7257509+535022+4079051+3147933+331951+2441091+854240+492348+1032222+332415-(7257509+535022+4079051+3147933+331951+2441091+854240+492348+1032222+332415)+7799801+310029+617027+3019366+119111+2902368+743768+421378+1099518+385043</f>
        <v>17417409</v>
      </c>
      <c r="N30" s="28">
        <f t="shared" si="4"/>
        <v>52456518</v>
      </c>
      <c r="O30" s="30">
        <f t="shared" si="5"/>
        <v>82122835</v>
      </c>
      <c r="P30" s="33">
        <f>-535022+535022+310029</f>
        <v>310029</v>
      </c>
    </row>
    <row r="31" spans="1:16" x14ac:dyDescent="0.2">
      <c r="A31" s="26">
        <f>'FERC Interest Rates'!A46</f>
        <v>42400</v>
      </c>
      <c r="B31" s="27">
        <v>21787927</v>
      </c>
      <c r="C31" s="27">
        <v>15916106</v>
      </c>
      <c r="D31" s="27">
        <v>1722828</v>
      </c>
      <c r="E31" s="28">
        <f t="shared" si="8"/>
        <v>39426861</v>
      </c>
      <c r="F31" s="29">
        <f>-272+272+430</f>
        <v>430</v>
      </c>
      <c r="G31" s="27">
        <f>-491485+493418+490011</f>
        <v>491944</v>
      </c>
      <c r="H31" s="28">
        <f t="shared" ref="H31:H40" si="10">SUM(F31:G31)</f>
        <v>492374</v>
      </c>
      <c r="I31" s="30">
        <f t="shared" si="2"/>
        <v>39919235</v>
      </c>
      <c r="J31" s="27">
        <f>-41166774-28548549+41165336+28548549+43905259+29123439</f>
        <v>73027260</v>
      </c>
      <c r="K31" s="30">
        <f t="shared" si="6"/>
        <v>112946495</v>
      </c>
      <c r="L31" s="31" t="s">
        <v>48</v>
      </c>
      <c r="M31" s="32">
        <f>7799801+308591+617027+3019366+119111+2902368+743768+421378+1099518+385043-(7799801+310029+617027+3019366+119111+2902368+743768+421378+1099518+385043)+7443944+50651+1174934+3482503+527289+2988622+931500+534420+1182912+385329</f>
        <v>18700666</v>
      </c>
      <c r="N31" s="28">
        <f t="shared" si="4"/>
        <v>54326594</v>
      </c>
      <c r="O31" s="30">
        <f t="shared" si="5"/>
        <v>94245829</v>
      </c>
      <c r="P31" s="33">
        <f>-310029+308591+50651</f>
        <v>49213</v>
      </c>
    </row>
    <row r="32" spans="1:16" x14ac:dyDescent="0.2">
      <c r="A32" s="26">
        <f>'FERC Interest Rates'!A47</f>
        <v>42429</v>
      </c>
      <c r="B32" s="27">
        <v>15744661</v>
      </c>
      <c r="C32" s="27">
        <v>11885158</v>
      </c>
      <c r="D32" s="27">
        <v>1421652</v>
      </c>
      <c r="E32" s="28">
        <f t="shared" si="8"/>
        <v>29051471</v>
      </c>
      <c r="F32" s="29">
        <f>-430+430+342</f>
        <v>342</v>
      </c>
      <c r="G32" s="27">
        <f>-490011+490011+401220</f>
        <v>401220</v>
      </c>
      <c r="H32" s="28">
        <f t="shared" si="10"/>
        <v>401562</v>
      </c>
      <c r="I32" s="30">
        <f t="shared" si="2"/>
        <v>29453033</v>
      </c>
      <c r="J32" s="27">
        <f>-43905259-29123439+43905259+29123439+37699124+25310382</f>
        <v>63009506</v>
      </c>
      <c r="K32" s="30">
        <f t="shared" si="6"/>
        <v>92462539</v>
      </c>
      <c r="L32" s="31" t="s">
        <v>48</v>
      </c>
      <c r="M32" s="32">
        <f>7443944+50651+1174934+3482503+527289+2988622+931500+534420+1182912+385329-(7443944+50651+1174934+3482503+527289+2988622+931500+534420+1182912+385329)+7867966+120221+2999775+431729+2308672+804013+515788+1073794+353753</f>
        <v>16475711</v>
      </c>
      <c r="N32" s="28">
        <f t="shared" si="4"/>
        <v>46533795</v>
      </c>
      <c r="O32" s="30">
        <f t="shared" si="5"/>
        <v>75986828</v>
      </c>
      <c r="P32" s="33">
        <f>-50651+50651</f>
        <v>0</v>
      </c>
    </row>
    <row r="33" spans="1:16" x14ac:dyDescent="0.2">
      <c r="A33" s="26">
        <f>'FERC Interest Rates'!A48</f>
        <v>42460</v>
      </c>
      <c r="B33" s="27">
        <v>14256698</v>
      </c>
      <c r="C33" s="27">
        <v>10571037</v>
      </c>
      <c r="D33" s="27">
        <v>1579035</v>
      </c>
      <c r="E33" s="28">
        <f t="shared" si="8"/>
        <v>26406770</v>
      </c>
      <c r="F33" s="29">
        <f>-342+342+256</f>
        <v>256</v>
      </c>
      <c r="G33" s="27">
        <f>-401220+401220+399311</f>
        <v>399311</v>
      </c>
      <c r="H33" s="28">
        <f t="shared" si="10"/>
        <v>399567</v>
      </c>
      <c r="I33" s="30">
        <f t="shared" si="2"/>
        <v>26806337</v>
      </c>
      <c r="J33" s="27">
        <f>-37699124-25310382+37699124+25310382+34622082+12205754</f>
        <v>46827836</v>
      </c>
      <c r="K33" s="30">
        <f t="shared" si="6"/>
        <v>73634173</v>
      </c>
      <c r="L33" s="31" t="s">
        <v>48</v>
      </c>
      <c r="M33" s="32">
        <f>7867966+120221+2999775+431729+2308672+804013+515788+1073794+353753-(7867966+120221+2999775+431729+2308672+804013+515788+1073794+353753)+7271606+2914865+491690+2651138+639600+343195+1169931+479974</f>
        <v>15961999</v>
      </c>
      <c r="N33" s="28">
        <f t="shared" si="4"/>
        <v>30865837</v>
      </c>
      <c r="O33" s="30">
        <f t="shared" si="5"/>
        <v>57672174</v>
      </c>
      <c r="P33" s="33">
        <v>0</v>
      </c>
    </row>
    <row r="34" spans="1:16" x14ac:dyDescent="0.2">
      <c r="A34" s="26">
        <f>'FERC Interest Rates'!A49</f>
        <v>42490</v>
      </c>
      <c r="B34" s="27">
        <v>9205504</v>
      </c>
      <c r="C34" s="27">
        <v>7116368</v>
      </c>
      <c r="D34" s="27">
        <v>1060027</v>
      </c>
      <c r="E34" s="28">
        <f t="shared" si="8"/>
        <v>17381899</v>
      </c>
      <c r="F34" s="29">
        <f>-256+256+238</f>
        <v>238</v>
      </c>
      <c r="G34" s="27">
        <f>-399311+399311+287800</f>
        <v>287800</v>
      </c>
      <c r="H34" s="28">
        <f t="shared" si="10"/>
        <v>288038</v>
      </c>
      <c r="I34" s="30">
        <f t="shared" si="2"/>
        <v>17669937</v>
      </c>
      <c r="J34" s="27">
        <f>-34622082-12205754+34629307+12205567+31673334+11051053</f>
        <v>42731425</v>
      </c>
      <c r="K34" s="30">
        <f t="shared" si="6"/>
        <v>60401362</v>
      </c>
      <c r="L34" s="31" t="s">
        <v>48</v>
      </c>
      <c r="M34" s="32">
        <f>7271606+-771+2914865+491690+2651138+639600+343195+1169931+479974-(7271606+2914865+491690+2651138+639600+343195+1169931+479974)+6851907+1935645+819902+2547720+180699+421534+1090163+487333</f>
        <v>14334132</v>
      </c>
      <c r="N34" s="28">
        <f t="shared" si="4"/>
        <v>28397293</v>
      </c>
      <c r="O34" s="30">
        <f t="shared" si="5"/>
        <v>46067230</v>
      </c>
      <c r="P34" s="33">
        <f>-771</f>
        <v>-771</v>
      </c>
    </row>
    <row r="35" spans="1:16" x14ac:dyDescent="0.2">
      <c r="A35" s="26">
        <f>'FERC Interest Rates'!A50</f>
        <v>42521</v>
      </c>
      <c r="B35" s="27">
        <v>4937819</v>
      </c>
      <c r="C35" s="27">
        <v>4184525</v>
      </c>
      <c r="D35" s="27">
        <v>766236</v>
      </c>
      <c r="E35" s="28">
        <f t="shared" si="8"/>
        <v>9888580</v>
      </c>
      <c r="F35" s="29">
        <f>-238+238+223</f>
        <v>223</v>
      </c>
      <c r="G35" s="27">
        <f>-287800+287800+239257</f>
        <v>239257</v>
      </c>
      <c r="H35" s="28">
        <f t="shared" si="10"/>
        <v>239480</v>
      </c>
      <c r="I35" s="30">
        <f t="shared" si="2"/>
        <v>10128060</v>
      </c>
      <c r="J35" s="27">
        <f>-31673334-11051053+31673334+11051053+31280506+19976596</f>
        <v>51257102</v>
      </c>
      <c r="K35" s="30">
        <f t="shared" si="6"/>
        <v>61385162</v>
      </c>
      <c r="L35" s="31" t="s">
        <v>48</v>
      </c>
      <c r="M35" s="32">
        <f>6851907+1935645+819902+2547720+180699+421534+1090163+487333-(6851907+1935645+819902+2547720+180699+421534+1090163+487333)+6282405+121588+2358901+281708+2419712+391675+447431+1085521+483899</f>
        <v>13872840</v>
      </c>
      <c r="N35" s="28">
        <f t="shared" si="4"/>
        <v>37384262</v>
      </c>
      <c r="O35" s="30">
        <f t="shared" si="5"/>
        <v>47512322</v>
      </c>
      <c r="P35" s="33">
        <v>0</v>
      </c>
    </row>
    <row r="36" spans="1:16" x14ac:dyDescent="0.2">
      <c r="A36" s="26">
        <f>'FERC Interest Rates'!A51</f>
        <v>42551</v>
      </c>
      <c r="B36" s="27">
        <v>4130248</v>
      </c>
      <c r="C36" s="27">
        <v>3716222</v>
      </c>
      <c r="D36" s="27">
        <v>829383</v>
      </c>
      <c r="E36" s="28">
        <f t="shared" si="8"/>
        <v>8675853</v>
      </c>
      <c r="F36" s="29">
        <f>-223+223+392</f>
        <v>392</v>
      </c>
      <c r="G36" s="27">
        <f>-239257+239257+195115</f>
        <v>195115</v>
      </c>
      <c r="H36" s="28">
        <f t="shared" si="10"/>
        <v>195507</v>
      </c>
      <c r="I36" s="30">
        <f t="shared" si="2"/>
        <v>8871360</v>
      </c>
      <c r="J36" s="27">
        <f>-31280506-19976596+31281578+19976409+31848110+24240240</f>
        <v>56089235</v>
      </c>
      <c r="K36" s="30">
        <f t="shared" si="6"/>
        <v>64960595</v>
      </c>
      <c r="L36" s="31" t="s">
        <v>48</v>
      </c>
      <c r="M36" s="32">
        <f>6282405+121588+2358901+281708+2419712+391675+447431+1085521+483899-(6282405+121588+2358901+281708+2419712+391675+447431+1085521+483899)+4670317+1494038+2250693+475886+2087130+443762+423575+1040712+263095</f>
        <v>13149208</v>
      </c>
      <c r="N36" s="28">
        <f t="shared" si="4"/>
        <v>42940027</v>
      </c>
      <c r="O36" s="30">
        <f t="shared" si="5"/>
        <v>51811387</v>
      </c>
      <c r="P36" s="33">
        <v>0</v>
      </c>
    </row>
    <row r="37" spans="1:16" x14ac:dyDescent="0.2">
      <c r="A37" s="26">
        <f>'FERC Interest Rates'!A52</f>
        <v>42582</v>
      </c>
      <c r="B37" s="27">
        <v>3164014</v>
      </c>
      <c r="C37" s="27">
        <v>3100705</v>
      </c>
      <c r="D37" s="27">
        <v>619421</v>
      </c>
      <c r="E37" s="28">
        <f t="shared" si="8"/>
        <v>6884140</v>
      </c>
      <c r="F37" s="29">
        <f>-392+392</f>
        <v>0</v>
      </c>
      <c r="G37" s="27">
        <f>-195115+195115+228897</f>
        <v>228897</v>
      </c>
      <c r="H37" s="28">
        <f t="shared" si="10"/>
        <v>228897</v>
      </c>
      <c r="I37" s="30">
        <f t="shared" si="2"/>
        <v>7113037</v>
      </c>
      <c r="J37" s="27">
        <f>-31848110-24240240+31848110+24239315+34379688+31950816</f>
        <v>66329579</v>
      </c>
      <c r="K37" s="30">
        <f>I37+J37</f>
        <v>73442616</v>
      </c>
      <c r="L37" s="31" t="s">
        <v>48</v>
      </c>
      <c r="M37" s="32">
        <f>4670317+1494038+2250693+475886+2087130+443762+423575+1040712+263095-(4670317+1494038+2250693+475886+2087130+443762+423575+1040712+263095)+6386347+2552281+2676582+779965+2327217+516534+264558+1105831</f>
        <v>16609315</v>
      </c>
      <c r="N37" s="28">
        <f>J37-M37</f>
        <v>49720264</v>
      </c>
      <c r="O37" s="30">
        <f t="shared" si="5"/>
        <v>56833301</v>
      </c>
      <c r="P37" s="33">
        <v>0</v>
      </c>
    </row>
    <row r="38" spans="1:16" x14ac:dyDescent="0.2">
      <c r="A38" s="26">
        <f>'FERC Interest Rates'!A53</f>
        <v>42613</v>
      </c>
      <c r="B38" s="27">
        <v>2693650</v>
      </c>
      <c r="C38" s="27">
        <v>2827136</v>
      </c>
      <c r="D38" s="27">
        <v>833412</v>
      </c>
      <c r="E38" s="28">
        <f t="shared" si="8"/>
        <v>6354198</v>
      </c>
      <c r="F38" s="29">
        <f>0+473-0</f>
        <v>473</v>
      </c>
      <c r="G38" s="27">
        <f>228897+179539-228897</f>
        <v>179539</v>
      </c>
      <c r="H38" s="28">
        <f t="shared" si="10"/>
        <v>180012</v>
      </c>
      <c r="I38" s="30">
        <f t="shared" si="2"/>
        <v>6534210</v>
      </c>
      <c r="J38" s="27">
        <f>34379688+31950816+33965986+48674653-34379688-31950816</f>
        <v>82640639</v>
      </c>
      <c r="K38" s="30">
        <f t="shared" ref="K38:K52" si="11">I38+J38</f>
        <v>89174849</v>
      </c>
      <c r="L38" s="31" t="s">
        <v>48</v>
      </c>
      <c r="M38" s="32">
        <f>0+2676582+2327217+516534+264558+1105831+6386347+2552281+0+779965+0+2039021+2178765+777543+401313+1077422+7464379+7191370+0+1729358-0-2676582-2327217-516534-264558-1105831-6386347-2552281-0-779965</f>
        <v>22859171</v>
      </c>
      <c r="N38" s="28">
        <f t="shared" ref="N38:N52" si="12">J38-M38</f>
        <v>59781468</v>
      </c>
      <c r="O38" s="30">
        <f t="shared" si="5"/>
        <v>66315678</v>
      </c>
      <c r="P38" s="33">
        <v>0</v>
      </c>
    </row>
    <row r="39" spans="1:16" x14ac:dyDescent="0.2">
      <c r="A39" s="26">
        <f>'FERC Interest Rates'!A54</f>
        <v>42643</v>
      </c>
      <c r="B39" s="27">
        <v>2961359</v>
      </c>
      <c r="C39" s="27">
        <v>3113107</v>
      </c>
      <c r="D39" s="27">
        <v>886709</v>
      </c>
      <c r="E39" s="28">
        <f t="shared" si="8"/>
        <v>6961175</v>
      </c>
      <c r="F39" s="29">
        <f>473+407-473</f>
        <v>407</v>
      </c>
      <c r="G39" s="27">
        <f>179539+232998-179539</f>
        <v>232998</v>
      </c>
      <c r="H39" s="28">
        <f t="shared" si="10"/>
        <v>233405</v>
      </c>
      <c r="I39" s="30">
        <f t="shared" si="2"/>
        <v>7194580</v>
      </c>
      <c r="J39" s="27">
        <f>33919265+49297316+37406526+29200560-33965986-48674653</f>
        <v>67183028</v>
      </c>
      <c r="K39" s="30">
        <f t="shared" si="11"/>
        <v>74377608</v>
      </c>
      <c r="L39" s="31" t="s">
        <v>48</v>
      </c>
      <c r="M39" s="32">
        <f>0+2039021+2178765+777543+401313+1077422+7464379+7814033+0+1729358+2577629+2243785+699246+442989+1066817+7289540+1760357+0+780450-0-2039021-2178765-777543-401313-1077422-7464379-7191370-0-1729358</f>
        <v>17483476</v>
      </c>
      <c r="N39" s="28">
        <f t="shared" si="12"/>
        <v>49699552</v>
      </c>
      <c r="O39" s="30">
        <f t="shared" si="5"/>
        <v>56894132</v>
      </c>
      <c r="P39" s="33">
        <v>0</v>
      </c>
    </row>
    <row r="40" spans="1:16" x14ac:dyDescent="0.2">
      <c r="A40" s="34">
        <f>'FERC Interest Rates'!A55</f>
        <v>42674</v>
      </c>
      <c r="B40" s="35">
        <v>4470556</v>
      </c>
      <c r="C40" s="35">
        <v>3871269</v>
      </c>
      <c r="D40" s="35">
        <v>1333607</v>
      </c>
      <c r="E40" s="36">
        <f t="shared" si="8"/>
        <v>9675432</v>
      </c>
      <c r="F40" s="37">
        <f>407+0-407</f>
        <v>0</v>
      </c>
      <c r="G40" s="35">
        <f>232998+329121-232998</f>
        <v>329121</v>
      </c>
      <c r="H40" s="36">
        <f t="shared" si="10"/>
        <v>329121</v>
      </c>
      <c r="I40" s="38">
        <f t="shared" si="2"/>
        <v>10004553</v>
      </c>
      <c r="J40" s="35">
        <f>37436629+29200560+40991039+12399810-37406526-29200560</f>
        <v>53420952</v>
      </c>
      <c r="K40" s="38">
        <f t="shared" si="11"/>
        <v>63425505</v>
      </c>
      <c r="L40" s="39" t="s">
        <v>48</v>
      </c>
      <c r="M40" s="35">
        <f>0+2577629+2243785+699246+442989+1066817+7289540+1760357+0+780450+2445024+2841352+886699+419709+1178128+7402535+478644+0+313524-2577629-2243785-699246-442989-1066817-7289540-1760357-0-780450</f>
        <v>15965615</v>
      </c>
      <c r="N40" s="36">
        <f t="shared" si="12"/>
        <v>37455337</v>
      </c>
      <c r="O40" s="38">
        <f t="shared" si="5"/>
        <v>47459890</v>
      </c>
      <c r="P40" s="40">
        <v>0</v>
      </c>
    </row>
    <row r="41" spans="1:16" x14ac:dyDescent="0.2">
      <c r="A41" s="26">
        <f>'FERC Interest Rates'!A56</f>
        <v>42704</v>
      </c>
      <c r="B41" s="27">
        <v>7460324</v>
      </c>
      <c r="C41" s="27">
        <v>5520631</v>
      </c>
      <c r="D41" s="27">
        <v>1187068</v>
      </c>
      <c r="E41" s="28">
        <f t="shared" ref="E41:E52" si="13">SUM(B41:D41)</f>
        <v>14168023</v>
      </c>
      <c r="F41" s="29">
        <f>0+42-0</f>
        <v>42</v>
      </c>
      <c r="G41" s="27">
        <f>329121+378144-329121</f>
        <v>378144</v>
      </c>
      <c r="H41" s="28">
        <f t="shared" ref="H41:H48" si="14">SUM(F41:G41)</f>
        <v>378186</v>
      </c>
      <c r="I41" s="30">
        <f t="shared" si="2"/>
        <v>14546209</v>
      </c>
      <c r="J41" s="27">
        <f>40991039+12399810+38429818+15166485-40991039-12399810</f>
        <v>53596303</v>
      </c>
      <c r="K41" s="30">
        <f t="shared" si="11"/>
        <v>68142512</v>
      </c>
      <c r="L41" s="31" t="s">
        <v>48</v>
      </c>
      <c r="M41" s="32">
        <f>2445024+2841352+886699+419709+1178128+7402535+478644+0+313524+3062402+2411553+783701+387194+1099884+7955874+499335+0+582580-2445024-2841352-886699-419709-1178128-7402535-478644-0-313524</f>
        <v>16782523</v>
      </c>
      <c r="N41" s="28">
        <f t="shared" si="12"/>
        <v>36813780</v>
      </c>
      <c r="O41" s="30">
        <f t="shared" si="5"/>
        <v>51359989</v>
      </c>
      <c r="P41" s="33">
        <v>0</v>
      </c>
    </row>
    <row r="42" spans="1:16" x14ac:dyDescent="0.2">
      <c r="A42" s="26">
        <f>'FERC Interest Rates'!A57</f>
        <v>42735</v>
      </c>
      <c r="B42" s="27">
        <v>16023779</v>
      </c>
      <c r="C42" s="27">
        <v>11191376</v>
      </c>
      <c r="D42" s="27">
        <v>1548255</v>
      </c>
      <c r="E42" s="28">
        <f t="shared" si="13"/>
        <v>28763410</v>
      </c>
      <c r="F42" s="29">
        <f>42+302-42</f>
        <v>302</v>
      </c>
      <c r="G42" s="27">
        <f>378144+556857-378144</f>
        <v>556857</v>
      </c>
      <c r="H42" s="28">
        <f t="shared" si="14"/>
        <v>557159</v>
      </c>
      <c r="I42" s="30">
        <f t="shared" si="2"/>
        <v>29320569</v>
      </c>
      <c r="J42" s="27">
        <f>38433704+15166485+43025638+24999610-38429818-15166485</f>
        <v>68029134</v>
      </c>
      <c r="K42" s="30">
        <f t="shared" si="11"/>
        <v>97349703</v>
      </c>
      <c r="L42" s="31" t="s">
        <v>48</v>
      </c>
      <c r="M42" s="32">
        <f>3062402+2411553+783701+387194+1099884+7955874+499335+0+582580+3926790+2425780+887524+491709+1204691+7418771+3385699+0+962334-3062402-2411553-783701-387194-1099884-7955874-499335-0-582580</f>
        <v>20703298</v>
      </c>
      <c r="N42" s="28">
        <f t="shared" si="12"/>
        <v>47325836</v>
      </c>
      <c r="O42" s="30">
        <f t="shared" si="5"/>
        <v>76646405</v>
      </c>
      <c r="P42" s="33">
        <v>0</v>
      </c>
    </row>
    <row r="43" spans="1:16" x14ac:dyDescent="0.2">
      <c r="A43" s="26">
        <f>'FERC Interest Rates'!A58</f>
        <v>42766</v>
      </c>
      <c r="B43" s="27">
        <v>27190532</v>
      </c>
      <c r="C43" s="27">
        <v>20214298</v>
      </c>
      <c r="D43" s="27">
        <v>2077956</v>
      </c>
      <c r="E43" s="28">
        <f t="shared" si="13"/>
        <v>49482786</v>
      </c>
      <c r="F43" s="29">
        <f>302+306-302</f>
        <v>306</v>
      </c>
      <c r="G43" s="27">
        <f>556857+587884-556857</f>
        <v>587884</v>
      </c>
      <c r="H43" s="28">
        <f t="shared" si="14"/>
        <v>588190</v>
      </c>
      <c r="I43" s="30">
        <f t="shared" si="2"/>
        <v>50070976</v>
      </c>
      <c r="J43" s="27">
        <f>43032177+24999610+45464690+23263838-43025638-24999610</f>
        <v>68735067</v>
      </c>
      <c r="K43" s="30">
        <f t="shared" si="11"/>
        <v>118806043</v>
      </c>
      <c r="L43" s="31" t="s">
        <v>48</v>
      </c>
      <c r="M43" s="32">
        <f>3926790+2425780+887524+491709+1204691+7418771+3385699+0+962334+3484534+3336577+962939+597166+1201150+7537049+2120545+0+1281418-3926790-2425780-887524-491709-1204691-7418771-3385699-0-962334</f>
        <v>20521378</v>
      </c>
      <c r="N43" s="28">
        <f t="shared" si="12"/>
        <v>48213689</v>
      </c>
      <c r="O43" s="30">
        <f t="shared" si="5"/>
        <v>98284665</v>
      </c>
      <c r="P43" s="33">
        <v>0</v>
      </c>
    </row>
    <row r="44" spans="1:16" x14ac:dyDescent="0.2">
      <c r="A44" s="26">
        <f>'FERC Interest Rates'!A59</f>
        <v>42794</v>
      </c>
      <c r="B44" s="27">
        <v>20884784</v>
      </c>
      <c r="C44" s="27">
        <v>16301402</v>
      </c>
      <c r="D44" s="27">
        <v>1709089</v>
      </c>
      <c r="E44" s="28">
        <f t="shared" si="13"/>
        <v>38895275</v>
      </c>
      <c r="F44" s="29">
        <f>306+0-306</f>
        <v>0</v>
      </c>
      <c r="G44" s="27">
        <f>587884+461836-587884</f>
        <v>461836</v>
      </c>
      <c r="H44" s="28">
        <f t="shared" si="14"/>
        <v>461836</v>
      </c>
      <c r="I44" s="30">
        <f t="shared" si="2"/>
        <v>39357111</v>
      </c>
      <c r="J44" s="27">
        <f>45464690+23263838+37268027+17694147-45464690-23263838</f>
        <v>54962174</v>
      </c>
      <c r="K44" s="30">
        <f t="shared" si="11"/>
        <v>94319285</v>
      </c>
      <c r="L44" s="31" t="s">
        <v>48</v>
      </c>
      <c r="M44" s="32">
        <f>3484534+3336577+962939+597166+1201150+7537049+2120545+0+1281418+2000676+2870154+833388+466554+1050982+8259193+371595+0+989453-3484534-3336577-962939-597166-1201150-7537049-2120545-0-1281418</f>
        <v>16841995</v>
      </c>
      <c r="N44" s="28">
        <f t="shared" si="12"/>
        <v>38120179</v>
      </c>
      <c r="O44" s="30">
        <f t="shared" si="5"/>
        <v>77477290</v>
      </c>
      <c r="P44" s="33">
        <v>0</v>
      </c>
    </row>
    <row r="45" spans="1:16" x14ac:dyDescent="0.2">
      <c r="A45" s="26">
        <f>'FERC Interest Rates'!A60</f>
        <v>42825</v>
      </c>
      <c r="B45" s="27">
        <v>19202444</v>
      </c>
      <c r="C45" s="27">
        <v>14510217</v>
      </c>
      <c r="D45" s="27">
        <v>1905197</v>
      </c>
      <c r="E45" s="28">
        <f t="shared" si="13"/>
        <v>35617858</v>
      </c>
      <c r="F45" s="29">
        <v>0</v>
      </c>
      <c r="G45" s="27">
        <f>461836+254557-461836</f>
        <v>254557</v>
      </c>
      <c r="H45" s="28">
        <f t="shared" si="14"/>
        <v>254557</v>
      </c>
      <c r="I45" s="30">
        <f t="shared" si="2"/>
        <v>35872415</v>
      </c>
      <c r="J45" s="27">
        <f>37268027+17694147+37953585+16518243-37268027-17694147</f>
        <v>54471828</v>
      </c>
      <c r="K45" s="30">
        <f t="shared" si="11"/>
        <v>90344243</v>
      </c>
      <c r="L45" s="31" t="s">
        <v>48</v>
      </c>
      <c r="M45" s="32">
        <f>2000676+2870154+833388+466554+1050982+8259193+371595+0+989453+1114837+2218389+884624+518572+1157347+8127230+0+0+2016355-2000676-2870154-833388-466554-1050982-8259193-371595-0-989453</f>
        <v>16037354</v>
      </c>
      <c r="N45" s="28">
        <f t="shared" si="12"/>
        <v>38434474</v>
      </c>
      <c r="O45" s="30">
        <f t="shared" si="5"/>
        <v>74306889</v>
      </c>
      <c r="P45" s="33">
        <v>0</v>
      </c>
    </row>
    <row r="46" spans="1:16" x14ac:dyDescent="0.2">
      <c r="A46" s="26">
        <f>'FERC Interest Rates'!A61</f>
        <v>42855</v>
      </c>
      <c r="B46" s="27">
        <v>11408371</v>
      </c>
      <c r="C46" s="27">
        <v>8565387</v>
      </c>
      <c r="D46" s="27">
        <v>1187261</v>
      </c>
      <c r="E46" s="28">
        <f t="shared" si="13"/>
        <v>21161019</v>
      </c>
      <c r="F46" s="29">
        <v>0</v>
      </c>
      <c r="G46" s="27">
        <f>254557+215195-254557</f>
        <v>215195</v>
      </c>
      <c r="H46" s="28">
        <f t="shared" si="14"/>
        <v>215195</v>
      </c>
      <c r="I46" s="30">
        <f t="shared" si="2"/>
        <v>21376214</v>
      </c>
      <c r="J46" s="27">
        <f>37981777+16520502+33008626+19200909-37953585-16518243</f>
        <v>52239986</v>
      </c>
      <c r="K46" s="30">
        <f t="shared" si="11"/>
        <v>73616200</v>
      </c>
      <c r="L46" s="31" t="s">
        <v>48</v>
      </c>
      <c r="M46" s="32">
        <f>1114837+2218389+884624+518572+1157347+8127230+0+0+2016355+2338365+2019393+694319+408263+1102654+6745703+0+0+2347790-1114837-2218389-884624-518572-1157347-8127230-0-0-2016355</f>
        <v>15656487</v>
      </c>
      <c r="N46" s="28">
        <f t="shared" si="12"/>
        <v>36583499</v>
      </c>
      <c r="O46" s="30">
        <f t="shared" si="5"/>
        <v>57959713</v>
      </c>
      <c r="P46" s="33">
        <v>0</v>
      </c>
    </row>
    <row r="47" spans="1:16" x14ac:dyDescent="0.2">
      <c r="A47" s="26">
        <f>'FERC Interest Rates'!A62</f>
        <v>42886</v>
      </c>
      <c r="B47" s="27">
        <v>8224421</v>
      </c>
      <c r="C47" s="27">
        <v>6567715</v>
      </c>
      <c r="D47" s="27">
        <v>1017214</v>
      </c>
      <c r="E47" s="28">
        <f t="shared" si="13"/>
        <v>15809350</v>
      </c>
      <c r="F47" s="29">
        <v>0</v>
      </c>
      <c r="G47" s="27">
        <f>215195+163812-215195</f>
        <v>163812</v>
      </c>
      <c r="H47" s="28">
        <f t="shared" si="14"/>
        <v>163812</v>
      </c>
      <c r="I47" s="30">
        <f t="shared" si="2"/>
        <v>15973162</v>
      </c>
      <c r="J47" s="27">
        <f>33008626+19200909+32434391+10035547-33008626-19200909</f>
        <v>42469938</v>
      </c>
      <c r="K47" s="30">
        <f t="shared" si="11"/>
        <v>58443100</v>
      </c>
      <c r="L47" s="31" t="s">
        <v>48</v>
      </c>
      <c r="M47" s="32">
        <f>2338365+2019393+694319+408263+1102654+6745703+0+0+2347790+1936209+1949500+809100+542182+1061819+5660151+204038+0+2064599-2338365-2019393-694319-408263-1102654-6745703-0-0-2347790</f>
        <v>14227598</v>
      </c>
      <c r="N47" s="28">
        <f t="shared" si="12"/>
        <v>28242340</v>
      </c>
      <c r="O47" s="30">
        <f t="shared" si="5"/>
        <v>44215502</v>
      </c>
      <c r="P47" s="33">
        <v>0</v>
      </c>
    </row>
    <row r="48" spans="1:16" x14ac:dyDescent="0.2">
      <c r="A48" s="26">
        <f>'FERC Interest Rates'!A63</f>
        <v>42916</v>
      </c>
      <c r="B48" s="27">
        <v>4796437</v>
      </c>
      <c r="C48" s="27">
        <v>4561620</v>
      </c>
      <c r="D48" s="27">
        <v>969855</v>
      </c>
      <c r="E48" s="28">
        <f t="shared" si="13"/>
        <v>10327912</v>
      </c>
      <c r="F48" s="29">
        <v>0</v>
      </c>
      <c r="G48" s="27">
        <f>163812+116861-163812</f>
        <v>116861</v>
      </c>
      <c r="H48" s="28">
        <f t="shared" si="14"/>
        <v>116861</v>
      </c>
      <c r="I48" s="30">
        <f t="shared" si="2"/>
        <v>10444773</v>
      </c>
      <c r="J48" s="27">
        <f>32434391+10035547+34063374+9524292-32434391-10035547</f>
        <v>43587666</v>
      </c>
      <c r="K48" s="30">
        <f t="shared" si="11"/>
        <v>54032439</v>
      </c>
      <c r="L48" s="31" t="s">
        <v>48</v>
      </c>
      <c r="M48" s="32">
        <f>1936209+1949500+809100+542182+1061819+5660151+204038+0+2064599+1983194+1913414+847781+379371+1018577+5851796+510074+0+1740127-1936209-1949500-809100-542182-1061819-5660151-204038-0-2064599</f>
        <v>14244334</v>
      </c>
      <c r="N48" s="28">
        <f t="shared" si="12"/>
        <v>29343332</v>
      </c>
      <c r="O48" s="30">
        <f t="shared" si="5"/>
        <v>39788105</v>
      </c>
      <c r="P48" s="33">
        <v>0</v>
      </c>
    </row>
    <row r="49" spans="1:16" x14ac:dyDescent="0.2">
      <c r="A49" s="26">
        <f>'FERC Interest Rates'!A64</f>
        <v>42947</v>
      </c>
      <c r="B49" s="27">
        <v>2971109</v>
      </c>
      <c r="C49" s="27">
        <v>3057015</v>
      </c>
      <c r="D49" s="27">
        <v>669283</v>
      </c>
      <c r="E49" s="28">
        <f t="shared" si="13"/>
        <v>6697407</v>
      </c>
      <c r="F49" s="29">
        <v>0</v>
      </c>
      <c r="G49" s="27">
        <f>119628+110174-116861</f>
        <v>112941</v>
      </c>
      <c r="H49" s="28">
        <f t="shared" ref="H49:H52" si="15">SUM(F49:G49)</f>
        <v>112941</v>
      </c>
      <c r="I49" s="30">
        <f t="shared" si="2"/>
        <v>6810348</v>
      </c>
      <c r="J49" s="27">
        <f>35353105+10380515+32150027+28096283-34063374-9524292</f>
        <v>62392264</v>
      </c>
      <c r="K49" s="30">
        <f t="shared" si="11"/>
        <v>69202612</v>
      </c>
      <c r="L49" s="31" t="s">
        <v>48</v>
      </c>
      <c r="M49" s="32">
        <f>2041936+1942640+865737+393826+1044006+6339130+521149+1899989+2109495+2030833+733233+382876+1043846+5871056+3799320+0+173422-1983194-1913414-847781-379371-1018577-5851796-510074-0-1740127</f>
        <v>16948160</v>
      </c>
      <c r="N49" s="28">
        <f t="shared" si="12"/>
        <v>45444104</v>
      </c>
      <c r="O49" s="30">
        <f t="shared" si="5"/>
        <v>52254452</v>
      </c>
      <c r="P49" s="33">
        <v>0</v>
      </c>
    </row>
    <row r="50" spans="1:16" x14ac:dyDescent="0.2">
      <c r="A50" s="26">
        <f>'FERC Interest Rates'!A65</f>
        <v>42978</v>
      </c>
      <c r="B50" s="27"/>
      <c r="C50" s="27"/>
      <c r="D50" s="27"/>
      <c r="E50" s="28">
        <f t="shared" si="13"/>
        <v>0</v>
      </c>
      <c r="G50" s="27"/>
      <c r="H50" s="28">
        <f t="shared" si="15"/>
        <v>0</v>
      </c>
      <c r="I50" s="30">
        <f t="shared" si="2"/>
        <v>0</v>
      </c>
      <c r="J50" s="27"/>
      <c r="K50" s="30">
        <f t="shared" si="11"/>
        <v>0</v>
      </c>
      <c r="L50" s="31" t="s">
        <v>48</v>
      </c>
      <c r="M50" s="32"/>
      <c r="N50" s="28">
        <f t="shared" si="12"/>
        <v>0</v>
      </c>
      <c r="O50" s="30">
        <f t="shared" si="5"/>
        <v>0</v>
      </c>
      <c r="P50" s="33"/>
    </row>
    <row r="51" spans="1:16" x14ac:dyDescent="0.2">
      <c r="A51" s="26">
        <f>'FERC Interest Rates'!A66</f>
        <v>43008</v>
      </c>
      <c r="B51" s="27"/>
      <c r="C51" s="27"/>
      <c r="D51" s="27"/>
      <c r="E51" s="28">
        <f t="shared" si="13"/>
        <v>0</v>
      </c>
      <c r="G51" s="27"/>
      <c r="H51" s="28">
        <f t="shared" si="15"/>
        <v>0</v>
      </c>
      <c r="I51" s="30">
        <f t="shared" si="2"/>
        <v>0</v>
      </c>
      <c r="J51" s="27"/>
      <c r="K51" s="30">
        <f t="shared" si="11"/>
        <v>0</v>
      </c>
      <c r="L51" s="31" t="s">
        <v>48</v>
      </c>
      <c r="M51" s="32"/>
      <c r="N51" s="28">
        <f t="shared" si="12"/>
        <v>0</v>
      </c>
      <c r="O51" s="30">
        <f t="shared" si="5"/>
        <v>0</v>
      </c>
      <c r="P51" s="33"/>
    </row>
    <row r="52" spans="1:16" x14ac:dyDescent="0.2">
      <c r="A52" s="34">
        <f>'FERC Interest Rates'!A67</f>
        <v>43039</v>
      </c>
      <c r="B52" s="35"/>
      <c r="C52" s="35"/>
      <c r="D52" s="35"/>
      <c r="E52" s="36">
        <f t="shared" si="13"/>
        <v>0</v>
      </c>
      <c r="F52" s="37"/>
      <c r="G52" s="35"/>
      <c r="H52" s="36">
        <f t="shared" si="15"/>
        <v>0</v>
      </c>
      <c r="I52" s="38">
        <f t="shared" si="2"/>
        <v>0</v>
      </c>
      <c r="J52" s="35"/>
      <c r="K52" s="38">
        <f t="shared" si="11"/>
        <v>0</v>
      </c>
      <c r="L52" s="39" t="s">
        <v>48</v>
      </c>
      <c r="M52" s="35"/>
      <c r="N52" s="36">
        <f t="shared" si="12"/>
        <v>0</v>
      </c>
      <c r="O52" s="38">
        <f t="shared" si="5"/>
        <v>0</v>
      </c>
      <c r="P52" s="40"/>
    </row>
  </sheetData>
  <mergeCells count="11">
    <mergeCell ref="P3:P4"/>
    <mergeCell ref="A1:P1"/>
    <mergeCell ref="A2:P2"/>
    <mergeCell ref="A3:A4"/>
    <mergeCell ref="B3:E3"/>
    <mergeCell ref="F3:H3"/>
    <mergeCell ref="I3:I4"/>
    <mergeCell ref="J3:J4"/>
    <mergeCell ref="K3:K4"/>
    <mergeCell ref="L3:N3"/>
    <mergeCell ref="O3:O4"/>
  </mergeCells>
  <printOptions gridLinesSet="0"/>
  <pageMargins left="0.5" right="0.25" top="0.5" bottom="0.25" header="0.5" footer="0.5"/>
  <pageSetup scale="5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view="pageBreakPreview" zoomScale="115" zoomScaleNormal="75" zoomScaleSheetLayoutView="115" workbookViewId="0">
      <pane xSplit="1" ySplit="10" topLeftCell="B49" activePane="bottomRight" state="frozen"/>
      <selection activeCell="I52" sqref="I52"/>
      <selection pane="topRight" activeCell="I52" sqref="I52"/>
      <selection pane="bottomLeft" activeCell="I52" sqref="I52"/>
      <selection pane="bottomRight" activeCell="I52" sqref="I52"/>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54" bestFit="1" customWidth="1"/>
    <col min="12" max="12" width="10.44140625" style="1" bestFit="1" customWidth="1"/>
    <col min="13" max="16384" width="8.88671875" style="1"/>
  </cols>
  <sheetData>
    <row r="1" spans="1:12" x14ac:dyDescent="0.2">
      <c r="A1" s="174" t="s">
        <v>49</v>
      </c>
      <c r="B1" s="175"/>
      <c r="C1" s="176" t="s">
        <v>50</v>
      </c>
      <c r="D1" s="176"/>
      <c r="E1" s="176"/>
      <c r="F1" s="176"/>
      <c r="G1" s="176"/>
      <c r="H1" s="177"/>
    </row>
    <row r="2" spans="1:12" x14ac:dyDescent="0.2">
      <c r="A2" s="178" t="s">
        <v>51</v>
      </c>
      <c r="B2" s="162"/>
      <c r="C2" s="179" t="s">
        <v>73</v>
      </c>
      <c r="D2" s="179"/>
      <c r="E2" s="179"/>
      <c r="F2" s="179"/>
      <c r="G2" s="179"/>
      <c r="H2" s="180"/>
    </row>
    <row r="3" spans="1:12" x14ac:dyDescent="0.2">
      <c r="A3" s="178" t="s">
        <v>53</v>
      </c>
      <c r="B3" s="162"/>
      <c r="C3" s="163" t="s">
        <v>4</v>
      </c>
      <c r="D3" s="163"/>
      <c r="E3" s="163"/>
      <c r="F3" s="163"/>
      <c r="G3" s="163"/>
      <c r="H3" s="181"/>
      <c r="J3" s="58"/>
    </row>
    <row r="4" spans="1:12" x14ac:dyDescent="0.2">
      <c r="A4" s="178" t="s">
        <v>54</v>
      </c>
      <c r="B4" s="162"/>
      <c r="C4" s="165" t="s">
        <v>55</v>
      </c>
      <c r="D4" s="165"/>
      <c r="E4" s="165"/>
      <c r="F4" s="165"/>
      <c r="G4" s="165"/>
      <c r="H4" s="182"/>
    </row>
    <row r="5" spans="1:12" x14ac:dyDescent="0.2">
      <c r="A5" s="178" t="s">
        <v>56</v>
      </c>
      <c r="B5" s="162"/>
      <c r="C5" s="163" t="s">
        <v>57</v>
      </c>
      <c r="D5" s="163"/>
      <c r="E5" s="163"/>
      <c r="F5" s="163"/>
      <c r="G5" s="163"/>
      <c r="H5" s="181"/>
    </row>
    <row r="6" spans="1:12" x14ac:dyDescent="0.2">
      <c r="A6" s="178" t="s">
        <v>58</v>
      </c>
      <c r="B6" s="162"/>
      <c r="C6" s="163" t="s">
        <v>0</v>
      </c>
      <c r="D6" s="163"/>
      <c r="E6" s="163"/>
      <c r="F6" s="163"/>
      <c r="G6" s="163"/>
      <c r="H6" s="181"/>
      <c r="J6" s="58"/>
    </row>
    <row r="7" spans="1:12" s="59" customFormat="1" ht="54.75" customHeight="1" thickBot="1" x14ac:dyDescent="0.25">
      <c r="A7" s="183" t="s">
        <v>59</v>
      </c>
      <c r="B7" s="184"/>
      <c r="C7" s="185" t="s">
        <v>74</v>
      </c>
      <c r="D7" s="185"/>
      <c r="E7" s="185"/>
      <c r="F7" s="185"/>
      <c r="G7" s="185"/>
      <c r="H7" s="186"/>
      <c r="J7" s="60"/>
      <c r="K7" s="61"/>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64">
        <v>5300789.51</v>
      </c>
      <c r="L11" s="55"/>
    </row>
    <row r="12" spans="1:12" hidden="1" x14ac:dyDescent="0.2">
      <c r="A12" s="65">
        <f>'FERC Interest Rates'!A20</f>
        <v>41608</v>
      </c>
      <c r="D12" s="1">
        <f>-235790-543534.68</f>
        <v>-779324.68</v>
      </c>
      <c r="F12" s="3">
        <f t="shared" ref="F12:F13" si="0">ROUND(H11*VLOOKUP(A12,FERCINT13,2)/365*VLOOKUP(A12,FERCINT13,3),2)</f>
        <v>14159.64</v>
      </c>
      <c r="H12" s="64">
        <f t="shared" ref="H12:H59" si="1">H11+SUM(D12:G12)</f>
        <v>4535624.47</v>
      </c>
      <c r="L12" s="55"/>
    </row>
    <row r="13" spans="1:12" hidden="1" x14ac:dyDescent="0.2">
      <c r="A13" s="65">
        <f>'FERC Interest Rates'!A21</f>
        <v>41639</v>
      </c>
      <c r="D13" s="1">
        <f>-2151664.93-235790</f>
        <v>-2387454.9300000002</v>
      </c>
      <c r="F13" s="3">
        <f t="shared" si="0"/>
        <v>12519.57</v>
      </c>
      <c r="H13" s="64">
        <f t="shared" si="1"/>
        <v>2160689.1099999994</v>
      </c>
      <c r="L13" s="55"/>
    </row>
    <row r="14" spans="1:12" hidden="1" x14ac:dyDescent="0.2">
      <c r="A14" s="65">
        <f>'FERC Interest Rates'!A22</f>
        <v>41670</v>
      </c>
      <c r="D14" s="66">
        <f>-1890171.1-235790</f>
        <v>-2125961.1</v>
      </c>
      <c r="E14" s="66"/>
      <c r="F14" s="67">
        <f t="shared" ref="F14:F26" si="2">ROUND(H13*VLOOKUP(A14,FERCINT14,2)/365*VLOOKUP(A14,FERCINT14,3),2)</f>
        <v>5964.09</v>
      </c>
      <c r="G14" s="66"/>
      <c r="H14" s="68">
        <f t="shared" si="1"/>
        <v>40692.099999999162</v>
      </c>
      <c r="L14" s="55"/>
    </row>
    <row r="15" spans="1:12" hidden="1" x14ac:dyDescent="0.2">
      <c r="A15" s="65">
        <f>'FERC Interest Rates'!A23</f>
        <v>41698</v>
      </c>
      <c r="D15" s="66">
        <f>-1628431.9-235790</f>
        <v>-1864221.9</v>
      </c>
      <c r="E15" s="66"/>
      <c r="F15" s="67">
        <f t="shared" si="2"/>
        <v>101.45</v>
      </c>
      <c r="G15" s="66"/>
      <c r="H15" s="68">
        <f t="shared" si="1"/>
        <v>-1823428.3500000008</v>
      </c>
      <c r="L15" s="55"/>
    </row>
    <row r="16" spans="1:12" hidden="1" x14ac:dyDescent="0.2">
      <c r="A16" s="65">
        <f>'FERC Interest Rates'!A24</f>
        <v>41729</v>
      </c>
      <c r="D16" s="66">
        <v>128015.9</v>
      </c>
      <c r="E16" s="66"/>
      <c r="F16" s="67">
        <f t="shared" si="2"/>
        <v>-5033.16</v>
      </c>
      <c r="G16" s="66"/>
      <c r="H16" s="68">
        <f t="shared" si="1"/>
        <v>-1700445.6100000008</v>
      </c>
      <c r="L16" s="55"/>
    </row>
    <row r="17" spans="1:12" hidden="1" x14ac:dyDescent="0.2">
      <c r="A17" s="65">
        <f>'FERC Interest Rates'!A25</f>
        <v>41759</v>
      </c>
      <c r="D17" s="66">
        <f>1545767.97-235790</f>
        <v>1309977.97</v>
      </c>
      <c r="E17" s="66"/>
      <c r="F17" s="67">
        <f t="shared" si="2"/>
        <v>-4542.29</v>
      </c>
      <c r="G17" s="66"/>
      <c r="H17" s="68">
        <f t="shared" si="1"/>
        <v>-395009.93000000087</v>
      </c>
      <c r="L17" s="55"/>
    </row>
    <row r="18" spans="1:12" hidden="1" x14ac:dyDescent="0.2">
      <c r="A18" s="65">
        <f>'FERC Interest Rates'!A26</f>
        <v>41790</v>
      </c>
      <c r="D18" s="66">
        <f>2390005.33-235790</f>
        <v>2154215.33</v>
      </c>
      <c r="E18" s="66"/>
      <c r="F18" s="67">
        <f t="shared" si="2"/>
        <v>-1090.3399999999999</v>
      </c>
      <c r="G18" s="66"/>
      <c r="H18" s="68">
        <f t="shared" si="1"/>
        <v>1758115.0599999994</v>
      </c>
      <c r="L18" s="55"/>
    </row>
    <row r="19" spans="1:12" hidden="1" x14ac:dyDescent="0.2">
      <c r="A19" s="65">
        <f>'FERC Interest Rates'!A27</f>
        <v>41820</v>
      </c>
      <c r="D19" s="66">
        <f>2129580.54-235790</f>
        <v>1893790.54</v>
      </c>
      <c r="E19" s="66"/>
      <c r="F19" s="67">
        <f t="shared" si="2"/>
        <v>4696.33</v>
      </c>
      <c r="G19" s="66"/>
      <c r="H19" s="68">
        <f t="shared" si="1"/>
        <v>3656601.9299999997</v>
      </c>
      <c r="L19" s="55"/>
    </row>
    <row r="20" spans="1:12" hidden="1" x14ac:dyDescent="0.2">
      <c r="A20" s="65">
        <f>'FERC Interest Rates'!A28</f>
        <v>41851</v>
      </c>
      <c r="D20" s="1">
        <f>2343224.81-235790</f>
        <v>2107434.81</v>
      </c>
      <c r="F20" s="3">
        <f t="shared" si="2"/>
        <v>10093.219999999999</v>
      </c>
      <c r="H20" s="64">
        <f t="shared" si="1"/>
        <v>5774129.96</v>
      </c>
      <c r="L20" s="55"/>
    </row>
    <row r="21" spans="1:12" hidden="1" x14ac:dyDescent="0.2">
      <c r="A21" s="65">
        <f>'FERC Interest Rates'!A29</f>
        <v>41882</v>
      </c>
      <c r="D21" s="1">
        <f>2806868.63-235790</f>
        <v>2571078.63</v>
      </c>
      <c r="F21" s="3">
        <f t="shared" si="2"/>
        <v>15938.18</v>
      </c>
      <c r="H21" s="64">
        <f t="shared" si="1"/>
        <v>8361146.7699999996</v>
      </c>
      <c r="L21" s="55"/>
    </row>
    <row r="22" spans="1:12" hidden="1" x14ac:dyDescent="0.2">
      <c r="A22" s="65">
        <f>'FERC Interest Rates'!A30</f>
        <v>41912</v>
      </c>
      <c r="D22" s="1">
        <f>2483434.98-235790</f>
        <v>2247644.98</v>
      </c>
      <c r="F22" s="3">
        <f t="shared" si="2"/>
        <v>22334.57</v>
      </c>
      <c r="H22" s="64">
        <f t="shared" si="1"/>
        <v>10631126.32</v>
      </c>
      <c r="L22" s="55"/>
    </row>
    <row r="23" spans="1:12" hidden="1" x14ac:dyDescent="0.2">
      <c r="A23" s="65">
        <f>'FERC Interest Rates'!A31</f>
        <v>41943</v>
      </c>
      <c r="D23" s="1">
        <f>2177304.09-235790</f>
        <v>1941514.0899999999</v>
      </c>
      <c r="F23" s="3">
        <f t="shared" si="2"/>
        <v>29344.82</v>
      </c>
      <c r="H23" s="64">
        <f t="shared" si="1"/>
        <v>12601985.23</v>
      </c>
      <c r="L23" s="55"/>
    </row>
    <row r="24" spans="1:12" x14ac:dyDescent="0.2">
      <c r="A24" s="167" t="s">
        <v>70</v>
      </c>
      <c r="B24" s="167"/>
      <c r="C24" s="167"/>
      <c r="D24" s="167"/>
      <c r="E24" s="167"/>
      <c r="F24" s="167"/>
      <c r="G24" s="1">
        <v>-5821559.6299999999</v>
      </c>
      <c r="H24" s="64">
        <f t="shared" si="1"/>
        <v>6780425.6000000006</v>
      </c>
    </row>
    <row r="25" spans="1:12" x14ac:dyDescent="0.2">
      <c r="A25" s="65">
        <f>'FERC Interest Rates'!A32</f>
        <v>41973</v>
      </c>
      <c r="D25" s="1">
        <v>-2042189.49</v>
      </c>
      <c r="F25" s="3">
        <f t="shared" si="2"/>
        <v>18112.099999999999</v>
      </c>
      <c r="H25" s="64">
        <f t="shared" si="1"/>
        <v>4756348.2100000009</v>
      </c>
      <c r="L25" s="55"/>
    </row>
    <row r="26" spans="1:12" x14ac:dyDescent="0.2">
      <c r="A26" s="65">
        <f>'FERC Interest Rates'!A33</f>
        <v>42004</v>
      </c>
      <c r="D26" s="1">
        <f>-1692473.19-235790</f>
        <v>-1928263.19</v>
      </c>
      <c r="F26" s="3">
        <f t="shared" si="2"/>
        <v>13128.82</v>
      </c>
      <c r="H26" s="64">
        <f t="shared" si="1"/>
        <v>2841213.8400000008</v>
      </c>
      <c r="L26" s="55"/>
    </row>
    <row r="27" spans="1:12" x14ac:dyDescent="0.2">
      <c r="A27" s="65">
        <f>'FERC Interest Rates'!A34</f>
        <v>42035</v>
      </c>
      <c r="D27" s="1">
        <f>-235790-2244525.95</f>
        <v>-2480315.9500000002</v>
      </c>
      <c r="F27" s="3">
        <f t="shared" ref="F27:F34" si="3">ROUND(H26*VLOOKUP(A27,FERCINT15,2)/365*VLOOKUP(A27,FERCINT15,3),2)</f>
        <v>7842.53</v>
      </c>
      <c r="H27" s="64">
        <f t="shared" si="1"/>
        <v>368740.42000000039</v>
      </c>
      <c r="L27" s="55"/>
    </row>
    <row r="28" spans="1:12" x14ac:dyDescent="0.2">
      <c r="A28" s="65">
        <f>'FERC Interest Rates'!A35</f>
        <v>42063</v>
      </c>
      <c r="D28" s="1">
        <f>-235790-439032.16</f>
        <v>-674822.15999999992</v>
      </c>
      <c r="F28" s="3">
        <f t="shared" si="3"/>
        <v>919.33</v>
      </c>
      <c r="H28" s="64">
        <f t="shared" si="1"/>
        <v>-305162.40999999957</v>
      </c>
      <c r="L28" s="55"/>
    </row>
    <row r="29" spans="1:12" x14ac:dyDescent="0.2">
      <c r="A29" s="65">
        <f>'FERC Interest Rates'!A36</f>
        <v>42094</v>
      </c>
      <c r="D29" s="1">
        <f>624226.35-235790</f>
        <v>388436.35</v>
      </c>
      <c r="F29" s="3">
        <f t="shared" si="3"/>
        <v>-842.33</v>
      </c>
      <c r="H29" s="64">
        <f t="shared" si="1"/>
        <v>82431.610000000393</v>
      </c>
      <c r="L29" s="55"/>
    </row>
    <row r="30" spans="1:12" x14ac:dyDescent="0.2">
      <c r="A30" s="65">
        <f>'FERC Interest Rates'!A37</f>
        <v>42124</v>
      </c>
      <c r="D30" s="1">
        <v>577862.52</v>
      </c>
      <c r="F30" s="3">
        <f t="shared" si="3"/>
        <v>220.19</v>
      </c>
      <c r="H30" s="64">
        <f t="shared" si="1"/>
        <v>660514.3200000003</v>
      </c>
      <c r="L30" s="55"/>
    </row>
    <row r="31" spans="1:12" x14ac:dyDescent="0.2">
      <c r="A31" s="65">
        <f>'FERC Interest Rates'!A38</f>
        <v>42155</v>
      </c>
      <c r="D31" s="1">
        <f>-235790+2154521.16</f>
        <v>1918731.1600000001</v>
      </c>
      <c r="F31" s="3">
        <f t="shared" si="3"/>
        <v>1823.2</v>
      </c>
      <c r="H31" s="64">
        <f t="shared" si="1"/>
        <v>2581068.6800000006</v>
      </c>
      <c r="L31" s="55"/>
    </row>
    <row r="32" spans="1:12" x14ac:dyDescent="0.2">
      <c r="A32" s="65">
        <f>'FERC Interest Rates'!A39</f>
        <v>42185</v>
      </c>
      <c r="D32" s="1">
        <f>-235790+3002370.29</f>
        <v>2766580.29</v>
      </c>
      <c r="F32" s="3">
        <f t="shared" si="3"/>
        <v>6894.64</v>
      </c>
      <c r="H32" s="64">
        <f t="shared" si="1"/>
        <v>5354543.6100000013</v>
      </c>
      <c r="L32" s="55"/>
    </row>
    <row r="33" spans="1:12" x14ac:dyDescent="0.2">
      <c r="A33" s="65">
        <f>'FERC Interest Rates'!A40</f>
        <v>42216</v>
      </c>
      <c r="D33" s="1">
        <f>-235790+2635153.59</f>
        <v>2399363.59</v>
      </c>
      <c r="F33" s="3">
        <f t="shared" si="3"/>
        <v>14780.01</v>
      </c>
      <c r="H33" s="64">
        <f t="shared" si="1"/>
        <v>7768687.2100000009</v>
      </c>
      <c r="L33" s="55"/>
    </row>
    <row r="34" spans="1:12" x14ac:dyDescent="0.2">
      <c r="A34" s="65">
        <f>'FERC Interest Rates'!A41</f>
        <v>42247</v>
      </c>
      <c r="D34" s="1">
        <f>-235790+3068421.49</f>
        <v>2832631.49</v>
      </c>
      <c r="F34" s="3">
        <f t="shared" si="3"/>
        <v>21443.71</v>
      </c>
      <c r="H34" s="64">
        <f t="shared" si="1"/>
        <v>10622762.41</v>
      </c>
      <c r="L34" s="55"/>
    </row>
    <row r="35" spans="1:12" x14ac:dyDescent="0.2">
      <c r="A35" s="167" t="s">
        <v>71</v>
      </c>
      <c r="B35" s="167"/>
      <c r="C35" s="167"/>
      <c r="D35" s="167"/>
      <c r="E35" s="167"/>
      <c r="F35" s="167"/>
      <c r="G35" s="1">
        <v>-5384144.4199999999</v>
      </c>
      <c r="H35" s="64">
        <f t="shared" si="1"/>
        <v>5238617.99</v>
      </c>
      <c r="L35" s="55"/>
    </row>
    <row r="36" spans="1:12" x14ac:dyDescent="0.2">
      <c r="A36" s="65">
        <f>'FERC Interest Rates'!A42</f>
        <v>42277</v>
      </c>
      <c r="D36" s="1">
        <f>-235790+2279842.94</f>
        <v>2044052.94</v>
      </c>
      <c r="F36" s="3">
        <f>ROUND(H35*VLOOKUP(A36,FERCINT15,2)/365*VLOOKUP(A36,FERCINT15,3),2)</f>
        <v>13993.57</v>
      </c>
      <c r="H36" s="64">
        <f t="shared" si="1"/>
        <v>7296664.5</v>
      </c>
      <c r="L36" s="55"/>
    </row>
    <row r="37" spans="1:12" x14ac:dyDescent="0.2">
      <c r="A37" s="65">
        <f>'FERC Interest Rates'!A43</f>
        <v>42308</v>
      </c>
      <c r="D37" s="1">
        <f>-235790+1685153.23</f>
        <v>1449363.23</v>
      </c>
      <c r="F37" s="3">
        <f>ROUND(H36*VLOOKUP(A37,FERCINT15,2)/365*VLOOKUP(A37,FERCINT15,3),2)</f>
        <v>20140.79</v>
      </c>
      <c r="H37" s="64">
        <f t="shared" si="1"/>
        <v>8766168.5199999996</v>
      </c>
      <c r="L37" s="55"/>
    </row>
    <row r="38" spans="1:12" x14ac:dyDescent="0.2">
      <c r="A38" s="65">
        <f>'FERC Interest Rates'!A44</f>
        <v>42338</v>
      </c>
      <c r="D38" s="1">
        <f>-235790-1154654.65</f>
        <v>-1390444.65</v>
      </c>
      <c r="F38" s="3">
        <f>ROUND(H37*VLOOKUP(A38,FERCINT15,2)/365*VLOOKUP(A38,FERCINT15,3),2)</f>
        <v>23416.48</v>
      </c>
      <c r="H38" s="64">
        <f t="shared" si="1"/>
        <v>7399140.3499999996</v>
      </c>
      <c r="L38" s="55"/>
    </row>
    <row r="39" spans="1:12" x14ac:dyDescent="0.2">
      <c r="A39" s="65">
        <f>'FERC Interest Rates'!A45</f>
        <v>42369</v>
      </c>
      <c r="D39" s="1">
        <f>-235790-2451396.83</f>
        <v>-2687186.83</v>
      </c>
      <c r="F39" s="3">
        <f>ROUND(H38*VLOOKUP(A39,FERCINT15,2)/365*VLOOKUP(A39,FERCINT15,3),2)</f>
        <v>20423.650000000001</v>
      </c>
      <c r="H39" s="64">
        <f t="shared" si="1"/>
        <v>4732377.17</v>
      </c>
      <c r="L39" s="55"/>
    </row>
    <row r="40" spans="1:12" x14ac:dyDescent="0.2">
      <c r="A40" s="65">
        <f>'FERC Interest Rates'!A46</f>
        <v>42400</v>
      </c>
      <c r="D40" s="1">
        <f>-235790-2843736.16</f>
        <v>-3079526.16</v>
      </c>
      <c r="F40" s="3">
        <f t="shared" ref="F40:F52" si="4">ROUND(H39*VLOOKUP(A40,FERCINT16,2)/365*VLOOKUP(A40,FERCINT16,3),2)</f>
        <v>13062.66</v>
      </c>
      <c r="H40" s="64">
        <f t="shared" si="1"/>
        <v>1665913.67</v>
      </c>
      <c r="L40" s="55"/>
    </row>
    <row r="41" spans="1:12" x14ac:dyDescent="0.2">
      <c r="A41" s="65">
        <f>'FERC Interest Rates'!A47</f>
        <v>42429</v>
      </c>
      <c r="D41" s="1">
        <f>-235790-733663.69</f>
        <v>-969453.69</v>
      </c>
      <c r="F41" s="3">
        <f t="shared" si="4"/>
        <v>4301.71</v>
      </c>
      <c r="H41" s="64">
        <f t="shared" si="1"/>
        <v>700761.69</v>
      </c>
      <c r="L41" s="55"/>
    </row>
    <row r="42" spans="1:12" x14ac:dyDescent="0.2">
      <c r="A42" s="65">
        <f>'FERC Interest Rates'!A48</f>
        <v>42460</v>
      </c>
      <c r="D42" s="1">
        <f>-235790-251077.59</f>
        <v>-486867.58999999997</v>
      </c>
      <c r="F42" s="3">
        <f t="shared" si="4"/>
        <v>1934.29</v>
      </c>
      <c r="H42" s="64">
        <f t="shared" si="1"/>
        <v>215828.38999999996</v>
      </c>
      <c r="L42" s="55"/>
    </row>
    <row r="43" spans="1:12" x14ac:dyDescent="0.2">
      <c r="A43" s="65">
        <f>'FERC Interest Rates'!A49</f>
        <v>42490</v>
      </c>
      <c r="D43" s="1">
        <f>-235790+1778810.98</f>
        <v>1543020.98</v>
      </c>
      <c r="F43" s="3">
        <f t="shared" si="4"/>
        <v>613.78</v>
      </c>
      <c r="H43" s="64">
        <f t="shared" si="1"/>
        <v>1759463.15</v>
      </c>
      <c r="L43" s="55"/>
    </row>
    <row r="44" spans="1:12" x14ac:dyDescent="0.2">
      <c r="A44" s="65">
        <f>'FERC Interest Rates'!A50</f>
        <v>42521</v>
      </c>
      <c r="D44" s="1">
        <f>-235790+2166277.82</f>
        <v>1930487.8199999998</v>
      </c>
      <c r="F44" s="3">
        <f t="shared" si="4"/>
        <v>5170.41</v>
      </c>
      <c r="H44" s="64">
        <f t="shared" si="1"/>
        <v>3695121.38</v>
      </c>
      <c r="L44" s="55"/>
    </row>
    <row r="45" spans="1:12" x14ac:dyDescent="0.2">
      <c r="A45" s="65">
        <f>'FERC Interest Rates'!A51</f>
        <v>42551</v>
      </c>
      <c r="D45" s="1">
        <f>-235790+2358521.52</f>
        <v>2122731.52</v>
      </c>
      <c r="F45" s="3">
        <f t="shared" si="4"/>
        <v>10508.32</v>
      </c>
      <c r="H45" s="64">
        <f t="shared" si="1"/>
        <v>5828361.2199999997</v>
      </c>
      <c r="L45" s="55"/>
    </row>
    <row r="46" spans="1:12" x14ac:dyDescent="0.2">
      <c r="A46" s="65">
        <f>'FERC Interest Rates'!A52</f>
        <v>42582</v>
      </c>
      <c r="D46" s="1">
        <f>2544357.05-235790</f>
        <v>2308567.0499999998</v>
      </c>
      <c r="F46" s="3">
        <f t="shared" si="4"/>
        <v>17325.400000000001</v>
      </c>
      <c r="H46" s="64">
        <f t="shared" si="1"/>
        <v>8154253.6699999999</v>
      </c>
      <c r="L46" s="55"/>
    </row>
    <row r="47" spans="1:12" x14ac:dyDescent="0.2">
      <c r="A47" s="65">
        <f>'FERC Interest Rates'!A53</f>
        <v>42613</v>
      </c>
      <c r="D47" s="1">
        <f>2676077.9-235790</f>
        <v>2440287.9</v>
      </c>
      <c r="F47" s="3">
        <f t="shared" si="4"/>
        <v>24239.360000000001</v>
      </c>
      <c r="H47" s="64">
        <f t="shared" si="1"/>
        <v>10618780.93</v>
      </c>
      <c r="L47" s="55"/>
    </row>
    <row r="48" spans="1:12" x14ac:dyDescent="0.2">
      <c r="A48" s="167" t="s">
        <v>71</v>
      </c>
      <c r="B48" s="167"/>
      <c r="C48" s="167"/>
      <c r="D48" s="167"/>
      <c r="E48" s="167"/>
      <c r="F48" s="167"/>
      <c r="G48" s="1">
        <v>-5863063.5199999996</v>
      </c>
      <c r="H48" s="64">
        <f t="shared" si="1"/>
        <v>4755717.41</v>
      </c>
      <c r="L48" s="55"/>
    </row>
    <row r="49" spans="1:12" x14ac:dyDescent="0.2">
      <c r="A49" s="65">
        <f>'FERC Interest Rates'!A54</f>
        <v>42643</v>
      </c>
      <c r="D49" s="1">
        <f>2256459.89-235790</f>
        <v>2020669.8900000001</v>
      </c>
      <c r="F49" s="3">
        <f>ROUND(H48*VLOOKUP(A49,FERCINT16,2)/365*VLOOKUP(A49,FERCINT16,3),2)</f>
        <v>13680.83</v>
      </c>
      <c r="H49" s="64">
        <f>H48+SUM(D49:G49)</f>
        <v>6790068.1300000008</v>
      </c>
      <c r="L49" s="55"/>
    </row>
    <row r="50" spans="1:12" x14ac:dyDescent="0.2">
      <c r="A50" s="65">
        <f>'FERC Interest Rates'!A55</f>
        <v>42674</v>
      </c>
      <c r="D50" s="1">
        <f>1223760.21-235790</f>
        <v>987970.21</v>
      </c>
      <c r="F50" s="3">
        <f t="shared" si="4"/>
        <v>20184.18</v>
      </c>
      <c r="H50" s="64">
        <f t="shared" si="1"/>
        <v>7798222.5200000005</v>
      </c>
      <c r="L50" s="55"/>
    </row>
    <row r="51" spans="1:12" x14ac:dyDescent="0.2">
      <c r="A51" s="65">
        <f>'FERC Interest Rates'!A56</f>
        <v>42704</v>
      </c>
      <c r="D51" s="1">
        <f>-27093.75+6998.33-235790+279026.37</f>
        <v>23140.950000000012</v>
      </c>
      <c r="F51" s="3">
        <f t="shared" si="4"/>
        <v>22433.24</v>
      </c>
      <c r="H51" s="64">
        <f t="shared" si="1"/>
        <v>7843796.7100000009</v>
      </c>
      <c r="L51" s="55"/>
    </row>
    <row r="52" spans="1:12" x14ac:dyDescent="0.2">
      <c r="A52" s="65">
        <f>'FERC Interest Rates'!A57</f>
        <v>42735</v>
      </c>
      <c r="D52" s="1">
        <f>-3365220.01-255885.42</f>
        <v>-3621105.4299999997</v>
      </c>
      <c r="F52" s="3">
        <f t="shared" si="4"/>
        <v>23316.49</v>
      </c>
      <c r="H52" s="64">
        <f t="shared" si="1"/>
        <v>4246007.7700000014</v>
      </c>
      <c r="L52" s="55"/>
    </row>
    <row r="53" spans="1:12" x14ac:dyDescent="0.2">
      <c r="A53" s="65">
        <f>'FERC Interest Rates'!A58</f>
        <v>42766</v>
      </c>
      <c r="D53" s="1">
        <f>-255885.42-3925040.15</f>
        <v>-4180925.57</v>
      </c>
      <c r="F53" s="3">
        <f t="shared" ref="F53:F59" si="5">ROUND(H52*VLOOKUP(A53,FERCINT17,2)/365*VLOOKUP(A53,FERCINT17,3),2)</f>
        <v>12621.69</v>
      </c>
      <c r="H53" s="64">
        <f t="shared" si="1"/>
        <v>77703.890000001527</v>
      </c>
      <c r="L53" s="55"/>
    </row>
    <row r="54" spans="1:12" x14ac:dyDescent="0.2">
      <c r="A54" s="65">
        <f>'FERC Interest Rates'!A59</f>
        <v>42794</v>
      </c>
      <c r="D54" s="1">
        <f>-255885.42-2150057.29</f>
        <v>-2405942.71</v>
      </c>
      <c r="F54" s="3">
        <f t="shared" si="5"/>
        <v>208.63</v>
      </c>
      <c r="H54" s="64">
        <f t="shared" si="1"/>
        <v>-2328030.1899999985</v>
      </c>
      <c r="L54" s="55"/>
    </row>
    <row r="55" spans="1:12" x14ac:dyDescent="0.2">
      <c r="A55" s="65">
        <f>'FERC Interest Rates'!A60</f>
        <v>42825</v>
      </c>
      <c r="D55" s="1">
        <f>-255885.42-552759.68</f>
        <v>-808645.10000000009</v>
      </c>
      <c r="F55" s="3">
        <f t="shared" si="5"/>
        <v>-6920.31</v>
      </c>
      <c r="H55" s="64">
        <f t="shared" si="1"/>
        <v>-3143595.5999999987</v>
      </c>
      <c r="L55" s="55"/>
    </row>
    <row r="56" spans="1:12" x14ac:dyDescent="0.2">
      <c r="A56" s="65">
        <f>'FERC Interest Rates'!A61</f>
        <v>42855</v>
      </c>
      <c r="D56" s="1">
        <f>-255885.42+711602.06</f>
        <v>455716.64</v>
      </c>
      <c r="F56" s="3">
        <f t="shared" si="5"/>
        <v>-9585.81</v>
      </c>
      <c r="H56" s="64">
        <f t="shared" si="1"/>
        <v>-2697464.7699999986</v>
      </c>
      <c r="L56" s="55"/>
    </row>
    <row r="57" spans="1:12" x14ac:dyDescent="0.2">
      <c r="A57" s="65">
        <f>'FERC Interest Rates'!A62</f>
        <v>42886</v>
      </c>
      <c r="D57" s="1">
        <f>1785186.57-255885.42</f>
        <v>1529301.1500000001</v>
      </c>
      <c r="F57" s="3">
        <f t="shared" si="5"/>
        <v>-8499.6</v>
      </c>
      <c r="H57" s="64">
        <f t="shared" si="1"/>
        <v>-1176663.2199999986</v>
      </c>
      <c r="L57" s="55"/>
    </row>
    <row r="58" spans="1:12" x14ac:dyDescent="0.2">
      <c r="A58" s="65">
        <f>'FERC Interest Rates'!A63</f>
        <v>42916</v>
      </c>
      <c r="D58" s="1">
        <f>-255885.42+2860897.95</f>
        <v>2605012.5300000003</v>
      </c>
      <c r="F58" s="3">
        <f t="shared" si="5"/>
        <v>-3588.02</v>
      </c>
      <c r="H58" s="64">
        <f t="shared" si="1"/>
        <v>1424761.2900000017</v>
      </c>
      <c r="L58" s="55"/>
    </row>
    <row r="59" spans="1:12" x14ac:dyDescent="0.2">
      <c r="A59" s="65">
        <f>'FERC Interest Rates'!A64</f>
        <v>42947</v>
      </c>
      <c r="D59" s="1">
        <f>-255885.42+2782148.25</f>
        <v>2526262.83</v>
      </c>
      <c r="F59" s="3">
        <f t="shared" si="5"/>
        <v>4791.88</v>
      </c>
      <c r="H59" s="64">
        <f t="shared" si="1"/>
        <v>3955816.0000000019</v>
      </c>
      <c r="L59" s="55"/>
    </row>
    <row r="60" spans="1:12" x14ac:dyDescent="0.2">
      <c r="A60" s="65"/>
      <c r="F60" s="3"/>
      <c r="H60" s="64"/>
      <c r="L60" s="55"/>
    </row>
  </sheetData>
  <mergeCells count="19">
    <mergeCell ref="A48:F48"/>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tabSelected="1" view="pageBreakPreview" topLeftCell="A13" zoomScale="115" zoomScaleNormal="100" zoomScaleSheetLayoutView="115" workbookViewId="0">
      <selection activeCell="I52" sqref="I52"/>
    </sheetView>
  </sheetViews>
  <sheetFormatPr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54" bestFit="1" customWidth="1"/>
    <col min="12" max="12" width="10.44140625" style="1" bestFit="1" customWidth="1"/>
    <col min="13" max="16384" width="8.88671875" style="1"/>
  </cols>
  <sheetData>
    <row r="1" spans="1:12" x14ac:dyDescent="0.2">
      <c r="A1" s="174" t="s">
        <v>49</v>
      </c>
      <c r="B1" s="175"/>
      <c r="C1" s="187" t="s">
        <v>50</v>
      </c>
      <c r="D1" s="187"/>
      <c r="E1" s="187"/>
      <c r="F1" s="187"/>
      <c r="G1" s="187"/>
      <c r="H1" s="188"/>
      <c r="I1" s="74"/>
    </row>
    <row r="2" spans="1:12" x14ac:dyDescent="0.2">
      <c r="A2" s="178" t="s">
        <v>51</v>
      </c>
      <c r="B2" s="162"/>
      <c r="C2" s="189" t="s">
        <v>98</v>
      </c>
      <c r="D2" s="189"/>
      <c r="E2" s="189"/>
      <c r="F2" s="189"/>
      <c r="G2" s="189"/>
      <c r="H2" s="190"/>
      <c r="I2" s="74"/>
    </row>
    <row r="3" spans="1:12" x14ac:dyDescent="0.2">
      <c r="A3" s="178" t="s">
        <v>53</v>
      </c>
      <c r="B3" s="162"/>
      <c r="C3" s="189" t="s">
        <v>8</v>
      </c>
      <c r="D3" s="189"/>
      <c r="E3" s="189"/>
      <c r="F3" s="189"/>
      <c r="G3" s="189"/>
      <c r="H3" s="190"/>
      <c r="I3" s="74"/>
    </row>
    <row r="4" spans="1:12" x14ac:dyDescent="0.2">
      <c r="A4" s="178" t="s">
        <v>54</v>
      </c>
      <c r="B4" s="162"/>
      <c r="C4" s="191" t="s">
        <v>55</v>
      </c>
      <c r="D4" s="191"/>
      <c r="E4" s="191"/>
      <c r="F4" s="191"/>
      <c r="G4" s="191"/>
      <c r="H4" s="192"/>
      <c r="I4" s="74"/>
    </row>
    <row r="5" spans="1:12" x14ac:dyDescent="0.2">
      <c r="A5" s="178" t="s">
        <v>56</v>
      </c>
      <c r="B5" s="162"/>
      <c r="C5" s="191" t="s">
        <v>0</v>
      </c>
      <c r="D5" s="191"/>
      <c r="E5" s="191"/>
      <c r="F5" s="191"/>
      <c r="G5" s="191"/>
      <c r="H5" s="192"/>
      <c r="I5" s="74"/>
    </row>
    <row r="6" spans="1:12" x14ac:dyDescent="0.2">
      <c r="A6" s="178" t="s">
        <v>58</v>
      </c>
      <c r="B6" s="162"/>
      <c r="C6" s="191" t="s">
        <v>99</v>
      </c>
      <c r="D6" s="191"/>
      <c r="E6" s="191"/>
      <c r="F6" s="191"/>
      <c r="G6" s="191"/>
      <c r="H6" s="192"/>
      <c r="I6" s="74"/>
    </row>
    <row r="7" spans="1:12" ht="13.5" thickBot="1" x14ac:dyDescent="0.25">
      <c r="A7" s="183" t="s">
        <v>59</v>
      </c>
      <c r="B7" s="184"/>
      <c r="C7" s="194" t="s">
        <v>100</v>
      </c>
      <c r="D7" s="194"/>
      <c r="E7" s="194"/>
      <c r="F7" s="194"/>
      <c r="G7" s="194"/>
      <c r="H7" s="195"/>
      <c r="I7" s="75"/>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x14ac:dyDescent="0.2">
      <c r="A11" s="76"/>
      <c r="B11" s="76"/>
      <c r="C11" s="76"/>
      <c r="D11" s="76"/>
      <c r="E11" s="76"/>
      <c r="F11" s="76"/>
      <c r="G11" s="76"/>
      <c r="H11" s="77"/>
      <c r="I11" s="75"/>
    </row>
    <row r="12" spans="1:12" x14ac:dyDescent="0.2">
      <c r="A12" s="193" t="s">
        <v>101</v>
      </c>
      <c r="B12" s="193"/>
      <c r="C12" s="193"/>
      <c r="D12" s="193"/>
      <c r="E12" s="193"/>
      <c r="F12" s="193"/>
      <c r="G12" s="78">
        <v>-14485606.119999999</v>
      </c>
      <c r="H12" s="77"/>
      <c r="I12" s="79"/>
      <c r="J12" s="57"/>
    </row>
    <row r="13" spans="1:12" x14ac:dyDescent="0.2">
      <c r="A13" s="193" t="s">
        <v>102</v>
      </c>
      <c r="B13" s="193"/>
      <c r="C13" s="193"/>
      <c r="D13" s="193"/>
      <c r="E13" s="193"/>
      <c r="F13" s="193"/>
      <c r="G13" s="78">
        <v>5863063.5199999996</v>
      </c>
      <c r="H13" s="77"/>
      <c r="I13" s="79"/>
      <c r="J13" s="57"/>
    </row>
    <row r="14" spans="1:12" x14ac:dyDescent="0.2">
      <c r="A14" s="193" t="s">
        <v>103</v>
      </c>
      <c r="B14" s="193"/>
      <c r="C14" s="193"/>
      <c r="D14" s="193"/>
      <c r="E14" s="193"/>
      <c r="F14" s="193"/>
      <c r="G14" s="78">
        <v>-504451.07</v>
      </c>
      <c r="H14" s="77"/>
      <c r="I14" s="79"/>
      <c r="J14" s="57"/>
    </row>
    <row r="15" spans="1:12" x14ac:dyDescent="0.2">
      <c r="A15" s="193" t="s">
        <v>104</v>
      </c>
      <c r="B15" s="193"/>
      <c r="C15" s="193"/>
      <c r="D15" s="193"/>
      <c r="E15" s="193"/>
      <c r="F15" s="193"/>
      <c r="G15" s="78">
        <v>-4085.68</v>
      </c>
      <c r="H15" s="77"/>
      <c r="I15" s="79"/>
      <c r="J15" s="57"/>
    </row>
    <row r="16" spans="1:12" x14ac:dyDescent="0.2">
      <c r="A16" s="193" t="s">
        <v>105</v>
      </c>
      <c r="B16" s="193"/>
      <c r="C16" s="193"/>
      <c r="D16" s="193"/>
      <c r="E16" s="193"/>
      <c r="F16" s="193"/>
      <c r="G16" s="80">
        <v>11617.84</v>
      </c>
      <c r="H16" s="77"/>
      <c r="I16" s="75"/>
    </row>
    <row r="17" spans="1:12" x14ac:dyDescent="0.2">
      <c r="A17" s="193"/>
      <c r="B17" s="193"/>
      <c r="C17" s="193"/>
      <c r="D17" s="193"/>
      <c r="E17" s="193"/>
      <c r="F17" s="193"/>
      <c r="G17" s="78"/>
      <c r="H17" s="77">
        <f>SUM(G12:G16)</f>
        <v>-9119461.5099999998</v>
      </c>
      <c r="I17" s="75"/>
    </row>
    <row r="18" spans="1:12" x14ac:dyDescent="0.2">
      <c r="A18" s="81">
        <f>'FERC Interest Rates'!A54</f>
        <v>42643</v>
      </c>
      <c r="B18" s="78" t="s">
        <v>106</v>
      </c>
      <c r="C18" s="82">
        <f>'Therm Sales'!I39</f>
        <v>7194580</v>
      </c>
      <c r="D18" s="78"/>
      <c r="E18" s="83">
        <f>SUM(ROUND(4084007*0.00601,2)+ROUND(3110573*0.03537,2))</f>
        <v>134565.85</v>
      </c>
      <c r="F18" s="78">
        <f>ROUND(H17*VLOOKUP(A18,FERCINT16,2)/365*VLOOKUP(A18,FERCINT16,3),2)</f>
        <v>-26234.07</v>
      </c>
      <c r="G18" s="78"/>
      <c r="H18" s="77">
        <f>H17+SUM(E18:G18)</f>
        <v>-9011129.7300000004</v>
      </c>
      <c r="I18" s="84"/>
      <c r="L18" s="85"/>
    </row>
    <row r="19" spans="1:12" s="3" customFormat="1" x14ac:dyDescent="0.2">
      <c r="A19" s="81">
        <f>'FERC Interest Rates'!A55</f>
        <v>42674</v>
      </c>
      <c r="B19" s="86">
        <v>3.5369999999999999E-2</v>
      </c>
      <c r="C19" s="82">
        <f>'Therm Sales'!I40</f>
        <v>10004553</v>
      </c>
      <c r="D19" s="87"/>
      <c r="E19" s="88">
        <f>ROUND(C19*B19,2)-0.01</f>
        <v>353861.02999999997</v>
      </c>
      <c r="F19" s="78">
        <f>ROUND(H18*VLOOKUP(A19,FERCINT16,2)/365*VLOOKUP(A19,FERCINT16,3),2)</f>
        <v>-26786.51</v>
      </c>
      <c r="G19" s="89"/>
      <c r="H19" s="90">
        <f>H18+SUM(D19:G19)</f>
        <v>-8684055.2100000009</v>
      </c>
      <c r="I19" s="84"/>
      <c r="J19" s="91"/>
      <c r="K19" s="54"/>
      <c r="L19" s="85"/>
    </row>
    <row r="20" spans="1:12" x14ac:dyDescent="0.2">
      <c r="A20" s="81">
        <f>'FERC Interest Rates'!A56</f>
        <v>42704</v>
      </c>
      <c r="B20" s="86">
        <v>3.5369999999999999E-2</v>
      </c>
      <c r="C20" s="82">
        <f>'Therm Sales'!I41</f>
        <v>14546209</v>
      </c>
      <c r="D20" s="92"/>
      <c r="E20" s="93">
        <f>ROUND(C20*B20,2)</f>
        <v>514499.41</v>
      </c>
      <c r="F20" s="78">
        <f>ROUND(H19*VLOOKUP(A20,FERCINT16,2)/365*VLOOKUP(A20,FERCINT16,3),2)</f>
        <v>-24981.53</v>
      </c>
      <c r="G20" s="75"/>
      <c r="H20" s="94">
        <f>H19+SUM(D20:G20)</f>
        <v>-8194537.330000001</v>
      </c>
      <c r="I20" s="79"/>
      <c r="J20" s="57"/>
      <c r="L20" s="85"/>
    </row>
    <row r="21" spans="1:12" x14ac:dyDescent="0.2">
      <c r="A21" s="81">
        <f>'FERC Interest Rates'!A57</f>
        <v>42735</v>
      </c>
      <c r="B21" s="86">
        <v>3.5369999999999999E-2</v>
      </c>
      <c r="C21" s="82">
        <f>'Therm Sales'!I42</f>
        <v>29320569</v>
      </c>
      <c r="D21" s="92"/>
      <c r="E21" s="88">
        <f>ROUND(C21*B21,2)-0.02</f>
        <v>1037068.51</v>
      </c>
      <c r="F21" s="78">
        <f>ROUND(H20*VLOOKUP(A21,FERCINT16,2)/365*VLOOKUP(A21,FERCINT16,3),2)</f>
        <v>-24359.1</v>
      </c>
      <c r="G21" s="75"/>
      <c r="H21" s="94">
        <f t="shared" ref="H21:H28" si="0">H20+SUM(D21:G21)</f>
        <v>-7181827.9200000009</v>
      </c>
      <c r="J21" s="57"/>
      <c r="L21" s="95"/>
    </row>
    <row r="22" spans="1:12" x14ac:dyDescent="0.2">
      <c r="A22" s="81">
        <f>'FERC Interest Rates'!A58</f>
        <v>42766</v>
      </c>
      <c r="B22" s="86">
        <v>3.5369999999999999E-2</v>
      </c>
      <c r="C22" s="82">
        <f>'Therm Sales'!I43</f>
        <v>50070976</v>
      </c>
      <c r="D22" s="92"/>
      <c r="E22" s="88">
        <f>ROUND(C22*B22,2)-0.01</f>
        <v>1771010.41</v>
      </c>
      <c r="F22" s="78">
        <f t="shared" ref="F22:F28" si="1">ROUND(H21*VLOOKUP(A22,FERCINT17,2)/365*VLOOKUP(A22,FERCINT17,3),2)</f>
        <v>-21348.720000000001</v>
      </c>
      <c r="G22" s="75"/>
      <c r="H22" s="94">
        <f t="shared" si="0"/>
        <v>-5432166.2300000004</v>
      </c>
      <c r="J22" s="57"/>
      <c r="L22" s="95"/>
    </row>
    <row r="23" spans="1:12" x14ac:dyDescent="0.2">
      <c r="A23" s="81">
        <f>'FERC Interest Rates'!A59</f>
        <v>42794</v>
      </c>
      <c r="B23" s="86">
        <v>3.5369999999999999E-2</v>
      </c>
      <c r="C23" s="82">
        <f>'Therm Sales'!I44</f>
        <v>39357111</v>
      </c>
      <c r="D23" s="92"/>
      <c r="E23" s="93">
        <f t="shared" ref="E23:E28" si="2">ROUND(C23*B23,2)</f>
        <v>1392061.02</v>
      </c>
      <c r="F23" s="78">
        <f t="shared" si="1"/>
        <v>-14584.99</v>
      </c>
      <c r="G23" s="75"/>
      <c r="H23" s="94">
        <f t="shared" si="0"/>
        <v>-4054690.2</v>
      </c>
      <c r="J23" s="57"/>
      <c r="L23" s="95"/>
    </row>
    <row r="24" spans="1:12" x14ac:dyDescent="0.2">
      <c r="A24" s="81">
        <f>'FERC Interest Rates'!A60</f>
        <v>42825</v>
      </c>
      <c r="B24" s="86">
        <v>3.5369999999999999E-2</v>
      </c>
      <c r="C24" s="82">
        <f>'Therm Sales'!I45</f>
        <v>35872415</v>
      </c>
      <c r="D24" s="92"/>
      <c r="E24" s="88">
        <f>ROUND(C24*B24,2)-0.01</f>
        <v>1268807.31</v>
      </c>
      <c r="F24" s="78">
        <f t="shared" si="1"/>
        <v>-12052.98</v>
      </c>
      <c r="G24" s="75"/>
      <c r="H24" s="94">
        <f t="shared" si="0"/>
        <v>-2797935.87</v>
      </c>
      <c r="J24" s="57"/>
      <c r="L24" s="95"/>
    </row>
    <row r="25" spans="1:12" x14ac:dyDescent="0.2">
      <c r="A25" s="81">
        <f>'FERC Interest Rates'!A61</f>
        <v>42855</v>
      </c>
      <c r="B25" s="86">
        <v>3.5369999999999999E-2</v>
      </c>
      <c r="C25" s="82">
        <f>'Therm Sales'!I46</f>
        <v>21376214</v>
      </c>
      <c r="D25" s="92"/>
      <c r="E25" s="93">
        <f t="shared" si="2"/>
        <v>756076.69</v>
      </c>
      <c r="F25" s="78">
        <f t="shared" si="1"/>
        <v>-8531.7900000000009</v>
      </c>
      <c r="G25" s="75"/>
      <c r="H25" s="94">
        <f t="shared" si="0"/>
        <v>-2050390.9700000002</v>
      </c>
      <c r="J25" s="57"/>
      <c r="L25" s="95"/>
    </row>
    <row r="26" spans="1:12" x14ac:dyDescent="0.2">
      <c r="A26" s="81">
        <f>'FERC Interest Rates'!A62</f>
        <v>42886</v>
      </c>
      <c r="B26" s="86">
        <v>3.5369999999999999E-2</v>
      </c>
      <c r="C26" s="82">
        <f>'Therm Sales'!I47</f>
        <v>15973162</v>
      </c>
      <c r="D26" s="73"/>
      <c r="E26" s="88">
        <f>ROUND(C26*B26,2)+0.01</f>
        <v>564970.75</v>
      </c>
      <c r="F26" s="78">
        <f t="shared" si="1"/>
        <v>-6460.7</v>
      </c>
      <c r="H26" s="94">
        <f t="shared" si="0"/>
        <v>-1491880.9200000002</v>
      </c>
      <c r="J26" s="57"/>
      <c r="L26" s="95"/>
    </row>
    <row r="27" spans="1:12" x14ac:dyDescent="0.2">
      <c r="A27" s="81">
        <f>'FERC Interest Rates'!A63</f>
        <v>42916</v>
      </c>
      <c r="B27" s="86">
        <v>3.5369999999999999E-2</v>
      </c>
      <c r="C27" s="82">
        <f>'Therm Sales'!I48</f>
        <v>10444773</v>
      </c>
      <c r="D27" s="73"/>
      <c r="E27" s="88">
        <f>ROUND(C27*B27,2)+0.01</f>
        <v>369431.63</v>
      </c>
      <c r="F27" s="78">
        <f t="shared" si="1"/>
        <v>-4549.21</v>
      </c>
      <c r="H27" s="94">
        <f t="shared" si="0"/>
        <v>-1126998.5000000002</v>
      </c>
      <c r="J27" s="57"/>
      <c r="L27" s="95"/>
    </row>
    <row r="28" spans="1:12" x14ac:dyDescent="0.2">
      <c r="A28" s="81">
        <f>'FERC Interest Rates'!A64</f>
        <v>42947</v>
      </c>
      <c r="B28" s="86">
        <v>3.5369999999999999E-2</v>
      </c>
      <c r="C28" s="82">
        <f>'Therm Sales'!I49</f>
        <v>6810348</v>
      </c>
      <c r="D28" s="73"/>
      <c r="E28" s="93">
        <f t="shared" si="2"/>
        <v>240882.01</v>
      </c>
      <c r="F28" s="78">
        <f t="shared" si="1"/>
        <v>-3790.42</v>
      </c>
      <c r="H28" s="94">
        <f t="shared" si="0"/>
        <v>-889906.91000000027</v>
      </c>
      <c r="J28" s="57"/>
      <c r="L28" s="95"/>
    </row>
    <row r="29" spans="1:12" x14ac:dyDescent="0.2">
      <c r="A29" s="81"/>
      <c r="B29" s="86"/>
      <c r="C29" s="82"/>
      <c r="D29" s="73"/>
      <c r="E29" s="93"/>
      <c r="F29" s="78"/>
      <c r="H29" s="94"/>
      <c r="J29" s="57"/>
      <c r="L29" s="95"/>
    </row>
    <row r="30" spans="1:12" x14ac:dyDescent="0.2">
      <c r="A30" s="81"/>
      <c r="B30" s="86"/>
      <c r="C30" s="82"/>
      <c r="D30" s="73"/>
      <c r="E30" s="93"/>
      <c r="F30" s="78"/>
      <c r="H30" s="94"/>
      <c r="J30" s="57"/>
      <c r="L30" s="95"/>
    </row>
    <row r="31" spans="1:12" x14ac:dyDescent="0.2">
      <c r="A31" s="81"/>
      <c r="B31" s="86"/>
      <c r="C31" s="82"/>
      <c r="D31" s="73"/>
      <c r="E31" s="93"/>
      <c r="F31" s="78"/>
      <c r="H31" s="94"/>
      <c r="J31" s="57"/>
      <c r="L31" s="95"/>
    </row>
    <row r="32" spans="1:12" x14ac:dyDescent="0.2">
      <c r="H32" s="94"/>
    </row>
    <row r="37" spans="5:5" x14ac:dyDescent="0.2">
      <c r="E37" s="1" t="s">
        <v>7</v>
      </c>
    </row>
  </sheetData>
  <mergeCells count="21">
    <mergeCell ref="A15:F15"/>
    <mergeCell ref="A16:F16"/>
    <mergeCell ref="A17:F17"/>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tabSelected="1" view="pageBreakPreview" zoomScale="60" zoomScaleNormal="100" workbookViewId="0">
      <selection activeCell="I52" sqref="I52"/>
    </sheetView>
  </sheetViews>
  <sheetFormatPr defaultRowHeight="12.75" x14ac:dyDescent="0.2"/>
  <cols>
    <col min="1" max="1" width="9.109375" style="100" customWidth="1"/>
    <col min="2" max="2" width="20.77734375" style="100" customWidth="1"/>
    <col min="3" max="3" width="15.88671875" style="100" customWidth="1"/>
    <col min="4" max="4" width="14.77734375" style="100" customWidth="1"/>
    <col min="5" max="6" width="12.77734375" style="100" bestFit="1" customWidth="1"/>
    <col min="7" max="7" width="2.88671875" style="100" customWidth="1"/>
    <col min="8" max="16384" width="8.88671875" style="100"/>
  </cols>
  <sheetData>
    <row r="1" spans="1:9" ht="15" x14ac:dyDescent="0.2">
      <c r="A1" s="104" t="s">
        <v>115</v>
      </c>
      <c r="B1" s="104"/>
      <c r="C1" s="104"/>
      <c r="D1" s="104"/>
      <c r="E1" s="104"/>
      <c r="F1" s="105"/>
      <c r="G1" s="106"/>
      <c r="H1" s="103"/>
      <c r="I1" s="103"/>
    </row>
    <row r="2" spans="1:9" ht="15" x14ac:dyDescent="0.2">
      <c r="A2" s="107" t="s">
        <v>116</v>
      </c>
      <c r="B2" s="108">
        <f>'[1]Core Cost Incurred'!D2</f>
        <v>42947</v>
      </c>
      <c r="C2" s="109"/>
      <c r="D2" s="109"/>
      <c r="E2" s="109"/>
      <c r="F2" s="109"/>
      <c r="G2" s="103"/>
      <c r="H2" s="103"/>
      <c r="I2" s="103"/>
    </row>
    <row r="3" spans="1:9" x14ac:dyDescent="0.2">
      <c r="A3" s="103"/>
      <c r="B3" s="103"/>
      <c r="C3" s="103"/>
      <c r="D3" s="103"/>
      <c r="E3" s="103"/>
      <c r="F3" s="103"/>
      <c r="G3" s="103"/>
      <c r="H3" s="103"/>
      <c r="I3" s="103"/>
    </row>
    <row r="4" spans="1:9" ht="15" customHeight="1" thickBot="1" x14ac:dyDescent="0.25">
      <c r="A4" s="196"/>
      <c r="B4" s="196"/>
      <c r="C4" s="196"/>
      <c r="D4" s="196"/>
      <c r="E4" s="110"/>
      <c r="F4" s="111"/>
      <c r="G4" s="103"/>
      <c r="H4" s="103"/>
      <c r="I4" s="103"/>
    </row>
    <row r="5" spans="1:9" ht="14.25" x14ac:dyDescent="0.2">
      <c r="A5" s="112"/>
      <c r="B5" s="112"/>
      <c r="C5" s="113" t="s">
        <v>117</v>
      </c>
      <c r="D5" s="113" t="s">
        <v>118</v>
      </c>
      <c r="E5" s="114" t="s">
        <v>65</v>
      </c>
      <c r="F5" s="113" t="s">
        <v>9</v>
      </c>
      <c r="G5" s="103"/>
      <c r="H5" s="103"/>
      <c r="I5" s="103"/>
    </row>
    <row r="6" spans="1:9" ht="14.25" x14ac:dyDescent="0.2">
      <c r="A6" s="115" t="s">
        <v>119</v>
      </c>
      <c r="B6" s="116"/>
      <c r="C6" s="117">
        <v>692010</v>
      </c>
      <c r="D6" s="117">
        <v>691010</v>
      </c>
      <c r="E6" s="118">
        <v>693010</v>
      </c>
      <c r="F6" s="117"/>
      <c r="G6" s="102"/>
      <c r="H6" s="103"/>
      <c r="I6" s="103"/>
    </row>
    <row r="7" spans="1:9" ht="15" hidden="1" customHeight="1" x14ac:dyDescent="0.2">
      <c r="A7" s="101" t="s">
        <v>119</v>
      </c>
      <c r="B7" s="103"/>
      <c r="C7" s="119"/>
      <c r="D7" s="119"/>
      <c r="E7" s="120"/>
      <c r="F7" s="119"/>
      <c r="G7" s="103"/>
      <c r="H7" s="103"/>
      <c r="I7" s="103"/>
    </row>
    <row r="8" spans="1:9" ht="16.5" customHeight="1" x14ac:dyDescent="0.2">
      <c r="A8" s="101" t="s">
        <v>120</v>
      </c>
      <c r="B8" s="103"/>
      <c r="C8" s="121">
        <v>1966924.0799999998</v>
      </c>
      <c r="D8" s="121">
        <v>1057394.2</v>
      </c>
      <c r="E8" s="122">
        <v>-240882.01</v>
      </c>
      <c r="F8" s="121">
        <v>2783436.2699999996</v>
      </c>
      <c r="G8" s="103"/>
      <c r="H8" s="103"/>
      <c r="I8" s="103"/>
    </row>
    <row r="9" spans="1:9" ht="16.5" customHeight="1" x14ac:dyDescent="0.2">
      <c r="A9" s="101" t="s">
        <v>121</v>
      </c>
      <c r="B9" s="102"/>
      <c r="C9" s="124">
        <f>'[1]Core Cost Incurred'!J42</f>
        <v>1377884.4700000004</v>
      </c>
      <c r="D9" s="124">
        <f>'[1]Core Cost Incurred'!J43</f>
        <v>3839542.4499999997</v>
      </c>
      <c r="E9" s="125">
        <v>0</v>
      </c>
      <c r="F9" s="123">
        <f>SUM(C9:D9)</f>
        <v>5217426.92</v>
      </c>
      <c r="G9" s="103"/>
      <c r="H9" s="103"/>
      <c r="I9" s="103"/>
    </row>
    <row r="10" spans="1:9" ht="16.5" customHeight="1" x14ac:dyDescent="0.2">
      <c r="A10" s="101" t="s">
        <v>122</v>
      </c>
      <c r="B10" s="103"/>
      <c r="C10" s="126">
        <f>C8-C9</f>
        <v>589039.6099999994</v>
      </c>
      <c r="D10" s="127">
        <f>D8-D9</f>
        <v>-2782148.25</v>
      </c>
      <c r="E10" s="127">
        <f t="shared" ref="E10" si="0">E8-E9</f>
        <v>-240882.01</v>
      </c>
      <c r="F10" s="126">
        <f>F8-F9</f>
        <v>-2433990.6500000004</v>
      </c>
      <c r="G10" s="103"/>
      <c r="H10" s="103"/>
      <c r="I10" s="103"/>
    </row>
    <row r="11" spans="1:9" ht="16.5" customHeight="1" x14ac:dyDescent="0.2">
      <c r="A11" s="101" t="s">
        <v>123</v>
      </c>
      <c r="B11" s="103"/>
      <c r="C11" s="156">
        <v>3722.63</v>
      </c>
      <c r="D11" s="128"/>
      <c r="E11" s="129"/>
      <c r="F11" s="156">
        <v>3722.63</v>
      </c>
      <c r="G11" s="103"/>
      <c r="H11" s="103"/>
      <c r="I11" s="103"/>
    </row>
    <row r="12" spans="1:9" ht="16.5" customHeight="1" x14ac:dyDescent="0.2">
      <c r="A12" s="130" t="s">
        <v>124</v>
      </c>
      <c r="B12" s="131"/>
      <c r="C12" s="126"/>
      <c r="D12" s="126">
        <v>255885.42</v>
      </c>
      <c r="E12" s="132"/>
      <c r="F12" s="126">
        <v>255885.42</v>
      </c>
      <c r="G12" s="103"/>
      <c r="H12" s="103"/>
      <c r="I12" s="103"/>
    </row>
    <row r="13" spans="1:9" ht="16.5" customHeight="1" x14ac:dyDescent="0.25">
      <c r="A13" s="134" t="s">
        <v>125</v>
      </c>
      <c r="B13" s="135"/>
      <c r="C13" s="136">
        <f>+C8-C9+C11</f>
        <v>592762.23999999941</v>
      </c>
      <c r="D13" s="136">
        <f>+D10+D12</f>
        <v>-2526262.83</v>
      </c>
      <c r="E13" s="137">
        <f>+E8-E9</f>
        <v>-240882.01</v>
      </c>
      <c r="F13" s="136">
        <f>F10+F12+F11</f>
        <v>-2174382.6000000006</v>
      </c>
      <c r="G13" s="103"/>
      <c r="H13" s="103"/>
      <c r="I13" s="103"/>
    </row>
    <row r="14" spans="1:9" ht="14.25" customHeight="1" x14ac:dyDescent="0.2">
      <c r="A14" s="103"/>
      <c r="B14" s="103"/>
      <c r="C14" s="138"/>
      <c r="D14" s="138"/>
      <c r="E14" s="139"/>
      <c r="F14" s="138"/>
      <c r="G14" s="103"/>
      <c r="H14" s="103"/>
      <c r="I14" s="103"/>
    </row>
    <row r="15" spans="1:9" ht="14.25" customHeight="1" x14ac:dyDescent="0.2">
      <c r="A15" s="103"/>
      <c r="B15" s="103"/>
      <c r="C15" s="138" t="s">
        <v>126</v>
      </c>
      <c r="D15" s="138"/>
      <c r="E15" s="139"/>
      <c r="F15" s="138"/>
      <c r="G15" s="103"/>
      <c r="H15" s="103"/>
      <c r="I15" s="103"/>
    </row>
    <row r="16" spans="1:9" ht="14.25" customHeight="1" x14ac:dyDescent="0.2">
      <c r="A16" s="103"/>
      <c r="B16" s="103"/>
      <c r="C16" s="138"/>
      <c r="D16" s="140"/>
      <c r="E16" s="139"/>
      <c r="F16" s="138"/>
      <c r="G16" s="103"/>
      <c r="H16" s="103"/>
      <c r="I16" s="103"/>
    </row>
    <row r="17" spans="1:9" ht="14.25" customHeight="1" x14ac:dyDescent="0.2">
      <c r="A17" s="141" t="s">
        <v>127</v>
      </c>
      <c r="B17" s="141"/>
      <c r="C17" s="142" t="s">
        <v>1</v>
      </c>
      <c r="D17" s="143" t="s">
        <v>1</v>
      </c>
      <c r="E17" s="144"/>
      <c r="F17" s="145"/>
      <c r="G17" s="103"/>
      <c r="H17" s="103"/>
      <c r="I17" s="103"/>
    </row>
    <row r="18" spans="1:9" ht="14.25" customHeight="1" x14ac:dyDescent="0.2">
      <c r="A18" s="102"/>
      <c r="B18" s="102"/>
      <c r="C18" s="146"/>
      <c r="D18" s="146"/>
      <c r="E18" s="147"/>
      <c r="F18" s="138"/>
      <c r="G18" s="103"/>
      <c r="H18" s="103"/>
      <c r="I18" s="103"/>
    </row>
    <row r="19" spans="1:9" ht="14.25" customHeight="1" x14ac:dyDescent="0.2">
      <c r="A19" s="102"/>
      <c r="B19" s="102"/>
      <c r="C19" s="133">
        <f>-C13</f>
        <v>-592762.23999999941</v>
      </c>
      <c r="D19" s="133">
        <f>-D10-D12</f>
        <v>2526262.83</v>
      </c>
      <c r="E19" s="148">
        <f>-E13</f>
        <v>240882.01</v>
      </c>
      <c r="F19" s="133">
        <f>SUM(C19:E19)</f>
        <v>2174382.6000000006</v>
      </c>
      <c r="G19" s="103"/>
      <c r="H19" s="103"/>
      <c r="I19" s="103"/>
    </row>
    <row r="20" spans="1:9" ht="14.25" customHeight="1" thickBot="1" x14ac:dyDescent="0.25">
      <c r="A20" s="141" t="s">
        <v>128</v>
      </c>
      <c r="B20" s="141"/>
      <c r="C20" s="149" t="s">
        <v>3</v>
      </c>
      <c r="D20" s="150" t="s">
        <v>4</v>
      </c>
      <c r="E20" s="151"/>
      <c r="F20" s="145"/>
      <c r="G20" s="103"/>
      <c r="H20" s="103"/>
      <c r="I20" s="103"/>
    </row>
    <row r="21" spans="1:9" x14ac:dyDescent="0.2">
      <c r="A21" s="102"/>
      <c r="B21" s="102"/>
      <c r="C21" s="102"/>
      <c r="D21" s="152"/>
      <c r="E21" s="152"/>
      <c r="F21" s="152"/>
      <c r="G21" s="103"/>
      <c r="H21" s="103"/>
      <c r="I21" s="103"/>
    </row>
    <row r="22" spans="1:9" x14ac:dyDescent="0.2">
      <c r="A22" s="103"/>
      <c r="B22" s="103"/>
      <c r="C22" s="103"/>
      <c r="D22" s="153"/>
      <c r="E22" s="154"/>
      <c r="F22" s="103"/>
      <c r="G22" s="103"/>
      <c r="H22" s="103"/>
      <c r="I22" s="103"/>
    </row>
    <row r="23" spans="1:9" x14ac:dyDescent="0.2">
      <c r="A23" s="103"/>
      <c r="B23" s="103"/>
      <c r="C23" s="103"/>
      <c r="D23" s="153"/>
      <c r="E23" s="154"/>
      <c r="F23" s="103"/>
      <c r="G23" s="103"/>
      <c r="H23" s="103"/>
      <c r="I23" s="103"/>
    </row>
    <row r="24" spans="1:9" x14ac:dyDescent="0.2">
      <c r="A24" s="103"/>
      <c r="B24" s="103"/>
      <c r="C24" s="103"/>
      <c r="D24" s="153"/>
      <c r="E24" s="154"/>
      <c r="F24" s="103"/>
      <c r="G24" s="103"/>
      <c r="H24" s="103"/>
      <c r="I24" s="103"/>
    </row>
    <row r="25" spans="1:9" x14ac:dyDescent="0.2">
      <c r="A25" s="103"/>
      <c r="B25" s="103"/>
      <c r="C25" s="103"/>
      <c r="D25" s="103"/>
      <c r="E25" s="154"/>
      <c r="F25" s="103"/>
      <c r="G25" s="103"/>
      <c r="H25" s="103"/>
      <c r="I25" s="103"/>
    </row>
    <row r="26" spans="1:9" x14ac:dyDescent="0.2">
      <c r="A26" s="103"/>
      <c r="B26" s="103"/>
      <c r="C26" s="103"/>
      <c r="D26" s="103"/>
      <c r="E26" s="103"/>
      <c r="F26" s="103"/>
      <c r="G26" s="103"/>
      <c r="H26" s="103"/>
      <c r="I26" s="103"/>
    </row>
    <row r="27" spans="1:9" x14ac:dyDescent="0.2">
      <c r="A27" s="103"/>
      <c r="B27" s="103"/>
      <c r="C27" s="103"/>
      <c r="D27" s="103"/>
      <c r="E27" s="103"/>
      <c r="F27" s="103"/>
      <c r="G27" s="103"/>
      <c r="H27" s="103"/>
      <c r="I27" s="103"/>
    </row>
    <row r="28" spans="1:9" x14ac:dyDescent="0.2">
      <c r="A28" s="155"/>
      <c r="B28" s="155"/>
      <c r="C28" s="103"/>
      <c r="D28" s="103"/>
      <c r="E28" s="103"/>
      <c r="F28" s="103"/>
      <c r="G28" s="103"/>
      <c r="H28" s="103"/>
      <c r="I28" s="103"/>
    </row>
  </sheetData>
  <mergeCells count="1">
    <mergeCell ref="A4:D4"/>
  </mergeCells>
  <pageMargins left="0.5" right="0.25" top="0.5" bottom="0.25" header="0.5" footer="0.5"/>
  <pageSetup scale="93"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tabSelected="1" view="pageBreakPreview" zoomScale="106" zoomScaleNormal="60" zoomScaleSheetLayoutView="106" workbookViewId="0">
      <pane ySplit="10" topLeftCell="A11" activePane="bottomLeft" state="frozen"/>
      <selection activeCell="I52" sqref="I52"/>
      <selection pane="bottomLeft" activeCell="I52" sqref="I52"/>
    </sheetView>
  </sheetViews>
  <sheetFormatPr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5546875" style="1" bestFit="1" customWidth="1"/>
    <col min="7" max="7" width="10.77734375" style="1" bestFit="1" customWidth="1"/>
    <col min="8" max="8" width="11.777343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74" t="s">
        <v>49</v>
      </c>
      <c r="B1" s="175"/>
      <c r="C1" s="176" t="s">
        <v>50</v>
      </c>
      <c r="D1" s="176"/>
      <c r="E1" s="176"/>
      <c r="F1" s="176"/>
      <c r="G1" s="176"/>
      <c r="H1" s="177"/>
    </row>
    <row r="2" spans="1:12" x14ac:dyDescent="0.2">
      <c r="A2" s="178" t="s">
        <v>51</v>
      </c>
      <c r="B2" s="162"/>
      <c r="C2" s="163" t="s">
        <v>81</v>
      </c>
      <c r="D2" s="163"/>
      <c r="E2" s="163"/>
      <c r="F2" s="163"/>
      <c r="G2" s="163"/>
      <c r="H2" s="181"/>
    </row>
    <row r="3" spans="1:12" x14ac:dyDescent="0.2">
      <c r="A3" s="178" t="s">
        <v>53</v>
      </c>
      <c r="B3" s="162"/>
      <c r="C3" s="163" t="s">
        <v>82</v>
      </c>
      <c r="D3" s="163"/>
      <c r="E3" s="163"/>
      <c r="F3" s="163"/>
      <c r="G3" s="163"/>
      <c r="H3" s="181"/>
    </row>
    <row r="4" spans="1:12" x14ac:dyDescent="0.2">
      <c r="A4" s="178" t="s">
        <v>54</v>
      </c>
      <c r="B4" s="162"/>
      <c r="C4" s="179" t="s">
        <v>80</v>
      </c>
      <c r="D4" s="179"/>
      <c r="E4" s="179"/>
      <c r="F4" s="179"/>
      <c r="G4" s="179"/>
      <c r="H4" s="180"/>
    </row>
    <row r="5" spans="1:12" x14ac:dyDescent="0.2">
      <c r="A5" s="178" t="s">
        <v>56</v>
      </c>
      <c r="B5" s="162"/>
      <c r="C5" s="197" t="s">
        <v>83</v>
      </c>
      <c r="D5" s="163"/>
      <c r="E5" s="163"/>
      <c r="F5" s="163"/>
      <c r="G5" s="163"/>
      <c r="H5" s="181"/>
    </row>
    <row r="6" spans="1:12" x14ac:dyDescent="0.2">
      <c r="A6" s="178" t="s">
        <v>58</v>
      </c>
      <c r="B6" s="162"/>
      <c r="C6" s="163" t="s">
        <v>0</v>
      </c>
      <c r="D6" s="163"/>
      <c r="E6" s="163"/>
      <c r="F6" s="163"/>
      <c r="G6" s="163"/>
      <c r="H6" s="181"/>
    </row>
    <row r="7" spans="1:12" ht="27.75" customHeight="1" thickBot="1" x14ac:dyDescent="0.25">
      <c r="A7" s="183" t="s">
        <v>59</v>
      </c>
      <c r="B7" s="184"/>
      <c r="C7" s="185" t="s">
        <v>84</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x14ac:dyDescent="0.2">
      <c r="A11" s="173" t="s">
        <v>85</v>
      </c>
      <c r="B11" s="173"/>
      <c r="C11" s="173"/>
      <c r="D11" s="173"/>
      <c r="E11" s="173"/>
      <c r="F11" s="173"/>
      <c r="G11" s="173"/>
      <c r="H11" s="70">
        <v>0</v>
      </c>
      <c r="K11" s="54"/>
      <c r="L11" s="55"/>
    </row>
    <row r="12" spans="1:12" x14ac:dyDescent="0.2">
      <c r="A12" s="72">
        <f>'FERC Interest Rates'!A56</f>
        <v>42704</v>
      </c>
      <c r="D12" s="1">
        <f>325429.79+1504154.47</f>
        <v>1829584.26</v>
      </c>
      <c r="F12" s="73"/>
      <c r="H12" s="70">
        <f t="shared" ref="H12:H20" si="0">H11+SUM(D12:G12)</f>
        <v>1829584.26</v>
      </c>
      <c r="K12" s="54"/>
      <c r="L12" s="55"/>
    </row>
    <row r="13" spans="1:12" x14ac:dyDescent="0.2">
      <c r="A13" s="72">
        <f>'FERC Interest Rates'!A57</f>
        <v>42735</v>
      </c>
      <c r="D13" s="1">
        <v>390272.83</v>
      </c>
      <c r="F13" s="73"/>
      <c r="H13" s="70">
        <f t="shared" si="0"/>
        <v>2219857.09</v>
      </c>
      <c r="K13" s="54"/>
      <c r="L13" s="55"/>
    </row>
    <row r="14" spans="1:12" x14ac:dyDescent="0.2">
      <c r="A14" s="72">
        <f>'FERC Interest Rates'!A58</f>
        <v>42766</v>
      </c>
      <c r="D14" s="1">
        <f>272326.45+192536</f>
        <v>464862.45</v>
      </c>
      <c r="F14" s="73"/>
      <c r="H14" s="70">
        <f t="shared" si="0"/>
        <v>2684719.54</v>
      </c>
      <c r="K14" s="54"/>
      <c r="L14" s="55"/>
    </row>
    <row r="15" spans="1:12" x14ac:dyDescent="0.2">
      <c r="A15" s="72">
        <f>'FERC Interest Rates'!A59</f>
        <v>42794</v>
      </c>
      <c r="D15" s="1">
        <v>109382</v>
      </c>
      <c r="F15" s="73"/>
      <c r="H15" s="70">
        <f t="shared" si="0"/>
        <v>2794101.54</v>
      </c>
      <c r="K15" s="54"/>
      <c r="L15" s="55"/>
    </row>
    <row r="16" spans="1:12" x14ac:dyDescent="0.2">
      <c r="A16" s="72">
        <f>'FERC Interest Rates'!A60</f>
        <v>42825</v>
      </c>
      <c r="D16" s="1">
        <v>168936.75</v>
      </c>
      <c r="F16" s="73"/>
      <c r="H16" s="70">
        <f t="shared" si="0"/>
        <v>2963038.29</v>
      </c>
      <c r="K16" s="54"/>
      <c r="L16" s="55"/>
    </row>
    <row r="17" spans="1:12" x14ac:dyDescent="0.2">
      <c r="A17" s="72">
        <f>'FERC Interest Rates'!A61</f>
        <v>42855</v>
      </c>
      <c r="D17" s="1">
        <v>190068.32</v>
      </c>
      <c r="F17" s="73"/>
      <c r="H17" s="70">
        <f t="shared" si="0"/>
        <v>3153106.61</v>
      </c>
      <c r="K17" s="54"/>
      <c r="L17" s="55"/>
    </row>
    <row r="18" spans="1:12" x14ac:dyDescent="0.2">
      <c r="A18" s="72">
        <f>'FERC Interest Rates'!A62</f>
        <v>42886</v>
      </c>
      <c r="D18" s="1">
        <v>73109.5</v>
      </c>
      <c r="F18" s="73"/>
      <c r="H18" s="70">
        <f t="shared" si="0"/>
        <v>3226216.11</v>
      </c>
      <c r="K18" s="54"/>
      <c r="L18" s="55"/>
    </row>
    <row r="19" spans="1:12" x14ac:dyDescent="0.2">
      <c r="A19" s="72">
        <f>'FERC Interest Rates'!A63</f>
        <v>42916</v>
      </c>
      <c r="D19" s="1">
        <f>518868.82+62942</f>
        <v>581810.82000000007</v>
      </c>
      <c r="F19" s="73"/>
      <c r="H19" s="70">
        <f t="shared" si="0"/>
        <v>3808026.9299999997</v>
      </c>
      <c r="K19" s="54"/>
      <c r="L19" s="55"/>
    </row>
    <row r="20" spans="1:12" x14ac:dyDescent="0.2">
      <c r="A20" s="72">
        <f>'FERC Interest Rates'!A64</f>
        <v>42947</v>
      </c>
      <c r="D20" s="1">
        <v>77847.12</v>
      </c>
      <c r="F20" s="73"/>
      <c r="H20" s="70">
        <f t="shared" si="0"/>
        <v>3885874.05</v>
      </c>
      <c r="K20" s="54"/>
      <c r="L20" s="55"/>
    </row>
    <row r="21" spans="1:12" x14ac:dyDescent="0.2">
      <c r="A21" s="72"/>
      <c r="F21" s="73"/>
      <c r="H21" s="70"/>
      <c r="K21" s="54"/>
      <c r="L21" s="55"/>
    </row>
    <row r="22" spans="1:12" x14ac:dyDescent="0.2">
      <c r="A22" s="72"/>
      <c r="F22" s="73"/>
      <c r="H22" s="70"/>
      <c r="K22" s="54"/>
      <c r="L22" s="55"/>
    </row>
    <row r="23" spans="1:12" x14ac:dyDescent="0.2">
      <c r="A23" s="72"/>
      <c r="F23" s="73"/>
      <c r="H23" s="70"/>
      <c r="K23" s="54"/>
      <c r="L23" s="55"/>
    </row>
    <row r="24" spans="1:12" x14ac:dyDescent="0.2">
      <c r="A24" s="72"/>
      <c r="F24" s="73"/>
      <c r="H24" s="70"/>
    </row>
    <row r="25" spans="1:12" x14ac:dyDescent="0.2">
      <c r="A25" s="72"/>
      <c r="F25" s="73"/>
      <c r="H25" s="70"/>
      <c r="K25" s="54"/>
      <c r="L25" s="55"/>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96" zoomScaleNormal="75" zoomScaleSheetLayoutView="96" workbookViewId="0">
      <pane xSplit="1" ySplit="10" topLeftCell="B53" activePane="bottomRight" state="frozen"/>
      <selection activeCell="I52" sqref="I52"/>
      <selection pane="topRight" activeCell="I52" sqref="I52"/>
      <selection pane="bottomLeft" activeCell="I52" sqref="I52"/>
      <selection pane="bottomRight" activeCell="I52" sqref="I52"/>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74" t="s">
        <v>49</v>
      </c>
      <c r="B1" s="175"/>
      <c r="C1" s="198" t="s">
        <v>50</v>
      </c>
      <c r="D1" s="198"/>
      <c r="E1" s="198"/>
      <c r="F1" s="198"/>
      <c r="G1" s="198"/>
      <c r="H1" s="199"/>
    </row>
    <row r="2" spans="1:12" x14ac:dyDescent="0.2">
      <c r="A2" s="178" t="s">
        <v>51</v>
      </c>
      <c r="B2" s="162"/>
      <c r="C2" s="163" t="s">
        <v>86</v>
      </c>
      <c r="D2" s="163"/>
      <c r="E2" s="163"/>
      <c r="F2" s="163"/>
      <c r="G2" s="163"/>
      <c r="H2" s="181"/>
    </row>
    <row r="3" spans="1:12" x14ac:dyDescent="0.2">
      <c r="A3" s="178" t="s">
        <v>53</v>
      </c>
      <c r="B3" s="162"/>
      <c r="C3" s="163" t="s">
        <v>10</v>
      </c>
      <c r="D3" s="163"/>
      <c r="E3" s="163"/>
      <c r="F3" s="163"/>
      <c r="G3" s="163"/>
      <c r="H3" s="181"/>
    </row>
    <row r="4" spans="1:12" s="66" customFormat="1" x14ac:dyDescent="0.2">
      <c r="A4" s="178" t="s">
        <v>54</v>
      </c>
      <c r="B4" s="162"/>
      <c r="C4" s="165" t="s">
        <v>55</v>
      </c>
      <c r="D4" s="165"/>
      <c r="E4" s="165"/>
      <c r="F4" s="165"/>
      <c r="G4" s="165"/>
      <c r="H4" s="182"/>
    </row>
    <row r="5" spans="1:12" x14ac:dyDescent="0.2">
      <c r="A5" s="178" t="s">
        <v>56</v>
      </c>
      <c r="B5" s="162"/>
      <c r="C5" s="165" t="s">
        <v>87</v>
      </c>
      <c r="D5" s="165"/>
      <c r="E5" s="165"/>
      <c r="F5" s="165"/>
      <c r="G5" s="165"/>
      <c r="H5" s="182"/>
    </row>
    <row r="6" spans="1:12" x14ac:dyDescent="0.2">
      <c r="A6" s="178" t="s">
        <v>58</v>
      </c>
      <c r="B6" s="162"/>
      <c r="C6" s="165" t="s">
        <v>77</v>
      </c>
      <c r="D6" s="165"/>
      <c r="E6" s="165"/>
      <c r="F6" s="165"/>
      <c r="G6" s="165"/>
      <c r="H6" s="182"/>
    </row>
    <row r="7" spans="1:12" ht="13.5" thickBot="1" x14ac:dyDescent="0.25">
      <c r="A7" s="183" t="s">
        <v>59</v>
      </c>
      <c r="B7" s="184"/>
      <c r="C7" s="185" t="s">
        <v>88</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70">
        <v>158578.29</v>
      </c>
      <c r="K11" s="54"/>
      <c r="L11" s="55"/>
    </row>
    <row r="12" spans="1:12" hidden="1" x14ac:dyDescent="0.2">
      <c r="A12" s="65">
        <f>'FERC Interest Rates'!A20</f>
        <v>41608</v>
      </c>
      <c r="D12" s="1">
        <v>24828.55</v>
      </c>
      <c r="F12" s="1">
        <f t="shared" ref="F12:F13" si="0">ROUND(H11*VLOOKUP(A12,FERCINT13,2)/365*VLOOKUP(A12,FERCINT13,3),2)</f>
        <v>423.6</v>
      </c>
      <c r="H12" s="70">
        <f t="shared" ref="H12:H36" si="1">+SUM(D12:G12)+H11</f>
        <v>183830.44</v>
      </c>
      <c r="K12" s="54"/>
      <c r="L12" s="55"/>
    </row>
    <row r="13" spans="1:12" hidden="1" x14ac:dyDescent="0.2">
      <c r="A13" s="65">
        <f>'FERC Interest Rates'!A21</f>
        <v>41639</v>
      </c>
      <c r="D13" s="1">
        <v>61920.67</v>
      </c>
      <c r="F13" s="1">
        <f t="shared" si="0"/>
        <v>507.42</v>
      </c>
      <c r="H13" s="70">
        <f t="shared" si="1"/>
        <v>246258.53</v>
      </c>
      <c r="K13" s="54"/>
      <c r="L13" s="55"/>
    </row>
    <row r="14" spans="1:12" hidden="1" x14ac:dyDescent="0.2">
      <c r="A14" s="65">
        <f>'FERC Interest Rates'!A22</f>
        <v>41670</v>
      </c>
      <c r="D14" s="1">
        <v>106224.99</v>
      </c>
      <c r="F14" s="1">
        <f t="shared" ref="F14:F26" si="2">ROUND(H13*VLOOKUP(A14,FERCINT14,2)/365*VLOOKUP(A14,FERCINT14,3),2)</f>
        <v>679.74</v>
      </c>
      <c r="H14" s="70">
        <f t="shared" si="1"/>
        <v>353163.26</v>
      </c>
      <c r="K14" s="54"/>
      <c r="L14" s="55"/>
    </row>
    <row r="15" spans="1:12" hidden="1" x14ac:dyDescent="0.2">
      <c r="A15" s="65">
        <f>'FERC Interest Rates'!A23</f>
        <v>41698</v>
      </c>
      <c r="D15" s="1">
        <f>16449+6136.5</f>
        <v>22585.5</v>
      </c>
      <c r="F15" s="1">
        <f t="shared" si="2"/>
        <v>880.49</v>
      </c>
      <c r="H15" s="70">
        <f t="shared" si="1"/>
        <v>376629.25</v>
      </c>
      <c r="K15" s="54"/>
      <c r="L15" s="55"/>
    </row>
    <row r="16" spans="1:12" hidden="1" x14ac:dyDescent="0.2">
      <c r="A16" s="65">
        <f>'FERC Interest Rates'!A24</f>
        <v>41729</v>
      </c>
      <c r="D16" s="1">
        <f>11600+4102.2</f>
        <v>15702.2</v>
      </c>
      <c r="F16" s="1">
        <f t="shared" si="2"/>
        <v>1039.5999999999999</v>
      </c>
      <c r="H16" s="70">
        <f t="shared" si="1"/>
        <v>393371.05</v>
      </c>
      <c r="K16" s="54"/>
      <c r="L16" s="55"/>
    </row>
    <row r="17" spans="1:12" hidden="1" x14ac:dyDescent="0.2">
      <c r="A17" s="65">
        <f>'FERC Interest Rates'!A25</f>
        <v>41759</v>
      </c>
      <c r="D17" s="1">
        <v>6983.2</v>
      </c>
      <c r="F17" s="1">
        <f t="shared" si="2"/>
        <v>1050.79</v>
      </c>
      <c r="H17" s="70">
        <f t="shared" si="1"/>
        <v>401405.04</v>
      </c>
      <c r="K17" s="54"/>
      <c r="L17" s="55"/>
    </row>
    <row r="18" spans="1:12" hidden="1" x14ac:dyDescent="0.2">
      <c r="A18" s="65">
        <f>'FERC Interest Rates'!A26</f>
        <v>41790</v>
      </c>
      <c r="D18" s="1">
        <v>23544</v>
      </c>
      <c r="F18" s="1">
        <f t="shared" si="2"/>
        <v>1107.99</v>
      </c>
      <c r="H18" s="70">
        <f t="shared" si="1"/>
        <v>426057.02999999997</v>
      </c>
      <c r="K18" s="54"/>
      <c r="L18" s="55"/>
    </row>
    <row r="19" spans="1:12" hidden="1" x14ac:dyDescent="0.2">
      <c r="A19" s="65">
        <f>'FERC Interest Rates'!A27</f>
        <v>41820</v>
      </c>
      <c r="D19" s="1">
        <v>-3291</v>
      </c>
      <c r="F19" s="1">
        <f t="shared" si="2"/>
        <v>1138.0999999999999</v>
      </c>
      <c r="H19" s="70">
        <f t="shared" si="1"/>
        <v>423904.12999999995</v>
      </c>
      <c r="K19" s="54"/>
      <c r="L19" s="55"/>
    </row>
    <row r="20" spans="1:12" hidden="1" x14ac:dyDescent="0.2">
      <c r="A20" s="65">
        <f>'FERC Interest Rates'!A28</f>
        <v>41851</v>
      </c>
      <c r="D20" s="1">
        <v>54271</v>
      </c>
      <c r="F20" s="1">
        <f t="shared" si="2"/>
        <v>1170.0899999999999</v>
      </c>
      <c r="H20" s="70">
        <f t="shared" si="1"/>
        <v>479345.22</v>
      </c>
      <c r="K20" s="54"/>
      <c r="L20" s="55"/>
    </row>
    <row r="21" spans="1:12" hidden="1" x14ac:dyDescent="0.2">
      <c r="A21" s="65">
        <f>'FERC Interest Rates'!A29</f>
        <v>41882</v>
      </c>
      <c r="D21" s="1">
        <v>6460</v>
      </c>
      <c r="F21" s="1">
        <f t="shared" si="2"/>
        <v>1323.12</v>
      </c>
      <c r="H21" s="70">
        <f t="shared" si="1"/>
        <v>487128.33999999997</v>
      </c>
      <c r="K21" s="54"/>
      <c r="L21" s="55"/>
    </row>
    <row r="22" spans="1:12" hidden="1" x14ac:dyDescent="0.2">
      <c r="A22" s="65">
        <f>'FERC Interest Rates'!A30</f>
        <v>41912</v>
      </c>
      <c r="D22" s="1">
        <v>97919.2</v>
      </c>
      <c r="F22" s="1">
        <f t="shared" si="2"/>
        <v>1301.23</v>
      </c>
      <c r="H22" s="70">
        <f t="shared" si="1"/>
        <v>586348.77</v>
      </c>
      <c r="K22" s="54"/>
      <c r="L22" s="55"/>
    </row>
    <row r="23" spans="1:12" hidden="1" x14ac:dyDescent="0.2">
      <c r="A23" s="65">
        <f>'FERC Interest Rates'!A31</f>
        <v>41943</v>
      </c>
      <c r="D23" s="1">
        <v>4238.3</v>
      </c>
      <c r="F23" s="1">
        <f t="shared" si="2"/>
        <v>1618.48</v>
      </c>
      <c r="H23" s="70">
        <f t="shared" si="1"/>
        <v>592205.55000000005</v>
      </c>
      <c r="K23" s="54"/>
      <c r="L23" s="55"/>
    </row>
    <row r="24" spans="1:12" hidden="1" x14ac:dyDescent="0.2">
      <c r="A24" s="167" t="s">
        <v>89</v>
      </c>
      <c r="B24" s="167"/>
      <c r="C24" s="167"/>
      <c r="D24" s="167"/>
      <c r="E24" s="167"/>
      <c r="F24" s="167"/>
      <c r="G24" s="1">
        <v>-483282.64</v>
      </c>
      <c r="H24" s="70">
        <f t="shared" si="1"/>
        <v>108922.91000000003</v>
      </c>
    </row>
    <row r="25" spans="1:12" x14ac:dyDescent="0.2">
      <c r="A25" s="65">
        <f>'FERC Interest Rates'!A32</f>
        <v>41973</v>
      </c>
      <c r="D25" s="1">
        <v>33374.75</v>
      </c>
      <c r="F25" s="1">
        <f t="shared" si="2"/>
        <v>290.95999999999998</v>
      </c>
      <c r="H25" s="70">
        <f t="shared" si="1"/>
        <v>142588.62000000002</v>
      </c>
      <c r="K25" s="54"/>
      <c r="L25" s="55"/>
    </row>
    <row r="26" spans="1:12" x14ac:dyDescent="0.2">
      <c r="A26" s="65">
        <f>'FERC Interest Rates'!A33</f>
        <v>42004</v>
      </c>
      <c r="D26" s="1">
        <v>21640</v>
      </c>
      <c r="F26" s="1">
        <f t="shared" si="2"/>
        <v>393.58</v>
      </c>
      <c r="H26" s="70">
        <f t="shared" si="1"/>
        <v>164622.20000000001</v>
      </c>
      <c r="K26" s="54"/>
      <c r="L26" s="55"/>
    </row>
    <row r="27" spans="1:12" x14ac:dyDescent="0.2">
      <c r="A27" s="65">
        <f>'FERC Interest Rates'!A34</f>
        <v>42035</v>
      </c>
      <c r="D27" s="1">
        <v>37399</v>
      </c>
      <c r="F27" s="1">
        <f t="shared" ref="F27:F36" si="3">ROUND(H26*VLOOKUP(A27,FERCINT15,2)/365*VLOOKUP(A27,FERCINT15,3),2)</f>
        <v>454.4</v>
      </c>
      <c r="H27" s="70">
        <f t="shared" si="1"/>
        <v>202475.6</v>
      </c>
      <c r="K27" s="54"/>
      <c r="L27" s="55"/>
    </row>
    <row r="28" spans="1:12" x14ac:dyDescent="0.2">
      <c r="A28" s="65">
        <f>'FERC Interest Rates'!A35</f>
        <v>42063</v>
      </c>
      <c r="D28" s="1">
        <v>55859</v>
      </c>
      <c r="F28" s="1">
        <f t="shared" si="3"/>
        <v>504.8</v>
      </c>
      <c r="H28" s="70">
        <f t="shared" si="1"/>
        <v>258839.40000000002</v>
      </c>
      <c r="K28" s="54"/>
      <c r="L28" s="55"/>
    </row>
    <row r="29" spans="1:12" x14ac:dyDescent="0.2">
      <c r="A29" s="65">
        <f>'FERC Interest Rates'!A36</f>
        <v>42094</v>
      </c>
      <c r="D29" s="1">
        <v>169431.4</v>
      </c>
      <c r="F29" s="1">
        <f t="shared" si="3"/>
        <v>714.47</v>
      </c>
      <c r="H29" s="70">
        <f t="shared" si="1"/>
        <v>428985.27</v>
      </c>
      <c r="K29" s="54"/>
      <c r="L29" s="55"/>
    </row>
    <row r="30" spans="1:12" x14ac:dyDescent="0.2">
      <c r="A30" s="65">
        <f>'FERC Interest Rates'!A37</f>
        <v>42124</v>
      </c>
      <c r="D30" s="1">
        <v>28883.5</v>
      </c>
      <c r="F30" s="1">
        <f t="shared" si="3"/>
        <v>1145.92</v>
      </c>
      <c r="H30" s="70">
        <f t="shared" si="1"/>
        <v>459014.69</v>
      </c>
      <c r="K30" s="54"/>
      <c r="L30" s="55"/>
    </row>
    <row r="31" spans="1:12" x14ac:dyDescent="0.2">
      <c r="A31" s="65">
        <f>'FERC Interest Rates'!A38</f>
        <v>42155</v>
      </c>
      <c r="D31" s="1">
        <v>5600</v>
      </c>
      <c r="F31" s="1">
        <f t="shared" si="3"/>
        <v>1267.01</v>
      </c>
      <c r="H31" s="70">
        <f t="shared" si="1"/>
        <v>465881.7</v>
      </c>
      <c r="K31" s="54"/>
      <c r="L31" s="55"/>
    </row>
    <row r="32" spans="1:12" x14ac:dyDescent="0.2">
      <c r="A32" s="65">
        <f>'FERC Interest Rates'!A39</f>
        <v>42185</v>
      </c>
      <c r="D32" s="1">
        <v>9188</v>
      </c>
      <c r="F32" s="1">
        <f t="shared" si="3"/>
        <v>1244.48</v>
      </c>
      <c r="H32" s="70">
        <f t="shared" si="1"/>
        <v>476314.18</v>
      </c>
      <c r="K32" s="54"/>
      <c r="L32" s="55"/>
    </row>
    <row r="33" spans="1:12" x14ac:dyDescent="0.2">
      <c r="A33" s="65">
        <f>'FERC Interest Rates'!A40</f>
        <v>42216</v>
      </c>
      <c r="D33" s="1">
        <v>51916.2</v>
      </c>
      <c r="F33" s="1">
        <f t="shared" si="3"/>
        <v>1314.76</v>
      </c>
      <c r="H33" s="70">
        <f t="shared" si="1"/>
        <v>529545.14</v>
      </c>
      <c r="K33" s="54"/>
      <c r="L33" s="55"/>
    </row>
    <row r="34" spans="1:12" x14ac:dyDescent="0.2">
      <c r="A34" s="65">
        <f>'FERC Interest Rates'!A41</f>
        <v>42247</v>
      </c>
      <c r="D34" s="1">
        <v>9960</v>
      </c>
      <c r="F34" s="1">
        <f t="shared" si="3"/>
        <v>1461.69</v>
      </c>
      <c r="H34" s="70">
        <f t="shared" si="1"/>
        <v>540966.82999999996</v>
      </c>
      <c r="K34" s="54"/>
      <c r="L34" s="55"/>
    </row>
    <row r="35" spans="1:12" x14ac:dyDescent="0.2">
      <c r="A35" s="65">
        <f>'FERC Interest Rates'!A42</f>
        <v>42277</v>
      </c>
      <c r="D35" s="1">
        <v>171485.2</v>
      </c>
      <c r="F35" s="1">
        <f>ROUND(H34*VLOOKUP(A35,FERCINT15,2)/365*VLOOKUP(A35,FERCINT15,3),2)</f>
        <v>1445.05</v>
      </c>
      <c r="H35" s="70">
        <f>+SUM(D35:G35)+H34</f>
        <v>713897.08</v>
      </c>
      <c r="K35" s="54"/>
      <c r="L35" s="55"/>
    </row>
    <row r="36" spans="1:12" x14ac:dyDescent="0.2">
      <c r="A36" s="65">
        <f>'FERC Interest Rates'!A43</f>
        <v>42308</v>
      </c>
      <c r="D36" s="1">
        <v>63970</v>
      </c>
      <c r="F36" s="1">
        <f t="shared" si="3"/>
        <v>1970.55</v>
      </c>
      <c r="H36" s="70">
        <f t="shared" si="1"/>
        <v>779837.63</v>
      </c>
      <c r="K36" s="54"/>
      <c r="L36" s="55"/>
    </row>
    <row r="37" spans="1:12" x14ac:dyDescent="0.2">
      <c r="A37" s="65">
        <f>'FERC Interest Rates'!A44</f>
        <v>42338</v>
      </c>
      <c r="D37" s="1">
        <v>0</v>
      </c>
      <c r="F37" s="1">
        <f t="shared" ref="F37:F39" si="4">ROUND(H36*VLOOKUP(A37,FERCINT15,2)/365*VLOOKUP(A37,FERCINT15,3),2)</f>
        <v>2083.13</v>
      </c>
      <c r="H37" s="70">
        <f t="shared" ref="H37:H59" si="5">+SUM(D37:G37)+H36</f>
        <v>781920.76</v>
      </c>
      <c r="K37" s="54"/>
      <c r="L37" s="55"/>
    </row>
    <row r="38" spans="1:12" x14ac:dyDescent="0.2">
      <c r="A38" s="167" t="s">
        <v>90</v>
      </c>
      <c r="B38" s="167"/>
      <c r="C38" s="167"/>
      <c r="D38" s="167"/>
      <c r="E38" s="167"/>
      <c r="F38" s="167"/>
      <c r="G38" s="1">
        <v>-535321.06999999995</v>
      </c>
      <c r="H38" s="70">
        <f t="shared" si="5"/>
        <v>246599.69000000006</v>
      </c>
      <c r="K38" s="54"/>
      <c r="L38" s="55"/>
    </row>
    <row r="39" spans="1:12" x14ac:dyDescent="0.2">
      <c r="A39" s="65">
        <f>'FERC Interest Rates'!A45</f>
        <v>42369</v>
      </c>
      <c r="D39" s="1">
        <v>106186</v>
      </c>
      <c r="F39" s="1">
        <f t="shared" si="4"/>
        <v>680.68</v>
      </c>
      <c r="H39" s="70">
        <f t="shared" si="5"/>
        <v>353466.37000000005</v>
      </c>
      <c r="K39" s="54"/>
      <c r="L39" s="55"/>
    </row>
    <row r="40" spans="1:12" x14ac:dyDescent="0.2">
      <c r="A40" s="65">
        <f>'FERC Interest Rates'!A46</f>
        <v>42400</v>
      </c>
      <c r="D40" s="1">
        <v>42155</v>
      </c>
      <c r="F40" s="1">
        <f t="shared" ref="F40:F52" si="6">ROUND(H39*VLOOKUP(A40,FERCINT16,2)/365*VLOOKUP(A40,FERCINT16,3),2)</f>
        <v>975.66</v>
      </c>
      <c r="H40" s="70">
        <f t="shared" si="5"/>
        <v>396597.03</v>
      </c>
      <c r="K40" s="54"/>
      <c r="L40" s="55"/>
    </row>
    <row r="41" spans="1:12" x14ac:dyDescent="0.2">
      <c r="A41" s="65">
        <f>'FERC Interest Rates'!A47</f>
        <v>42429</v>
      </c>
      <c r="D41" s="1">
        <v>46723.95</v>
      </c>
      <c r="F41" s="1">
        <f t="shared" si="6"/>
        <v>1024.0899999999999</v>
      </c>
      <c r="H41" s="70">
        <f t="shared" si="5"/>
        <v>444345.07</v>
      </c>
      <c r="K41" s="54"/>
      <c r="L41" s="55"/>
    </row>
    <row r="42" spans="1:12" x14ac:dyDescent="0.2">
      <c r="A42" s="65">
        <f>'FERC Interest Rates'!A48</f>
        <v>42460</v>
      </c>
      <c r="D42" s="1">
        <v>4550</v>
      </c>
      <c r="F42" s="1">
        <f t="shared" si="6"/>
        <v>1226.51</v>
      </c>
      <c r="H42" s="70">
        <f t="shared" si="5"/>
        <v>450121.58</v>
      </c>
      <c r="K42" s="54"/>
      <c r="L42" s="55"/>
    </row>
    <row r="43" spans="1:12" x14ac:dyDescent="0.2">
      <c r="A43" s="65">
        <f>'FERC Interest Rates'!A49</f>
        <v>42490</v>
      </c>
      <c r="D43" s="1">
        <v>4473</v>
      </c>
      <c r="F43" s="1">
        <f t="shared" si="6"/>
        <v>1280.07</v>
      </c>
      <c r="H43" s="70">
        <f t="shared" si="5"/>
        <v>455874.65</v>
      </c>
      <c r="K43" s="54"/>
      <c r="L43" s="55"/>
    </row>
    <row r="44" spans="1:12" x14ac:dyDescent="0.2">
      <c r="A44" s="65">
        <f>'FERC Interest Rates'!A50</f>
        <v>42521</v>
      </c>
      <c r="D44" s="1">
        <v>40528</v>
      </c>
      <c r="F44" s="1">
        <f t="shared" si="6"/>
        <v>1339.65</v>
      </c>
      <c r="H44" s="70">
        <f t="shared" si="5"/>
        <v>497742.30000000005</v>
      </c>
      <c r="K44" s="54"/>
      <c r="L44" s="55"/>
    </row>
    <row r="45" spans="1:12" x14ac:dyDescent="0.2">
      <c r="A45" s="65">
        <f>'FERC Interest Rates'!A51</f>
        <v>42551</v>
      </c>
      <c r="D45" s="1">
        <v>6989</v>
      </c>
      <c r="F45" s="1">
        <f t="shared" si="6"/>
        <v>1415.5</v>
      </c>
      <c r="H45" s="70">
        <f t="shared" si="5"/>
        <v>506146.80000000005</v>
      </c>
      <c r="K45" s="54"/>
      <c r="L45" s="55"/>
    </row>
    <row r="46" spans="1:12" x14ac:dyDescent="0.2">
      <c r="A46" s="65">
        <f>'FERC Interest Rates'!A52</f>
        <v>42582</v>
      </c>
      <c r="D46" s="1">
        <f>2580+4908</f>
        <v>7488</v>
      </c>
      <c r="F46" s="1">
        <f t="shared" si="6"/>
        <v>1504.57</v>
      </c>
      <c r="H46" s="70">
        <f t="shared" si="5"/>
        <v>515139.37000000005</v>
      </c>
      <c r="K46" s="54"/>
      <c r="L46" s="55"/>
    </row>
    <row r="47" spans="1:12" x14ac:dyDescent="0.2">
      <c r="A47" s="65">
        <f>'FERC Interest Rates'!A53</f>
        <v>42613</v>
      </c>
      <c r="D47" s="1">
        <v>19963.5</v>
      </c>
      <c r="F47" s="1">
        <f t="shared" si="6"/>
        <v>1531.3</v>
      </c>
      <c r="H47" s="70">
        <f t="shared" si="5"/>
        <v>536634.17000000004</v>
      </c>
      <c r="K47" s="54"/>
      <c r="L47" s="55"/>
    </row>
    <row r="48" spans="1:12" x14ac:dyDescent="0.2">
      <c r="A48" s="65">
        <f>'FERC Interest Rates'!A54</f>
        <v>42643</v>
      </c>
      <c r="D48" s="1">
        <f>22375+2149.65</f>
        <v>24524.65</v>
      </c>
      <c r="F48" s="1">
        <f t="shared" si="6"/>
        <v>1543.74</v>
      </c>
      <c r="H48" s="70">
        <f t="shared" si="5"/>
        <v>562702.56000000006</v>
      </c>
      <c r="K48" s="54"/>
      <c r="L48" s="55"/>
    </row>
    <row r="49" spans="1:12" x14ac:dyDescent="0.2">
      <c r="A49" s="65">
        <f>'FERC Interest Rates'!A55</f>
        <v>42674</v>
      </c>
      <c r="D49" s="1">
        <v>0</v>
      </c>
      <c r="F49" s="1">
        <f t="shared" si="6"/>
        <v>1672.69</v>
      </c>
      <c r="H49" s="70">
        <f t="shared" si="5"/>
        <v>564375.25</v>
      </c>
      <c r="K49" s="54"/>
      <c r="L49" s="55"/>
    </row>
    <row r="50" spans="1:12" x14ac:dyDescent="0.2">
      <c r="A50" s="167" t="s">
        <v>91</v>
      </c>
      <c r="B50" s="167"/>
      <c r="C50" s="167"/>
      <c r="D50" s="167"/>
      <c r="E50" s="167"/>
      <c r="F50" s="167"/>
      <c r="G50" s="1">
        <v>-519697.25</v>
      </c>
      <c r="H50" s="70">
        <f t="shared" si="5"/>
        <v>44678</v>
      </c>
      <c r="K50" s="54"/>
      <c r="L50" s="55"/>
    </row>
    <row r="51" spans="1:12" x14ac:dyDescent="0.2">
      <c r="A51" s="65">
        <f>'FERC Interest Rates'!A56</f>
        <v>42704</v>
      </c>
      <c r="D51" s="1">
        <v>213476.98</v>
      </c>
      <c r="F51" s="1">
        <f t="shared" si="6"/>
        <v>128.53</v>
      </c>
      <c r="H51" s="70">
        <f t="shared" si="5"/>
        <v>258283.51</v>
      </c>
      <c r="K51" s="54"/>
      <c r="L51" s="55"/>
    </row>
    <row r="52" spans="1:12" x14ac:dyDescent="0.2">
      <c r="A52" s="65">
        <f>'FERC Interest Rates'!A57</f>
        <v>42735</v>
      </c>
      <c r="D52" s="1">
        <f>42403.12+40955.44</f>
        <v>83358.559999999998</v>
      </c>
      <c r="F52" s="1">
        <f t="shared" si="6"/>
        <v>767.77</v>
      </c>
      <c r="H52" s="70">
        <f t="shared" si="5"/>
        <v>342409.84</v>
      </c>
      <c r="K52" s="54"/>
      <c r="L52" s="55"/>
    </row>
    <row r="53" spans="1:12" x14ac:dyDescent="0.2">
      <c r="A53" s="65">
        <f>'FERC Interest Rates'!A58</f>
        <v>42766</v>
      </c>
      <c r="D53" s="1">
        <v>0</v>
      </c>
      <c r="F53" s="1">
        <f t="shared" ref="F53:F59" si="7">ROUND(H52*VLOOKUP(A53,FERCINT17,2)/365*VLOOKUP(A53,FERCINT17,3),2)</f>
        <v>1017.85</v>
      </c>
      <c r="H53" s="70">
        <f t="shared" si="5"/>
        <v>343427.69</v>
      </c>
      <c r="K53" s="54"/>
      <c r="L53" s="55"/>
    </row>
    <row r="54" spans="1:12" x14ac:dyDescent="0.2">
      <c r="A54" s="65">
        <f>'FERC Interest Rates'!A59</f>
        <v>42794</v>
      </c>
      <c r="D54" s="1">
        <f>10882.25+29905</f>
        <v>40787.25</v>
      </c>
      <c r="F54" s="1">
        <f t="shared" si="7"/>
        <v>922.08</v>
      </c>
      <c r="H54" s="70">
        <f t="shared" si="5"/>
        <v>385137.02</v>
      </c>
      <c r="K54" s="54"/>
      <c r="L54" s="55"/>
    </row>
    <row r="55" spans="1:12" x14ac:dyDescent="0.2">
      <c r="A55" s="65">
        <f>'FERC Interest Rates'!A60</f>
        <v>42825</v>
      </c>
      <c r="D55" s="1">
        <f>1091.24+3400</f>
        <v>4491.24</v>
      </c>
      <c r="F55" s="1">
        <f t="shared" si="7"/>
        <v>1144.8599999999999</v>
      </c>
      <c r="H55" s="70">
        <f t="shared" si="5"/>
        <v>390773.12</v>
      </c>
      <c r="K55" s="54"/>
      <c r="L55" s="55"/>
    </row>
    <row r="56" spans="1:12" x14ac:dyDescent="0.2">
      <c r="A56" s="65">
        <f>'FERC Interest Rates'!A61</f>
        <v>42855</v>
      </c>
      <c r="D56" s="1">
        <v>28779.5</v>
      </c>
      <c r="F56" s="1">
        <f t="shared" si="7"/>
        <v>1191.5899999999999</v>
      </c>
      <c r="H56" s="70">
        <f t="shared" si="5"/>
        <v>420744.21</v>
      </c>
      <c r="K56" s="54"/>
      <c r="L56" s="55"/>
    </row>
    <row r="57" spans="1:12" x14ac:dyDescent="0.2">
      <c r="A57" s="65">
        <f>'FERC Interest Rates'!A62</f>
        <v>42886</v>
      </c>
      <c r="D57" s="1">
        <v>20974.400000000001</v>
      </c>
      <c r="F57" s="1">
        <f t="shared" si="7"/>
        <v>1325.75</v>
      </c>
      <c r="H57" s="70">
        <f t="shared" si="5"/>
        <v>443044.36000000004</v>
      </c>
      <c r="K57" s="54"/>
      <c r="L57" s="55"/>
    </row>
    <row r="58" spans="1:12" x14ac:dyDescent="0.2">
      <c r="A58" s="65">
        <f>'FERC Interest Rates'!A63</f>
        <v>42916</v>
      </c>
      <c r="D58" s="1">
        <v>28083.65</v>
      </c>
      <c r="F58" s="1">
        <f t="shared" si="7"/>
        <v>1350.98</v>
      </c>
      <c r="H58" s="70">
        <f t="shared" si="5"/>
        <v>472478.99000000005</v>
      </c>
      <c r="K58" s="54"/>
      <c r="L58" s="55"/>
    </row>
    <row r="59" spans="1:12" x14ac:dyDescent="0.2">
      <c r="A59" s="65">
        <f>'FERC Interest Rates'!A64</f>
        <v>42947</v>
      </c>
      <c r="D59" s="1">
        <f>2895-21442.5</f>
        <v>-18547.5</v>
      </c>
      <c r="F59" s="1">
        <f t="shared" si="7"/>
        <v>1589.08</v>
      </c>
      <c r="H59" s="70">
        <f t="shared" si="5"/>
        <v>455520.57000000007</v>
      </c>
      <c r="K59" s="54"/>
      <c r="L59" s="55"/>
    </row>
    <row r="60" spans="1:12" x14ac:dyDescent="0.2">
      <c r="A60" s="65"/>
      <c r="H60" s="70"/>
      <c r="K60" s="54"/>
      <c r="L60" s="55"/>
    </row>
    <row r="61" spans="1:12" x14ac:dyDescent="0.2">
      <c r="A61" s="65"/>
      <c r="H61" s="70"/>
      <c r="K61" s="54"/>
      <c r="L61" s="55"/>
    </row>
    <row r="62" spans="1:12" x14ac:dyDescent="0.2">
      <c r="A62" s="65"/>
      <c r="H62" s="70"/>
    </row>
    <row r="63" spans="1:12" x14ac:dyDescent="0.2">
      <c r="A63" s="65"/>
      <c r="H63" s="70"/>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tabSelected="1" view="pageBreakPreview" zoomScaleNormal="75" zoomScaleSheetLayoutView="100" workbookViewId="0">
      <pane xSplit="1" ySplit="10" topLeftCell="B42" activePane="bottomRight" state="frozen"/>
      <selection activeCell="I52" sqref="I52"/>
      <selection pane="topRight" activeCell="I52" sqref="I52"/>
      <selection pane="bottomLeft" activeCell="I52" sqref="I52"/>
      <selection pane="bottomRight" activeCell="I52" sqref="I52"/>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74" t="s">
        <v>49</v>
      </c>
      <c r="B1" s="175"/>
      <c r="C1" s="198" t="s">
        <v>50</v>
      </c>
      <c r="D1" s="198"/>
      <c r="E1" s="198"/>
      <c r="F1" s="198"/>
      <c r="G1" s="198"/>
      <c r="H1" s="199"/>
    </row>
    <row r="2" spans="1:12" x14ac:dyDescent="0.2">
      <c r="A2" s="178" t="s">
        <v>51</v>
      </c>
      <c r="B2" s="162"/>
      <c r="C2" s="163" t="s">
        <v>92</v>
      </c>
      <c r="D2" s="163"/>
      <c r="E2" s="163"/>
      <c r="F2" s="163"/>
      <c r="G2" s="163"/>
      <c r="H2" s="181"/>
    </row>
    <row r="3" spans="1:12" x14ac:dyDescent="0.2">
      <c r="A3" s="178" t="s">
        <v>53</v>
      </c>
      <c r="B3" s="162"/>
      <c r="C3" s="163" t="s">
        <v>11</v>
      </c>
      <c r="D3" s="163"/>
      <c r="E3" s="163"/>
      <c r="F3" s="163"/>
      <c r="G3" s="163"/>
      <c r="H3" s="181"/>
    </row>
    <row r="4" spans="1:12" s="66" customFormat="1" x14ac:dyDescent="0.2">
      <c r="A4" s="178" t="s">
        <v>54</v>
      </c>
      <c r="B4" s="162"/>
      <c r="C4" s="200" t="s">
        <v>55</v>
      </c>
      <c r="D4" s="200"/>
      <c r="E4" s="200"/>
      <c r="F4" s="200"/>
      <c r="G4" s="200"/>
      <c r="H4" s="201"/>
    </row>
    <row r="5" spans="1:12" x14ac:dyDescent="0.2">
      <c r="A5" s="178" t="s">
        <v>56</v>
      </c>
      <c r="B5" s="162"/>
      <c r="C5" s="200" t="s">
        <v>87</v>
      </c>
      <c r="D5" s="200"/>
      <c r="E5" s="200"/>
      <c r="F5" s="200"/>
      <c r="G5" s="200"/>
      <c r="H5" s="201"/>
    </row>
    <row r="6" spans="1:12" x14ac:dyDescent="0.2">
      <c r="A6" s="178" t="s">
        <v>58</v>
      </c>
      <c r="B6" s="162"/>
      <c r="C6" s="165" t="s">
        <v>77</v>
      </c>
      <c r="D6" s="165"/>
      <c r="E6" s="165"/>
      <c r="F6" s="165"/>
      <c r="G6" s="165"/>
      <c r="H6" s="182"/>
    </row>
    <row r="7" spans="1:12" ht="13.5" thickBot="1" x14ac:dyDescent="0.25">
      <c r="A7" s="183" t="s">
        <v>59</v>
      </c>
      <c r="B7" s="184"/>
      <c r="C7" s="185" t="s">
        <v>88</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70">
        <v>34127.81</v>
      </c>
      <c r="K11" s="54"/>
      <c r="L11" s="55"/>
    </row>
    <row r="12" spans="1:12" hidden="1" x14ac:dyDescent="0.2">
      <c r="A12" s="65">
        <f>'FERC Interest Rates'!A20</f>
        <v>41608</v>
      </c>
      <c r="D12" s="1">
        <f>589.95+3436.51</f>
        <v>4026.46</v>
      </c>
      <c r="F12" s="1">
        <f t="shared" ref="F12:F13" si="0">ROUND(H11*VLOOKUP(A12,FERCINT13,2)/365*VLOOKUP(A12,FERCINT13,3),2)</f>
        <v>91.16</v>
      </c>
      <c r="H12" s="70">
        <f t="shared" ref="H12:H36" si="1">+SUM(D12:G12)+H11</f>
        <v>38245.43</v>
      </c>
      <c r="K12" s="54"/>
      <c r="L12" s="55"/>
    </row>
    <row r="13" spans="1:12" hidden="1" x14ac:dyDescent="0.2">
      <c r="A13" s="65">
        <f>'FERC Interest Rates'!A21</f>
        <v>41639</v>
      </c>
      <c r="D13" s="1">
        <v>3341.37</v>
      </c>
      <c r="F13" s="1">
        <f t="shared" si="0"/>
        <v>105.57</v>
      </c>
      <c r="H13" s="70">
        <f t="shared" si="1"/>
        <v>41692.370000000003</v>
      </c>
      <c r="K13" s="54"/>
      <c r="L13" s="55"/>
    </row>
    <row r="14" spans="1:12" hidden="1" x14ac:dyDescent="0.2">
      <c r="A14" s="65">
        <f>'FERC Interest Rates'!A22</f>
        <v>41670</v>
      </c>
      <c r="D14" s="1">
        <v>3500.93</v>
      </c>
      <c r="F14" s="1">
        <f t="shared" ref="F14:F23" si="2">ROUND(H13*VLOOKUP(A14,FERCINT14,2)/365*VLOOKUP(A14,FERCINT14,3),2)</f>
        <v>115.08</v>
      </c>
      <c r="H14" s="70">
        <f t="shared" si="1"/>
        <v>45308.380000000005</v>
      </c>
      <c r="K14" s="54"/>
      <c r="L14" s="55"/>
    </row>
    <row r="15" spans="1:12" hidden="1" x14ac:dyDescent="0.2">
      <c r="A15" s="65">
        <f>'FERC Interest Rates'!A23</f>
        <v>41698</v>
      </c>
      <c r="D15" s="1">
        <f>1228.81+2800.64+2907.85</f>
        <v>6937.2999999999993</v>
      </c>
      <c r="F15" s="1">
        <f t="shared" si="2"/>
        <v>112.96</v>
      </c>
      <c r="H15" s="70">
        <f t="shared" si="1"/>
        <v>52358.640000000007</v>
      </c>
      <c r="K15" s="54"/>
      <c r="L15" s="55"/>
    </row>
    <row r="16" spans="1:12" hidden="1" x14ac:dyDescent="0.2">
      <c r="A16" s="65">
        <f>'FERC Interest Rates'!A24</f>
        <v>41729</v>
      </c>
      <c r="D16" s="1">
        <f>5104.12+1781.99</f>
        <v>6886.11</v>
      </c>
      <c r="F16" s="1">
        <f t="shared" si="2"/>
        <v>144.52000000000001</v>
      </c>
      <c r="H16" s="70">
        <f t="shared" si="1"/>
        <v>59389.270000000004</v>
      </c>
      <c r="K16" s="54"/>
      <c r="L16" s="55"/>
    </row>
    <row r="17" spans="1:12" hidden="1" x14ac:dyDescent="0.2">
      <c r="A17" s="65">
        <f>'FERC Interest Rates'!A25</f>
        <v>41759</v>
      </c>
      <c r="D17" s="1">
        <v>5578.35</v>
      </c>
      <c r="F17" s="1">
        <f t="shared" si="2"/>
        <v>158.63999999999999</v>
      </c>
      <c r="H17" s="70">
        <f t="shared" si="1"/>
        <v>65126.26</v>
      </c>
      <c r="K17" s="54"/>
      <c r="L17" s="55"/>
    </row>
    <row r="18" spans="1:12" hidden="1" x14ac:dyDescent="0.2">
      <c r="A18" s="65">
        <f>'FERC Interest Rates'!A26</f>
        <v>41790</v>
      </c>
      <c r="D18" s="1">
        <v>0</v>
      </c>
      <c r="F18" s="1">
        <f t="shared" si="2"/>
        <v>179.77</v>
      </c>
      <c r="H18" s="70">
        <f t="shared" si="1"/>
        <v>65306.03</v>
      </c>
      <c r="K18" s="54"/>
      <c r="L18" s="55"/>
    </row>
    <row r="19" spans="1:12" hidden="1" x14ac:dyDescent="0.2">
      <c r="A19" s="65">
        <f>'FERC Interest Rates'!A27</f>
        <v>41820</v>
      </c>
      <c r="D19" s="1">
        <v>8188.42</v>
      </c>
      <c r="F19" s="1">
        <f t="shared" si="2"/>
        <v>174.45</v>
      </c>
      <c r="H19" s="70">
        <f t="shared" si="1"/>
        <v>73668.899999999994</v>
      </c>
      <c r="K19" s="54"/>
      <c r="L19" s="55"/>
    </row>
    <row r="20" spans="1:12" hidden="1" x14ac:dyDescent="0.2">
      <c r="A20" s="65">
        <f>'FERC Interest Rates'!A28</f>
        <v>41851</v>
      </c>
      <c r="D20" s="1">
        <v>0</v>
      </c>
      <c r="F20" s="1">
        <f t="shared" si="2"/>
        <v>203.35</v>
      </c>
      <c r="H20" s="70">
        <f t="shared" si="1"/>
        <v>73872.25</v>
      </c>
      <c r="K20" s="54"/>
      <c r="L20" s="55"/>
    </row>
    <row r="21" spans="1:12" hidden="1" x14ac:dyDescent="0.2">
      <c r="A21" s="65">
        <f>'FERC Interest Rates'!A29</f>
        <v>41882</v>
      </c>
      <c r="D21" s="1">
        <v>5733.28</v>
      </c>
      <c r="F21" s="1">
        <f t="shared" si="2"/>
        <v>203.91</v>
      </c>
      <c r="H21" s="70">
        <f t="shared" si="1"/>
        <v>79809.440000000002</v>
      </c>
      <c r="K21" s="54"/>
      <c r="L21" s="55"/>
    </row>
    <row r="22" spans="1:12" hidden="1" x14ac:dyDescent="0.2">
      <c r="A22" s="65">
        <f>'FERC Interest Rates'!A30</f>
        <v>41912</v>
      </c>
      <c r="D22" s="1">
        <v>0</v>
      </c>
      <c r="F22" s="1">
        <f t="shared" si="2"/>
        <v>213.19</v>
      </c>
      <c r="H22" s="70">
        <f t="shared" si="1"/>
        <v>80022.63</v>
      </c>
      <c r="K22" s="54"/>
      <c r="L22" s="55"/>
    </row>
    <row r="23" spans="1:12" hidden="1" x14ac:dyDescent="0.2">
      <c r="A23" s="65">
        <f>'FERC Interest Rates'!A31</f>
        <v>41943</v>
      </c>
      <c r="D23" s="1">
        <v>3220.1</v>
      </c>
      <c r="F23" s="1">
        <f t="shared" si="2"/>
        <v>220.88</v>
      </c>
      <c r="H23" s="70">
        <f t="shared" si="1"/>
        <v>83463.61</v>
      </c>
      <c r="K23" s="54"/>
      <c r="L23" s="55"/>
    </row>
    <row r="24" spans="1:12" x14ac:dyDescent="0.2">
      <c r="A24" s="167" t="s">
        <v>89</v>
      </c>
      <c r="B24" s="167"/>
      <c r="C24" s="167"/>
      <c r="D24" s="167"/>
      <c r="E24" s="167"/>
      <c r="F24" s="167"/>
      <c r="G24" s="1">
        <v>-74479.05</v>
      </c>
      <c r="H24" s="70">
        <f t="shared" si="1"/>
        <v>8984.5599999999977</v>
      </c>
    </row>
    <row r="25" spans="1:12" x14ac:dyDescent="0.2">
      <c r="A25" s="65">
        <f>'FERC Interest Rates'!A32</f>
        <v>41973</v>
      </c>
      <c r="D25" s="1">
        <v>11345.71</v>
      </c>
      <c r="F25" s="1">
        <f>ROUND(H24*VLOOKUP(A25,FERCINT14,2)/365*VLOOKUP(A25,FERCINT14,3),2)</f>
        <v>24</v>
      </c>
      <c r="H25" s="70">
        <f t="shared" si="1"/>
        <v>20354.269999999997</v>
      </c>
      <c r="K25" s="54"/>
      <c r="L25" s="55"/>
    </row>
    <row r="26" spans="1:12" x14ac:dyDescent="0.2">
      <c r="A26" s="65">
        <f>'FERC Interest Rates'!A33</f>
        <v>42004</v>
      </c>
      <c r="D26" s="1">
        <v>6484.81</v>
      </c>
      <c r="F26" s="1">
        <f>ROUND(H25*VLOOKUP(A26,FERCINT14,2)/365*VLOOKUP(A26,FERCINT14,3),2)</f>
        <v>56.18</v>
      </c>
      <c r="H26" s="70">
        <f t="shared" si="1"/>
        <v>26895.26</v>
      </c>
      <c r="K26" s="54"/>
      <c r="L26" s="55"/>
    </row>
    <row r="27" spans="1:12" x14ac:dyDescent="0.2">
      <c r="A27" s="65">
        <f>'FERC Interest Rates'!A34</f>
        <v>42035</v>
      </c>
      <c r="D27" s="1">
        <v>0</v>
      </c>
      <c r="F27" s="1">
        <f t="shared" ref="F27:F36" si="3">ROUND(H26*VLOOKUP(A27,FERCINT15,2)/365*VLOOKUP(A27,FERCINT15,3),2)</f>
        <v>74.239999999999995</v>
      </c>
      <c r="H27" s="70">
        <f t="shared" si="1"/>
        <v>26969.5</v>
      </c>
      <c r="K27" s="54"/>
      <c r="L27" s="55"/>
    </row>
    <row r="28" spans="1:12" x14ac:dyDescent="0.2">
      <c r="A28" s="65">
        <f>'FERC Interest Rates'!A35</f>
        <v>42063</v>
      </c>
      <c r="D28" s="1">
        <v>18744.09</v>
      </c>
      <c r="F28" s="1">
        <f t="shared" si="3"/>
        <v>67.239999999999995</v>
      </c>
      <c r="H28" s="70">
        <f t="shared" si="1"/>
        <v>45780.83</v>
      </c>
      <c r="K28" s="54"/>
      <c r="L28" s="55"/>
    </row>
    <row r="29" spans="1:12" x14ac:dyDescent="0.2">
      <c r="A29" s="65">
        <f>'FERC Interest Rates'!A36</f>
        <v>42094</v>
      </c>
      <c r="D29" s="1">
        <v>20706.11</v>
      </c>
      <c r="F29" s="1">
        <f t="shared" si="3"/>
        <v>126.37</v>
      </c>
      <c r="H29" s="70">
        <f t="shared" si="1"/>
        <v>66613.31</v>
      </c>
      <c r="K29" s="54"/>
      <c r="L29" s="55"/>
    </row>
    <row r="30" spans="1:12" x14ac:dyDescent="0.2">
      <c r="A30" s="65">
        <f>'FERC Interest Rates'!A37</f>
        <v>42124</v>
      </c>
      <c r="D30" s="1">
        <v>6730.61</v>
      </c>
      <c r="F30" s="1">
        <f t="shared" si="3"/>
        <v>177.94</v>
      </c>
      <c r="H30" s="70">
        <f t="shared" si="1"/>
        <v>73521.86</v>
      </c>
      <c r="K30" s="54"/>
      <c r="L30" s="55"/>
    </row>
    <row r="31" spans="1:12" x14ac:dyDescent="0.2">
      <c r="A31" s="65">
        <f>'FERC Interest Rates'!A38</f>
        <v>42155</v>
      </c>
      <c r="D31" s="1">
        <v>6090.9</v>
      </c>
      <c r="F31" s="1">
        <f t="shared" si="3"/>
        <v>202.94</v>
      </c>
      <c r="H31" s="70">
        <f t="shared" si="1"/>
        <v>79815.7</v>
      </c>
      <c r="K31" s="54"/>
      <c r="L31" s="55"/>
    </row>
    <row r="32" spans="1:12" x14ac:dyDescent="0.2">
      <c r="A32" s="65">
        <f>'FERC Interest Rates'!A39</f>
        <v>42185</v>
      </c>
      <c r="D32" s="1">
        <v>2164.98</v>
      </c>
      <c r="F32" s="1">
        <f t="shared" si="3"/>
        <v>213.21</v>
      </c>
      <c r="H32" s="70">
        <f t="shared" si="1"/>
        <v>82193.89</v>
      </c>
      <c r="K32" s="54"/>
      <c r="L32" s="55"/>
    </row>
    <row r="33" spans="1:12" x14ac:dyDescent="0.2">
      <c r="A33" s="65">
        <f>'FERC Interest Rates'!A40</f>
        <v>42216</v>
      </c>
      <c r="D33" s="1">
        <v>4424.8900000000003</v>
      </c>
      <c r="F33" s="1">
        <f t="shared" si="3"/>
        <v>226.88</v>
      </c>
      <c r="H33" s="70">
        <f t="shared" si="1"/>
        <v>86845.66</v>
      </c>
      <c r="K33" s="54"/>
      <c r="L33" s="55"/>
    </row>
    <row r="34" spans="1:12" x14ac:dyDescent="0.2">
      <c r="A34" s="65">
        <f>'FERC Interest Rates'!A41</f>
        <v>42247</v>
      </c>
      <c r="D34" s="1">
        <v>0</v>
      </c>
      <c r="F34" s="1">
        <f t="shared" si="3"/>
        <v>239.72</v>
      </c>
      <c r="H34" s="70">
        <f t="shared" si="1"/>
        <v>87085.38</v>
      </c>
      <c r="K34" s="54"/>
      <c r="L34" s="55"/>
    </row>
    <row r="35" spans="1:12" x14ac:dyDescent="0.2">
      <c r="A35" s="65">
        <f>'FERC Interest Rates'!A42</f>
        <v>42277</v>
      </c>
      <c r="D35" s="1">
        <v>0</v>
      </c>
      <c r="F35" s="1">
        <f t="shared" si="3"/>
        <v>232.63</v>
      </c>
      <c r="H35" s="70">
        <f t="shared" si="1"/>
        <v>87318.010000000009</v>
      </c>
      <c r="K35" s="54"/>
      <c r="L35" s="55"/>
    </row>
    <row r="36" spans="1:12" x14ac:dyDescent="0.2">
      <c r="A36" s="65">
        <f>'FERC Interest Rates'!A43</f>
        <v>42308</v>
      </c>
      <c r="D36" s="1">
        <v>25588.39</v>
      </c>
      <c r="F36" s="1">
        <f t="shared" si="3"/>
        <v>241.02</v>
      </c>
      <c r="H36" s="70">
        <f t="shared" si="1"/>
        <v>113147.42000000001</v>
      </c>
      <c r="K36" s="54"/>
      <c r="L36" s="55"/>
    </row>
    <row r="37" spans="1:12" x14ac:dyDescent="0.2">
      <c r="A37" s="65">
        <f>'FERC Interest Rates'!A44</f>
        <v>42338</v>
      </c>
      <c r="D37" s="1">
        <v>0</v>
      </c>
      <c r="F37" s="1">
        <f t="shared" ref="F37" si="4">ROUND(H36*VLOOKUP(A37,FERCINT15,2)/365*VLOOKUP(A37,FERCINT15,3),2)</f>
        <v>302.24</v>
      </c>
      <c r="H37" s="70">
        <f t="shared" ref="H37:H59" si="5">+SUM(D37:G37)+H36</f>
        <v>113449.66000000002</v>
      </c>
      <c r="K37" s="54"/>
      <c r="L37" s="55"/>
    </row>
    <row r="38" spans="1:12" x14ac:dyDescent="0.2">
      <c r="A38" s="167" t="s">
        <v>90</v>
      </c>
      <c r="B38" s="167"/>
      <c r="C38" s="167"/>
      <c r="D38" s="167"/>
      <c r="E38" s="167"/>
      <c r="F38" s="167"/>
      <c r="G38" s="1">
        <v>-87792.92</v>
      </c>
      <c r="H38" s="70">
        <f t="shared" si="5"/>
        <v>25656.74000000002</v>
      </c>
      <c r="K38" s="54"/>
      <c r="L38" s="55"/>
    </row>
    <row r="39" spans="1:12" x14ac:dyDescent="0.2">
      <c r="A39" s="65">
        <f>'FERC Interest Rates'!A45</f>
        <v>42369</v>
      </c>
      <c r="D39" s="1">
        <v>5078.8599999999997</v>
      </c>
      <c r="F39" s="1">
        <f>ROUND(H38*VLOOKUP(A39,FERCINT15,2)/365*VLOOKUP(A39,FERCINT15,3),2)</f>
        <v>70.819999999999993</v>
      </c>
      <c r="H39" s="70">
        <f t="shared" si="5"/>
        <v>30806.42000000002</v>
      </c>
      <c r="K39" s="54"/>
      <c r="L39" s="55"/>
    </row>
    <row r="40" spans="1:12" x14ac:dyDescent="0.2">
      <c r="A40" s="65">
        <f>'FERC Interest Rates'!A46</f>
        <v>42400</v>
      </c>
      <c r="D40" s="1">
        <v>8551.1299999999992</v>
      </c>
      <c r="F40" s="1">
        <f t="shared" ref="F40:F52" si="6">ROUND(H39*VLOOKUP(A40,FERCINT16,2)/365*VLOOKUP(A40,FERCINT16,3),2)</f>
        <v>85.03</v>
      </c>
      <c r="H40" s="70">
        <f t="shared" si="5"/>
        <v>39442.580000000016</v>
      </c>
      <c r="K40" s="54"/>
      <c r="L40" s="55"/>
    </row>
    <row r="41" spans="1:12" x14ac:dyDescent="0.2">
      <c r="A41" s="65">
        <f>'FERC Interest Rates'!A47</f>
        <v>42429</v>
      </c>
      <c r="D41" s="1">
        <v>3435.07</v>
      </c>
      <c r="F41" s="1">
        <f t="shared" si="6"/>
        <v>101.85</v>
      </c>
      <c r="H41" s="70">
        <f t="shared" si="5"/>
        <v>42979.500000000015</v>
      </c>
      <c r="K41" s="54"/>
      <c r="L41" s="55"/>
    </row>
    <row r="42" spans="1:12" x14ac:dyDescent="0.2">
      <c r="A42" s="65">
        <f>'FERC Interest Rates'!A48</f>
        <v>42460</v>
      </c>
      <c r="D42" s="1">
        <v>4412.76</v>
      </c>
      <c r="F42" s="1">
        <f t="shared" si="6"/>
        <v>118.64</v>
      </c>
      <c r="H42" s="70">
        <f t="shared" si="5"/>
        <v>47510.900000000016</v>
      </c>
      <c r="K42" s="54"/>
      <c r="L42" s="55"/>
    </row>
    <row r="43" spans="1:12" x14ac:dyDescent="0.2">
      <c r="A43" s="65">
        <f>'FERC Interest Rates'!A49</f>
        <v>42490</v>
      </c>
      <c r="D43" s="1">
        <v>25403.73</v>
      </c>
      <c r="F43" s="1">
        <f t="shared" si="6"/>
        <v>135.11000000000001</v>
      </c>
      <c r="H43" s="70">
        <f t="shared" si="5"/>
        <v>73049.74000000002</v>
      </c>
      <c r="K43" s="54"/>
      <c r="L43" s="55"/>
    </row>
    <row r="44" spans="1:12" x14ac:dyDescent="0.2">
      <c r="A44" s="65">
        <f>'FERC Interest Rates'!A50</f>
        <v>42521</v>
      </c>
      <c r="D44" s="1">
        <v>3688.79</v>
      </c>
      <c r="F44" s="1">
        <f t="shared" si="6"/>
        <v>214.67</v>
      </c>
      <c r="H44" s="70">
        <f t="shared" si="5"/>
        <v>76953.200000000026</v>
      </c>
      <c r="K44" s="54"/>
      <c r="L44" s="55"/>
    </row>
    <row r="45" spans="1:12" x14ac:dyDescent="0.2">
      <c r="A45" s="65">
        <f>'FERC Interest Rates'!A51</f>
        <v>42551</v>
      </c>
      <c r="D45" s="1">
        <v>0</v>
      </c>
      <c r="F45" s="1">
        <f t="shared" si="6"/>
        <v>218.84</v>
      </c>
      <c r="H45" s="70">
        <f t="shared" si="5"/>
        <v>77172.040000000023</v>
      </c>
      <c r="K45" s="54"/>
      <c r="L45" s="55"/>
    </row>
    <row r="46" spans="1:12" x14ac:dyDescent="0.2">
      <c r="A46" s="65">
        <f>'FERC Interest Rates'!A52</f>
        <v>42582</v>
      </c>
      <c r="D46" s="1">
        <f>1816.41+6474.96+4396.78</f>
        <v>12688.150000000001</v>
      </c>
      <c r="F46" s="1">
        <f t="shared" si="6"/>
        <v>229.4</v>
      </c>
      <c r="H46" s="70">
        <f t="shared" si="5"/>
        <v>90089.590000000026</v>
      </c>
      <c r="K46" s="54"/>
      <c r="L46" s="55"/>
    </row>
    <row r="47" spans="1:12" x14ac:dyDescent="0.2">
      <c r="A47" s="65">
        <f>'FERC Interest Rates'!A53</f>
        <v>42613</v>
      </c>
      <c r="D47" s="1">
        <v>3099.7</v>
      </c>
      <c r="F47" s="1">
        <f t="shared" si="6"/>
        <v>267.8</v>
      </c>
      <c r="H47" s="70">
        <f t="shared" si="5"/>
        <v>93457.090000000026</v>
      </c>
      <c r="K47" s="54"/>
      <c r="L47" s="55"/>
    </row>
    <row r="48" spans="1:12" x14ac:dyDescent="0.2">
      <c r="A48" s="65">
        <f>'FERC Interest Rates'!A54</f>
        <v>42643</v>
      </c>
      <c r="D48" s="1">
        <f>2502.49+4807.17</f>
        <v>7309.66</v>
      </c>
      <c r="F48" s="1">
        <f t="shared" si="6"/>
        <v>268.85000000000002</v>
      </c>
      <c r="H48" s="70">
        <f t="shared" si="5"/>
        <v>101035.60000000002</v>
      </c>
      <c r="K48" s="54"/>
      <c r="L48" s="55"/>
    </row>
    <row r="49" spans="1:12" x14ac:dyDescent="0.2">
      <c r="A49" s="65">
        <f>'FERC Interest Rates'!A55</f>
        <v>42674</v>
      </c>
      <c r="D49" s="1">
        <v>0</v>
      </c>
      <c r="F49" s="1">
        <f t="shared" si="6"/>
        <v>300.33999999999997</v>
      </c>
      <c r="H49" s="70">
        <f t="shared" si="5"/>
        <v>101335.94000000002</v>
      </c>
      <c r="K49" s="54"/>
      <c r="L49" s="55"/>
    </row>
    <row r="50" spans="1:12" x14ac:dyDescent="0.2">
      <c r="A50" s="167" t="s">
        <v>91</v>
      </c>
      <c r="B50" s="167"/>
      <c r="C50" s="167"/>
      <c r="D50" s="167"/>
      <c r="E50" s="167"/>
      <c r="F50" s="167"/>
      <c r="G50" s="1">
        <v>-90886.69</v>
      </c>
      <c r="H50" s="70">
        <f t="shared" si="5"/>
        <v>10449.250000000015</v>
      </c>
      <c r="K50" s="54"/>
      <c r="L50" s="55"/>
    </row>
    <row r="51" spans="1:12" x14ac:dyDescent="0.2">
      <c r="A51" s="65">
        <f>'FERC Interest Rates'!A56</f>
        <v>42704</v>
      </c>
      <c r="D51" s="1">
        <v>9221.16</v>
      </c>
      <c r="F51" s="1">
        <f t="shared" si="6"/>
        <v>30.06</v>
      </c>
      <c r="H51" s="70">
        <f t="shared" si="5"/>
        <v>19700.470000000016</v>
      </c>
      <c r="K51" s="54"/>
      <c r="L51" s="55"/>
    </row>
    <row r="52" spans="1:12" x14ac:dyDescent="0.2">
      <c r="A52" s="65">
        <f>'FERC Interest Rates'!A57</f>
        <v>42735</v>
      </c>
      <c r="D52" s="1">
        <f>4780.4+649.65+4137.84</f>
        <v>9567.89</v>
      </c>
      <c r="F52" s="1">
        <f t="shared" si="6"/>
        <v>58.56</v>
      </c>
      <c r="H52" s="70">
        <f t="shared" si="5"/>
        <v>29326.920000000013</v>
      </c>
      <c r="K52" s="54"/>
      <c r="L52" s="55"/>
    </row>
    <row r="53" spans="1:12" x14ac:dyDescent="0.2">
      <c r="A53" s="65">
        <f>'FERC Interest Rates'!A58</f>
        <v>42766</v>
      </c>
      <c r="D53" s="1">
        <v>0</v>
      </c>
      <c r="F53" s="1">
        <f t="shared" ref="F53:F59" si="7">ROUND(H52*VLOOKUP(A53,FERCINT17,2)/365*VLOOKUP(A53,FERCINT17,3),2)</f>
        <v>87.18</v>
      </c>
      <c r="H53" s="70">
        <f t="shared" si="5"/>
        <v>29414.100000000013</v>
      </c>
      <c r="K53" s="54"/>
      <c r="L53" s="55"/>
    </row>
    <row r="54" spans="1:12" x14ac:dyDescent="0.2">
      <c r="A54" s="65">
        <f>'FERC Interest Rates'!A59</f>
        <v>42794</v>
      </c>
      <c r="D54" s="1">
        <v>0</v>
      </c>
      <c r="F54" s="1">
        <f t="shared" si="7"/>
        <v>78.97</v>
      </c>
      <c r="H54" s="70">
        <f t="shared" si="5"/>
        <v>29493.070000000014</v>
      </c>
      <c r="K54" s="54"/>
      <c r="L54" s="55"/>
    </row>
    <row r="55" spans="1:12" x14ac:dyDescent="0.2">
      <c r="A55" s="65">
        <f>'FERC Interest Rates'!A60</f>
        <v>42825</v>
      </c>
      <c r="D55" s="1">
        <f>6290.27+10000</f>
        <v>16290.27</v>
      </c>
      <c r="F55" s="1">
        <f t="shared" si="7"/>
        <v>87.67</v>
      </c>
      <c r="H55" s="70">
        <f t="shared" si="5"/>
        <v>45871.010000000017</v>
      </c>
      <c r="K55" s="54"/>
      <c r="L55" s="55"/>
    </row>
    <row r="56" spans="1:12" x14ac:dyDescent="0.2">
      <c r="A56" s="65">
        <f>'FERC Interest Rates'!A61</f>
        <v>42855</v>
      </c>
      <c r="D56" s="1">
        <f>7252.13+20000</f>
        <v>27252.13</v>
      </c>
      <c r="F56" s="1">
        <f t="shared" si="7"/>
        <v>139.88</v>
      </c>
      <c r="H56" s="70">
        <f t="shared" si="5"/>
        <v>73263.020000000019</v>
      </c>
      <c r="K56" s="54"/>
      <c r="L56" s="55"/>
    </row>
    <row r="57" spans="1:12" x14ac:dyDescent="0.2">
      <c r="A57" s="65">
        <f>'FERC Interest Rates'!A62</f>
        <v>42886</v>
      </c>
      <c r="D57" s="1">
        <v>0</v>
      </c>
      <c r="F57" s="1">
        <f t="shared" si="7"/>
        <v>230.85</v>
      </c>
      <c r="H57" s="70">
        <f t="shared" si="5"/>
        <v>73493.870000000024</v>
      </c>
      <c r="K57" s="54"/>
      <c r="L57" s="55"/>
    </row>
    <row r="58" spans="1:12" x14ac:dyDescent="0.2">
      <c r="A58" s="65">
        <f>'FERC Interest Rates'!A63</f>
        <v>42916</v>
      </c>
      <c r="D58" s="1">
        <f>5163.92+10000</f>
        <v>15163.92</v>
      </c>
      <c r="F58" s="1">
        <f t="shared" si="7"/>
        <v>224.11</v>
      </c>
      <c r="H58" s="70">
        <f t="shared" si="5"/>
        <v>88881.900000000023</v>
      </c>
      <c r="K58" s="54"/>
      <c r="L58" s="55"/>
    </row>
    <row r="59" spans="1:12" x14ac:dyDescent="0.2">
      <c r="A59" s="65">
        <f>'FERC Interest Rates'!A64</f>
        <v>42947</v>
      </c>
      <c r="D59" s="1">
        <v>4007</v>
      </c>
      <c r="F59" s="1">
        <f t="shared" si="7"/>
        <v>298.94</v>
      </c>
      <c r="H59" s="70">
        <f t="shared" si="5"/>
        <v>93187.840000000026</v>
      </c>
      <c r="K59" s="54"/>
      <c r="L59" s="55"/>
    </row>
    <row r="60" spans="1:12" x14ac:dyDescent="0.2">
      <c r="A60" s="65"/>
      <c r="H60" s="70"/>
      <c r="K60" s="54"/>
      <c r="L60" s="55"/>
    </row>
    <row r="61" spans="1:12" x14ac:dyDescent="0.2">
      <c r="A61" s="65"/>
      <c r="H61" s="70"/>
      <c r="K61" s="54"/>
      <c r="L61" s="55"/>
    </row>
    <row r="62" spans="1:12" x14ac:dyDescent="0.2">
      <c r="A62" s="65"/>
      <c r="H62" s="70"/>
      <c r="K62" s="54"/>
      <c r="L62" s="55"/>
    </row>
    <row r="63" spans="1:12" x14ac:dyDescent="0.2">
      <c r="A63" s="65"/>
      <c r="H63" s="70"/>
      <c r="K63" s="54"/>
      <c r="L63" s="55"/>
    </row>
    <row r="64" spans="1:12" x14ac:dyDescent="0.2">
      <c r="H64" s="70"/>
      <c r="K64" s="54"/>
      <c r="L64" s="55"/>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tabSelected="1" view="pageBreakPreview" zoomScale="98" zoomScaleNormal="60" zoomScaleSheetLayoutView="98" workbookViewId="0">
      <pane xSplit="1" ySplit="10" topLeftCell="B43" activePane="bottomRight" state="frozen"/>
      <selection activeCell="I52" sqref="I52"/>
      <selection pane="topRight" activeCell="I52" sqref="I52"/>
      <selection pane="bottomLeft" activeCell="I52" sqref="I52"/>
      <selection pane="bottomRight" activeCell="I52" sqref="I52"/>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74" t="s">
        <v>49</v>
      </c>
      <c r="B1" s="175"/>
      <c r="C1" s="176" t="s">
        <v>50</v>
      </c>
      <c r="D1" s="176"/>
      <c r="E1" s="176"/>
      <c r="F1" s="176"/>
      <c r="G1" s="176"/>
      <c r="H1" s="177"/>
    </row>
    <row r="2" spans="1:12" x14ac:dyDescent="0.2">
      <c r="A2" s="178" t="s">
        <v>51</v>
      </c>
      <c r="B2" s="162"/>
      <c r="C2" s="179" t="s">
        <v>93</v>
      </c>
      <c r="D2" s="179"/>
      <c r="E2" s="179"/>
      <c r="F2" s="179"/>
      <c r="G2" s="179"/>
      <c r="H2" s="180"/>
    </row>
    <row r="3" spans="1:12" x14ac:dyDescent="0.2">
      <c r="A3" s="178" t="s">
        <v>53</v>
      </c>
      <c r="B3" s="162"/>
      <c r="C3" s="163" t="s">
        <v>12</v>
      </c>
      <c r="D3" s="163"/>
      <c r="E3" s="163"/>
      <c r="F3" s="163"/>
      <c r="G3" s="163"/>
      <c r="H3" s="181"/>
    </row>
    <row r="4" spans="1:12" x14ac:dyDescent="0.2">
      <c r="A4" s="178" t="s">
        <v>54</v>
      </c>
      <c r="B4" s="162"/>
      <c r="C4" s="163" t="s">
        <v>55</v>
      </c>
      <c r="D4" s="163"/>
      <c r="E4" s="163"/>
      <c r="F4" s="163"/>
      <c r="G4" s="163"/>
      <c r="H4" s="181"/>
    </row>
    <row r="5" spans="1:12" x14ac:dyDescent="0.2">
      <c r="A5" s="178" t="s">
        <v>56</v>
      </c>
      <c r="B5" s="162"/>
      <c r="C5" s="163" t="s">
        <v>94</v>
      </c>
      <c r="D5" s="163"/>
      <c r="E5" s="163"/>
      <c r="F5" s="163"/>
      <c r="G5" s="163"/>
      <c r="H5" s="181"/>
    </row>
    <row r="6" spans="1:12" x14ac:dyDescent="0.2">
      <c r="A6" s="178" t="s">
        <v>58</v>
      </c>
      <c r="B6" s="162"/>
      <c r="C6" s="165" t="s">
        <v>77</v>
      </c>
      <c r="D6" s="165"/>
      <c r="E6" s="165"/>
      <c r="F6" s="165"/>
      <c r="G6" s="165"/>
      <c r="H6" s="182"/>
    </row>
    <row r="7" spans="1:12" ht="13.5" thickBot="1" x14ac:dyDescent="0.25">
      <c r="A7" s="183" t="s">
        <v>59</v>
      </c>
      <c r="B7" s="184"/>
      <c r="C7" s="185" t="s">
        <v>95</v>
      </c>
      <c r="D7" s="185"/>
      <c r="E7" s="185"/>
      <c r="F7" s="185"/>
      <c r="G7" s="185"/>
      <c r="H7" s="186"/>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70">
        <v>386395.83</v>
      </c>
      <c r="K11" s="54"/>
      <c r="L11" s="55"/>
    </row>
    <row r="12" spans="1:12" hidden="1" x14ac:dyDescent="0.2">
      <c r="A12" s="65">
        <f>'FERC Interest Rates'!A20</f>
        <v>41608</v>
      </c>
      <c r="D12" s="1">
        <v>47894.04</v>
      </c>
      <c r="F12" s="1">
        <f t="shared" ref="F12:F13" si="0">ROUND(H11*VLOOKUP(A12,FERCINT13,2)/365*VLOOKUP(A12,FERCINT13,3),2)</f>
        <v>1032.1500000000001</v>
      </c>
      <c r="H12" s="70">
        <f t="shared" ref="H12:H59" si="1">H11+SUM(D12:G12)</f>
        <v>435322.02</v>
      </c>
      <c r="K12" s="54"/>
      <c r="L12" s="55"/>
    </row>
    <row r="13" spans="1:12" hidden="1" x14ac:dyDescent="0.2">
      <c r="A13" s="65">
        <f>'FERC Interest Rates'!A21</f>
        <v>41639</v>
      </c>
      <c r="D13" s="1">
        <v>166162.6</v>
      </c>
      <c r="F13" s="1">
        <f t="shared" si="0"/>
        <v>1201.6099999999999</v>
      </c>
      <c r="H13" s="70">
        <f t="shared" si="1"/>
        <v>602686.23</v>
      </c>
      <c r="K13" s="54"/>
      <c r="L13" s="55"/>
    </row>
    <row r="14" spans="1:12" hidden="1" x14ac:dyDescent="0.2">
      <c r="A14" s="65">
        <f>'FERC Interest Rates'!A22</f>
        <v>41670</v>
      </c>
      <c r="D14" s="1">
        <v>69918.740000000005</v>
      </c>
      <c r="F14" s="1">
        <f t="shared" ref="F14:F26" si="2">ROUND(H13*VLOOKUP(A14,FERCINT14,2)/365*VLOOKUP(A14,FERCINT14,3),2)</f>
        <v>1663.58</v>
      </c>
      <c r="H14" s="70">
        <f t="shared" si="1"/>
        <v>674268.55</v>
      </c>
      <c r="K14" s="54"/>
      <c r="L14" s="55"/>
    </row>
    <row r="15" spans="1:12" hidden="1" x14ac:dyDescent="0.2">
      <c r="A15" s="65">
        <f>'FERC Interest Rates'!A23</f>
        <v>41698</v>
      </c>
      <c r="D15" s="1">
        <v>89751.29</v>
      </c>
      <c r="F15" s="1">
        <f t="shared" si="2"/>
        <v>1681.05</v>
      </c>
      <c r="H15" s="70">
        <f t="shared" si="1"/>
        <v>765700.89</v>
      </c>
      <c r="K15" s="54"/>
      <c r="L15" s="55"/>
    </row>
    <row r="16" spans="1:12" hidden="1" x14ac:dyDescent="0.2">
      <c r="A16" s="65">
        <f>'FERC Interest Rates'!A24</f>
        <v>41729</v>
      </c>
      <c r="D16" s="1">
        <v>77979.5</v>
      </c>
      <c r="F16" s="1">
        <f t="shared" si="2"/>
        <v>2113.54</v>
      </c>
      <c r="H16" s="70">
        <f t="shared" si="1"/>
        <v>845793.93</v>
      </c>
      <c r="K16" s="54"/>
      <c r="L16" s="55"/>
    </row>
    <row r="17" spans="1:12" hidden="1" x14ac:dyDescent="0.2">
      <c r="A17" s="65">
        <f>'FERC Interest Rates'!A25</f>
        <v>41759</v>
      </c>
      <c r="D17" s="1">
        <v>97835.520000000004</v>
      </c>
      <c r="F17" s="1">
        <f t="shared" si="2"/>
        <v>2259.31</v>
      </c>
      <c r="H17" s="70">
        <f t="shared" si="1"/>
        <v>945888.76</v>
      </c>
      <c r="K17" s="54"/>
      <c r="L17" s="55"/>
    </row>
    <row r="18" spans="1:12" hidden="1" x14ac:dyDescent="0.2">
      <c r="A18" s="65">
        <f>'FERC Interest Rates'!A26</f>
        <v>41790</v>
      </c>
      <c r="D18" s="1">
        <v>158076.60999999999</v>
      </c>
      <c r="F18" s="1">
        <f t="shared" si="2"/>
        <v>2610.91</v>
      </c>
      <c r="H18" s="70">
        <f t="shared" si="1"/>
        <v>1106576.28</v>
      </c>
      <c r="K18" s="54"/>
      <c r="L18" s="55"/>
    </row>
    <row r="19" spans="1:12" hidden="1" x14ac:dyDescent="0.2">
      <c r="A19" s="65">
        <f>'FERC Interest Rates'!A27</f>
        <v>41820</v>
      </c>
      <c r="D19" s="1">
        <f>130663.59-8978.9</f>
        <v>121684.69</v>
      </c>
      <c r="F19" s="1">
        <f t="shared" si="2"/>
        <v>2955.92</v>
      </c>
      <c r="H19" s="70">
        <f t="shared" si="1"/>
        <v>1231216.8900000001</v>
      </c>
      <c r="K19" s="54"/>
      <c r="L19" s="55"/>
    </row>
    <row r="20" spans="1:12" hidden="1" x14ac:dyDescent="0.2">
      <c r="A20" s="65">
        <f>'FERC Interest Rates'!A28</f>
        <v>41851</v>
      </c>
      <c r="D20" s="1">
        <v>-47127.839999999997</v>
      </c>
      <c r="F20" s="1">
        <f t="shared" si="2"/>
        <v>3398.5</v>
      </c>
      <c r="H20" s="70">
        <f t="shared" si="1"/>
        <v>1187487.55</v>
      </c>
      <c r="K20" s="54"/>
      <c r="L20" s="55"/>
    </row>
    <row r="21" spans="1:12" hidden="1" x14ac:dyDescent="0.2">
      <c r="A21" s="65">
        <f>'FERC Interest Rates'!A29</f>
        <v>41882</v>
      </c>
      <c r="D21" s="1">
        <v>121270.24</v>
      </c>
      <c r="F21" s="1">
        <f t="shared" si="2"/>
        <v>3277.79</v>
      </c>
      <c r="H21" s="70">
        <f t="shared" si="1"/>
        <v>1312035.58</v>
      </c>
      <c r="K21" s="54"/>
      <c r="L21" s="55"/>
    </row>
    <row r="22" spans="1:12" hidden="1" x14ac:dyDescent="0.2">
      <c r="A22" s="65">
        <f>'FERC Interest Rates'!A30</f>
        <v>41912</v>
      </c>
      <c r="D22" s="1">
        <v>31597.98</v>
      </c>
      <c r="F22" s="1">
        <f t="shared" si="2"/>
        <v>3504.75</v>
      </c>
      <c r="H22" s="70">
        <f t="shared" si="1"/>
        <v>1347138.31</v>
      </c>
      <c r="K22" s="54"/>
      <c r="L22" s="55"/>
    </row>
    <row r="23" spans="1:12" hidden="1" x14ac:dyDescent="0.2">
      <c r="A23" s="65">
        <f>'FERC Interest Rates'!A31</f>
        <v>41943</v>
      </c>
      <c r="D23" s="1">
        <f>79038.71+8978.9</f>
        <v>88017.61</v>
      </c>
      <c r="F23" s="1">
        <f t="shared" si="2"/>
        <v>3718.47</v>
      </c>
      <c r="H23" s="70">
        <f t="shared" si="1"/>
        <v>1438874.3900000001</v>
      </c>
      <c r="K23" s="54"/>
      <c r="L23" s="55"/>
    </row>
    <row r="24" spans="1:12" x14ac:dyDescent="0.2">
      <c r="A24" s="167" t="s">
        <v>89</v>
      </c>
      <c r="B24" s="167"/>
      <c r="C24" s="167"/>
      <c r="D24" s="167"/>
      <c r="E24" s="167"/>
      <c r="F24" s="167"/>
      <c r="G24" s="1">
        <v>-1206319.4099999999</v>
      </c>
      <c r="H24" s="70">
        <f t="shared" si="1"/>
        <v>232554.98000000021</v>
      </c>
    </row>
    <row r="25" spans="1:12" x14ac:dyDescent="0.2">
      <c r="A25" s="65">
        <f>'FERC Interest Rates'!A32</f>
        <v>41973</v>
      </c>
      <c r="D25" s="1">
        <v>65573.350000000006</v>
      </c>
      <c r="F25" s="1">
        <f t="shared" si="2"/>
        <v>621.21</v>
      </c>
      <c r="H25" s="70">
        <f t="shared" si="1"/>
        <v>298749.54000000021</v>
      </c>
      <c r="K25" s="54"/>
      <c r="L25" s="55"/>
    </row>
    <row r="26" spans="1:12" x14ac:dyDescent="0.2">
      <c r="A26" s="65">
        <f>'FERC Interest Rates'!A33</f>
        <v>42004</v>
      </c>
      <c r="D26" s="1">
        <v>99335.85</v>
      </c>
      <c r="F26" s="1">
        <f t="shared" si="2"/>
        <v>824.63</v>
      </c>
      <c r="H26" s="70">
        <f t="shared" si="1"/>
        <v>398910.02000000025</v>
      </c>
      <c r="K26" s="54"/>
      <c r="L26" s="55"/>
    </row>
    <row r="27" spans="1:12" x14ac:dyDescent="0.2">
      <c r="A27" s="65">
        <f>'FERC Interest Rates'!A34</f>
        <v>42035</v>
      </c>
      <c r="D27" s="1">
        <v>143728.71</v>
      </c>
      <c r="F27" s="1">
        <f t="shared" ref="F27:F36" si="3">ROUND(H26*VLOOKUP(A27,FERCINT15,2)/365*VLOOKUP(A27,FERCINT15,3),2)</f>
        <v>1101.0999999999999</v>
      </c>
      <c r="H27" s="70">
        <f t="shared" si="1"/>
        <v>543739.83000000031</v>
      </c>
      <c r="K27" s="54"/>
      <c r="L27" s="55"/>
    </row>
    <row r="28" spans="1:12" x14ac:dyDescent="0.2">
      <c r="A28" s="65">
        <f>'FERC Interest Rates'!A35</f>
        <v>42063</v>
      </c>
      <c r="D28" s="1">
        <v>76093.56</v>
      </c>
      <c r="F28" s="1">
        <f t="shared" si="3"/>
        <v>1355.63</v>
      </c>
      <c r="H28" s="70">
        <f t="shared" si="1"/>
        <v>621189.02000000025</v>
      </c>
      <c r="K28" s="54"/>
      <c r="L28" s="55"/>
    </row>
    <row r="29" spans="1:12" x14ac:dyDescent="0.2">
      <c r="A29" s="65">
        <f>'FERC Interest Rates'!A36</f>
        <v>42094</v>
      </c>
      <c r="D29" s="1">
        <v>135794.16</v>
      </c>
      <c r="F29" s="1">
        <f t="shared" si="3"/>
        <v>1714.65</v>
      </c>
      <c r="H29" s="70">
        <f t="shared" si="1"/>
        <v>758697.83000000031</v>
      </c>
      <c r="K29" s="54"/>
      <c r="L29" s="55"/>
    </row>
    <row r="30" spans="1:12" x14ac:dyDescent="0.2">
      <c r="A30" s="65">
        <f>'FERC Interest Rates'!A37</f>
        <v>42124</v>
      </c>
      <c r="D30" s="1">
        <v>39911.660000000003</v>
      </c>
      <c r="F30" s="1">
        <f t="shared" si="3"/>
        <v>2026.66</v>
      </c>
      <c r="H30" s="70">
        <f t="shared" si="1"/>
        <v>800636.15000000037</v>
      </c>
      <c r="K30" s="54"/>
      <c r="L30" s="55"/>
    </row>
    <row r="31" spans="1:12" x14ac:dyDescent="0.2">
      <c r="A31" s="65">
        <f>'FERC Interest Rates'!A38</f>
        <v>42155</v>
      </c>
      <c r="D31" s="1">
        <v>72461.679999999993</v>
      </c>
      <c r="F31" s="1">
        <f t="shared" si="3"/>
        <v>2209.98</v>
      </c>
      <c r="H31" s="70">
        <f t="shared" si="1"/>
        <v>875307.81000000041</v>
      </c>
      <c r="K31" s="54"/>
      <c r="L31" s="55"/>
    </row>
    <row r="32" spans="1:12" x14ac:dyDescent="0.2">
      <c r="A32" s="65">
        <f>'FERC Interest Rates'!A39</f>
        <v>42185</v>
      </c>
      <c r="D32" s="1">
        <v>88146.33</v>
      </c>
      <c r="F32" s="1">
        <f t="shared" si="3"/>
        <v>2338.15</v>
      </c>
      <c r="H32" s="70">
        <f t="shared" si="1"/>
        <v>965792.29000000039</v>
      </c>
      <c r="K32" s="54"/>
      <c r="L32" s="55"/>
    </row>
    <row r="33" spans="1:12" x14ac:dyDescent="0.2">
      <c r="A33" s="65">
        <f>'FERC Interest Rates'!A40</f>
        <v>42216</v>
      </c>
      <c r="D33" s="1">
        <v>126477.72</v>
      </c>
      <c r="F33" s="1">
        <f t="shared" si="3"/>
        <v>2665.85</v>
      </c>
      <c r="H33" s="70">
        <f t="shared" si="1"/>
        <v>1094935.8600000003</v>
      </c>
      <c r="K33" s="54"/>
      <c r="L33" s="55"/>
    </row>
    <row r="34" spans="1:12" x14ac:dyDescent="0.2">
      <c r="A34" s="65">
        <f>'FERC Interest Rates'!A41</f>
        <v>42247</v>
      </c>
      <c r="D34" s="1">
        <v>108373.09</v>
      </c>
      <c r="F34" s="1">
        <f t="shared" si="3"/>
        <v>3022.32</v>
      </c>
      <c r="H34" s="70">
        <f t="shared" si="1"/>
        <v>1206331.2700000003</v>
      </c>
      <c r="K34" s="54"/>
      <c r="L34" s="55"/>
    </row>
    <row r="35" spans="1:12" x14ac:dyDescent="0.2">
      <c r="A35" s="65">
        <f>'FERC Interest Rates'!A42</f>
        <v>42277</v>
      </c>
      <c r="D35" s="1">
        <v>69945.34</v>
      </c>
      <c r="F35" s="1">
        <f t="shared" si="3"/>
        <v>3222.39</v>
      </c>
      <c r="H35" s="70">
        <f t="shared" si="1"/>
        <v>1279499.0000000002</v>
      </c>
      <c r="K35" s="54"/>
      <c r="L35" s="55"/>
    </row>
    <row r="36" spans="1:12" x14ac:dyDescent="0.2">
      <c r="A36" s="65">
        <f>'FERC Interest Rates'!A43</f>
        <v>42308</v>
      </c>
      <c r="D36" s="1">
        <v>254190.89</v>
      </c>
      <c r="F36" s="1">
        <f t="shared" si="3"/>
        <v>3531.77</v>
      </c>
      <c r="H36" s="70">
        <f t="shared" si="1"/>
        <v>1537221.6600000001</v>
      </c>
      <c r="K36" s="54"/>
      <c r="L36" s="55"/>
    </row>
    <row r="37" spans="1:12" x14ac:dyDescent="0.2">
      <c r="A37" s="65">
        <f>'FERC Interest Rates'!A44</f>
        <v>42338</v>
      </c>
      <c r="D37" s="1">
        <v>82841.539999999994</v>
      </c>
      <c r="F37" s="1">
        <f t="shared" ref="F37:F39" si="4">ROUND(H36*VLOOKUP(A37,FERCINT15,2)/365*VLOOKUP(A37,FERCINT15,3),2)</f>
        <v>4106.28</v>
      </c>
      <c r="H37" s="70">
        <f t="shared" si="1"/>
        <v>1624169.4800000002</v>
      </c>
      <c r="K37" s="54"/>
      <c r="L37" s="55"/>
    </row>
    <row r="38" spans="1:12" x14ac:dyDescent="0.2">
      <c r="A38" s="167" t="s">
        <v>90</v>
      </c>
      <c r="B38" s="167"/>
      <c r="C38" s="167"/>
      <c r="D38" s="167"/>
      <c r="E38" s="167"/>
      <c r="F38" s="167"/>
      <c r="G38" s="1">
        <v>-1106878.69</v>
      </c>
      <c r="H38" s="70">
        <f t="shared" si="1"/>
        <v>517290.79000000027</v>
      </c>
      <c r="K38" s="54"/>
      <c r="L38" s="55"/>
    </row>
    <row r="39" spans="1:12" x14ac:dyDescent="0.2">
      <c r="A39" s="65">
        <f>'FERC Interest Rates'!A45</f>
        <v>42369</v>
      </c>
      <c r="D39" s="1">
        <v>218943.3</v>
      </c>
      <c r="F39" s="1">
        <f t="shared" si="4"/>
        <v>1427.86</v>
      </c>
      <c r="H39" s="70">
        <f t="shared" si="1"/>
        <v>737661.95000000019</v>
      </c>
      <c r="K39" s="54"/>
      <c r="L39" s="55"/>
    </row>
    <row r="40" spans="1:12" x14ac:dyDescent="0.2">
      <c r="A40" s="65">
        <f>'FERC Interest Rates'!A46</f>
        <v>42400</v>
      </c>
      <c r="D40" s="1">
        <v>60717.4</v>
      </c>
      <c r="F40" s="1">
        <f t="shared" ref="F40:F52" si="5">ROUND(H39*VLOOKUP(A40,FERCINT16,2)/365*VLOOKUP(A40,FERCINT16,3),2)</f>
        <v>2036.15</v>
      </c>
      <c r="H40" s="70">
        <f t="shared" si="1"/>
        <v>800415.50000000023</v>
      </c>
      <c r="K40" s="54"/>
      <c r="L40" s="55"/>
    </row>
    <row r="41" spans="1:12" x14ac:dyDescent="0.2">
      <c r="A41" s="65">
        <f>'FERC Interest Rates'!A47</f>
        <v>42429</v>
      </c>
      <c r="D41" s="1">
        <v>160907.60999999999</v>
      </c>
      <c r="F41" s="1">
        <f t="shared" si="5"/>
        <v>2066.83</v>
      </c>
      <c r="H41" s="70">
        <f t="shared" si="1"/>
        <v>963389.94000000018</v>
      </c>
      <c r="K41" s="54"/>
      <c r="L41" s="55"/>
    </row>
    <row r="42" spans="1:12" x14ac:dyDescent="0.2">
      <c r="A42" s="65">
        <f>'FERC Interest Rates'!A48</f>
        <v>42460</v>
      </c>
      <c r="D42" s="1">
        <v>173541.02</v>
      </c>
      <c r="F42" s="1">
        <f t="shared" si="5"/>
        <v>2659.22</v>
      </c>
      <c r="H42" s="70">
        <f t="shared" si="1"/>
        <v>1139590.1800000002</v>
      </c>
      <c r="K42" s="54"/>
      <c r="L42" s="55"/>
    </row>
    <row r="43" spans="1:12" x14ac:dyDescent="0.2">
      <c r="A43" s="65">
        <f>'FERC Interest Rates'!A49</f>
        <v>42490</v>
      </c>
      <c r="D43" s="1">
        <v>198857.32</v>
      </c>
      <c r="F43" s="1">
        <f t="shared" si="5"/>
        <v>3240.81</v>
      </c>
      <c r="H43" s="70">
        <f t="shared" si="1"/>
        <v>1341688.31</v>
      </c>
      <c r="K43" s="54"/>
      <c r="L43" s="55"/>
    </row>
    <row r="44" spans="1:12" x14ac:dyDescent="0.2">
      <c r="A44" s="65">
        <f>'FERC Interest Rates'!A50</f>
        <v>42521</v>
      </c>
      <c r="D44" s="1">
        <v>122350.54</v>
      </c>
      <c r="F44" s="1">
        <f t="shared" si="5"/>
        <v>3942.73</v>
      </c>
      <c r="H44" s="70">
        <f t="shared" si="1"/>
        <v>1467981.58</v>
      </c>
      <c r="K44" s="54"/>
      <c r="L44" s="55"/>
    </row>
    <row r="45" spans="1:12" x14ac:dyDescent="0.2">
      <c r="A45" s="65">
        <f>'FERC Interest Rates'!A51</f>
        <v>42551</v>
      </c>
      <c r="D45" s="1">
        <v>26118.2</v>
      </c>
      <c r="F45" s="1">
        <f t="shared" si="5"/>
        <v>4174.7</v>
      </c>
      <c r="H45" s="70">
        <f t="shared" si="1"/>
        <v>1498274.48</v>
      </c>
      <c r="K45" s="54"/>
      <c r="L45" s="55"/>
    </row>
    <row r="46" spans="1:12" x14ac:dyDescent="0.2">
      <c r="A46" s="65">
        <f>'FERC Interest Rates'!A52</f>
        <v>42582</v>
      </c>
      <c r="D46" s="1">
        <f>400057.38-4453.77</f>
        <v>395603.61</v>
      </c>
      <c r="F46" s="1">
        <f t="shared" si="5"/>
        <v>4453.7700000000004</v>
      </c>
      <c r="H46" s="70">
        <f t="shared" si="1"/>
        <v>1898331.8599999999</v>
      </c>
      <c r="K46" s="54"/>
      <c r="L46" s="55"/>
    </row>
    <row r="47" spans="1:12" x14ac:dyDescent="0.2">
      <c r="A47" s="65">
        <f>'FERC Interest Rates'!A53</f>
        <v>42613</v>
      </c>
      <c r="D47" s="1">
        <f>49154.9-5642.99</f>
        <v>43511.91</v>
      </c>
      <c r="F47" s="1">
        <f t="shared" si="5"/>
        <v>5642.99</v>
      </c>
      <c r="H47" s="70">
        <f t="shared" si="1"/>
        <v>1947486.7599999998</v>
      </c>
      <c r="K47" s="54"/>
      <c r="L47" s="55"/>
    </row>
    <row r="48" spans="1:12" x14ac:dyDescent="0.2">
      <c r="A48" s="65">
        <f>'FERC Interest Rates'!A54</f>
        <v>42643</v>
      </c>
      <c r="D48" s="1">
        <f>108108.23-5602.36</f>
        <v>102505.87</v>
      </c>
      <c r="F48" s="1">
        <f t="shared" si="5"/>
        <v>5602.36</v>
      </c>
      <c r="H48" s="70">
        <f t="shared" si="1"/>
        <v>2055594.9899999998</v>
      </c>
      <c r="K48" s="54"/>
      <c r="L48" s="55"/>
    </row>
    <row r="49" spans="1:12" x14ac:dyDescent="0.2">
      <c r="A49" s="65">
        <f>'FERC Interest Rates'!A55</f>
        <v>42674</v>
      </c>
      <c r="D49" s="1">
        <f>98315.56-6110.47</f>
        <v>92205.09</v>
      </c>
      <c r="F49" s="1">
        <f t="shared" si="5"/>
        <v>6110.47</v>
      </c>
      <c r="H49" s="70">
        <f t="shared" si="1"/>
        <v>2153910.5499999998</v>
      </c>
      <c r="K49" s="54"/>
      <c r="L49" s="55"/>
    </row>
    <row r="50" spans="1:12" x14ac:dyDescent="0.2">
      <c r="A50" s="167" t="s">
        <v>91</v>
      </c>
      <c r="B50" s="167"/>
      <c r="C50" s="167"/>
      <c r="D50" s="167"/>
      <c r="E50" s="167"/>
      <c r="F50" s="167"/>
      <c r="G50" s="1">
        <v>-1915128.08</v>
      </c>
      <c r="H50" s="70">
        <f t="shared" si="1"/>
        <v>238782.46999999974</v>
      </c>
      <c r="K50" s="54"/>
      <c r="L50" s="55"/>
    </row>
    <row r="51" spans="1:12" x14ac:dyDescent="0.2">
      <c r="A51" s="65">
        <f>'FERC Interest Rates'!A56</f>
        <v>42704</v>
      </c>
      <c r="D51" s="1">
        <v>147702.82999999999</v>
      </c>
      <c r="F51" s="1">
        <f t="shared" si="5"/>
        <v>686.91</v>
      </c>
      <c r="H51" s="70">
        <f t="shared" si="1"/>
        <v>387172.20999999973</v>
      </c>
      <c r="K51" s="54"/>
      <c r="L51" s="55"/>
    </row>
    <row r="52" spans="1:12" x14ac:dyDescent="0.2">
      <c r="A52" s="65">
        <f>'FERC Interest Rates'!A57</f>
        <v>42735</v>
      </c>
      <c r="D52" s="1">
        <f>214948.96-686.91-1150.91-65556.41</f>
        <v>147554.72999999998</v>
      </c>
      <c r="F52" s="1">
        <f t="shared" si="5"/>
        <v>1150.9100000000001</v>
      </c>
      <c r="H52" s="70">
        <f t="shared" si="1"/>
        <v>535877.84999999974</v>
      </c>
      <c r="K52" s="54"/>
      <c r="L52" s="55"/>
    </row>
    <row r="53" spans="1:12" x14ac:dyDescent="0.2">
      <c r="A53" s="65">
        <f>'FERC Interest Rates'!A58</f>
        <v>42766</v>
      </c>
      <c r="D53" s="1">
        <f>286307.59-1592.95</f>
        <v>284714.64</v>
      </c>
      <c r="F53" s="1">
        <f t="shared" ref="F53:F59" si="6">ROUND(H52*VLOOKUP(A53,FERCINT17,2)/365*VLOOKUP(A53,FERCINT17,3),2)</f>
        <v>1592.95</v>
      </c>
      <c r="H53" s="70">
        <f t="shared" si="1"/>
        <v>822185.43999999971</v>
      </c>
      <c r="K53" s="54"/>
      <c r="L53" s="55"/>
    </row>
    <row r="54" spans="1:12" x14ac:dyDescent="0.2">
      <c r="A54" s="65">
        <f>'FERC Interest Rates'!A59</f>
        <v>42794</v>
      </c>
      <c r="D54" s="1">
        <f>112177.3-2207.51</f>
        <v>109969.79000000001</v>
      </c>
      <c r="F54" s="1">
        <f t="shared" si="6"/>
        <v>2207.5100000000002</v>
      </c>
      <c r="H54" s="70">
        <f t="shared" si="1"/>
        <v>934362.73999999976</v>
      </c>
      <c r="K54" s="54"/>
      <c r="L54" s="55"/>
    </row>
    <row r="55" spans="1:12" x14ac:dyDescent="0.2">
      <c r="A55" s="65">
        <f>'FERC Interest Rates'!A60</f>
        <v>42825</v>
      </c>
      <c r="D55" s="1">
        <f>244311.86-2777.49</f>
        <v>241534.37</v>
      </c>
      <c r="F55" s="1">
        <f t="shared" si="6"/>
        <v>2777.49</v>
      </c>
      <c r="H55" s="70">
        <f t="shared" si="1"/>
        <v>1178674.5999999996</v>
      </c>
      <c r="K55" s="54"/>
      <c r="L55" s="55"/>
    </row>
    <row r="56" spans="1:12" x14ac:dyDescent="0.2">
      <c r="A56" s="65">
        <f>'FERC Interest Rates'!A61</f>
        <v>42855</v>
      </c>
      <c r="D56" s="1">
        <f>52288.9-3594.15</f>
        <v>48694.75</v>
      </c>
      <c r="F56" s="1">
        <f t="shared" si="6"/>
        <v>3594.15</v>
      </c>
      <c r="H56" s="70">
        <f t="shared" si="1"/>
        <v>1230963.4999999995</v>
      </c>
      <c r="K56" s="54"/>
      <c r="L56" s="55"/>
    </row>
    <row r="57" spans="1:12" x14ac:dyDescent="0.2">
      <c r="A57" s="65">
        <f>'FERC Interest Rates'!A62</f>
        <v>42886</v>
      </c>
      <c r="D57" s="1">
        <f>133086.53-3878.72-47.21</f>
        <v>129160.59999999999</v>
      </c>
      <c r="F57" s="1">
        <f t="shared" si="6"/>
        <v>3878.72</v>
      </c>
      <c r="H57" s="70">
        <f t="shared" si="1"/>
        <v>1364002.8199999996</v>
      </c>
      <c r="K57" s="54"/>
      <c r="L57" s="55"/>
    </row>
    <row r="58" spans="1:12" x14ac:dyDescent="0.2">
      <c r="A58" s="65">
        <f>'FERC Interest Rates'!A63</f>
        <v>42916</v>
      </c>
      <c r="D58" s="1">
        <f>151925.48-4159.27</f>
        <v>147766.21000000002</v>
      </c>
      <c r="F58" s="1">
        <f t="shared" si="6"/>
        <v>4159.2700000000004</v>
      </c>
      <c r="H58" s="70">
        <f t="shared" si="1"/>
        <v>1515928.2999999996</v>
      </c>
      <c r="K58" s="54"/>
      <c r="L58" s="55"/>
    </row>
    <row r="59" spans="1:12" x14ac:dyDescent="0.2">
      <c r="A59" s="65">
        <f>'FERC Interest Rates'!A64</f>
        <v>42947</v>
      </c>
      <c r="D59" s="1">
        <f>77575.2-18144.75-5098.5</f>
        <v>54331.95</v>
      </c>
      <c r="F59" s="1">
        <f t="shared" si="6"/>
        <v>5098.5</v>
      </c>
      <c r="H59" s="70">
        <f t="shared" si="1"/>
        <v>1575358.7499999995</v>
      </c>
      <c r="K59" s="54"/>
      <c r="L59" s="55"/>
    </row>
    <row r="60" spans="1:12" x14ac:dyDescent="0.2">
      <c r="A60" s="65"/>
      <c r="H60" s="70"/>
      <c r="K60" s="54"/>
      <c r="L60" s="55"/>
    </row>
    <row r="61" spans="1:12" x14ac:dyDescent="0.2">
      <c r="A61" s="65"/>
      <c r="H61" s="70"/>
      <c r="K61" s="54"/>
      <c r="L61" s="55"/>
    </row>
    <row r="62" spans="1:12" x14ac:dyDescent="0.2">
      <c r="A62" s="65"/>
      <c r="H62" s="70"/>
      <c r="K62" s="54"/>
      <c r="L62" s="55"/>
    </row>
    <row r="63" spans="1:12" x14ac:dyDescent="0.2">
      <c r="A63" s="65"/>
      <c r="H63" s="70"/>
      <c r="K63" s="54"/>
      <c r="L63" s="55"/>
    </row>
    <row r="64" spans="1:12" x14ac:dyDescent="0.2">
      <c r="A64" s="65"/>
    </row>
    <row r="65" spans="1:1" x14ac:dyDescent="0.2">
      <c r="A65" s="65"/>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106" zoomScaleNormal="75" zoomScaleSheetLayoutView="106" workbookViewId="0">
      <pane xSplit="1" ySplit="10" topLeftCell="B48" activePane="bottomRight" state="frozen"/>
      <selection activeCell="I52" sqref="I52"/>
      <selection pane="topRight" activeCell="I52" sqref="I52"/>
      <selection pane="bottomLeft" activeCell="I52" sqref="I52"/>
      <selection pane="bottomRight" activeCell="I52" sqref="I52"/>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74" t="s">
        <v>49</v>
      </c>
      <c r="B1" s="175"/>
      <c r="C1" s="198" t="s">
        <v>50</v>
      </c>
      <c r="D1" s="198"/>
      <c r="E1" s="198"/>
      <c r="F1" s="198"/>
      <c r="G1" s="198"/>
      <c r="H1" s="199"/>
    </row>
    <row r="2" spans="1:12" x14ac:dyDescent="0.2">
      <c r="A2" s="178" t="s">
        <v>51</v>
      </c>
      <c r="B2" s="162"/>
      <c r="C2" s="179" t="s">
        <v>96</v>
      </c>
      <c r="D2" s="179"/>
      <c r="E2" s="179"/>
      <c r="F2" s="179"/>
      <c r="G2" s="179"/>
      <c r="H2" s="180"/>
    </row>
    <row r="3" spans="1:12" x14ac:dyDescent="0.2">
      <c r="A3" s="178" t="s">
        <v>53</v>
      </c>
      <c r="B3" s="162"/>
      <c r="C3" s="163" t="s">
        <v>13</v>
      </c>
      <c r="D3" s="163"/>
      <c r="E3" s="163"/>
      <c r="F3" s="163"/>
      <c r="G3" s="163"/>
      <c r="H3" s="181"/>
    </row>
    <row r="4" spans="1:12" s="66" customFormat="1" x14ac:dyDescent="0.2">
      <c r="A4" s="178" t="s">
        <v>54</v>
      </c>
      <c r="B4" s="162"/>
      <c r="C4" s="165" t="s">
        <v>55</v>
      </c>
      <c r="D4" s="165"/>
      <c r="E4" s="165"/>
      <c r="F4" s="165"/>
      <c r="G4" s="165"/>
      <c r="H4" s="182"/>
    </row>
    <row r="5" spans="1:12" x14ac:dyDescent="0.2">
      <c r="A5" s="178" t="s">
        <v>56</v>
      </c>
      <c r="B5" s="162"/>
      <c r="C5" s="163" t="s">
        <v>94</v>
      </c>
      <c r="D5" s="163"/>
      <c r="E5" s="163"/>
      <c r="F5" s="163"/>
      <c r="G5" s="163"/>
      <c r="H5" s="181"/>
    </row>
    <row r="6" spans="1:12" x14ac:dyDescent="0.2">
      <c r="A6" s="178" t="s">
        <v>58</v>
      </c>
      <c r="B6" s="162"/>
      <c r="C6" s="165" t="s">
        <v>77</v>
      </c>
      <c r="D6" s="165"/>
      <c r="E6" s="165"/>
      <c r="F6" s="165"/>
      <c r="G6" s="165"/>
      <c r="H6" s="182"/>
    </row>
    <row r="7" spans="1:12" ht="13.5" thickBot="1" x14ac:dyDescent="0.25">
      <c r="A7" s="202" t="s">
        <v>59</v>
      </c>
      <c r="B7" s="203"/>
      <c r="C7" s="204" t="s">
        <v>97</v>
      </c>
      <c r="D7" s="204"/>
      <c r="E7" s="204"/>
      <c r="F7" s="204"/>
      <c r="G7" s="204"/>
      <c r="H7" s="205"/>
    </row>
    <row r="8" spans="1:12" x14ac:dyDescent="0.2">
      <c r="A8" s="62"/>
      <c r="B8" s="62"/>
      <c r="C8" s="63"/>
      <c r="D8" s="63"/>
      <c r="E8" s="63"/>
      <c r="F8" s="63"/>
      <c r="G8" s="63"/>
      <c r="H8" s="63"/>
      <c r="J8" s="58"/>
    </row>
    <row r="9" spans="1:12" x14ac:dyDescent="0.2">
      <c r="A9" s="52"/>
      <c r="D9" s="172" t="s">
        <v>62</v>
      </c>
      <c r="E9" s="172"/>
      <c r="F9" s="172"/>
    </row>
    <row r="10" spans="1:12" s="53" customFormat="1" x14ac:dyDescent="0.2">
      <c r="A10" s="9" t="s">
        <v>22</v>
      </c>
      <c r="B10" s="9" t="s">
        <v>63</v>
      </c>
      <c r="C10" s="9" t="s">
        <v>46</v>
      </c>
      <c r="D10" s="9" t="s">
        <v>64</v>
      </c>
      <c r="E10" s="9" t="s">
        <v>65</v>
      </c>
      <c r="F10" s="9" t="s">
        <v>66</v>
      </c>
      <c r="G10" s="9" t="s">
        <v>67</v>
      </c>
      <c r="H10" s="9" t="s">
        <v>68</v>
      </c>
      <c r="I10" s="2"/>
      <c r="J10" s="2"/>
      <c r="K10" s="2"/>
      <c r="L10" s="2"/>
    </row>
    <row r="11" spans="1:12" hidden="1" x14ac:dyDescent="0.2">
      <c r="A11" s="173" t="s">
        <v>69</v>
      </c>
      <c r="B11" s="173"/>
      <c r="C11" s="173"/>
      <c r="D11" s="173"/>
      <c r="E11" s="173"/>
      <c r="F11" s="173"/>
      <c r="G11" s="173"/>
      <c r="H11" s="70">
        <v>123401.78</v>
      </c>
      <c r="K11" s="54"/>
      <c r="L11" s="55"/>
    </row>
    <row r="12" spans="1:12" hidden="1" x14ac:dyDescent="0.2">
      <c r="A12" s="65">
        <f>'FERC Interest Rates'!A20</f>
        <v>41608</v>
      </c>
      <c r="D12" s="1">
        <v>92494.35</v>
      </c>
      <c r="F12" s="1">
        <f t="shared" ref="F12:F13" si="0">ROUND(H11*VLOOKUP(A12,FERCINT13,2)/365*VLOOKUP(A12,FERCINT13,3),2)</f>
        <v>329.63</v>
      </c>
      <c r="H12" s="70">
        <f t="shared" ref="H12:H36" si="1">+SUM(D12:G12)+H11</f>
        <v>216225.76</v>
      </c>
      <c r="K12" s="54"/>
      <c r="L12" s="55"/>
    </row>
    <row r="13" spans="1:12" hidden="1" x14ac:dyDescent="0.2">
      <c r="A13" s="65">
        <f>'FERC Interest Rates'!A21</f>
        <v>41639</v>
      </c>
      <c r="D13" s="1">
        <v>71457.95</v>
      </c>
      <c r="F13" s="1">
        <f t="shared" si="0"/>
        <v>596.84</v>
      </c>
      <c r="H13" s="70">
        <f t="shared" si="1"/>
        <v>288280.55</v>
      </c>
      <c r="K13" s="54"/>
      <c r="L13" s="55"/>
    </row>
    <row r="14" spans="1:12" hidden="1" x14ac:dyDescent="0.2">
      <c r="A14" s="65">
        <f>'FERC Interest Rates'!A22</f>
        <v>41670</v>
      </c>
      <c r="D14" s="1">
        <v>24631.1</v>
      </c>
      <c r="F14" s="1">
        <f t="shared" ref="F14:F23" si="2">ROUND(H13*VLOOKUP(A14,FERCINT14,2)/365*VLOOKUP(A14,FERCINT14,3),2)</f>
        <v>795.73</v>
      </c>
      <c r="H14" s="70">
        <f t="shared" si="1"/>
        <v>313707.38</v>
      </c>
      <c r="K14" s="54"/>
      <c r="L14" s="55"/>
    </row>
    <row r="15" spans="1:12" hidden="1" x14ac:dyDescent="0.2">
      <c r="A15" s="65">
        <f>'FERC Interest Rates'!A23</f>
        <v>41698</v>
      </c>
      <c r="D15" s="1">
        <f>28783.35+26233.4</f>
        <v>55016.75</v>
      </c>
      <c r="F15" s="1">
        <f t="shared" si="2"/>
        <v>782.12</v>
      </c>
      <c r="H15" s="70">
        <f t="shared" si="1"/>
        <v>369506.25</v>
      </c>
      <c r="K15" s="54"/>
      <c r="L15" s="55"/>
    </row>
    <row r="16" spans="1:12" hidden="1" x14ac:dyDescent="0.2">
      <c r="A16" s="65">
        <f>'FERC Interest Rates'!A24</f>
        <v>41729</v>
      </c>
      <c r="D16" s="1">
        <f>29106+31118.65+3784.88+809.8+30132.6</f>
        <v>94951.93</v>
      </c>
      <c r="F16" s="1">
        <f t="shared" si="2"/>
        <v>1019.94</v>
      </c>
      <c r="H16" s="70">
        <f t="shared" si="1"/>
        <v>465478.12</v>
      </c>
      <c r="K16" s="54"/>
      <c r="L16" s="55"/>
    </row>
    <row r="17" spans="1:12" hidden="1" x14ac:dyDescent="0.2">
      <c r="A17" s="65">
        <f>'FERC Interest Rates'!A25</f>
        <v>41759</v>
      </c>
      <c r="D17" s="1">
        <v>49856.55</v>
      </c>
      <c r="F17" s="1">
        <f t="shared" si="2"/>
        <v>1243.4000000000001</v>
      </c>
      <c r="H17" s="70">
        <f t="shared" si="1"/>
        <v>516578.07</v>
      </c>
      <c r="K17" s="54"/>
      <c r="L17" s="55"/>
    </row>
    <row r="18" spans="1:12" hidden="1" x14ac:dyDescent="0.2">
      <c r="A18" s="65">
        <f>'FERC Interest Rates'!A26</f>
        <v>41790</v>
      </c>
      <c r="D18" s="1">
        <v>48539.6</v>
      </c>
      <c r="F18" s="1">
        <f t="shared" si="2"/>
        <v>1425.9</v>
      </c>
      <c r="H18" s="70">
        <f t="shared" si="1"/>
        <v>566543.57000000007</v>
      </c>
      <c r="K18" s="54"/>
      <c r="L18" s="55"/>
    </row>
    <row r="19" spans="1:12" hidden="1" x14ac:dyDescent="0.2">
      <c r="A19" s="65">
        <f>'FERC Interest Rates'!A27</f>
        <v>41820</v>
      </c>
      <c r="D19" s="1">
        <v>24694.05</v>
      </c>
      <c r="F19" s="1">
        <f t="shared" si="2"/>
        <v>1513.37</v>
      </c>
      <c r="H19" s="70">
        <f t="shared" si="1"/>
        <v>592750.99000000011</v>
      </c>
      <c r="K19" s="54"/>
      <c r="L19" s="55"/>
    </row>
    <row r="20" spans="1:12" hidden="1" x14ac:dyDescent="0.2">
      <c r="A20" s="65">
        <f>'FERC Interest Rates'!A28</f>
        <v>41851</v>
      </c>
      <c r="D20" s="1">
        <v>13413.5</v>
      </c>
      <c r="F20" s="1">
        <f t="shared" si="2"/>
        <v>1636.16</v>
      </c>
      <c r="H20" s="70">
        <f t="shared" si="1"/>
        <v>607800.65000000014</v>
      </c>
      <c r="K20" s="54"/>
      <c r="L20" s="55"/>
    </row>
    <row r="21" spans="1:12" hidden="1" x14ac:dyDescent="0.2">
      <c r="A21" s="65">
        <f>'FERC Interest Rates'!A29</f>
        <v>41882</v>
      </c>
      <c r="D21" s="1">
        <v>27540.36</v>
      </c>
      <c r="F21" s="1">
        <f t="shared" si="2"/>
        <v>1677.7</v>
      </c>
      <c r="H21" s="70">
        <f t="shared" si="1"/>
        <v>637018.7100000002</v>
      </c>
      <c r="K21" s="54"/>
      <c r="L21" s="55"/>
    </row>
    <row r="22" spans="1:12" hidden="1" x14ac:dyDescent="0.2">
      <c r="A22" s="65">
        <f>'FERC Interest Rates'!A30</f>
        <v>41912</v>
      </c>
      <c r="D22" s="1">
        <v>66107.7</v>
      </c>
      <c r="F22" s="1">
        <f t="shared" si="2"/>
        <v>1701.63</v>
      </c>
      <c r="H22" s="70">
        <f t="shared" si="1"/>
        <v>704828.04000000015</v>
      </c>
      <c r="K22" s="54"/>
      <c r="L22" s="55"/>
    </row>
    <row r="23" spans="1:12" hidden="1" x14ac:dyDescent="0.2">
      <c r="A23" s="65">
        <f>'FERC Interest Rates'!A31</f>
        <v>41943</v>
      </c>
      <c r="D23" s="1">
        <v>20456.349999999999</v>
      </c>
      <c r="F23" s="1">
        <f t="shared" si="2"/>
        <v>1945.52</v>
      </c>
      <c r="H23" s="70">
        <f t="shared" si="1"/>
        <v>727229.91000000015</v>
      </c>
      <c r="K23" s="54"/>
      <c r="L23" s="55"/>
    </row>
    <row r="24" spans="1:12" x14ac:dyDescent="0.2">
      <c r="A24" s="167" t="s">
        <v>89</v>
      </c>
      <c r="B24" s="167"/>
      <c r="C24" s="167"/>
      <c r="D24" s="167"/>
      <c r="E24" s="167"/>
      <c r="F24" s="167"/>
      <c r="G24" s="1">
        <v>-612793.23</v>
      </c>
      <c r="H24" s="70">
        <f t="shared" si="1"/>
        <v>114436.68000000017</v>
      </c>
      <c r="L24" s="55"/>
    </row>
    <row r="25" spans="1:12" x14ac:dyDescent="0.2">
      <c r="A25" s="65">
        <f>'FERC Interest Rates'!A32</f>
        <v>41973</v>
      </c>
      <c r="D25" s="1">
        <v>21830.57</v>
      </c>
      <c r="F25" s="1">
        <f>ROUND(H24*VLOOKUP(A25,FERCINT14,2)/365*VLOOKUP(A25,FERCINT14,3),2)</f>
        <v>305.69</v>
      </c>
      <c r="H25" s="70">
        <f t="shared" si="1"/>
        <v>136572.94000000018</v>
      </c>
      <c r="K25" s="54"/>
      <c r="L25" s="55"/>
    </row>
    <row r="26" spans="1:12" x14ac:dyDescent="0.2">
      <c r="A26" s="65">
        <f>'FERC Interest Rates'!A33</f>
        <v>42004</v>
      </c>
      <c r="D26" s="1">
        <v>18309.650000000001</v>
      </c>
      <c r="F26" s="1">
        <f>ROUND(H25*VLOOKUP(A26,FERCINT14,2)/365*VLOOKUP(A26,FERCINT14,3),2)</f>
        <v>376.98</v>
      </c>
      <c r="H26" s="70">
        <f t="shared" si="1"/>
        <v>155259.57000000018</v>
      </c>
      <c r="K26" s="54"/>
      <c r="L26" s="55"/>
    </row>
    <row r="27" spans="1:12" x14ac:dyDescent="0.2">
      <c r="A27" s="65">
        <f>'FERC Interest Rates'!A34</f>
        <v>42035</v>
      </c>
      <c r="D27" s="1">
        <v>78034.990000000005</v>
      </c>
      <c r="F27" s="1">
        <f t="shared" ref="F27:F36" si="3">ROUND(H26*VLOOKUP(A27,FERCINT15,2)/365*VLOOKUP(A27,FERCINT15,3),2)</f>
        <v>428.56</v>
      </c>
      <c r="H27" s="70">
        <f t="shared" si="1"/>
        <v>233723.12000000017</v>
      </c>
      <c r="K27" s="54"/>
      <c r="L27" s="55"/>
    </row>
    <row r="28" spans="1:12" x14ac:dyDescent="0.2">
      <c r="A28" s="65">
        <f>'FERC Interest Rates'!A35</f>
        <v>42063</v>
      </c>
      <c r="D28" s="1">
        <v>37942</v>
      </c>
      <c r="F28" s="1">
        <f t="shared" si="3"/>
        <v>582.71</v>
      </c>
      <c r="H28" s="70">
        <f t="shared" si="1"/>
        <v>272247.83000000019</v>
      </c>
      <c r="K28" s="54"/>
      <c r="L28" s="55"/>
    </row>
    <row r="29" spans="1:12" x14ac:dyDescent="0.2">
      <c r="A29" s="65">
        <f>'FERC Interest Rates'!A36</f>
        <v>42094</v>
      </c>
      <c r="D29" s="1">
        <v>72240.350000000006</v>
      </c>
      <c r="F29" s="1">
        <f t="shared" si="3"/>
        <v>751.48</v>
      </c>
      <c r="H29" s="70">
        <f t="shared" si="1"/>
        <v>345239.66000000021</v>
      </c>
      <c r="K29" s="54"/>
      <c r="L29" s="55"/>
    </row>
    <row r="30" spans="1:12" x14ac:dyDescent="0.2">
      <c r="A30" s="65">
        <f>'FERC Interest Rates'!A37</f>
        <v>42124</v>
      </c>
      <c r="D30" s="1">
        <v>44553.95</v>
      </c>
      <c r="F30" s="1">
        <f t="shared" si="3"/>
        <v>922.22</v>
      </c>
      <c r="H30" s="70">
        <f t="shared" si="1"/>
        <v>390715.83000000019</v>
      </c>
      <c r="K30" s="54"/>
      <c r="L30" s="55"/>
    </row>
    <row r="31" spans="1:12" x14ac:dyDescent="0.2">
      <c r="A31" s="65">
        <f>'FERC Interest Rates'!A38</f>
        <v>42155</v>
      </c>
      <c r="D31" s="1">
        <v>26451.119999999999</v>
      </c>
      <c r="F31" s="1">
        <f t="shared" si="3"/>
        <v>1078.48</v>
      </c>
      <c r="H31" s="70">
        <f t="shared" si="1"/>
        <v>418245.43000000017</v>
      </c>
      <c r="K31" s="54"/>
      <c r="L31" s="55"/>
    </row>
    <row r="32" spans="1:12" x14ac:dyDescent="0.2">
      <c r="A32" s="65">
        <f>'FERC Interest Rates'!A39</f>
        <v>42185</v>
      </c>
      <c r="D32" s="1">
        <v>29239.200000000001</v>
      </c>
      <c r="F32" s="1">
        <f t="shared" si="3"/>
        <v>1117.23</v>
      </c>
      <c r="H32" s="70">
        <f t="shared" si="1"/>
        <v>448601.86000000016</v>
      </c>
      <c r="K32" s="54"/>
      <c r="L32" s="55"/>
    </row>
    <row r="33" spans="1:12" x14ac:dyDescent="0.2">
      <c r="A33" s="65">
        <f>'FERC Interest Rates'!A40</f>
        <v>42216</v>
      </c>
      <c r="D33" s="1">
        <v>56499.4</v>
      </c>
      <c r="F33" s="1">
        <f t="shared" si="3"/>
        <v>1238.26</v>
      </c>
      <c r="H33" s="70">
        <f t="shared" si="1"/>
        <v>506339.52000000014</v>
      </c>
      <c r="K33" s="54"/>
      <c r="L33" s="55"/>
    </row>
    <row r="34" spans="1:12" x14ac:dyDescent="0.2">
      <c r="A34" s="65">
        <f>'FERC Interest Rates'!A41</f>
        <v>42247</v>
      </c>
      <c r="D34" s="1">
        <v>45176.800000000003</v>
      </c>
      <c r="F34" s="1">
        <f t="shared" si="3"/>
        <v>1397.64</v>
      </c>
      <c r="H34" s="70">
        <f t="shared" si="1"/>
        <v>552913.9600000002</v>
      </c>
      <c r="K34" s="54"/>
      <c r="L34" s="55"/>
    </row>
    <row r="35" spans="1:12" x14ac:dyDescent="0.2">
      <c r="A35" s="65">
        <f>'FERC Interest Rates'!A42</f>
        <v>42277</v>
      </c>
      <c r="D35" s="1">
        <v>18010.5</v>
      </c>
      <c r="F35" s="1">
        <f t="shared" si="3"/>
        <v>1476.96</v>
      </c>
      <c r="H35" s="70">
        <f t="shared" si="1"/>
        <v>572401.42000000016</v>
      </c>
      <c r="K35" s="54"/>
      <c r="L35" s="55"/>
    </row>
    <row r="36" spans="1:12" x14ac:dyDescent="0.2">
      <c r="A36" s="65">
        <f>'FERC Interest Rates'!A43</f>
        <v>42308</v>
      </c>
      <c r="D36" s="1">
        <v>44723.15</v>
      </c>
      <c r="F36" s="1">
        <f t="shared" si="3"/>
        <v>1579.98</v>
      </c>
      <c r="H36" s="70">
        <f t="shared" si="1"/>
        <v>618704.55000000016</v>
      </c>
      <c r="K36" s="54"/>
      <c r="L36" s="55"/>
    </row>
    <row r="37" spans="1:12" x14ac:dyDescent="0.2">
      <c r="A37" s="65">
        <f>'FERC Interest Rates'!A44</f>
        <v>42338</v>
      </c>
      <c r="D37" s="1">
        <v>14074.8</v>
      </c>
      <c r="F37" s="1">
        <f t="shared" ref="F37:F39" si="4">ROUND(H36*VLOOKUP(A37,FERCINT15,2)/365*VLOOKUP(A37,FERCINT15,3),2)</f>
        <v>1652.7</v>
      </c>
      <c r="H37" s="70">
        <f t="shared" ref="H37:H59" si="5">+SUM(D37:G37)+H36</f>
        <v>634432.05000000016</v>
      </c>
      <c r="K37" s="54"/>
      <c r="L37" s="55"/>
    </row>
    <row r="38" spans="1:12" x14ac:dyDescent="0.2">
      <c r="A38" s="167" t="s">
        <v>90</v>
      </c>
      <c r="B38" s="167"/>
      <c r="C38" s="167"/>
      <c r="D38" s="167"/>
      <c r="E38" s="167"/>
      <c r="F38" s="167"/>
      <c r="G38" s="1">
        <v>-511862.34</v>
      </c>
      <c r="H38" s="70">
        <f t="shared" si="5"/>
        <v>122569.71000000014</v>
      </c>
      <c r="K38" s="54"/>
      <c r="L38" s="55"/>
    </row>
    <row r="39" spans="1:12" x14ac:dyDescent="0.2">
      <c r="A39" s="65">
        <f>'FERC Interest Rates'!A45</f>
        <v>42369</v>
      </c>
      <c r="D39" s="1">
        <v>22978.2</v>
      </c>
      <c r="F39" s="1">
        <f t="shared" si="4"/>
        <v>338.33</v>
      </c>
      <c r="H39" s="70">
        <f t="shared" si="5"/>
        <v>145886.24000000014</v>
      </c>
      <c r="K39" s="54"/>
      <c r="L39" s="55"/>
    </row>
    <row r="40" spans="1:12" x14ac:dyDescent="0.2">
      <c r="A40" s="65">
        <f>'FERC Interest Rates'!A46</f>
        <v>42400</v>
      </c>
      <c r="D40" s="1">
        <v>90067.05</v>
      </c>
      <c r="F40" s="1">
        <f t="shared" ref="F40:F52" si="6">ROUND(H39*VLOOKUP(A40,FERCINT16,2)/365*VLOOKUP(A40,FERCINT16,3),2)</f>
        <v>402.69</v>
      </c>
      <c r="H40" s="70">
        <f t="shared" si="5"/>
        <v>236355.98000000016</v>
      </c>
      <c r="K40" s="54"/>
      <c r="L40" s="55"/>
    </row>
    <row r="41" spans="1:12" x14ac:dyDescent="0.2">
      <c r="A41" s="65">
        <f>'FERC Interest Rates'!A47</f>
        <v>42429</v>
      </c>
      <c r="D41" s="1">
        <v>24303.35</v>
      </c>
      <c r="F41" s="1">
        <f t="shared" si="6"/>
        <v>610.32000000000005</v>
      </c>
      <c r="H41" s="70">
        <f t="shared" si="5"/>
        <v>261269.65000000014</v>
      </c>
      <c r="K41" s="54"/>
      <c r="L41" s="55"/>
    </row>
    <row r="42" spans="1:12" x14ac:dyDescent="0.2">
      <c r="A42" s="65">
        <f>'FERC Interest Rates'!A48</f>
        <v>42460</v>
      </c>
      <c r="D42" s="1">
        <v>33571.15</v>
      </c>
      <c r="F42" s="1">
        <f t="shared" si="6"/>
        <v>721.18</v>
      </c>
      <c r="H42" s="70">
        <f t="shared" si="5"/>
        <v>295561.98000000016</v>
      </c>
      <c r="K42" s="54"/>
      <c r="L42" s="55"/>
    </row>
    <row r="43" spans="1:12" x14ac:dyDescent="0.2">
      <c r="A43" s="65">
        <f>'FERC Interest Rates'!A49</f>
        <v>42490</v>
      </c>
      <c r="D43" s="1">
        <v>24642.5</v>
      </c>
      <c r="F43" s="1">
        <f t="shared" si="6"/>
        <v>840.53</v>
      </c>
      <c r="H43" s="70">
        <f t="shared" si="5"/>
        <v>321045.01000000013</v>
      </c>
      <c r="K43" s="54"/>
      <c r="L43" s="55"/>
    </row>
    <row r="44" spans="1:12" x14ac:dyDescent="0.2">
      <c r="A44" s="65">
        <f>'FERC Interest Rates'!A50</f>
        <v>42521</v>
      </c>
      <c r="D44" s="1">
        <v>20473.349999999999</v>
      </c>
      <c r="F44" s="1">
        <f t="shared" si="6"/>
        <v>943.43</v>
      </c>
      <c r="H44" s="70">
        <f t="shared" si="5"/>
        <v>342461.79000000015</v>
      </c>
      <c r="K44" s="54"/>
      <c r="L44" s="55"/>
    </row>
    <row r="45" spans="1:12" x14ac:dyDescent="0.2">
      <c r="A45" s="65">
        <f>'FERC Interest Rates'!A51</f>
        <v>42551</v>
      </c>
      <c r="D45" s="1">
        <v>73125.02</v>
      </c>
      <c r="F45" s="1">
        <f t="shared" si="6"/>
        <v>973.91</v>
      </c>
      <c r="H45" s="70">
        <f t="shared" si="5"/>
        <v>416560.72000000015</v>
      </c>
      <c r="K45" s="54"/>
      <c r="L45" s="55"/>
    </row>
    <row r="46" spans="1:12" x14ac:dyDescent="0.2">
      <c r="A46" s="65">
        <f>'FERC Interest Rates'!A52</f>
        <v>42582</v>
      </c>
      <c r="D46" s="1">
        <f>21555.92-1238.27</f>
        <v>20317.649999999998</v>
      </c>
      <c r="F46" s="1">
        <f t="shared" si="6"/>
        <v>1238.27</v>
      </c>
      <c r="H46" s="70">
        <f t="shared" si="5"/>
        <v>438116.64000000013</v>
      </c>
      <c r="K46" s="54"/>
      <c r="L46" s="55"/>
    </row>
    <row r="47" spans="1:12" x14ac:dyDescent="0.2">
      <c r="A47" s="65">
        <f>'FERC Interest Rates'!A53</f>
        <v>42613</v>
      </c>
      <c r="D47" s="1">
        <f>44092.2-1302.35</f>
        <v>42789.85</v>
      </c>
      <c r="F47" s="1">
        <f t="shared" si="6"/>
        <v>1302.3499999999999</v>
      </c>
      <c r="H47" s="70">
        <f t="shared" si="5"/>
        <v>482208.84000000014</v>
      </c>
      <c r="K47" s="54"/>
      <c r="L47" s="55"/>
    </row>
    <row r="48" spans="1:12" x14ac:dyDescent="0.2">
      <c r="A48" s="65">
        <f>'FERC Interest Rates'!A54</f>
        <v>42643</v>
      </c>
      <c r="D48" s="1">
        <f>43161.73-1387.18</f>
        <v>41774.550000000003</v>
      </c>
      <c r="F48" s="1">
        <f t="shared" si="6"/>
        <v>1387.18</v>
      </c>
      <c r="H48" s="70">
        <f t="shared" si="5"/>
        <v>525370.57000000018</v>
      </c>
      <c r="K48" s="54"/>
      <c r="L48" s="55"/>
    </row>
    <row r="49" spans="1:12" x14ac:dyDescent="0.2">
      <c r="A49" s="65">
        <f>'FERC Interest Rates'!A55</f>
        <v>42674</v>
      </c>
      <c r="D49" s="1">
        <f>47970.22-1561.72</f>
        <v>46408.5</v>
      </c>
      <c r="F49" s="1">
        <f t="shared" si="6"/>
        <v>1561.72</v>
      </c>
      <c r="H49" s="70">
        <f t="shared" si="5"/>
        <v>573340.79000000015</v>
      </c>
      <c r="K49" s="54"/>
      <c r="L49" s="55"/>
    </row>
    <row r="50" spans="1:12" x14ac:dyDescent="0.2">
      <c r="A50" s="167" t="s">
        <v>91</v>
      </c>
      <c r="B50" s="167"/>
      <c r="C50" s="167"/>
      <c r="D50" s="167"/>
      <c r="E50" s="167"/>
      <c r="F50" s="167"/>
      <c r="G50" s="1">
        <v>-441993.05</v>
      </c>
      <c r="H50" s="70">
        <f t="shared" si="5"/>
        <v>131347.74000000017</v>
      </c>
      <c r="K50" s="54"/>
      <c r="L50" s="55"/>
    </row>
    <row r="51" spans="1:12" x14ac:dyDescent="0.2">
      <c r="A51" s="65">
        <f>'FERC Interest Rates'!A56</f>
        <v>42704</v>
      </c>
      <c r="D51" s="1">
        <v>39639.699999999997</v>
      </c>
      <c r="F51" s="1">
        <f t="shared" si="6"/>
        <v>377.85</v>
      </c>
      <c r="H51" s="70">
        <f t="shared" si="5"/>
        <v>171365.29000000015</v>
      </c>
      <c r="K51" s="54"/>
      <c r="L51" s="55"/>
    </row>
    <row r="52" spans="1:12" x14ac:dyDescent="0.2">
      <c r="A52" s="65">
        <f>'FERC Interest Rates'!A57</f>
        <v>42735</v>
      </c>
      <c r="D52" s="1">
        <f>24154.85-509.4-377.85</f>
        <v>23267.599999999999</v>
      </c>
      <c r="F52" s="1">
        <f t="shared" si="6"/>
        <v>509.4</v>
      </c>
      <c r="H52" s="70">
        <f t="shared" si="5"/>
        <v>195142.29000000015</v>
      </c>
      <c r="K52" s="54"/>
      <c r="L52" s="55"/>
    </row>
    <row r="53" spans="1:12" x14ac:dyDescent="0.2">
      <c r="A53" s="65">
        <f>'FERC Interest Rates'!A58</f>
        <v>42766</v>
      </c>
      <c r="D53" s="1">
        <f>22372.88-580.08</f>
        <v>21792.799999999999</v>
      </c>
      <c r="F53" s="1">
        <f t="shared" ref="F53:F59" si="7">ROUND(H52*VLOOKUP(A53,FERCINT17,2)/365*VLOOKUP(A53,FERCINT17,3),2)</f>
        <v>580.08000000000004</v>
      </c>
      <c r="H53" s="70">
        <f t="shared" si="5"/>
        <v>217515.17000000016</v>
      </c>
      <c r="K53" s="54"/>
      <c r="L53" s="55"/>
    </row>
    <row r="54" spans="1:12" x14ac:dyDescent="0.2">
      <c r="A54" s="65">
        <f>'FERC Interest Rates'!A59</f>
        <v>42794</v>
      </c>
      <c r="D54" s="1">
        <f>61654.31-584.01</f>
        <v>61070.299999999996</v>
      </c>
      <c r="F54" s="1">
        <f t="shared" si="7"/>
        <v>584.01</v>
      </c>
      <c r="H54" s="70">
        <f t="shared" si="5"/>
        <v>279169.48000000016</v>
      </c>
      <c r="K54" s="54"/>
      <c r="L54" s="55"/>
    </row>
    <row r="55" spans="1:12" x14ac:dyDescent="0.2">
      <c r="A55" s="65">
        <f>'FERC Interest Rates'!A60</f>
        <v>42825</v>
      </c>
      <c r="D55" s="1">
        <v>73979.3</v>
      </c>
      <c r="F55" s="1">
        <f t="shared" si="7"/>
        <v>829.86</v>
      </c>
      <c r="H55" s="70">
        <f t="shared" si="5"/>
        <v>353978.64000000013</v>
      </c>
      <c r="K55" s="54"/>
      <c r="L55" s="55"/>
    </row>
    <row r="56" spans="1:12" x14ac:dyDescent="0.2">
      <c r="A56" s="65">
        <f>'FERC Interest Rates'!A61</f>
        <v>42855</v>
      </c>
      <c r="D56" s="1">
        <f>53972.34-1079.39-500</f>
        <v>52392.95</v>
      </c>
      <c r="F56" s="1">
        <f t="shared" si="7"/>
        <v>1079.3900000000001</v>
      </c>
      <c r="H56" s="70">
        <f t="shared" si="5"/>
        <v>407450.9800000001</v>
      </c>
      <c r="K56" s="54"/>
      <c r="L56" s="55"/>
    </row>
    <row r="57" spans="1:12" x14ac:dyDescent="0.2">
      <c r="A57" s="65">
        <f>'FERC Interest Rates'!A62</f>
        <v>42886</v>
      </c>
      <c r="D57" s="1">
        <f>102558.31-1283.86</f>
        <v>101274.45</v>
      </c>
      <c r="F57" s="1">
        <f t="shared" si="7"/>
        <v>1283.8599999999999</v>
      </c>
      <c r="H57" s="70">
        <f t="shared" si="5"/>
        <v>510009.2900000001</v>
      </c>
      <c r="K57" s="54"/>
      <c r="L57" s="55"/>
    </row>
    <row r="58" spans="1:12" x14ac:dyDescent="0.2">
      <c r="A58" s="65">
        <f>'FERC Interest Rates'!A63</f>
        <v>42916</v>
      </c>
      <c r="D58" s="1">
        <f>73340.63-1555.18</f>
        <v>71785.450000000012</v>
      </c>
      <c r="F58" s="1">
        <f t="shared" si="7"/>
        <v>1555.18</v>
      </c>
      <c r="H58" s="70">
        <f t="shared" si="5"/>
        <v>583349.92000000016</v>
      </c>
      <c r="K58" s="54"/>
      <c r="L58" s="55"/>
    </row>
    <row r="59" spans="1:12" x14ac:dyDescent="0.2">
      <c r="A59" s="65">
        <f>'FERC Interest Rates'!A64</f>
        <v>42947</v>
      </c>
      <c r="D59" s="1">
        <f>78793.37-1055.35-1961.97</f>
        <v>75776.049999999988</v>
      </c>
      <c r="F59" s="1">
        <f t="shared" si="7"/>
        <v>1961.97</v>
      </c>
      <c r="H59" s="70">
        <f t="shared" si="5"/>
        <v>661087.94000000018</v>
      </c>
      <c r="K59" s="54"/>
      <c r="L59" s="55"/>
    </row>
    <row r="60" spans="1:12" x14ac:dyDescent="0.2">
      <c r="A60" s="65"/>
      <c r="H60" s="70"/>
      <c r="K60" s="54"/>
      <c r="L60" s="55"/>
    </row>
    <row r="61" spans="1:12" x14ac:dyDescent="0.2">
      <c r="A61" s="65"/>
      <c r="H61" s="70"/>
      <c r="K61" s="54"/>
      <c r="L61" s="55"/>
    </row>
    <row r="62" spans="1:12" x14ac:dyDescent="0.2">
      <c r="A62" s="65"/>
      <c r="H62" s="70"/>
      <c r="K62" s="54"/>
      <c r="L62" s="55"/>
    </row>
    <row r="63" spans="1:12" x14ac:dyDescent="0.2">
      <c r="A63" s="65"/>
      <c r="H63" s="70"/>
      <c r="K63" s="54"/>
      <c r="L63" s="55"/>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1EE4F80EC6B4E4D8AAC64BACA365E73" ma:contentTypeVersion="104" ma:contentTypeDescription="" ma:contentTypeScope="" ma:versionID="394cfa3a18ca0c1423ba050a6502d2c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2017-08-25T07:00:00+00:00</OpenedDate>
    <Date1 xmlns="dc463f71-b30c-4ab2-9473-d307f9d35888">2017-08-25T07:00:00+00:00</Date1>
    <IsDocumentOrder xmlns="dc463f71-b30c-4ab2-9473-d307f9d35888" xsi:nil="true"/>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170909</DocketNumber>
    <DelegatedOrder xmlns="dc463f71-b30c-4ab2-9473-d307f9d35888">false</DelegatedOrder>
    <SignificantOrder xmlns="dc463f71-b30c-4ab2-9473-d307f9d35888">false</Significant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76A9F07E-2B61-417A-8155-F50B70D9E20C}"/>
</file>

<file path=customXml/itemProps2.xml><?xml version="1.0" encoding="utf-8"?>
<ds:datastoreItem xmlns:ds="http://schemas.openxmlformats.org/officeDocument/2006/customXml" ds:itemID="{FC5600C6-75C1-458F-A661-0B5F0DEB6523}">
  <ds:schemaRefs>
    <ds:schemaRef ds:uri="http://purl.org/dc/elements/1.1/"/>
    <ds:schemaRef ds:uri="http://schemas.microsoft.com/office/2006/metadata/properties"/>
    <ds:schemaRef ds:uri="6a7bd91e-004b-490a-8704-e368d63d59a0"/>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D32BA6F7-98E4-4D11-A1EB-A30FCB51F59B}">
  <ds:schemaRefs>
    <ds:schemaRef ds:uri="http://schemas.microsoft.com/sharepoint/v3/contenttype/forms"/>
  </ds:schemaRefs>
</ds:datastoreItem>
</file>

<file path=customXml/itemProps4.xml><?xml version="1.0" encoding="utf-8"?>
<ds:datastoreItem xmlns:ds="http://schemas.openxmlformats.org/officeDocument/2006/customXml" ds:itemID="{2F686260-7AB3-4478-9866-682B035FF3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Huey, Lorilyn (UTC)</cp:lastModifiedBy>
  <cp:lastPrinted>2017-08-21T23:11:48Z</cp:lastPrinted>
  <dcterms:created xsi:type="dcterms:W3CDTF">2017-08-18T16:39:52Z</dcterms:created>
  <dcterms:modified xsi:type="dcterms:W3CDTF">2017-08-25T18:38:11Z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0x0101006E56B4D1795A2E4DB2F0B01679ED314A00B1EE4F80EC6B4E4D8AAC64BACA365E73</vt:lpwstr>
  </property>
  <property fmtid="{D5CDD505-2E9C-101B-9397-08002B2CF9AE}" pid="3" name="_docset_NoMedatataSyncRequired">
    <vt:lpwstr>False</vt:lpwstr>
  </property>
  <property fmtid="{D5CDD505-2E9C-101B-9397-08002B2CF9AE}" pid="4" name="IsEFSEC">
    <vt:bool>false</vt:bool>
  </property>
</Properties>
</file>