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1245" windowWidth="19125" windowHeight="8745" firstSheet="1" activeTab="1"/>
  </bookViews>
  <sheets>
    <sheet name="WUTC_LYNNWOOD_SF" sheetId="1" state="hidden" r:id="rId1"/>
    <sheet name="WUTC_AW of Bellevue_SF" sheetId="2" r:id="rId2"/>
    <sheet name="Value" sheetId="3" r:id="rId3"/>
    <sheet name="Commodity Tonnages" sheetId="4" r:id="rId4"/>
    <sheet name="Pricing" sheetId="5" r:id="rId5"/>
    <sheet name="Single Family" sheetId="6" r:id="rId6"/>
  </sheets>
  <externalReferences>
    <externalReference r:id="rId9"/>
    <externalReference r:id="rId10"/>
  </externalReferences>
  <definedNames>
    <definedName name="_xlfn.IFERROR" hidden="1">#NAME?</definedName>
    <definedName name="color">#REF!</definedName>
    <definedName name="_xlnm.Print_Area" localSheetId="4">'Pricing'!$A$1:$L$19</definedName>
    <definedName name="_xlnm.Print_Area" localSheetId="5">'Single Family'!$A$7:$N$102</definedName>
    <definedName name="_xlnm.Print_Area" localSheetId="1">'WUTC_AW of Bellevue_SF'!$A$1:$P$65</definedName>
    <definedName name="_xlnm.Print_Area" localSheetId="0">'WUTC_LYNNWOOD_SF'!$A$1:$K$82</definedName>
    <definedName name="_xlnm.Print_Titles" localSheetId="5">'Single Family'!$A:$B,'Single 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Vander Zalm, Connor</author>
  </authors>
  <commentList>
    <comment ref="F37"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B8"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 ref="F33"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6.xml><?xml version="1.0" encoding="utf-8"?>
<comments xmlns="http://schemas.openxmlformats.org/spreadsheetml/2006/main">
  <authors>
    <author>Alex Brenner</author>
    <author>Vander Zalm, Connor</author>
  </authors>
  <commentList>
    <comment ref="A12" authorId="0">
      <text>
        <r>
          <rPr>
            <b/>
            <sz val="8"/>
            <rFont val="Tahoma"/>
            <family val="2"/>
          </rPr>
          <t>Alex Brenner:</t>
        </r>
        <r>
          <rPr>
            <sz val="8"/>
            <rFont val="Tahoma"/>
            <family val="2"/>
          </rPr>
          <t xml:space="preserve">
From 'ESMMYYTONS' Spreadsheet, 'Prices' tab (where MM=month, YY=Year)</t>
        </r>
      </text>
    </comment>
    <comment ref="A7" authorId="0">
      <text>
        <r>
          <rPr>
            <b/>
            <sz val="8"/>
            <rFont val="Tahoma"/>
            <family val="2"/>
          </rPr>
          <t>Alex Brenner:</t>
        </r>
        <r>
          <rPr>
            <sz val="8"/>
            <rFont val="Tahoma"/>
            <family val="2"/>
          </rPr>
          <t xml:space="preserve">
From 'ESMMYYTONS' spreadsheet, 'ESMMYYTONS' tab (where MM=month, YY=Year)</t>
        </r>
      </text>
    </comment>
    <comment ref="A68" authorId="0">
      <text>
        <r>
          <rPr>
            <b/>
            <sz val="8"/>
            <rFont val="Tahoma"/>
            <family val="2"/>
          </rPr>
          <t>Alex Brenner:</t>
        </r>
        <r>
          <rPr>
            <sz val="8"/>
            <rFont val="Tahoma"/>
            <family val="2"/>
          </rPr>
          <t xml:space="preserve">
From 'Commodity Prices MMYY' spreadsheet. There is a different spreadsheet for each month</t>
        </r>
      </text>
    </comment>
    <comment ref="C7"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sharedStrings.xml><?xml version="1.0" encoding="utf-8"?>
<sst xmlns="http://schemas.openxmlformats.org/spreadsheetml/2006/main" count="234" uniqueCount="99">
  <si>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</si>
  <si>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</si>
  <si>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</si>
  <si>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</si>
  <si>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</si>
  <si>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</si>
  <si>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</si>
  <si>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</si>
  <si>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</si>
  <si>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</si>
  <si>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</si>
  <si>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</si>
  <si>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</si>
  <si>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</si>
  <si>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</si>
  <si>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</si>
  <si>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</si>
  <si>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</si>
  <si>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</si>
  <si>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</si>
  <si>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</si>
  <si>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</si>
  <si>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</si>
  <si>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Tin/Iron</t>
  </si>
  <si>
    <t>ONP</t>
  </si>
  <si>
    <t>MWP</t>
  </si>
  <si>
    <t>Pet</t>
  </si>
  <si>
    <t>HDPE</t>
  </si>
  <si>
    <t>OCC</t>
  </si>
  <si>
    <t>Other</t>
  </si>
  <si>
    <t>Total</t>
  </si>
  <si>
    <t xml:space="preserve"> </t>
  </si>
  <si>
    <t xml:space="preserve">Total </t>
  </si>
  <si>
    <t>Glass (Cont)</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</si>
  <si>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</si>
  <si>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</si>
  <si>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</si>
  <si>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</si>
  <si>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</si>
  <si>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</si>
  <si>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</si>
  <si>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</si>
  <si>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</si>
  <si>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</si>
  <si>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</si>
  <si>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</si>
  <si>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Commodity Value Timeframe:  October - September</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</si>
  <si>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</si>
  <si>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</si>
  <si>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</si>
  <si>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</si>
  <si>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</si>
  <si>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</si>
  <si>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</si>
  <si>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</si>
  <si>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</si>
  <si>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</si>
  <si>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</si>
  <si>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</si>
  <si>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</si>
  <si>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</si>
  <si>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</si>
  <si>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</si>
  <si>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</si>
  <si>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</si>
  <si>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</si>
  <si>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</si>
  <si>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</si>
  <si>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</si>
  <si>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</si>
  <si>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</si>
  <si>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</si>
  <si>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</si>
  <si>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</si>
  <si>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</si>
  <si>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</si>
  <si>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</si>
  <si>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</si>
  <si>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</si>
  <si>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 xml:space="preserve">12 month running average "BASE CREDIT" </t>
  </si>
  <si>
    <t>East Side</t>
  </si>
  <si>
    <t>2008/2009 Monthly True-up Charge</t>
  </si>
  <si>
    <t>70% of per Ton Value</t>
  </si>
  <si>
    <t>Rabanco Ltd (dba Allied Waste of Bellevue)</t>
  </si>
  <si>
    <t>Total Additional Passback</t>
  </si>
  <si>
    <t>Single-Family Additional Credit</t>
  </si>
  <si>
    <t>TG-12______</t>
  </si>
  <si>
    <t>For use in Budget Calculation</t>
  </si>
  <si>
    <t>Total Trailing 12 Mo. Commodity Value / Customer</t>
  </si>
  <si>
    <t>Most recent Total # of Customers</t>
  </si>
  <si>
    <t>Base Credit to be Passed Back</t>
  </si>
  <si>
    <t>Budget total Revenue</t>
  </si>
  <si>
    <t>Budget Revenue Passed Back</t>
  </si>
  <si>
    <t>% of Revenue Passed Back</t>
  </si>
  <si>
    <t>Prior Plan Part B Total</t>
  </si>
  <si>
    <t>Current Plan Part A Total</t>
  </si>
  <si>
    <t>% Passed Back</t>
  </si>
  <si>
    <t>Retained</t>
  </si>
  <si>
    <t>Check and change values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</si>
</sst>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_(&quot;$&quot;* #,##0_);_(&quot;$&quot;* \(#,##0\);_(&quot;$&quot;* &quot;-&quot;??_);_(@_)"/>
    <numFmt numFmtId="173" formatCode="mmmm\-yy"/>
    <numFmt numFmtId="174" formatCode="_(* #,##0.000_);_(* \(#,##0.000\);_(* &quot;-&quot;???_);_(@_)"/>
    <numFmt numFmtId="175" formatCode="_(&quot;$&quot;* #,##0.0_);_(&quot;$&quot;* \(#,##0.0\);_(&quot;$&quot;* &quot;-&quot;??_);_(@_)"/>
    <numFmt numFmtId="176" formatCode="_(* #,##0.0000_);_(* \(#,##0.0000\);_(* &quot;-&quot;_);_(@_)"/>
  </numFmts>
  <fonts count="55">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6"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3">
    <xf numFmtId="0" fontId="0" fillId="0" borderId="0" xfId="0" applyAlignment="1">
      <alignment/>
    </xf>
    <xf numFmtId="0" fontId="1" fillId="0" borderId="0" xfId="58" applyFont="1">
      <alignment/>
      <protection/>
    </xf>
    <xf numFmtId="0" fontId="7" fillId="0" borderId="0" xfId="58" applyFont="1">
      <alignment/>
      <protection/>
    </xf>
    <xf numFmtId="0" fontId="7" fillId="0" borderId="0" xfId="58" applyFont="1" applyAlignment="1">
      <alignment horizontal="center"/>
      <protection/>
    </xf>
    <xf numFmtId="0" fontId="8" fillId="0" borderId="0" xfId="58" applyFont="1" applyAlignment="1">
      <alignment horizontal="center"/>
      <protection/>
    </xf>
    <xf numFmtId="0" fontId="6" fillId="0" borderId="0" xfId="58">
      <alignment/>
      <protection/>
    </xf>
    <xf numFmtId="0" fontId="9" fillId="0" borderId="0" xfId="58" applyFont="1">
      <alignment/>
      <protection/>
    </xf>
    <xf numFmtId="14" fontId="7" fillId="0" borderId="0" xfId="58" applyNumberFormat="1" applyFont="1" applyAlignment="1">
      <alignment horizontal="center"/>
      <protection/>
    </xf>
    <xf numFmtId="0" fontId="10" fillId="0" borderId="0" xfId="58" applyFont="1">
      <alignment/>
      <protection/>
    </xf>
    <xf numFmtId="0" fontId="11" fillId="0" borderId="0" xfId="58" applyFont="1">
      <alignment/>
      <protection/>
    </xf>
    <xf numFmtId="0" fontId="11" fillId="0" borderId="0" xfId="58" applyFont="1" applyAlignment="1">
      <alignment horizontal="center"/>
      <protection/>
    </xf>
    <xf numFmtId="0" fontId="9" fillId="0" borderId="0" xfId="58" applyFont="1" applyAlignment="1">
      <alignment horizontal="center"/>
      <protection/>
    </xf>
    <xf numFmtId="167" fontId="9" fillId="0" borderId="0" xfId="58" applyNumberFormat="1" applyFont="1" applyAlignment="1">
      <alignment horizontal="center"/>
      <protection/>
    </xf>
    <xf numFmtId="1" fontId="7" fillId="0" borderId="0" xfId="58" applyNumberFormat="1" applyFont="1">
      <alignment/>
      <protection/>
    </xf>
    <xf numFmtId="41" fontId="7" fillId="0" borderId="0" xfId="58" applyNumberFormat="1" applyFont="1">
      <alignment/>
      <protection/>
    </xf>
    <xf numFmtId="167" fontId="9" fillId="0" borderId="0" xfId="58" applyNumberFormat="1" applyFont="1">
      <alignment/>
      <protection/>
    </xf>
    <xf numFmtId="167" fontId="7" fillId="0" borderId="0" xfId="58" applyNumberFormat="1" applyFont="1">
      <alignment/>
      <protection/>
    </xf>
    <xf numFmtId="169" fontId="7" fillId="0" borderId="0" xfId="58" applyNumberFormat="1" applyFont="1" applyAlignment="1">
      <alignment horizontal="right"/>
      <protection/>
    </xf>
    <xf numFmtId="167" fontId="7" fillId="0" borderId="0" xfId="58" applyNumberFormat="1" applyFont="1" applyFill="1" applyAlignment="1">
      <alignment horizontal="center"/>
      <protection/>
    </xf>
    <xf numFmtId="41" fontId="12" fillId="0" borderId="0" xfId="58" applyNumberFormat="1" applyFont="1">
      <alignment/>
      <protection/>
    </xf>
    <xf numFmtId="41" fontId="13" fillId="0" borderId="0" xfId="58" applyNumberFormat="1" applyFont="1" applyAlignment="1">
      <alignment horizontal="left"/>
      <protection/>
    </xf>
    <xf numFmtId="41" fontId="7" fillId="0" borderId="10" xfId="58" applyNumberFormat="1" applyFont="1" applyBorder="1">
      <alignment/>
      <protection/>
    </xf>
    <xf numFmtId="167" fontId="7" fillId="0" borderId="10" xfId="58" applyNumberFormat="1" applyFont="1" applyBorder="1">
      <alignment/>
      <protection/>
    </xf>
    <xf numFmtId="168" fontId="7" fillId="0" borderId="0" xfId="58" applyNumberFormat="1" applyFont="1">
      <alignment/>
      <protection/>
    </xf>
    <xf numFmtId="17" fontId="7" fillId="0" borderId="0" xfId="58" applyNumberFormat="1" applyFont="1" applyAlignment="1">
      <alignment horizontal="right"/>
      <protection/>
    </xf>
    <xf numFmtId="167" fontId="6" fillId="0" borderId="0" xfId="58" applyNumberFormat="1">
      <alignment/>
      <protection/>
    </xf>
    <xf numFmtId="169" fontId="7" fillId="0" borderId="0" xfId="58" applyNumberFormat="1" applyFont="1">
      <alignment/>
      <protection/>
    </xf>
    <xf numFmtId="41" fontId="7" fillId="0" borderId="11" xfId="58" applyNumberFormat="1" applyFont="1" applyBorder="1">
      <alignment/>
      <protection/>
    </xf>
    <xf numFmtId="167" fontId="7" fillId="0" borderId="11" xfId="58" applyNumberFormat="1" applyFont="1" applyBorder="1">
      <alignment/>
      <protection/>
    </xf>
    <xf numFmtId="41" fontId="9" fillId="0" borderId="12" xfId="58" applyNumberFormat="1" applyFont="1" applyBorder="1">
      <alignment/>
      <protection/>
    </xf>
    <xf numFmtId="41" fontId="7" fillId="0" borderId="12" xfId="58" applyNumberFormat="1" applyFont="1" applyBorder="1">
      <alignment/>
      <protection/>
    </xf>
    <xf numFmtId="41" fontId="10" fillId="0" borderId="0" xfId="58" applyNumberFormat="1" applyFont="1">
      <alignment/>
      <protection/>
    </xf>
    <xf numFmtId="41" fontId="7" fillId="0" borderId="0" xfId="58" applyNumberFormat="1" applyFont="1" applyAlignment="1">
      <alignment horizontal="right"/>
      <protection/>
    </xf>
    <xf numFmtId="1" fontId="10" fillId="0" borderId="0" xfId="58" applyNumberFormat="1" applyFont="1">
      <alignment/>
      <protection/>
    </xf>
    <xf numFmtId="168" fontId="12" fillId="0" borderId="0" xfId="58" applyNumberFormat="1" applyFont="1">
      <alignment/>
      <protection/>
    </xf>
    <xf numFmtId="41" fontId="7" fillId="0" borderId="0" xfId="58" applyNumberFormat="1" applyFont="1" applyBorder="1">
      <alignment/>
      <protection/>
    </xf>
    <xf numFmtId="41" fontId="7" fillId="0" borderId="13" xfId="58" applyNumberFormat="1" applyFont="1" applyBorder="1">
      <alignment/>
      <protection/>
    </xf>
    <xf numFmtId="41" fontId="7" fillId="0" borderId="14" xfId="58" applyNumberFormat="1" applyFont="1" applyBorder="1">
      <alignment/>
      <protection/>
    </xf>
    <xf numFmtId="41" fontId="7" fillId="0" borderId="15" xfId="58" applyNumberFormat="1" applyFont="1" applyBorder="1">
      <alignment/>
      <protection/>
    </xf>
    <xf numFmtId="168" fontId="7" fillId="0" borderId="11" xfId="58" applyNumberFormat="1" applyFont="1" applyBorder="1">
      <alignment/>
      <protection/>
    </xf>
    <xf numFmtId="168" fontId="7" fillId="0" borderId="15" xfId="58" applyNumberFormat="1" applyFont="1" applyBorder="1">
      <alignment/>
      <protection/>
    </xf>
    <xf numFmtId="167" fontId="7" fillId="0" borderId="0" xfId="58" applyNumberFormat="1" applyFont="1" applyFill="1" applyBorder="1">
      <alignment/>
      <protection/>
    </xf>
    <xf numFmtId="167" fontId="14" fillId="0" borderId="0" xfId="58" applyNumberFormat="1" applyFont="1" applyFill="1" applyBorder="1" applyAlignment="1">
      <alignment horizontal="centerContinuous"/>
      <protection/>
    </xf>
    <xf numFmtId="167" fontId="7" fillId="0" borderId="0" xfId="58" applyNumberFormat="1" applyFont="1" applyFill="1" applyBorder="1" applyAlignment="1">
      <alignment horizontal="centerContinuous"/>
      <protection/>
    </xf>
    <xf numFmtId="167" fontId="7" fillId="0" borderId="0" xfId="58" applyNumberFormat="1" applyFont="1" applyAlignment="1">
      <alignment horizontal="centerContinuous"/>
      <protection/>
    </xf>
    <xf numFmtId="169" fontId="7" fillId="0" borderId="0" xfId="58" applyNumberFormat="1" applyFont="1" applyFill="1" applyBorder="1" applyAlignment="1">
      <alignment horizontal="right"/>
      <protection/>
    </xf>
    <xf numFmtId="41" fontId="12" fillId="0" borderId="0" xfId="58" applyNumberFormat="1" applyFont="1" applyFill="1" applyBorder="1" applyAlignment="1">
      <alignment horizontal="center"/>
      <protection/>
    </xf>
    <xf numFmtId="167" fontId="7" fillId="0" borderId="0" xfId="58" applyNumberFormat="1" applyFont="1" applyFill="1" applyBorder="1" applyAlignment="1">
      <alignment horizontal="center"/>
      <protection/>
    </xf>
    <xf numFmtId="41" fontId="13" fillId="0" borderId="0" xfId="58" applyNumberFormat="1" applyFont="1" applyFill="1" applyBorder="1" applyAlignment="1">
      <alignment horizontal="left"/>
      <protection/>
    </xf>
    <xf numFmtId="41" fontId="7" fillId="0" borderId="0" xfId="58" applyNumberFormat="1" applyFont="1" applyFill="1" applyBorder="1">
      <alignment/>
      <protection/>
    </xf>
    <xf numFmtId="41" fontId="12" fillId="0" borderId="0" xfId="58" applyNumberFormat="1" applyFont="1" applyFill="1" applyBorder="1">
      <alignment/>
      <protection/>
    </xf>
    <xf numFmtId="1" fontId="7" fillId="0" borderId="0" xfId="58" applyNumberFormat="1" applyFont="1" applyFill="1" applyBorder="1">
      <alignment/>
      <protection/>
    </xf>
    <xf numFmtId="0" fontId="6" fillId="0" borderId="0" xfId="58" applyFill="1" applyBorder="1">
      <alignment/>
      <protection/>
    </xf>
    <xf numFmtId="167" fontId="6" fillId="0" borderId="0" xfId="58" applyNumberFormat="1" applyFill="1" applyBorder="1">
      <alignment/>
      <protection/>
    </xf>
    <xf numFmtId="169" fontId="7" fillId="0" borderId="0" xfId="58" applyNumberFormat="1" applyFont="1" applyFill="1" applyBorder="1">
      <alignment/>
      <protection/>
    </xf>
    <xf numFmtId="168" fontId="7" fillId="0" borderId="0" xfId="58" applyNumberFormat="1" applyFont="1" applyFill="1" applyBorder="1">
      <alignment/>
      <protection/>
    </xf>
    <xf numFmtId="167" fontId="7" fillId="0" borderId="13" xfId="58" applyNumberFormat="1" applyFont="1" applyBorder="1">
      <alignment/>
      <protection/>
    </xf>
    <xf numFmtId="167" fontId="7" fillId="0" borderId="15" xfId="58" applyNumberFormat="1" applyFont="1" applyBorder="1">
      <alignment/>
      <protection/>
    </xf>
    <xf numFmtId="2" fontId="6" fillId="0" borderId="0" xfId="58"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70"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40" fontId="7" fillId="0" borderId="0" xfId="0" applyNumberFormat="1" applyFont="1" applyAlignment="1">
      <alignment/>
    </xf>
    <xf numFmtId="43" fontId="7" fillId="0" borderId="0" xfId="42" applyFont="1" applyAlignment="1">
      <alignment/>
    </xf>
    <xf numFmtId="173" fontId="7" fillId="0" borderId="0" xfId="58" applyNumberFormat="1" applyFont="1" applyAlignment="1">
      <alignment horizontal="right"/>
      <protection/>
    </xf>
    <xf numFmtId="169" fontId="7" fillId="0" borderId="0" xfId="58" applyNumberFormat="1" applyFont="1" applyAlignment="1">
      <alignment horizontal="right" wrapText="1"/>
      <protection/>
    </xf>
    <xf numFmtId="17" fontId="7" fillId="0" borderId="0" xfId="58" applyNumberFormat="1" applyFont="1" applyFill="1" applyBorder="1" applyAlignment="1">
      <alignment horizontal="right"/>
      <protection/>
    </xf>
    <xf numFmtId="169" fontId="7" fillId="0" borderId="0" xfId="58" applyNumberFormat="1" applyFont="1" applyFill="1" applyBorder="1" applyAlignment="1">
      <alignment horizontal="right" wrapText="1"/>
      <protection/>
    </xf>
    <xf numFmtId="164" fontId="0" fillId="0" borderId="0" xfId="42" applyNumberFormat="1" applyFont="1" applyAlignment="1">
      <alignment/>
    </xf>
    <xf numFmtId="171" fontId="0" fillId="0" borderId="0" xfId="0" applyNumberFormat="1" applyAlignment="1">
      <alignment/>
    </xf>
    <xf numFmtId="166" fontId="0" fillId="0" borderId="0" xfId="61"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1"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1" applyNumberFormat="1" applyFont="1" applyAlignment="1">
      <alignment/>
    </xf>
    <xf numFmtId="10" fontId="9" fillId="33" borderId="0" xfId="61" applyNumberFormat="1" applyFont="1" applyFill="1" applyAlignment="1">
      <alignment/>
    </xf>
    <xf numFmtId="9" fontId="7" fillId="0" borderId="0" xfId="61"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 fontId="7" fillId="0" borderId="0" xfId="0" applyNumberFormat="1" applyFont="1" applyAlignment="1" quotePrefix="1">
      <alignment/>
    </xf>
    <xf numFmtId="40" fontId="7" fillId="0" borderId="0" xfId="0" applyNumberFormat="1" applyFont="1" applyAlignment="1" quotePrefix="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41" fontId="12" fillId="0" borderId="0" xfId="58" applyNumberFormat="1" applyFont="1" applyAlignment="1">
      <alignment horizontal="center"/>
      <protection/>
    </xf>
    <xf numFmtId="167" fontId="7" fillId="0" borderId="0" xfId="58" applyNumberFormat="1" applyFont="1" applyBorder="1">
      <alignment/>
      <protection/>
    </xf>
    <xf numFmtId="167" fontId="7" fillId="0" borderId="0" xfId="58" applyNumberFormat="1" applyFont="1" applyAlignment="1">
      <alignment horizontal="center"/>
      <protection/>
    </xf>
    <xf numFmtId="167" fontId="12" fillId="0" borderId="0" xfId="58" applyNumberFormat="1" applyFont="1" applyFill="1" applyAlignment="1">
      <alignment horizontal="center"/>
      <protection/>
    </xf>
    <xf numFmtId="169" fontId="7" fillId="0" borderId="0" xfId="58" applyNumberFormat="1" applyFont="1" applyBorder="1" applyAlignment="1">
      <alignment horizontal="right"/>
      <protection/>
    </xf>
    <xf numFmtId="41" fontId="12" fillId="0" borderId="0" xfId="58" applyNumberFormat="1" applyFont="1" applyBorder="1">
      <alignment/>
      <protection/>
    </xf>
    <xf numFmtId="41" fontId="13" fillId="0" borderId="0" xfId="58" applyNumberFormat="1" applyFont="1" applyBorder="1" applyAlignment="1">
      <alignment horizontal="left"/>
      <protection/>
    </xf>
    <xf numFmtId="1" fontId="7" fillId="0" borderId="0" xfId="58" applyNumberFormat="1" applyFont="1" applyBorder="1">
      <alignment/>
      <protection/>
    </xf>
    <xf numFmtId="0" fontId="6" fillId="0" borderId="0" xfId="58" applyBorder="1">
      <alignment/>
      <protection/>
    </xf>
    <xf numFmtId="167" fontId="6" fillId="0" borderId="0" xfId="58" applyNumberFormat="1" applyBorder="1">
      <alignment/>
      <protection/>
    </xf>
    <xf numFmtId="169" fontId="7" fillId="0" borderId="0" xfId="58" applyNumberFormat="1" applyFont="1" applyBorder="1">
      <alignment/>
      <protection/>
    </xf>
    <xf numFmtId="168" fontId="7" fillId="0" borderId="0" xfId="58" applyNumberFormat="1" applyFont="1" applyBorder="1">
      <alignment/>
      <protection/>
    </xf>
    <xf numFmtId="10" fontId="7" fillId="34" borderId="0" xfId="0" applyNumberFormat="1" applyFont="1" applyFill="1" applyAlignment="1">
      <alignment/>
    </xf>
    <xf numFmtId="10" fontId="7" fillId="34" borderId="0" xfId="61" applyNumberFormat="1" applyFont="1" applyFill="1" applyAlignment="1">
      <alignment/>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44" fontId="7" fillId="34" borderId="16" xfId="44" applyFont="1" applyFill="1" applyBorder="1" applyAlignment="1">
      <alignment/>
    </xf>
    <xf numFmtId="169" fontId="7" fillId="0" borderId="0" xfId="58" applyNumberFormat="1" applyFont="1" applyFill="1" applyAlignment="1">
      <alignment horizontal="right"/>
      <protection/>
    </xf>
    <xf numFmtId="17" fontId="7" fillId="0" borderId="0" xfId="0" applyNumberFormat="1" applyFont="1" applyFill="1" applyAlignment="1">
      <alignment/>
    </xf>
    <xf numFmtId="40" fontId="9" fillId="0" borderId="0" xfId="0" applyNumberFormat="1" applyFont="1" applyAlignment="1">
      <alignment/>
    </xf>
    <xf numFmtId="4" fontId="7" fillId="0" borderId="10" xfId="0" applyNumberFormat="1" applyFont="1" applyBorder="1" applyAlignment="1">
      <alignment/>
    </xf>
    <xf numFmtId="40" fontId="7" fillId="0" borderId="10" xfId="0" applyNumberFormat="1" applyFont="1" applyBorder="1" applyAlignment="1">
      <alignment/>
    </xf>
    <xf numFmtId="4" fontId="9" fillId="0" borderId="10" xfId="0" applyNumberFormat="1" applyFont="1" applyBorder="1" applyAlignment="1">
      <alignment/>
    </xf>
    <xf numFmtId="43" fontId="7" fillId="0" borderId="10" xfId="42" applyNumberFormat="1" applyFont="1" applyBorder="1" applyAlignment="1">
      <alignment/>
    </xf>
    <xf numFmtId="43" fontId="9" fillId="0" borderId="0" xfId="42" applyFont="1" applyAlignment="1">
      <alignment/>
    </xf>
    <xf numFmtId="43" fontId="7" fillId="0" borderId="10" xfId="42" applyFont="1" applyBorder="1" applyAlignment="1">
      <alignment/>
    </xf>
    <xf numFmtId="43" fontId="9" fillId="0" borderId="10" xfId="42" applyFont="1" applyBorder="1" applyAlignment="1">
      <alignment/>
    </xf>
    <xf numFmtId="167" fontId="7" fillId="0" borderId="0" xfId="58" applyNumberFormat="1" applyFont="1" applyAlignment="1">
      <alignment horizontal="right"/>
      <protection/>
    </xf>
    <xf numFmtId="165" fontId="1" fillId="0" borderId="0" xfId="61" applyNumberFormat="1" applyFont="1" applyAlignment="1">
      <alignment/>
    </xf>
    <xf numFmtId="0" fontId="17" fillId="0" borderId="17" xfId="58" applyFont="1" applyBorder="1" applyAlignment="1">
      <alignment horizontal="center"/>
      <protection/>
    </xf>
    <xf numFmtId="0" fontId="7" fillId="0" borderId="0" xfId="58" applyFont="1" applyBorder="1">
      <alignment/>
      <protection/>
    </xf>
    <xf numFmtId="167" fontId="17" fillId="0" borderId="18" xfId="58" applyNumberFormat="1" applyFont="1" applyBorder="1" applyAlignment="1">
      <alignment horizontal="center"/>
      <protection/>
    </xf>
    <xf numFmtId="167" fontId="18" fillId="0" borderId="18" xfId="58" applyNumberFormat="1" applyFont="1" applyFill="1" applyBorder="1" applyAlignment="1">
      <alignment horizontal="center"/>
      <protection/>
    </xf>
    <xf numFmtId="41" fontId="13" fillId="0" borderId="18" xfId="58" applyNumberFormat="1" applyFont="1" applyBorder="1">
      <alignment/>
      <protection/>
    </xf>
    <xf numFmtId="167" fontId="9" fillId="0" borderId="0" xfId="58" applyNumberFormat="1" applyFont="1" applyBorder="1">
      <alignment/>
      <protection/>
    </xf>
    <xf numFmtId="168" fontId="9" fillId="0" borderId="18" xfId="58" applyNumberFormat="1" applyFont="1" applyBorder="1">
      <alignment/>
      <protection/>
    </xf>
    <xf numFmtId="41" fontId="7" fillId="0" borderId="19" xfId="58" applyNumberFormat="1" applyFont="1" applyBorder="1">
      <alignment/>
      <protection/>
    </xf>
    <xf numFmtId="165" fontId="7" fillId="0" borderId="0" xfId="61" applyNumberFormat="1" applyFont="1" applyAlignment="1">
      <alignment/>
    </xf>
    <xf numFmtId="167" fontId="7" fillId="35" borderId="0" xfId="58" applyNumberFormat="1" applyFont="1" applyFill="1">
      <alignment/>
      <protection/>
    </xf>
    <xf numFmtId="9" fontId="7" fillId="35" borderId="16" xfId="61" applyFont="1" applyFill="1" applyBorder="1" applyAlignment="1">
      <alignment/>
    </xf>
    <xf numFmtId="168" fontId="7" fillId="36" borderId="11" xfId="58" applyNumberFormat="1" applyFont="1" applyFill="1" applyBorder="1">
      <alignment/>
      <protection/>
    </xf>
    <xf numFmtId="17" fontId="1" fillId="0" borderId="0" xfId="0" applyNumberFormat="1" applyFont="1" applyAlignment="1">
      <alignment horizontal="right"/>
    </xf>
    <xf numFmtId="165" fontId="0" fillId="0" borderId="0" xfId="61" applyNumberFormat="1" applyAlignment="1">
      <alignment horizontal="center"/>
    </xf>
    <xf numFmtId="4" fontId="7" fillId="32" borderId="7" xfId="59" applyNumberFormat="1" applyFont="1" applyAlignment="1">
      <alignment/>
    </xf>
    <xf numFmtId="164" fontId="0" fillId="0" borderId="0" xfId="42" applyNumberFormat="1" applyBorder="1" applyAlignment="1">
      <alignment/>
    </xf>
    <xf numFmtId="7" fontId="0" fillId="0" borderId="0" xfId="44" applyNumberFormat="1" applyBorder="1" applyAlignment="1">
      <alignment/>
    </xf>
    <xf numFmtId="44" fontId="0" fillId="0" borderId="0" xfId="44" applyAlignment="1">
      <alignment/>
    </xf>
    <xf numFmtId="44" fontId="7" fillId="34" borderId="16" xfId="44" applyFont="1" applyFill="1" applyBorder="1" applyAlignment="1">
      <alignment horizontal="center"/>
    </xf>
    <xf numFmtId="168" fontId="12" fillId="36" borderId="0" xfId="58" applyNumberFormat="1" applyFont="1" applyFill="1">
      <alignment/>
      <protection/>
    </xf>
    <xf numFmtId="44" fontId="7" fillId="0" borderId="0" xfId="44" applyNumberFormat="1" applyFont="1" applyAlignment="1">
      <alignment/>
    </xf>
    <xf numFmtId="7" fontId="0" fillId="0" borderId="0" xfId="46" applyNumberFormat="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98REC_CR"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32</xdr:row>
      <xdr:rowOff>114300</xdr:rowOff>
    </xdr:from>
    <xdr:to>
      <xdr:col>7</xdr:col>
      <xdr:colOff>28575</xdr:colOff>
      <xdr:row>34</xdr:row>
      <xdr:rowOff>123825</xdr:rowOff>
    </xdr:to>
    <xdr:sp>
      <xdr:nvSpPr>
        <xdr:cNvPr id="1" name="Straight Arrow Connector 2"/>
        <xdr:cNvSpPr>
          <a:spLocks/>
        </xdr:cNvSpPr>
      </xdr:nvSpPr>
      <xdr:spPr>
        <a:xfrm flipH="1" flipV="1">
          <a:off x="4295775" y="4838700"/>
          <a:ext cx="51435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47625</xdr:colOff>
      <xdr:row>35</xdr:row>
      <xdr:rowOff>76200</xdr:rowOff>
    </xdr:from>
    <xdr:to>
      <xdr:col>7</xdr:col>
      <xdr:colOff>9525</xdr:colOff>
      <xdr:row>36</xdr:row>
      <xdr:rowOff>76200</xdr:rowOff>
    </xdr:to>
    <xdr:sp>
      <xdr:nvSpPr>
        <xdr:cNvPr id="2" name="Straight Arrow Connector 4"/>
        <xdr:cNvSpPr>
          <a:spLocks/>
        </xdr:cNvSpPr>
      </xdr:nvSpPr>
      <xdr:spPr>
        <a:xfrm flipH="1">
          <a:off x="4248150" y="5229225"/>
          <a:ext cx="542925"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vision\Accounting\2012\WUTC%20Commodity%20Credit\Book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34</v>
      </c>
      <c r="B1" s="2"/>
      <c r="C1" s="2"/>
      <c r="D1" s="2"/>
      <c r="E1" s="2"/>
      <c r="F1" s="2"/>
      <c r="G1" s="3"/>
      <c r="H1" s="2"/>
      <c r="I1" s="2"/>
      <c r="J1" s="1" t="s">
        <v>35</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36</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6">
        <v>39264</v>
      </c>
      <c r="B8" s="19">
        <v>16678</v>
      </c>
      <c r="C8" s="20"/>
      <c r="D8" s="18">
        <v>35119.9</v>
      </c>
      <c r="E8" s="14"/>
      <c r="F8" s="16">
        <f>ROUND(D8/B8,2)</f>
        <v>2.11</v>
      </c>
      <c r="G8" s="14"/>
      <c r="H8" s="14"/>
      <c r="I8" s="14"/>
      <c r="J8" s="14">
        <f>+B8</f>
        <v>16678</v>
      </c>
      <c r="K8" s="13">
        <v>2007</v>
      </c>
    </row>
    <row r="9" spans="1:11" s="16" customFormat="1" ht="11.25">
      <c r="A9" s="76">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37</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7" t="s">
        <v>38</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39</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40</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108069</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
        <v>41</v>
      </c>
      <c r="C47" s="30"/>
      <c r="D47" s="30"/>
      <c r="E47" s="30"/>
      <c r="F47" s="30"/>
      <c r="G47" s="14"/>
      <c r="H47" s="14"/>
      <c r="I47" s="14"/>
      <c r="J47" s="14"/>
      <c r="K47" s="14"/>
    </row>
    <row r="48" spans="2:27" s="16" customFormat="1" ht="12"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
        <v>19</v>
      </c>
      <c r="C49" s="14"/>
      <c r="D49" s="14"/>
      <c r="E49" s="14"/>
      <c r="F49" s="14"/>
      <c r="G49" s="14"/>
      <c r="H49" s="14"/>
      <c r="I49" s="14"/>
      <c r="J49" s="14"/>
      <c r="K49" s="14"/>
    </row>
    <row r="50" spans="2:11" s="16" customFormat="1" ht="11.25">
      <c r="B50" s="14"/>
      <c r="C50" s="14"/>
      <c r="D50" s="14"/>
      <c r="E50" s="14"/>
      <c r="F50" s="32" t="s">
        <v>20</v>
      </c>
      <c r="G50" s="14">
        <f>+J26</f>
        <v>200360</v>
      </c>
      <c r="H50" s="20" t="s">
        <v>12</v>
      </c>
      <c r="I50" s="14"/>
      <c r="J50" s="14"/>
      <c r="K50" s="14"/>
    </row>
    <row r="51" spans="2:11" s="16" customFormat="1" ht="11.25">
      <c r="B51" s="14"/>
      <c r="C51" s="14"/>
      <c r="D51" s="14"/>
      <c r="E51" s="14"/>
      <c r="F51" s="32" t="s">
        <v>18</v>
      </c>
      <c r="G51" s="14">
        <f>+G44</f>
        <v>108069</v>
      </c>
      <c r="H51" s="14"/>
      <c r="I51" s="14"/>
      <c r="J51" s="14"/>
      <c r="K51" s="14"/>
    </row>
    <row r="52" spans="2:11" s="16" customFormat="1" ht="11.25">
      <c r="B52" s="14"/>
      <c r="C52" s="14"/>
      <c r="D52" s="14"/>
      <c r="E52" s="14"/>
      <c r="F52" s="32"/>
      <c r="G52" s="14"/>
      <c r="H52" s="14"/>
      <c r="I52" s="14"/>
      <c r="J52" s="14"/>
      <c r="K52" s="14"/>
    </row>
    <row r="53" spans="2:11" s="16" customFormat="1" ht="12" thickBot="1">
      <c r="B53" s="14"/>
      <c r="C53" s="14"/>
      <c r="D53" s="14"/>
      <c r="E53" s="14"/>
      <c r="F53" s="32" t="s">
        <v>42</v>
      </c>
      <c r="G53" s="39">
        <f>ROUND(G51/G50,3)</f>
        <v>0.539</v>
      </c>
      <c r="H53" s="14"/>
      <c r="I53" s="23">
        <f>+G53</f>
        <v>0.539</v>
      </c>
      <c r="J53" s="14"/>
      <c r="K53" s="14"/>
    </row>
    <row r="54" spans="2:25" s="16" customFormat="1" ht="12" thickTop="1">
      <c r="B54" s="14"/>
      <c r="C54" s="14"/>
      <c r="D54" s="14"/>
      <c r="E54" s="14"/>
      <c r="F54" s="32"/>
      <c r="G54" s="14"/>
      <c r="H54" s="14"/>
      <c r="I54" s="23"/>
      <c r="J54" s="14"/>
      <c r="K54" s="14"/>
      <c r="Y54" s="14"/>
    </row>
    <row r="55" spans="2:11" s="16" customFormat="1" ht="11.25">
      <c r="B55" s="14" t="s">
        <v>44</v>
      </c>
      <c r="C55" s="14"/>
      <c r="D55" s="14"/>
      <c r="E55" s="14"/>
      <c r="F55" s="32"/>
      <c r="G55" s="14"/>
      <c r="H55" s="14"/>
      <c r="I55" s="23"/>
      <c r="J55" s="14"/>
      <c r="K55" s="14"/>
    </row>
    <row r="56" spans="2:11" s="16" customFormat="1" ht="12" thickBot="1">
      <c r="B56" s="31"/>
      <c r="C56" s="14"/>
      <c r="D56" s="14"/>
      <c r="E56" s="14"/>
      <c r="F56" s="32" t="s">
        <v>43</v>
      </c>
      <c r="G56" s="40">
        <f>+F26</f>
        <v>2.313</v>
      </c>
      <c r="H56" s="14"/>
      <c r="I56" s="23">
        <f>+G56</f>
        <v>2.313</v>
      </c>
      <c r="J56" s="20" t="s">
        <v>11</v>
      </c>
      <c r="K56" s="14"/>
    </row>
    <row r="57" spans="2:25" s="14" customFormat="1" ht="12" thickTop="1">
      <c r="B57" s="31"/>
      <c r="I57" s="23"/>
      <c r="X57" s="16"/>
      <c r="Y57" s="16"/>
    </row>
    <row r="58" spans="2:11" s="16" customFormat="1" ht="12" thickBot="1">
      <c r="B58" s="14"/>
      <c r="C58" s="14"/>
      <c r="D58" s="14"/>
      <c r="E58" s="14"/>
      <c r="F58" s="14"/>
      <c r="G58" s="32" t="s">
        <v>45</v>
      </c>
      <c r="H58" s="27"/>
      <c r="I58" s="39">
        <f>+I53+I56</f>
        <v>2.8520000000000003</v>
      </c>
      <c r="J58" s="14"/>
      <c r="K58" s="14"/>
    </row>
    <row r="59" s="16" customFormat="1" ht="12" thickTop="1">
      <c r="I59" s="23"/>
    </row>
    <row r="60" s="16" customFormat="1" ht="11.25"/>
    <row r="61" s="16" customFormat="1" ht="11.25"/>
    <row r="62" spans="1:6" s="16" customFormat="1" ht="11.25">
      <c r="A62" s="41"/>
      <c r="B62" s="41"/>
      <c r="C62" s="41"/>
      <c r="D62" s="41"/>
      <c r="E62" s="41"/>
      <c r="F62" s="41"/>
    </row>
    <row r="63" spans="1:25" s="16" customFormat="1" ht="18.75">
      <c r="A63" s="42"/>
      <c r="B63" s="43"/>
      <c r="C63" s="43"/>
      <c r="D63" s="43"/>
      <c r="E63" s="42"/>
      <c r="F63" s="43"/>
      <c r="G63" s="44"/>
      <c r="H63" s="44"/>
      <c r="I63" s="44"/>
      <c r="J63" s="44"/>
      <c r="K63" s="44"/>
      <c r="Y63" s="14"/>
    </row>
    <row r="64" spans="1:6" s="16" customFormat="1" ht="11.25">
      <c r="A64" s="78"/>
      <c r="B64" s="46"/>
      <c r="C64" s="48"/>
      <c r="D64" s="47"/>
      <c r="E64" s="41"/>
      <c r="F64" s="41"/>
    </row>
    <row r="65" spans="1:6" s="16" customFormat="1" ht="11.25">
      <c r="A65" s="78"/>
      <c r="B65" s="46"/>
      <c r="C65" s="49"/>
      <c r="D65" s="47"/>
      <c r="E65" s="41"/>
      <c r="F65" s="41"/>
    </row>
    <row r="66" spans="1:25" s="14" customFormat="1" ht="11.25">
      <c r="A66" s="78"/>
      <c r="B66" s="49"/>
      <c r="C66" s="49"/>
      <c r="D66" s="41"/>
      <c r="E66" s="49"/>
      <c r="F66" s="41"/>
      <c r="X66" s="16"/>
      <c r="Y66" s="16"/>
    </row>
    <row r="67" spans="1:6" s="16" customFormat="1" ht="11.25">
      <c r="A67" s="78"/>
      <c r="B67" s="49"/>
      <c r="C67" s="48"/>
      <c r="D67" s="41"/>
      <c r="E67" s="41"/>
      <c r="F67" s="41"/>
    </row>
    <row r="68" spans="1:6" s="16" customFormat="1" ht="11.25">
      <c r="A68" s="78"/>
      <c r="B68" s="49"/>
      <c r="C68" s="49"/>
      <c r="D68" s="41"/>
      <c r="E68" s="41"/>
      <c r="F68" s="41"/>
    </row>
    <row r="69" spans="1:6" s="16" customFormat="1" ht="11.25">
      <c r="A69" s="78"/>
      <c r="B69" s="50"/>
      <c r="C69" s="49"/>
      <c r="D69" s="41"/>
      <c r="E69" s="41"/>
      <c r="F69" s="41"/>
    </row>
    <row r="70" spans="1:6" s="16" customFormat="1" ht="11.25">
      <c r="A70" s="78"/>
      <c r="B70" s="50"/>
      <c r="C70" s="49"/>
      <c r="D70" s="41"/>
      <c r="E70" s="41"/>
      <c r="F70" s="41"/>
    </row>
    <row r="71" spans="1:6" s="16" customFormat="1" ht="11.25">
      <c r="A71" s="78"/>
      <c r="B71" s="50"/>
      <c r="C71" s="49"/>
      <c r="D71" s="41"/>
      <c r="E71" s="41"/>
      <c r="F71" s="41"/>
    </row>
    <row r="72" spans="1:6" s="16" customFormat="1" ht="11.25">
      <c r="A72" s="78"/>
      <c r="B72" s="50"/>
      <c r="C72" s="49"/>
      <c r="D72" s="41"/>
      <c r="E72" s="41"/>
      <c r="F72" s="41"/>
    </row>
    <row r="73" spans="1:25" s="16" customFormat="1" ht="11.25">
      <c r="A73" s="78"/>
      <c r="B73" s="50"/>
      <c r="C73" s="49"/>
      <c r="D73" s="41"/>
      <c r="E73" s="41"/>
      <c r="F73" s="41"/>
      <c r="Y73" s="14"/>
    </row>
    <row r="74" spans="1:6" s="16" customFormat="1" ht="11.25">
      <c r="A74" s="78"/>
      <c r="B74" s="50"/>
      <c r="C74" s="49"/>
      <c r="D74" s="41"/>
      <c r="E74" s="41"/>
      <c r="F74" s="41"/>
    </row>
    <row r="75" spans="1:6" s="16" customFormat="1" ht="11.25">
      <c r="A75" s="78"/>
      <c r="B75" s="50"/>
      <c r="C75" s="49"/>
      <c r="D75" s="41"/>
      <c r="E75" s="41"/>
      <c r="F75" s="41"/>
    </row>
    <row r="76" spans="1:6" s="16" customFormat="1" ht="11.25">
      <c r="A76" s="78"/>
      <c r="B76" s="50"/>
      <c r="C76" s="49"/>
      <c r="D76" s="41"/>
      <c r="E76" s="41"/>
      <c r="F76" s="41"/>
    </row>
    <row r="77" spans="1:27" s="16" customFormat="1" ht="11.25">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11.25">
      <c r="A78" s="78"/>
      <c r="B78" s="50"/>
      <c r="C78" s="49"/>
      <c r="D78" s="41"/>
      <c r="E78" s="41"/>
      <c r="F78" s="41"/>
    </row>
    <row r="79" spans="1:6" s="16" customFormat="1" ht="11.25">
      <c r="A79" s="45"/>
      <c r="B79" s="49"/>
      <c r="C79" s="49"/>
      <c r="D79" s="41"/>
      <c r="E79" s="41"/>
      <c r="F79" s="41"/>
    </row>
    <row r="80" spans="1:6" s="16" customFormat="1" ht="11.25">
      <c r="A80" s="79"/>
      <c r="B80" s="49"/>
      <c r="C80" s="48"/>
      <c r="D80" s="41"/>
      <c r="E80" s="41"/>
      <c r="F80" s="41"/>
    </row>
    <row r="81" spans="1:6" s="16" customFormat="1" ht="12.75">
      <c r="A81" s="52"/>
      <c r="B81" s="52"/>
      <c r="C81" s="52"/>
      <c r="D81" s="53"/>
      <c r="E81" s="41"/>
      <c r="F81" s="52"/>
    </row>
    <row r="82" spans="1:25" s="16" customFormat="1" ht="11.25">
      <c r="A82" s="54"/>
      <c r="B82" s="49"/>
      <c r="C82" s="48"/>
      <c r="D82" s="41"/>
      <c r="E82" s="41"/>
      <c r="F82" s="55"/>
      <c r="Y82" s="14"/>
    </row>
    <row r="83" s="16" customFormat="1" ht="11.25"/>
    <row r="84" s="16" customFormat="1" ht="11.25"/>
    <row r="85" s="16" customFormat="1" ht="11.25"/>
    <row r="86" s="16" customFormat="1" ht="11.25">
      <c r="B86" s="8"/>
    </row>
    <row r="87" spans="2:25" s="14" customFormat="1" ht="11.25">
      <c r="B87" s="31"/>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56"/>
      <c r="I101" s="56"/>
      <c r="J101" s="56"/>
      <c r="L101" s="56"/>
      <c r="M101" s="56"/>
      <c r="N101" s="56"/>
      <c r="O101" s="56"/>
      <c r="P101" s="56"/>
      <c r="Q101" s="56"/>
      <c r="R101" s="56"/>
      <c r="S101" s="56"/>
      <c r="T101" s="56"/>
      <c r="U101" s="56"/>
      <c r="V101" s="56"/>
      <c r="W101" s="56"/>
      <c r="X101" s="56"/>
      <c r="Y101" s="56"/>
      <c r="AA101" s="5"/>
    </row>
    <row r="102" s="16" customFormat="1" ht="12.75">
      <c r="AA102" s="5"/>
    </row>
    <row r="103" spans="7:27" s="16" customFormat="1" ht="13.5" thickBot="1">
      <c r="G103" s="57"/>
      <c r="I103" s="57"/>
      <c r="J103" s="57"/>
      <c r="L103" s="57"/>
      <c r="M103" s="57"/>
      <c r="N103" s="57"/>
      <c r="O103" s="57"/>
      <c r="P103" s="57"/>
      <c r="Q103" s="57"/>
      <c r="R103" s="57"/>
      <c r="S103" s="57"/>
      <c r="T103" s="57"/>
      <c r="U103" s="57"/>
      <c r="V103" s="57"/>
      <c r="W103" s="57"/>
      <c r="X103" s="57"/>
      <c r="Y103" s="57"/>
      <c r="AA103" s="5"/>
    </row>
    <row r="104" ht="13.5" thickTop="1"/>
    <row r="105" spans="23:25" ht="12.75">
      <c r="W105" s="58"/>
      <c r="X105" s="58"/>
      <c r="Y105" s="58"/>
    </row>
    <row r="106" spans="23:27" ht="12.75">
      <c r="W106" s="58"/>
      <c r="AA106" s="58"/>
    </row>
  </sheetData>
  <sheetProtection/>
  <printOptions horizontalCentered="1"/>
  <pageMargins left="0" right="0" top="0.52" bottom="0.44" header="0" footer="0"/>
  <pageSetup fitToHeight="1" fitToWidth="1" orientation="portrait" scale="77"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A101"/>
  <sheetViews>
    <sheetView showGridLines="0" tabSelected="1" view="pageBreakPreview" zoomScaleSheetLayoutView="100" zoomScalePageLayoutView="0" workbookViewId="0" topLeftCell="A1">
      <pane ySplit="4" topLeftCell="A44" activePane="bottomLeft" state="frozen"/>
      <selection pane="topLeft" activeCell="G25" sqref="G25"/>
      <selection pane="bottomLeft" activeCell="I65" sqref="I65"/>
    </sheetView>
  </sheetViews>
  <sheetFormatPr defaultColWidth="9.140625" defaultRowHeight="12.75"/>
  <cols>
    <col min="1" max="1" width="17.140625" style="5" customWidth="1"/>
    <col min="2" max="2" width="10.140625" style="5" customWidth="1"/>
    <col min="3" max="3" width="4.421875" style="5" customWidth="1"/>
    <col min="4" max="4" width="11.28125" style="5" customWidth="1"/>
    <col min="5" max="5" width="7.00390625" style="5" customWidth="1"/>
    <col min="6" max="6" width="13.00390625" style="5" customWidth="1"/>
    <col min="7" max="7" width="8.7109375" style="5" customWidth="1"/>
    <col min="8" max="8" width="4.7109375" style="5" bestFit="1" customWidth="1"/>
    <col min="9" max="9" width="10.7109375" style="5" bestFit="1" customWidth="1"/>
    <col min="10" max="10" width="9.421875" style="5" customWidth="1"/>
    <col min="11" max="11" width="4.7109375" style="5" bestFit="1" customWidth="1"/>
    <col min="12" max="14" width="9.57421875" style="5" customWidth="1"/>
    <col min="15" max="15" width="15.28125" style="5" bestFit="1" customWidth="1"/>
    <col min="16" max="16" width="36.7109375" style="5" bestFit="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83</v>
      </c>
      <c r="B1" s="2"/>
      <c r="C1" s="2"/>
      <c r="D1" s="2"/>
      <c r="E1" s="2"/>
      <c r="F1" s="2"/>
      <c r="G1" s="3"/>
      <c r="H1" s="2"/>
      <c r="I1" s="2"/>
      <c r="J1" s="1" t="s">
        <v>86</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2017</v>
      </c>
      <c r="B3" s="2"/>
      <c r="C3" s="2"/>
      <c r="D3" s="2"/>
      <c r="E3" s="2"/>
      <c r="F3" s="3"/>
      <c r="G3" s="3"/>
      <c r="H3" s="2"/>
      <c r="I3" s="2"/>
      <c r="J3" s="2"/>
      <c r="K3" s="2"/>
      <c r="L3" s="2"/>
      <c r="M3" s="2"/>
      <c r="N3" s="2"/>
      <c r="O3" s="2"/>
      <c r="P3" s="2"/>
      <c r="Q3" s="2"/>
      <c r="R3" s="2"/>
      <c r="S3" s="2"/>
      <c r="T3" s="2"/>
      <c r="U3" s="2"/>
      <c r="V3" s="2"/>
      <c r="W3" s="3"/>
      <c r="X3" s="3"/>
      <c r="Y3" s="3"/>
      <c r="Z3" s="3"/>
      <c r="AA3" s="3"/>
    </row>
    <row r="4" spans="1:22" ht="12.75">
      <c r="A4" s="6" t="s">
        <v>31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141" t="str">
        <f>"Total "&amp;F5</f>
        <v>Total Commodity</v>
      </c>
      <c r="P5" s="142"/>
      <c r="Q5" s="2"/>
      <c r="R5" s="2"/>
      <c r="S5" s="2"/>
      <c r="T5" s="2"/>
      <c r="U5" s="2"/>
      <c r="V5" s="13"/>
      <c r="W5" s="14"/>
      <c r="X5" s="14"/>
      <c r="Y5" s="14"/>
      <c r="AA5" s="14"/>
    </row>
    <row r="6" spans="1:16" s="16" customFormat="1" ht="11.25">
      <c r="A6" s="15"/>
      <c r="B6" s="12"/>
      <c r="C6" s="12"/>
      <c r="D6" s="12" t="s">
        <v>2</v>
      </c>
      <c r="E6" s="12"/>
      <c r="F6" s="12" t="s">
        <v>3</v>
      </c>
      <c r="G6" s="12"/>
      <c r="H6" s="12"/>
      <c r="I6" s="12"/>
      <c r="J6" s="12" t="s">
        <v>4</v>
      </c>
      <c r="K6" s="12"/>
      <c r="O6" s="143" t="str">
        <f>+F6</f>
        <v>Revenue</v>
      </c>
      <c r="P6" s="113"/>
    </row>
    <row r="7" spans="1:16" s="16" customFormat="1" ht="11.25">
      <c r="A7" s="15" t="s">
        <v>5</v>
      </c>
      <c r="B7" s="12" t="s">
        <v>6</v>
      </c>
      <c r="C7" s="12"/>
      <c r="D7" s="12" t="s">
        <v>3</v>
      </c>
      <c r="E7" s="12"/>
      <c r="F7" s="12" t="s">
        <v>7</v>
      </c>
      <c r="G7" s="12"/>
      <c r="H7" s="12"/>
      <c r="I7" s="12"/>
      <c r="J7" s="12" t="s">
        <v>6</v>
      </c>
      <c r="K7" s="12"/>
      <c r="O7" s="143" t="str">
        <f>+F7</f>
        <v>per Customer</v>
      </c>
      <c r="P7" s="113"/>
    </row>
    <row r="8" spans="1:16" s="16" customFormat="1" ht="11.25">
      <c r="A8" s="129">
        <f>'Single Family'!$C$6</f>
        <v>42491</v>
      </c>
      <c r="B8" s="112">
        <v>10703</v>
      </c>
      <c r="C8" s="114"/>
      <c r="D8" s="115">
        <f>VLOOKUP(A8,Value!$A$6:$O$17,15,)</f>
        <v>9646.90235672</v>
      </c>
      <c r="E8" s="114"/>
      <c r="F8" s="16">
        <f>ROUND(D8/B8,2)</f>
        <v>0.9</v>
      </c>
      <c r="G8" s="114"/>
      <c r="H8" s="114"/>
      <c r="I8" s="114"/>
      <c r="J8" s="14">
        <f aca="true" t="shared" si="0" ref="J8:J18">+B8</f>
        <v>10703</v>
      </c>
      <c r="K8" s="13">
        <f aca="true" t="shared" si="1" ref="K8:K18">YEAR(A8)</f>
        <v>2016</v>
      </c>
      <c r="O8" s="144">
        <f>VLOOKUP(A8,Value!$A$6:$O$17,13,FALSE)</f>
        <v>19293.68875672</v>
      </c>
      <c r="P8" s="113"/>
    </row>
    <row r="9" spans="1:16" s="16" customFormat="1" ht="11.25">
      <c r="A9" s="17">
        <f aca="true" t="shared" si="2" ref="A9:A18">EOMONTH(A8,1)</f>
        <v>42551</v>
      </c>
      <c r="B9" s="19">
        <v>10751</v>
      </c>
      <c r="C9" s="20"/>
      <c r="D9" s="115">
        <f>VLOOKUP(A9,Value!$A$6:$O$17,15,)</f>
        <v>11371.81118231999</v>
      </c>
      <c r="E9" s="14"/>
      <c r="F9" s="16">
        <f>ROUND(D9/B9,2)</f>
        <v>1.06</v>
      </c>
      <c r="G9" s="14"/>
      <c r="H9" s="14"/>
      <c r="I9" s="14"/>
      <c r="J9" s="14">
        <f t="shared" si="0"/>
        <v>10751</v>
      </c>
      <c r="K9" s="13">
        <f t="shared" si="1"/>
        <v>2016</v>
      </c>
      <c r="O9" s="144">
        <f>VLOOKUP(A9,Value!$A$6:$O$17,13,FALSE)</f>
        <v>22745.00363231999</v>
      </c>
      <c r="P9" s="113"/>
    </row>
    <row r="10" spans="1:16" s="16" customFormat="1" ht="11.25">
      <c r="A10" s="17">
        <f t="shared" si="2"/>
        <v>42582</v>
      </c>
      <c r="B10" s="19">
        <v>10733</v>
      </c>
      <c r="C10" s="14"/>
      <c r="D10" s="115">
        <f>VLOOKUP(A10,Value!$A$6:$O$17,15,)</f>
        <v>10838.31976856999</v>
      </c>
      <c r="E10" s="14"/>
      <c r="F10" s="16">
        <f>ROUND(D10/B10,2)</f>
        <v>1.01</v>
      </c>
      <c r="G10" s="14"/>
      <c r="H10" s="14"/>
      <c r="I10" s="14"/>
      <c r="J10" s="14">
        <f t="shared" si="0"/>
        <v>10733</v>
      </c>
      <c r="K10" s="13">
        <f t="shared" si="1"/>
        <v>2016</v>
      </c>
      <c r="O10" s="144">
        <f>VLOOKUP(A10,Value!$A$6:$O$17,13,FALSE)</f>
        <v>21677.61121856999</v>
      </c>
      <c r="P10" s="113"/>
    </row>
    <row r="11" spans="1:16" s="16" customFormat="1" ht="11.25">
      <c r="A11" s="17"/>
      <c r="B11" s="14"/>
      <c r="C11" s="14"/>
      <c r="E11" s="14"/>
      <c r="G11" s="14"/>
      <c r="H11" s="14"/>
      <c r="I11" s="14"/>
      <c r="J11" s="14"/>
      <c r="K11" s="13"/>
      <c r="O11" s="144"/>
      <c r="P11" s="113"/>
    </row>
    <row r="12" spans="1:16" s="16" customFormat="1" ht="11.25">
      <c r="A12" s="17" t="s">
        <v>94</v>
      </c>
      <c r="B12" s="21">
        <f>SUM(B8:B11)</f>
        <v>32187</v>
      </c>
      <c r="C12" s="20" t="s">
        <v>8</v>
      </c>
      <c r="D12" s="22">
        <f>SUM(D8:D11)</f>
        <v>31857.033307609985</v>
      </c>
      <c r="E12" s="14"/>
      <c r="G12" s="14"/>
      <c r="H12" s="14"/>
      <c r="I12" s="14"/>
      <c r="J12" s="14"/>
      <c r="K12" s="13"/>
      <c r="O12" s="144"/>
      <c r="P12" s="113"/>
    </row>
    <row r="13" spans="1:16" s="16" customFormat="1" ht="11.25">
      <c r="A13" s="17"/>
      <c r="B13" s="14"/>
      <c r="C13" s="14"/>
      <c r="E13" s="14"/>
      <c r="G13" s="14"/>
      <c r="H13" s="14"/>
      <c r="I13" s="14"/>
      <c r="J13" s="14"/>
      <c r="K13" s="13"/>
      <c r="O13" s="144"/>
      <c r="P13" s="113"/>
    </row>
    <row r="14" spans="1:16" s="16" customFormat="1" ht="11.25">
      <c r="A14" s="17">
        <f>EOMONTH(A10,1)</f>
        <v>42613</v>
      </c>
      <c r="B14" s="19">
        <v>10758</v>
      </c>
      <c r="C14" s="14"/>
      <c r="D14" s="115">
        <f>VLOOKUP(A14,Value!$A$6:$O$17,15,)</f>
        <v>14645.781780519997</v>
      </c>
      <c r="E14" s="14"/>
      <c r="F14" s="16">
        <f aca="true" t="shared" si="3" ref="F14:F22">ROUND(D14/B14,2)</f>
        <v>1.36</v>
      </c>
      <c r="G14" s="23"/>
      <c r="H14" s="14"/>
      <c r="I14" s="14"/>
      <c r="J14" s="14">
        <f t="shared" si="0"/>
        <v>10758</v>
      </c>
      <c r="K14" s="13">
        <f t="shared" si="1"/>
        <v>2016</v>
      </c>
      <c r="O14" s="144">
        <f>VLOOKUP(A14,Value!$A$6:$O$17,13,FALSE)</f>
        <v>29291.561780519998</v>
      </c>
      <c r="P14" s="113"/>
    </row>
    <row r="15" spans="1:16" s="16" customFormat="1" ht="11.25">
      <c r="A15" s="17">
        <f t="shared" si="2"/>
        <v>42643</v>
      </c>
      <c r="B15" s="19">
        <v>10775</v>
      </c>
      <c r="C15" s="14"/>
      <c r="D15" s="115">
        <f>VLOOKUP(A15,Value!$A$6:$O$17,15,)</f>
        <v>12305.278885889997</v>
      </c>
      <c r="E15" s="14"/>
      <c r="F15" s="16">
        <f t="shared" si="3"/>
        <v>1.14</v>
      </c>
      <c r="G15" s="23"/>
      <c r="H15" s="14"/>
      <c r="I15" s="14"/>
      <c r="J15" s="14">
        <f t="shared" si="0"/>
        <v>10775</v>
      </c>
      <c r="K15" s="13">
        <f t="shared" si="1"/>
        <v>2016</v>
      </c>
      <c r="O15" s="144">
        <f>VLOOKUP(A15,Value!$A$6:$O$17,13,FALSE)</f>
        <v>24610.831185889998</v>
      </c>
      <c r="P15" s="113"/>
    </row>
    <row r="16" spans="1:16" s="16" customFormat="1" ht="11.25">
      <c r="A16" s="17">
        <f t="shared" si="2"/>
        <v>42674</v>
      </c>
      <c r="B16" s="19">
        <v>10723</v>
      </c>
      <c r="C16" s="14"/>
      <c r="D16" s="115">
        <f>VLOOKUP(A16,Value!$A$6:$O$17,15,)</f>
        <v>10726.788891279992</v>
      </c>
      <c r="E16" s="14"/>
      <c r="F16" s="16">
        <f t="shared" si="3"/>
        <v>1</v>
      </c>
      <c r="G16" s="23"/>
      <c r="H16" s="14"/>
      <c r="I16" s="14"/>
      <c r="J16" s="14">
        <f t="shared" si="0"/>
        <v>10723</v>
      </c>
      <c r="K16" s="13">
        <f t="shared" si="1"/>
        <v>2016</v>
      </c>
      <c r="O16" s="144">
        <f>VLOOKUP(A16,Value!$A$6:$O$17,13,FALSE)</f>
        <v>21451.949491279993</v>
      </c>
      <c r="P16" s="113"/>
    </row>
    <row r="17" spans="1:16" s="16" customFormat="1" ht="11.25">
      <c r="A17" s="17">
        <f t="shared" si="2"/>
        <v>42704</v>
      </c>
      <c r="B17" s="19">
        <v>10728</v>
      </c>
      <c r="C17" s="14"/>
      <c r="D17" s="115">
        <f>VLOOKUP(A17,Value!$A$6:$O$17,15,)</f>
        <v>12052.887940414988</v>
      </c>
      <c r="E17" s="14"/>
      <c r="F17" s="16">
        <f t="shared" si="3"/>
        <v>1.12</v>
      </c>
      <c r="G17" s="23"/>
      <c r="H17" s="14"/>
      <c r="I17" s="14"/>
      <c r="J17" s="14">
        <f t="shared" si="0"/>
        <v>10728</v>
      </c>
      <c r="K17" s="13">
        <f t="shared" si="1"/>
        <v>2016</v>
      </c>
      <c r="O17" s="144">
        <f>VLOOKUP(A17,Value!$A$6:$O$17,13,FALSE)</f>
        <v>24106.08854041499</v>
      </c>
      <c r="P17" s="113"/>
    </row>
    <row r="18" spans="1:16" s="16" customFormat="1" ht="11.25">
      <c r="A18" s="17">
        <f t="shared" si="2"/>
        <v>42735</v>
      </c>
      <c r="B18" s="19">
        <v>10770</v>
      </c>
      <c r="C18" s="14"/>
      <c r="D18" s="115">
        <f>VLOOKUP(A18,Value!$A$6:$O$17,15,)</f>
        <v>14004.227122479997</v>
      </c>
      <c r="E18" s="14"/>
      <c r="F18" s="16">
        <f t="shared" si="3"/>
        <v>1.3</v>
      </c>
      <c r="G18" s="23"/>
      <c r="H18" s="14"/>
      <c r="I18" s="14"/>
      <c r="J18" s="14">
        <f t="shared" si="0"/>
        <v>10770</v>
      </c>
      <c r="K18" s="13">
        <f t="shared" si="1"/>
        <v>2016</v>
      </c>
      <c r="O18" s="144">
        <f>VLOOKUP(A18,Value!$A$6:$O$17,13,FALSE)</f>
        <v>28008.377122479997</v>
      </c>
      <c r="P18" s="113"/>
    </row>
    <row r="19" spans="1:25" s="16" customFormat="1" ht="11.25">
      <c r="A19" s="17">
        <f>EOMONTH(A18,1)</f>
        <v>42766</v>
      </c>
      <c r="B19" s="19">
        <v>10775</v>
      </c>
      <c r="C19" s="14"/>
      <c r="D19" s="115">
        <f>VLOOKUP(A19,Value!$A$6:$O$17,15,)</f>
        <v>14442.730522527994</v>
      </c>
      <c r="E19" s="14"/>
      <c r="F19" s="16">
        <f t="shared" si="3"/>
        <v>1.34</v>
      </c>
      <c r="G19" s="23"/>
      <c r="H19" s="14"/>
      <c r="I19" s="14"/>
      <c r="J19" s="14">
        <f>+B19</f>
        <v>10775</v>
      </c>
      <c r="K19" s="13">
        <f>YEAR(A19)</f>
        <v>2017</v>
      </c>
      <c r="O19" s="144">
        <f>VLOOKUP(A19,Value!$A$6:$O$17,13,FALSE)</f>
        <v>28884.837222527993</v>
      </c>
      <c r="P19" s="113"/>
      <c r="X19" s="14"/>
      <c r="Y19" s="14"/>
    </row>
    <row r="20" spans="1:27" s="16" customFormat="1" ht="11.25">
      <c r="A20" s="17">
        <f>EOMONTH(A19,1)</f>
        <v>42794</v>
      </c>
      <c r="B20" s="19">
        <v>10747</v>
      </c>
      <c r="C20" s="14"/>
      <c r="D20" s="115">
        <f>VLOOKUP(A20,Value!$A$6:$O$17,15,)</f>
        <v>13501.430628533994</v>
      </c>
      <c r="E20" s="14"/>
      <c r="F20" s="16">
        <f t="shared" si="3"/>
        <v>1.26</v>
      </c>
      <c r="G20" s="23"/>
      <c r="H20" s="14"/>
      <c r="I20" s="14"/>
      <c r="J20" s="14">
        <f>+B20</f>
        <v>10747</v>
      </c>
      <c r="K20" s="13">
        <f>YEAR(A20)</f>
        <v>2017</v>
      </c>
      <c r="L20" s="14"/>
      <c r="M20" s="14"/>
      <c r="N20" s="14"/>
      <c r="O20" s="144">
        <f>VLOOKUP(A20,Value!$A$6:$O$17,13,FALSE)</f>
        <v>27002.218928533992</v>
      </c>
      <c r="P20" s="35"/>
      <c r="Q20" s="14"/>
      <c r="R20" s="14"/>
      <c r="S20" s="14"/>
      <c r="T20" s="14"/>
      <c r="U20" s="14"/>
      <c r="V20" s="14"/>
      <c r="W20" s="14"/>
      <c r="Y20" s="14"/>
      <c r="AA20" s="14"/>
    </row>
    <row r="21" spans="1:16" s="16" customFormat="1" ht="11.25">
      <c r="A21" s="17">
        <f>EOMONTH(A20,1)</f>
        <v>42825</v>
      </c>
      <c r="B21" s="19">
        <v>10783</v>
      </c>
      <c r="C21" s="14"/>
      <c r="D21" s="115">
        <f>VLOOKUP(A21,Value!$A$6:$O$17,15,)</f>
        <v>15523.107179531995</v>
      </c>
      <c r="E21" s="14"/>
      <c r="F21" s="16">
        <f t="shared" si="3"/>
        <v>1.44</v>
      </c>
      <c r="G21" s="23"/>
      <c r="H21" s="20"/>
      <c r="I21" s="14"/>
      <c r="J21" s="14">
        <f>+B21</f>
        <v>10783</v>
      </c>
      <c r="K21" s="13">
        <f>YEAR(A21)</f>
        <v>2017</v>
      </c>
      <c r="O21" s="144">
        <f>VLOOKUP(A21,Value!$A$6:$O$17,13,FALSE)</f>
        <v>31046.700779531995</v>
      </c>
      <c r="P21" s="113"/>
    </row>
    <row r="22" spans="1:16" s="16" customFormat="1" ht="11.25">
      <c r="A22" s="17">
        <f>EOMONTH(A21,1)</f>
        <v>42855</v>
      </c>
      <c r="B22" s="19">
        <v>10826</v>
      </c>
      <c r="C22" s="14"/>
      <c r="D22" s="115">
        <f>VLOOKUP(A22,Value!$A$6:$O$17,15,)</f>
        <v>8159.285114499995</v>
      </c>
      <c r="E22" s="14"/>
      <c r="F22" s="16">
        <f t="shared" si="3"/>
        <v>0.75</v>
      </c>
      <c r="G22" s="23"/>
      <c r="H22" s="20"/>
      <c r="I22" s="14"/>
      <c r="J22" s="14">
        <f>+B22</f>
        <v>10826</v>
      </c>
      <c r="K22" s="13">
        <f>YEAR(A22)</f>
        <v>2017</v>
      </c>
      <c r="O22" s="144">
        <f>VLOOKUP(A22,Value!$A$6:$O$17,13,FALSE)</f>
        <v>16318.372414499994</v>
      </c>
      <c r="P22" s="113"/>
    </row>
    <row r="23" spans="1:15" s="16" customFormat="1" ht="11.25">
      <c r="A23" s="17"/>
      <c r="B23" s="14"/>
      <c r="C23" s="14"/>
      <c r="E23" s="14"/>
      <c r="G23" s="14"/>
      <c r="H23" s="14"/>
      <c r="I23" s="14"/>
      <c r="J23" s="14"/>
      <c r="K23" s="13"/>
      <c r="O23" s="145"/>
    </row>
    <row r="24" spans="1:16" s="16" customFormat="1" ht="11.25">
      <c r="A24" s="17" t="s">
        <v>95</v>
      </c>
      <c r="B24" s="21">
        <f>SUM(B14:B22)</f>
        <v>96885</v>
      </c>
      <c r="C24" s="20" t="s">
        <v>9</v>
      </c>
      <c r="D24" s="22">
        <f>SUM(D13:D23)</f>
        <v>115361.51806567897</v>
      </c>
      <c r="E24" s="14"/>
      <c r="G24" s="14"/>
      <c r="H24" s="14"/>
      <c r="I24" s="14"/>
      <c r="J24" s="14"/>
      <c r="K24" s="13"/>
      <c r="O24" s="145"/>
      <c r="P24" s="146" t="s">
        <v>87</v>
      </c>
    </row>
    <row r="25" spans="4:16" ht="12.75">
      <c r="D25" s="25"/>
      <c r="O25" s="145">
        <f>SUM(O8:O24)</f>
        <v>294437.24107328895</v>
      </c>
      <c r="P25" s="120"/>
    </row>
    <row r="26" spans="1:16" s="16" customFormat="1" ht="12" thickBot="1">
      <c r="A26" s="26"/>
      <c r="B26" s="27">
        <f>+B12+B24</f>
        <v>129072</v>
      </c>
      <c r="C26" s="20"/>
      <c r="D26" s="28">
        <f>+D12+D24</f>
        <v>147218.55137328897</v>
      </c>
      <c r="E26" s="20" t="s">
        <v>10</v>
      </c>
      <c r="F26" s="23">
        <f>ROUND(D26/B26,3)</f>
        <v>1.141</v>
      </c>
      <c r="G26" s="20" t="s">
        <v>11</v>
      </c>
      <c r="H26" s="14"/>
      <c r="I26" s="14"/>
      <c r="J26" s="27">
        <f>SUM(J8:J25)</f>
        <v>129072</v>
      </c>
      <c r="K26" s="20" t="s">
        <v>12</v>
      </c>
      <c r="O26" s="147">
        <f>ROUND(O25/J26,3)</f>
        <v>2.281</v>
      </c>
      <c r="P26" s="113" t="s">
        <v>88</v>
      </c>
    </row>
    <row r="27" spans="2:16" s="16" customFormat="1" ht="12" thickTop="1">
      <c r="B27" s="14"/>
      <c r="C27" s="14"/>
      <c r="D27" s="14"/>
      <c r="E27" s="14"/>
      <c r="F27" s="14"/>
      <c r="G27" s="14"/>
      <c r="H27" s="14"/>
      <c r="I27" s="14"/>
      <c r="J27" s="14"/>
      <c r="K27" s="14"/>
      <c r="O27" s="148">
        <f>+J22</f>
        <v>10826</v>
      </c>
      <c r="P27" s="113" t="s">
        <v>89</v>
      </c>
    </row>
    <row r="28" spans="2:16" s="16" customFormat="1" ht="11.25">
      <c r="B28" s="14"/>
      <c r="C28" s="14"/>
      <c r="D28" s="14"/>
      <c r="E28" s="14"/>
      <c r="F28" s="14"/>
      <c r="G28" s="14"/>
      <c r="H28" s="14"/>
      <c r="I28" s="14"/>
      <c r="J28" s="14"/>
      <c r="K28" s="14"/>
      <c r="O28" s="113"/>
      <c r="P28" s="113" t="s">
        <v>90</v>
      </c>
    </row>
    <row r="29" spans="1:11" s="16" customFormat="1" ht="12" thickBot="1">
      <c r="A29" s="16">
        <f>AVERAGE(B8:B10,B14:B22)</f>
        <v>10756</v>
      </c>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147219</v>
      </c>
      <c r="H31" s="20" t="s">
        <v>10</v>
      </c>
      <c r="I31" s="14"/>
      <c r="J31" s="14"/>
      <c r="K31" s="14"/>
    </row>
    <row r="32" spans="1:27" s="13" customFormat="1" ht="11.25">
      <c r="A32" s="33"/>
      <c r="B32" s="31"/>
      <c r="C32" s="14"/>
      <c r="D32" s="14"/>
      <c r="E32" s="14"/>
      <c r="F32" s="14"/>
      <c r="G32" s="14"/>
      <c r="H32" s="20"/>
      <c r="I32" s="14"/>
      <c r="J32" s="14"/>
      <c r="K32" s="14"/>
      <c r="O32" s="16">
        <f>12*O27*O26</f>
        <v>296329.272</v>
      </c>
      <c r="P32" s="13" t="s">
        <v>91</v>
      </c>
      <c r="W32" s="14"/>
      <c r="X32" s="16"/>
      <c r="Y32" s="16"/>
      <c r="AA32" s="14"/>
    </row>
    <row r="33" spans="2:16" s="16" customFormat="1" ht="11.25">
      <c r="B33" s="14" t="s">
        <v>15</v>
      </c>
      <c r="C33" s="14"/>
      <c r="D33" s="14"/>
      <c r="E33" s="14"/>
      <c r="F33" s="160">
        <v>0.97</v>
      </c>
      <c r="G33" s="14"/>
      <c r="H33" s="14"/>
      <c r="I33" s="14"/>
      <c r="J33" s="14"/>
      <c r="K33" s="14"/>
      <c r="O33" s="16">
        <f>12*O27*G56</f>
        <v>148229.66163834295</v>
      </c>
      <c r="P33" s="16" t="s">
        <v>92</v>
      </c>
    </row>
    <row r="34" spans="2:15" s="16" customFormat="1" ht="11.25">
      <c r="B34" s="14"/>
      <c r="C34" s="14" t="str">
        <f>"Customers from "&amp;TEXT($A$8,"mm/yy")&amp;" - "&amp;TEXT($A$10,"mm/yy")</f>
        <v>Customers from 05/16 - 07/16</v>
      </c>
      <c r="D34" s="14"/>
      <c r="E34" s="14"/>
      <c r="F34" s="35">
        <f>+B12</f>
        <v>32187</v>
      </c>
      <c r="G34" s="20" t="s">
        <v>8</v>
      </c>
      <c r="H34" s="14"/>
      <c r="I34" s="14"/>
      <c r="J34" s="14"/>
      <c r="K34" s="14"/>
      <c r="O34" s="149">
        <f>+O33/O32</f>
        <v>0.5002194371075934</v>
      </c>
    </row>
    <row r="35" spans="2:11" s="16" customFormat="1" ht="11.25">
      <c r="B35" s="14"/>
      <c r="C35" s="14" t="s">
        <v>16</v>
      </c>
      <c r="D35" s="14"/>
      <c r="E35" s="14"/>
      <c r="F35" s="21">
        <f>ROUND(F33*F34,0)</f>
        <v>31221</v>
      </c>
      <c r="G35" s="20"/>
      <c r="H35" s="14"/>
      <c r="I35" s="14"/>
      <c r="J35" s="14"/>
      <c r="K35" s="14"/>
    </row>
    <row r="36" spans="2:11" s="16" customFormat="1" ht="11.25">
      <c r="B36" s="14"/>
      <c r="C36" s="14"/>
      <c r="D36" s="14"/>
      <c r="E36" s="14"/>
      <c r="F36" s="35"/>
      <c r="G36" s="20"/>
      <c r="H36" s="14" t="s">
        <v>98</v>
      </c>
      <c r="I36" s="14"/>
      <c r="J36" s="14"/>
      <c r="K36" s="14"/>
    </row>
    <row r="37" spans="2:11" s="16" customFormat="1" ht="11.25">
      <c r="B37" s="14" t="s">
        <v>15</v>
      </c>
      <c r="C37" s="14"/>
      <c r="D37" s="14"/>
      <c r="E37" s="14"/>
      <c r="F37" s="160">
        <v>0.86</v>
      </c>
      <c r="G37" s="14"/>
      <c r="H37" s="14"/>
      <c r="I37" s="14"/>
      <c r="J37" s="14"/>
      <c r="K37" s="14"/>
    </row>
    <row r="38" spans="2:11" s="16" customFormat="1" ht="11.25">
      <c r="B38" s="14"/>
      <c r="C38" s="14" t="str">
        <f>"Customers from "&amp;TEXT($A$14,"mm/yy")&amp;" - "&amp;TEXT($A$22,"mm/yy")</f>
        <v>Customers from 08/16 - 04/17</v>
      </c>
      <c r="D38" s="14"/>
      <c r="E38" s="14"/>
      <c r="F38" s="14">
        <f>+B24</f>
        <v>96885</v>
      </c>
      <c r="G38" s="20" t="s">
        <v>9</v>
      </c>
      <c r="H38" s="14"/>
      <c r="I38" s="14"/>
      <c r="J38" s="14"/>
      <c r="K38" s="14"/>
    </row>
    <row r="39" spans="2:11" s="16" customFormat="1" ht="11.25">
      <c r="B39" s="14"/>
      <c r="C39" s="14" t="s">
        <v>16</v>
      </c>
      <c r="D39" s="14"/>
      <c r="E39" s="14"/>
      <c r="F39" s="21">
        <f>ROUND(F37*F38,0)</f>
        <v>83321</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114542</v>
      </c>
      <c r="G41" s="37">
        <f>+F41</f>
        <v>114542</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32677</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tr">
        <f>$K$22+1&amp;" Recycle Adjustment Calculation"</f>
        <v>2018 Recycle Adjustment Calculation</v>
      </c>
      <c r="C47" s="30"/>
      <c r="D47" s="30"/>
      <c r="E47" s="30"/>
      <c r="F47" s="30"/>
      <c r="G47" s="14"/>
      <c r="H47" s="14"/>
      <c r="I47" s="14"/>
      <c r="J47" s="14"/>
      <c r="K47" s="14"/>
    </row>
    <row r="48" spans="2:27" s="16" customFormat="1" ht="12"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tr">
        <f>$K$10&amp;"/"&amp;$K$22&amp;" True-up Computation"</f>
        <v>2016/2017 True-up Computation</v>
      </c>
      <c r="C49" s="14"/>
      <c r="D49" s="14"/>
      <c r="E49" s="14"/>
      <c r="F49" s="14"/>
      <c r="G49" s="14"/>
      <c r="H49" s="14"/>
      <c r="I49" s="14"/>
      <c r="J49" s="14"/>
      <c r="K49" s="14"/>
    </row>
    <row r="50" spans="2:11" s="16" customFormat="1" ht="11.25">
      <c r="B50" s="14"/>
      <c r="C50" s="14"/>
      <c r="D50" s="14"/>
      <c r="E50" s="14"/>
      <c r="F50" s="32" t="s">
        <v>20</v>
      </c>
      <c r="G50" s="14">
        <f>+J26</f>
        <v>129072</v>
      </c>
      <c r="H50" s="20" t="s">
        <v>12</v>
      </c>
      <c r="I50" s="14"/>
      <c r="J50" s="14"/>
      <c r="K50" s="14"/>
    </row>
    <row r="51" spans="2:11" s="16" customFormat="1" ht="11.25">
      <c r="B51" s="14"/>
      <c r="C51" s="14"/>
      <c r="D51" s="14"/>
      <c r="E51" s="14"/>
      <c r="F51" s="32" t="s">
        <v>18</v>
      </c>
      <c r="G51" s="14">
        <f>+G44</f>
        <v>32677</v>
      </c>
      <c r="H51" s="14"/>
      <c r="I51" s="14"/>
      <c r="J51" s="14"/>
      <c r="K51" s="14"/>
    </row>
    <row r="52" spans="2:11" s="16" customFormat="1" ht="11.25">
      <c r="B52" s="14"/>
      <c r="C52" s="14"/>
      <c r="D52" s="14"/>
      <c r="E52" s="14"/>
      <c r="F52" s="32"/>
      <c r="G52" s="14"/>
      <c r="H52" s="14"/>
      <c r="I52" s="14"/>
      <c r="J52" s="14"/>
      <c r="K52" s="14"/>
    </row>
    <row r="53" spans="2:11" s="16" customFormat="1" ht="12" thickBot="1">
      <c r="B53" s="14"/>
      <c r="C53" s="14"/>
      <c r="D53" s="14"/>
      <c r="E53" s="14"/>
      <c r="F53" s="32" t="s">
        <v>81</v>
      </c>
      <c r="G53" s="39">
        <f>ROUND(G51/G50,3)</f>
        <v>0.253</v>
      </c>
      <c r="H53" s="14"/>
      <c r="I53" s="23">
        <f>+G53</f>
        <v>0.253</v>
      </c>
      <c r="J53" s="14"/>
      <c r="K53" s="14"/>
    </row>
    <row r="54" spans="2:25" s="16" customFormat="1" ht="12" thickTop="1">
      <c r="B54" s="14"/>
      <c r="C54" s="14"/>
      <c r="D54" s="14"/>
      <c r="E54" s="14"/>
      <c r="F54" s="32"/>
      <c r="G54" s="14"/>
      <c r="H54" s="14"/>
      <c r="I54" s="23"/>
      <c r="J54" s="14"/>
      <c r="K54" s="14"/>
      <c r="Y54" s="14"/>
    </row>
    <row r="55" spans="2:14" s="16" customFormat="1" ht="11.25">
      <c r="B55" s="14" t="str">
        <f>$K$22+1&amp;" Projected Credit"</f>
        <v>2018 Projected Credit</v>
      </c>
      <c r="C55" s="14"/>
      <c r="D55" s="14"/>
      <c r="E55" s="14"/>
      <c r="F55" s="32"/>
      <c r="G55" s="14"/>
      <c r="H55" s="14"/>
      <c r="I55" s="23"/>
      <c r="J55" s="14"/>
      <c r="K55" s="14"/>
      <c r="N55" s="150" t="s">
        <v>93</v>
      </c>
    </row>
    <row r="56" spans="2:14" s="16" customFormat="1" ht="12" thickBot="1">
      <c r="B56" s="31"/>
      <c r="C56" s="14"/>
      <c r="D56" s="14"/>
      <c r="E56" s="14"/>
      <c r="F56" s="32" t="s">
        <v>79</v>
      </c>
      <c r="G56" s="40">
        <f>+F26/Value!$P$18*N56</f>
        <v>1.1410005360424207</v>
      </c>
      <c r="H56" s="14"/>
      <c r="I56" s="23">
        <f>+G56</f>
        <v>1.1410005360424207</v>
      </c>
      <c r="J56" s="20" t="s">
        <v>11</v>
      </c>
      <c r="K56" s="14"/>
      <c r="N56" s="151">
        <f>+'[2]WUTC_AW of Kent_MF'!$O$56</f>
        <v>0.5</v>
      </c>
    </row>
    <row r="57" spans="2:25" s="14" customFormat="1" ht="12" thickTop="1">
      <c r="B57" s="31"/>
      <c r="I57" s="23"/>
      <c r="X57" s="16"/>
      <c r="Y57" s="16"/>
    </row>
    <row r="58" spans="2:11" s="16" customFormat="1" ht="12" thickBot="1">
      <c r="B58" s="14"/>
      <c r="C58" s="14"/>
      <c r="D58" s="14"/>
      <c r="E58" s="14"/>
      <c r="F58" s="14"/>
      <c r="G58" s="32" t="str">
        <f>$K$22+1&amp;" Adjusted Credit"</f>
        <v>2018 Adjusted Credit</v>
      </c>
      <c r="H58" s="27"/>
      <c r="I58" s="39">
        <f>+I53+I56</f>
        <v>1.3940005360424208</v>
      </c>
      <c r="J58" s="14"/>
      <c r="K58" s="14"/>
    </row>
    <row r="59" s="16" customFormat="1" ht="12" thickTop="1"/>
    <row r="60" s="16" customFormat="1" ht="11.25"/>
    <row r="61" spans="7:12" s="16" customFormat="1" ht="11.25">
      <c r="G61" s="139" t="s">
        <v>84</v>
      </c>
      <c r="I61" s="161">
        <v>42042.012</v>
      </c>
      <c r="L61" s="23"/>
    </row>
    <row r="62" spans="1:25" s="14" customFormat="1" ht="11.25">
      <c r="A62" s="116"/>
      <c r="B62" s="35"/>
      <c r="C62" s="35"/>
      <c r="D62" s="113"/>
      <c r="E62" s="35"/>
      <c r="F62" s="113"/>
      <c r="X62" s="16"/>
      <c r="Y62" s="16"/>
    </row>
    <row r="63" spans="1:9" s="16" customFormat="1" ht="11.25">
      <c r="A63" s="116"/>
      <c r="B63" s="35"/>
      <c r="C63" s="118"/>
      <c r="D63" s="113"/>
      <c r="E63" s="113"/>
      <c r="F63" s="113"/>
      <c r="G63" s="139" t="s">
        <v>85</v>
      </c>
      <c r="I63" s="22">
        <f>I61/(G50)</f>
        <v>0.32572526961695797</v>
      </c>
    </row>
    <row r="64" spans="1:6" s="16" customFormat="1" ht="11.25">
      <c r="A64" s="116"/>
      <c r="B64" s="35"/>
      <c r="C64" s="35"/>
      <c r="D64" s="113"/>
      <c r="E64" s="113"/>
      <c r="F64" s="113"/>
    </row>
    <row r="65" spans="1:9" s="16" customFormat="1" ht="12" thickBot="1">
      <c r="A65" s="116"/>
      <c r="B65" s="117"/>
      <c r="C65" s="35"/>
      <c r="D65" s="113"/>
      <c r="E65" s="113"/>
      <c r="F65" s="113"/>
      <c r="G65" s="32" t="str">
        <f>$K$22+1&amp;" Net Credit"</f>
        <v>2018 Net Credit</v>
      </c>
      <c r="H65" s="27"/>
      <c r="I65" s="152">
        <f>+I58+I63</f>
        <v>1.7197258056593787</v>
      </c>
    </row>
    <row r="66" spans="1:6" s="16" customFormat="1" ht="12" thickTop="1">
      <c r="A66" s="116"/>
      <c r="B66" s="117"/>
      <c r="C66" s="35"/>
      <c r="D66" s="113"/>
      <c r="E66" s="113"/>
      <c r="F66" s="113"/>
    </row>
    <row r="67" spans="1:6" s="16" customFormat="1" ht="11.25">
      <c r="A67" s="116"/>
      <c r="B67" s="117"/>
      <c r="C67" s="35"/>
      <c r="D67" s="113"/>
      <c r="E67" s="113"/>
      <c r="F67" s="113"/>
    </row>
    <row r="68" spans="1:25" s="16" customFormat="1" ht="11.25">
      <c r="A68" s="116"/>
      <c r="B68" s="117"/>
      <c r="C68" s="35"/>
      <c r="D68" s="113"/>
      <c r="E68" s="113"/>
      <c r="F68" s="113"/>
      <c r="Y68" s="14"/>
    </row>
    <row r="69" spans="1:6" s="16" customFormat="1" ht="11.25">
      <c r="A69" s="116"/>
      <c r="B69" s="117"/>
      <c r="C69" s="35"/>
      <c r="D69" s="113"/>
      <c r="E69" s="113"/>
      <c r="F69" s="113"/>
    </row>
    <row r="70" spans="1:6" s="16" customFormat="1" ht="11.25">
      <c r="A70" s="116"/>
      <c r="B70" s="117"/>
      <c r="C70" s="35"/>
      <c r="D70" s="113"/>
      <c r="E70" s="113"/>
      <c r="F70" s="113"/>
    </row>
    <row r="71" spans="1:6" s="16" customFormat="1" ht="11.25">
      <c r="A71" s="116"/>
      <c r="B71" s="117"/>
      <c r="C71" s="35"/>
      <c r="D71" s="113"/>
      <c r="E71" s="113"/>
      <c r="F71" s="113"/>
    </row>
    <row r="72" spans="1:27" s="16" customFormat="1" ht="11.25">
      <c r="A72" s="116"/>
      <c r="B72" s="117"/>
      <c r="C72" s="35"/>
      <c r="D72" s="113"/>
      <c r="E72" s="119"/>
      <c r="F72" s="113"/>
      <c r="G72" s="14"/>
      <c r="H72" s="13"/>
      <c r="I72" s="14"/>
      <c r="J72" s="14"/>
      <c r="K72" s="13"/>
      <c r="L72" s="14"/>
      <c r="M72" s="14"/>
      <c r="N72" s="14"/>
      <c r="O72" s="14"/>
      <c r="P72" s="14"/>
      <c r="Q72" s="14"/>
      <c r="R72" s="14"/>
      <c r="S72" s="14"/>
      <c r="T72" s="14"/>
      <c r="U72" s="14"/>
      <c r="V72" s="13"/>
      <c r="W72" s="14"/>
      <c r="AA72" s="14"/>
    </row>
    <row r="73" spans="1:6" s="16" customFormat="1" ht="11.25">
      <c r="A73" s="116"/>
      <c r="B73" s="117"/>
      <c r="C73" s="35"/>
      <c r="D73" s="113"/>
      <c r="E73" s="113"/>
      <c r="F73" s="113"/>
    </row>
    <row r="74" spans="1:6" s="16" customFormat="1" ht="11.25">
      <c r="A74" s="116"/>
      <c r="B74" s="35"/>
      <c r="C74" s="35"/>
      <c r="D74" s="113"/>
      <c r="E74" s="113"/>
      <c r="F74" s="113"/>
    </row>
    <row r="75" spans="1:6" s="16" customFormat="1" ht="11.25">
      <c r="A75" s="116"/>
      <c r="B75" s="35"/>
      <c r="C75" s="118"/>
      <c r="D75" s="113"/>
      <c r="E75" s="113"/>
      <c r="F75" s="113"/>
    </row>
    <row r="76" spans="1:6" s="16" customFormat="1" ht="12.75">
      <c r="A76" s="120"/>
      <c r="B76" s="120"/>
      <c r="C76" s="120"/>
      <c r="D76" s="121"/>
      <c r="E76" s="113"/>
      <c r="F76" s="120"/>
    </row>
    <row r="77" spans="1:25" s="16" customFormat="1" ht="11.25">
      <c r="A77" s="122"/>
      <c r="B77" s="35"/>
      <c r="C77" s="118"/>
      <c r="D77" s="113"/>
      <c r="E77" s="113"/>
      <c r="F77" s="123"/>
      <c r="Y77" s="14"/>
    </row>
    <row r="78" s="16" customFormat="1" ht="11.25"/>
    <row r="79" s="16" customFormat="1" ht="11.25"/>
    <row r="80" s="16" customFormat="1" ht="11.25"/>
    <row r="81" s="16" customFormat="1" ht="11.25">
      <c r="B81" s="8"/>
    </row>
    <row r="82" spans="2:25" s="14" customFormat="1" ht="11.25">
      <c r="B82" s="31"/>
      <c r="X82" s="16"/>
      <c r="Y82" s="16"/>
    </row>
    <row r="83" s="16" customFormat="1" ht="11.25"/>
    <row r="84" s="16" customFormat="1" ht="11.25"/>
    <row r="85" s="16" customFormat="1" ht="11.25"/>
    <row r="86" s="16" customFormat="1" ht="11.25"/>
    <row r="87" s="16" customFormat="1" ht="11.25"/>
    <row r="88" s="16" customFormat="1" ht="11.25"/>
    <row r="89" s="16" customFormat="1" ht="11.25"/>
    <row r="90" s="16" customFormat="1" ht="11.25"/>
    <row r="91" s="16" customFormat="1" ht="11.25">
      <c r="A91" s="6"/>
    </row>
    <row r="92" s="16" customFormat="1" ht="12.75">
      <c r="AA92" s="5"/>
    </row>
    <row r="93" s="16" customFormat="1" ht="12.75">
      <c r="AA93" s="5"/>
    </row>
    <row r="94" s="16" customFormat="1" ht="12.75">
      <c r="AA94" s="5"/>
    </row>
    <row r="95" s="16" customFormat="1" ht="12.75">
      <c r="AA95" s="5"/>
    </row>
    <row r="96" spans="7:27" s="16" customFormat="1" ht="12.75">
      <c r="G96" s="56"/>
      <c r="I96" s="56"/>
      <c r="J96" s="56"/>
      <c r="L96" s="56"/>
      <c r="M96" s="56"/>
      <c r="N96" s="56"/>
      <c r="O96" s="56"/>
      <c r="P96" s="56"/>
      <c r="Q96" s="56"/>
      <c r="R96" s="56"/>
      <c r="S96" s="56"/>
      <c r="T96" s="56"/>
      <c r="U96" s="56"/>
      <c r="V96" s="56"/>
      <c r="W96" s="56"/>
      <c r="X96" s="56"/>
      <c r="Y96" s="56"/>
      <c r="AA96" s="5"/>
    </row>
    <row r="97" s="16" customFormat="1" ht="12.75">
      <c r="AA97" s="5"/>
    </row>
    <row r="98" spans="7:27" s="16" customFormat="1" ht="13.5" thickBot="1">
      <c r="G98" s="57"/>
      <c r="I98" s="57"/>
      <c r="J98" s="57"/>
      <c r="L98" s="57"/>
      <c r="M98" s="57"/>
      <c r="N98" s="57"/>
      <c r="O98" s="57"/>
      <c r="P98" s="57"/>
      <c r="Q98" s="57"/>
      <c r="R98" s="57"/>
      <c r="S98" s="57"/>
      <c r="T98" s="57"/>
      <c r="U98" s="57"/>
      <c r="V98" s="57"/>
      <c r="W98" s="57"/>
      <c r="X98" s="57"/>
      <c r="Y98" s="57"/>
      <c r="AA98" s="5"/>
    </row>
    <row r="99" ht="13.5" thickTop="1"/>
    <row r="100" spans="23:25" ht="12.75">
      <c r="W100" s="58"/>
      <c r="X100" s="58"/>
      <c r="Y100" s="58"/>
    </row>
    <row r="101" spans="23:27" ht="12.75">
      <c r="W101" s="58"/>
      <c r="AA101" s="58"/>
    </row>
  </sheetData>
  <sheetProtection/>
  <printOptions horizontalCentered="1"/>
  <pageMargins left="0" right="0" top="0.52" bottom="0.44" header="0" footer="0"/>
  <pageSetup fitToHeight="1" fitToWidth="1" horizontalDpi="600" verticalDpi="600" orientation="portrait" scale="57" r:id="rId4"/>
  <headerFooter alignWithMargins="0">
    <oddFooter>&amp;R&amp;"Helv,Regular"&amp;6\\SERVER1\PUBLIC\EXCEL&amp;F,&amp;A</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18"/>
  <sheetViews>
    <sheetView showGridLines="0" view="pageBreakPreview" zoomScaleSheetLayoutView="100" zoomScalePageLayoutView="0" workbookViewId="0" topLeftCell="A1">
      <selection activeCell="Q10" sqref="Q10"/>
    </sheetView>
  </sheetViews>
  <sheetFormatPr defaultColWidth="9.140625" defaultRowHeight="12.75"/>
  <cols>
    <col min="1" max="1" width="8.140625" style="0" customWidth="1"/>
    <col min="2" max="2" width="2.140625" style="0" customWidth="1"/>
    <col min="3" max="13" width="11.7109375" style="0" customWidth="1"/>
    <col min="14" max="14" width="3.00390625" style="0" customWidth="1"/>
    <col min="15" max="15" width="10.421875" style="72" bestFit="1" customWidth="1"/>
    <col min="16" max="16" width="14.57421875" style="0" bestFit="1" customWidth="1"/>
    <col min="17" max="17" width="11.7109375" style="0" customWidth="1"/>
  </cols>
  <sheetData>
    <row r="1" spans="1:2" ht="12.75">
      <c r="A1" s="59" t="s">
        <v>46</v>
      </c>
      <c r="B1" s="60"/>
    </row>
    <row r="2" spans="1:2" ht="12.75">
      <c r="A2" s="61" t="str">
        <f>'WUTC_AW of Bellevue_SF'!A1</f>
        <v>Rabanco Ltd (dba Allied Waste of Bellevue)</v>
      </c>
      <c r="B2" s="61"/>
    </row>
    <row r="3" spans="1:15" ht="12.75">
      <c r="A3" s="61"/>
      <c r="B3" s="61"/>
      <c r="O3" s="73"/>
    </row>
    <row r="4" spans="1:15" ht="12.75">
      <c r="A4" s="61"/>
      <c r="B4" s="61"/>
      <c r="O4" s="73" t="str">
        <f>+TEXT(P18,"00.0%")&amp;" of"</f>
        <v>50.0% of</v>
      </c>
    </row>
    <row r="5" spans="2:17" ht="12.75">
      <c r="B5" s="70"/>
      <c r="C5" s="63" t="s">
        <v>21</v>
      </c>
      <c r="D5" s="63" t="s">
        <v>22</v>
      </c>
      <c r="E5" s="63" t="s">
        <v>33</v>
      </c>
      <c r="F5" s="63" t="s">
        <v>23</v>
      </c>
      <c r="G5" s="63" t="s">
        <v>24</v>
      </c>
      <c r="H5" s="63" t="s">
        <v>25</v>
      </c>
      <c r="I5" s="63" t="s">
        <v>26</v>
      </c>
      <c r="J5" s="63" t="s">
        <v>27</v>
      </c>
      <c r="K5" s="63" t="s">
        <v>28</v>
      </c>
      <c r="L5" s="63" t="s">
        <v>29</v>
      </c>
      <c r="M5" s="63" t="s">
        <v>30</v>
      </c>
      <c r="O5" s="73" t="s">
        <v>30</v>
      </c>
      <c r="P5" s="63" t="s">
        <v>96</v>
      </c>
      <c r="Q5" s="153" t="s">
        <v>97</v>
      </c>
    </row>
    <row r="6" spans="1:18" ht="15.75" customHeight="1">
      <c r="A6" s="65">
        <f>+Pricing!A6</f>
        <v>42491</v>
      </c>
      <c r="B6" s="66"/>
      <c r="C6" s="71">
        <f>'Commodity Tonnages'!C6*Pricing!C6</f>
        <v>1999.2294000000002</v>
      </c>
      <c r="D6" s="74">
        <f>'Commodity Tonnages'!D6*Pricing!D6</f>
        <v>-129.92819840000004</v>
      </c>
      <c r="E6" s="74">
        <f>'Commodity Tonnages'!E6*Pricing!E6</f>
        <v>0</v>
      </c>
      <c r="F6" s="74">
        <f>'Commodity Tonnages'!F6*Pricing!F6</f>
        <v>407.4770238000001</v>
      </c>
      <c r="G6" s="74">
        <f>'Commodity Tonnages'!G6*Pricing!G6</f>
        <v>4706.206050000001</v>
      </c>
      <c r="H6" s="74">
        <f>'Commodity Tonnages'!H6*Pricing!H6</f>
        <v>7457.93871536</v>
      </c>
      <c r="I6" s="74">
        <f>'Commodity Tonnages'!I6*Pricing!I6</f>
        <v>1003.3926924000002</v>
      </c>
      <c r="J6" s="74">
        <f>'Commodity Tonnages'!J6*Pricing!J6</f>
        <v>1003.3926924000002</v>
      </c>
      <c r="K6" s="74">
        <f>'Commodity Tonnages'!K6*Pricing!K6</f>
        <v>5226.3764783999995</v>
      </c>
      <c r="L6" s="74">
        <f>'Commodity Tonnages'!L6*Pricing!L6</f>
        <v>-2380.3960972400055</v>
      </c>
      <c r="M6" s="131">
        <f>SUM(C6:L6)</f>
        <v>19293.68875672</v>
      </c>
      <c r="O6" s="98">
        <f>+M6-Q6</f>
        <v>9646.90235672</v>
      </c>
      <c r="P6" s="154">
        <f>_xlfn.IFERROR(O6/M6,0)</f>
        <v>0.500003005042775</v>
      </c>
      <c r="Q6" s="155">
        <v>9646.786399999999</v>
      </c>
      <c r="R6" s="158"/>
    </row>
    <row r="7" spans="1:18" ht="15.75" customHeight="1">
      <c r="A7" s="65">
        <f>+Pricing!A7</f>
        <v>42551</v>
      </c>
      <c r="B7" s="66"/>
      <c r="C7" s="71">
        <f>'Commodity Tonnages'!C7*Pricing!C7</f>
        <v>2281.3768575</v>
      </c>
      <c r="D7" s="74">
        <f>'Commodity Tonnages'!D7*Pricing!D7</f>
        <v>-539.38502904</v>
      </c>
      <c r="E7" s="74">
        <f>'Commodity Tonnages'!E7*Pricing!E7</f>
        <v>0</v>
      </c>
      <c r="F7" s="74">
        <f>'Commodity Tonnages'!F7*Pricing!F7</f>
        <v>418.30613550000004</v>
      </c>
      <c r="G7" s="74">
        <f>'Commodity Tonnages'!G7*Pricing!G7</f>
        <v>5760.9526455</v>
      </c>
      <c r="H7" s="74">
        <f>'Commodity Tonnages'!H7*Pricing!H7</f>
        <v>9046.969705979998</v>
      </c>
      <c r="I7" s="74">
        <f>'Commodity Tonnages'!I7*Pricing!I7</f>
        <v>1135.230351075</v>
      </c>
      <c r="J7" s="74">
        <f>'Commodity Tonnages'!J7*Pricing!J7</f>
        <v>1135.230351075</v>
      </c>
      <c r="K7" s="74">
        <f>'Commodity Tonnages'!K7*Pricing!K7</f>
        <v>6289.98363576</v>
      </c>
      <c r="L7" s="74">
        <f>'Commodity Tonnages'!L7*Pricing!L7</f>
        <v>-2783.661021030006</v>
      </c>
      <c r="M7" s="131">
        <f aca="true" t="shared" si="0" ref="M7:M17">SUM(C7:L7)</f>
        <v>22745.00363231999</v>
      </c>
      <c r="O7" s="98">
        <f>+M7-Q7</f>
        <v>11371.81118231999</v>
      </c>
      <c r="P7" s="154">
        <f aca="true" t="shared" si="1" ref="P7:P17">_xlfn.IFERROR(O7/M7,0)</f>
        <v>0.4999696357999687</v>
      </c>
      <c r="Q7" s="155">
        <v>11373.192449999999</v>
      </c>
      <c r="R7" s="158"/>
    </row>
    <row r="8" spans="1:18" ht="15.75" customHeight="1">
      <c r="A8" s="65">
        <f>+Pricing!A8</f>
        <v>42582</v>
      </c>
      <c r="B8" s="66"/>
      <c r="C8" s="71">
        <f>'Commodity Tonnages'!C8*Pricing!C8</f>
        <v>1979.193825</v>
      </c>
      <c r="D8" s="74">
        <f>'Commodity Tonnages'!D8*Pricing!D8</f>
        <v>-482.17406952</v>
      </c>
      <c r="E8" s="74">
        <f>'Commodity Tonnages'!E8*Pricing!E8</f>
        <v>0</v>
      </c>
      <c r="F8" s="74">
        <f>'Commodity Tonnages'!F8*Pricing!F8</f>
        <v>326.87519535</v>
      </c>
      <c r="G8" s="74">
        <f>'Commodity Tonnages'!G8*Pricing!G8</f>
        <v>5536.64826</v>
      </c>
      <c r="H8" s="74">
        <f>'Commodity Tonnages'!H8*Pricing!H8</f>
        <v>8543.428650779999</v>
      </c>
      <c r="I8" s="74">
        <f>'Commodity Tonnages'!I8*Pricing!I8</f>
        <v>1024.835053335</v>
      </c>
      <c r="J8" s="74">
        <f>'Commodity Tonnages'!J8*Pricing!J8</f>
        <v>1024.835053335</v>
      </c>
      <c r="K8" s="74">
        <f>'Commodity Tonnages'!K8*Pricing!K8</f>
        <v>6144.200140319999</v>
      </c>
      <c r="L8" s="74">
        <f>'Commodity Tonnages'!L8*Pricing!L8</f>
        <v>-2420.2308900300054</v>
      </c>
      <c r="M8" s="131">
        <f t="shared" si="0"/>
        <v>21677.61121856999</v>
      </c>
      <c r="O8" s="98">
        <f aca="true" t="shared" si="2" ref="O8:O17">+M8-Q8</f>
        <v>10838.31976856999</v>
      </c>
      <c r="P8" s="154">
        <f t="shared" si="1"/>
        <v>0.4999775879034777</v>
      </c>
      <c r="Q8" s="155">
        <v>10839.291449999999</v>
      </c>
      <c r="R8" s="158"/>
    </row>
    <row r="9" spans="1:18" ht="15.75" customHeight="1">
      <c r="A9" s="65">
        <f>+Pricing!A9</f>
        <v>42613</v>
      </c>
      <c r="B9" s="66"/>
      <c r="C9" s="71">
        <f>'Commodity Tonnages'!C9*Pricing!C9</f>
        <v>2451.3363</v>
      </c>
      <c r="D9" s="74">
        <f>'Commodity Tonnages'!D9*Pricing!D9</f>
        <v>-110.06889088000001</v>
      </c>
      <c r="E9" s="74">
        <f>'Commodity Tonnages'!E9*Pricing!E9</f>
        <v>0</v>
      </c>
      <c r="F9" s="74">
        <f>'Commodity Tonnages'!F9*Pricing!F9</f>
        <v>400.4156475</v>
      </c>
      <c r="G9" s="74">
        <f>'Commodity Tonnages'!G9*Pricing!G9</f>
        <v>7457.284497000001</v>
      </c>
      <c r="H9" s="74">
        <f>'Commodity Tonnages'!H9*Pricing!H9</f>
        <v>11528.794764679998</v>
      </c>
      <c r="I9" s="74">
        <f>'Commodity Tonnages'!I9*Pricing!I9</f>
        <v>1199.22115982</v>
      </c>
      <c r="J9" s="74">
        <f>'Commodity Tonnages'!J9*Pricing!J9</f>
        <v>1199.22115982</v>
      </c>
      <c r="K9" s="74">
        <f>'Commodity Tonnages'!K9*Pricing!K9</f>
        <v>8084.05739856</v>
      </c>
      <c r="L9" s="74">
        <f>'Commodity Tonnages'!L9*Pricing!L9</f>
        <v>-2918.700255980006</v>
      </c>
      <c r="M9" s="131">
        <f>SUM(C9:L9)</f>
        <v>29291.561780519998</v>
      </c>
      <c r="O9" s="98">
        <f>+M9-Q9</f>
        <v>14645.781780519997</v>
      </c>
      <c r="P9" s="154">
        <f t="shared" si="1"/>
        <v>0.5000000303930533</v>
      </c>
      <c r="Q9" s="155">
        <v>14645.78</v>
      </c>
      <c r="R9" s="158"/>
    </row>
    <row r="10" spans="1:18" ht="15.75" customHeight="1">
      <c r="A10" s="65">
        <f>+Pricing!A10</f>
        <v>42643</v>
      </c>
      <c r="B10" s="66"/>
      <c r="C10" s="71">
        <f>'Commodity Tonnages'!C10*Pricing!C10</f>
        <v>2254.8036</v>
      </c>
      <c r="D10" s="74">
        <f>'Commodity Tonnages'!D10*Pricing!D10</f>
        <v>-400.68320136000006</v>
      </c>
      <c r="E10" s="74">
        <f>'Commodity Tonnages'!E10*Pricing!E10</f>
        <v>0</v>
      </c>
      <c r="F10" s="74">
        <f>'Commodity Tonnages'!F10*Pricing!F10</f>
        <v>375.14294895000006</v>
      </c>
      <c r="G10" s="74">
        <f>'Commodity Tonnages'!G10*Pricing!G10</f>
        <v>6779.251089</v>
      </c>
      <c r="H10" s="74">
        <f>'Commodity Tonnages'!H10*Pricing!H10</f>
        <v>9601.80426526</v>
      </c>
      <c r="I10" s="74">
        <f>'Commodity Tonnages'!I10*Pricing!I10</f>
        <v>954.6410873350002</v>
      </c>
      <c r="J10" s="74">
        <f>'Commodity Tonnages'!J10*Pricing!J10</f>
        <v>954.6410873350002</v>
      </c>
      <c r="K10" s="74">
        <f>'Commodity Tonnages'!K10*Pricing!K10</f>
        <v>6823.868590440001</v>
      </c>
      <c r="L10" s="74">
        <f>'Commodity Tonnages'!L10*Pricing!L10</f>
        <v>-2732.638281070006</v>
      </c>
      <c r="M10" s="131">
        <f t="shared" si="0"/>
        <v>24610.831185889998</v>
      </c>
      <c r="O10" s="98">
        <f t="shared" si="2"/>
        <v>12305.278885889997</v>
      </c>
      <c r="P10" s="154">
        <f t="shared" si="1"/>
        <v>0.4999944452483555</v>
      </c>
      <c r="Q10" s="155">
        <v>12305.552300000001</v>
      </c>
      <c r="R10" s="158"/>
    </row>
    <row r="11" spans="1:18" ht="15.75" customHeight="1">
      <c r="A11" s="65">
        <f>+Pricing!A11</f>
        <v>42674</v>
      </c>
      <c r="B11" s="66"/>
      <c r="C11" s="71">
        <f>'Commodity Tonnages'!C11*Pricing!C11</f>
        <v>2058.1764</v>
      </c>
      <c r="D11" s="74">
        <f>'Commodity Tonnages'!D11*Pricing!D11</f>
        <v>-400.93141088</v>
      </c>
      <c r="E11" s="74">
        <f>'Commodity Tonnages'!E11*Pricing!E11</f>
        <v>0</v>
      </c>
      <c r="F11" s="74">
        <f>'Commodity Tonnages'!F11*Pricing!F11</f>
        <v>292.60171248</v>
      </c>
      <c r="G11" s="74">
        <f>'Commodity Tonnages'!G11*Pricing!G11</f>
        <v>5830.367633999999</v>
      </c>
      <c r="H11" s="74">
        <f>'Commodity Tonnages'!H11*Pricing!H11</f>
        <v>8311.097449759998</v>
      </c>
      <c r="I11" s="74">
        <f>'Commodity Tonnages'!I11*Pricing!I11</f>
        <v>763.6518813</v>
      </c>
      <c r="J11" s="74">
        <f>'Commodity Tonnages'!J11*Pricing!J11</f>
        <v>763.6518813</v>
      </c>
      <c r="K11" s="74">
        <f>'Commodity Tonnages'!K11*Pricing!K11</f>
        <v>6241.66427808</v>
      </c>
      <c r="L11" s="74">
        <f>'Commodity Tonnages'!L11*Pricing!L11</f>
        <v>-2408.3303347600054</v>
      </c>
      <c r="M11" s="131">
        <f t="shared" si="0"/>
        <v>21451.949491279993</v>
      </c>
      <c r="O11" s="98">
        <f t="shared" si="2"/>
        <v>10726.788891279992</v>
      </c>
      <c r="P11" s="154">
        <f t="shared" si="1"/>
        <v>0.5000379520584051</v>
      </c>
      <c r="Q11" s="155">
        <v>10725.160600000001</v>
      </c>
      <c r="R11" s="158"/>
    </row>
    <row r="12" spans="1:18" ht="15.75" customHeight="1">
      <c r="A12" s="65">
        <f>+Pricing!A12</f>
        <v>42704</v>
      </c>
      <c r="B12" s="66"/>
      <c r="C12" s="71">
        <f>'Commodity Tonnages'!C12*Pricing!C12</f>
        <v>2292.84000225</v>
      </c>
      <c r="D12" s="74">
        <f>'Commodity Tonnages'!D12*Pricing!D12</f>
        <v>-1055.8106686400001</v>
      </c>
      <c r="E12" s="74">
        <f>'Commodity Tonnages'!E12*Pricing!E12</f>
        <v>0</v>
      </c>
      <c r="F12" s="74">
        <f>'Commodity Tonnages'!F12*Pricing!F12</f>
        <v>398.014920765</v>
      </c>
      <c r="G12" s="74">
        <f>'Commodity Tonnages'!G12*Pricing!G12</f>
        <v>6515.197143000001</v>
      </c>
      <c r="H12" s="74">
        <f>'Commodity Tonnages'!H12*Pricing!H12</f>
        <v>9595.65679114</v>
      </c>
      <c r="I12" s="74">
        <f>'Commodity Tonnages'!I12*Pricing!I12</f>
        <v>878.816288665</v>
      </c>
      <c r="J12" s="74">
        <f>'Commodity Tonnages'!J12*Pricing!J12</f>
        <v>878.816288665</v>
      </c>
      <c r="K12" s="74">
        <f>'Commodity Tonnages'!K12*Pricing!K12</f>
        <v>7206.92659764</v>
      </c>
      <c r="L12" s="74">
        <f>'Commodity Tonnages'!L12*Pricing!L12</f>
        <v>-2604.368823070006</v>
      </c>
      <c r="M12" s="131">
        <f t="shared" si="0"/>
        <v>24106.08854041499</v>
      </c>
      <c r="O12" s="98">
        <f t="shared" si="2"/>
        <v>12052.887940414988</v>
      </c>
      <c r="P12" s="154">
        <f t="shared" si="1"/>
        <v>0.4999935149249849</v>
      </c>
      <c r="Q12" s="155">
        <v>12053.2006</v>
      </c>
      <c r="R12" s="158"/>
    </row>
    <row r="13" spans="1:18" ht="15.75" customHeight="1">
      <c r="A13" s="65">
        <f>+Pricing!A13</f>
        <v>42735</v>
      </c>
      <c r="B13" s="66"/>
      <c r="C13" s="71">
        <f>'Commodity Tonnages'!C13*Pricing!C13</f>
        <v>2717.651643</v>
      </c>
      <c r="D13" s="74">
        <f>'Commodity Tonnages'!D13*Pricing!D13</f>
        <v>-1462.1918688</v>
      </c>
      <c r="E13" s="74">
        <f>'Commodity Tonnages'!E13*Pricing!E13</f>
        <v>0</v>
      </c>
      <c r="F13" s="74">
        <f>'Commodity Tonnages'!F13*Pricing!F13</f>
        <v>467.6272062</v>
      </c>
      <c r="G13" s="74">
        <f>'Commodity Tonnages'!G13*Pricing!G13</f>
        <v>7376.498766</v>
      </c>
      <c r="H13" s="74">
        <f>'Commodity Tonnages'!H13*Pricing!H13</f>
        <v>11605.05460688</v>
      </c>
      <c r="I13" s="74">
        <f>'Commodity Tonnages'!I13*Pricing!I13</f>
        <v>937.14126968</v>
      </c>
      <c r="J13" s="74">
        <f>'Commodity Tonnages'!J13*Pricing!J13</f>
        <v>937.14126968</v>
      </c>
      <c r="K13" s="74">
        <f>'Commodity Tonnages'!K13*Pricing!K13</f>
        <v>8419.557817440002</v>
      </c>
      <c r="L13" s="74">
        <f>'Commodity Tonnages'!L13*Pricing!L13</f>
        <v>-2990.1035876000064</v>
      </c>
      <c r="M13" s="131">
        <f t="shared" si="0"/>
        <v>28008.377122479997</v>
      </c>
      <c r="O13" s="98">
        <f t="shared" si="2"/>
        <v>14004.227122479997</v>
      </c>
      <c r="P13" s="154">
        <f t="shared" si="1"/>
        <v>0.5000013767752352</v>
      </c>
      <c r="Q13" s="155">
        <v>14004.15</v>
      </c>
      <c r="R13" s="158"/>
    </row>
    <row r="14" spans="1:18" ht="15.75" customHeight="1">
      <c r="A14" s="65">
        <f>+Pricing!A14</f>
        <v>42766</v>
      </c>
      <c r="B14" s="66"/>
      <c r="C14" s="71">
        <f>'Commodity Tonnages'!C14*Pricing!C14</f>
        <v>2763.4261431</v>
      </c>
      <c r="D14" s="74">
        <f>'Commodity Tonnages'!D14*Pricing!D14</f>
        <v>-808.3755680000002</v>
      </c>
      <c r="E14" s="74">
        <f>'Commodity Tonnages'!E14*Pricing!E14</f>
        <v>0</v>
      </c>
      <c r="F14" s="74">
        <f>'Commodity Tonnages'!F14*Pricing!F14</f>
        <v>565.59084813</v>
      </c>
      <c r="G14" s="74">
        <f>'Commodity Tonnages'!G14*Pricing!G14</f>
        <v>7626.0994719</v>
      </c>
      <c r="H14" s="74">
        <f>'Commodity Tonnages'!H14*Pricing!H14</f>
        <v>10753.58599826</v>
      </c>
      <c r="I14" s="74">
        <f>'Commodity Tonnages'!I14*Pricing!I14</f>
        <v>1044.808899155</v>
      </c>
      <c r="J14" s="74">
        <f>'Commodity Tonnages'!J14*Pricing!J14</f>
        <v>1044.808899155</v>
      </c>
      <c r="K14" s="74">
        <f>'Commodity Tonnages'!K14*Pricing!K14</f>
        <v>8856.919359287998</v>
      </c>
      <c r="L14" s="74">
        <f>'Commodity Tonnages'!L14*Pricing!L14</f>
        <v>-2962.0268284600065</v>
      </c>
      <c r="M14" s="131">
        <f t="shared" si="0"/>
        <v>28884.837222527993</v>
      </c>
      <c r="O14" s="98">
        <f t="shared" si="2"/>
        <v>14442.730522527994</v>
      </c>
      <c r="P14" s="154">
        <f t="shared" si="1"/>
        <v>0.5000107984428507</v>
      </c>
      <c r="Q14" s="155">
        <v>14442.106699999998</v>
      </c>
      <c r="R14" s="158"/>
    </row>
    <row r="15" spans="1:18" ht="15.75" customHeight="1">
      <c r="A15" s="65">
        <f>+Pricing!A15</f>
        <v>42794</v>
      </c>
      <c r="B15" s="66"/>
      <c r="C15" s="71">
        <f>'Commodity Tonnages'!C15*Pricing!C15</f>
        <v>2239.7607519</v>
      </c>
      <c r="D15" s="74">
        <f>'Commodity Tonnages'!D15*Pricing!D15</f>
        <v>-592.9411436</v>
      </c>
      <c r="E15" s="74">
        <f>'Commodity Tonnages'!E15*Pricing!E15</f>
        <v>0</v>
      </c>
      <c r="F15" s="74">
        <f>'Commodity Tonnages'!F15*Pricing!F15</f>
        <v>385.59453009</v>
      </c>
      <c r="G15" s="74">
        <f>'Commodity Tonnages'!G15*Pricing!G15</f>
        <v>6898.89169515</v>
      </c>
      <c r="H15" s="74">
        <f>'Commodity Tonnages'!H15*Pricing!H15</f>
        <v>10539.967007065998</v>
      </c>
      <c r="I15" s="74">
        <f>'Commodity Tonnages'!I15*Pricing!I15</f>
        <v>892.3214579369999</v>
      </c>
      <c r="J15" s="74">
        <f>'Commodity Tonnages'!J15*Pricing!J15</f>
        <v>892.3214579369999</v>
      </c>
      <c r="K15" s="74">
        <f>'Commodity Tonnages'!K15*Pricing!K15</f>
        <v>8011.613061143999</v>
      </c>
      <c r="L15" s="74">
        <f>'Commodity Tonnages'!L15*Pricing!L15</f>
        <v>-2265.3098890900046</v>
      </c>
      <c r="M15" s="131">
        <f t="shared" si="0"/>
        <v>27002.218928533992</v>
      </c>
      <c r="O15" s="98">
        <f t="shared" si="2"/>
        <v>13501.430628533994</v>
      </c>
      <c r="P15" s="154">
        <f t="shared" si="1"/>
        <v>0.500011893995373</v>
      </c>
      <c r="Q15" s="155">
        <v>13500.788299999998</v>
      </c>
      <c r="R15" s="158"/>
    </row>
    <row r="16" spans="1:18" ht="15.75" customHeight="1">
      <c r="A16" s="65">
        <f>+Pricing!A16</f>
        <v>42825</v>
      </c>
      <c r="B16" s="66"/>
      <c r="C16" s="71">
        <f>'Commodity Tonnages'!C16*Pricing!C16</f>
        <v>2617.1972106</v>
      </c>
      <c r="D16" s="74">
        <f>'Commodity Tonnages'!D16*Pricing!D16</f>
        <v>-670.72389696</v>
      </c>
      <c r="E16" s="74">
        <f>'Commodity Tonnages'!E16*Pricing!E16</f>
        <v>0</v>
      </c>
      <c r="F16" s="74">
        <f>'Commodity Tonnages'!F16*Pricing!F16</f>
        <v>535.41626523</v>
      </c>
      <c r="G16" s="74">
        <f>'Commodity Tonnages'!G16*Pricing!G16</f>
        <v>7541.3922948</v>
      </c>
      <c r="H16" s="74">
        <f>'Commodity Tonnages'!H16*Pricing!H16</f>
        <v>11985.205995896</v>
      </c>
      <c r="I16" s="74">
        <f>'Commodity Tonnages'!I16*Pricing!I16</f>
        <v>889.070345023</v>
      </c>
      <c r="J16" s="74">
        <f>'Commodity Tonnages'!J16*Pricing!J16</f>
        <v>889.070345023</v>
      </c>
      <c r="K16" s="74">
        <f>'Commodity Tonnages'!K16*Pricing!K16</f>
        <v>10160.27595198</v>
      </c>
      <c r="L16" s="74">
        <f>'Commodity Tonnages'!L16*Pricing!L16</f>
        <v>-2900.203732060006</v>
      </c>
      <c r="M16" s="131">
        <f t="shared" si="0"/>
        <v>31046.700779531995</v>
      </c>
      <c r="O16" s="98">
        <f t="shared" si="2"/>
        <v>15523.107179531995</v>
      </c>
      <c r="P16" s="154">
        <f t="shared" si="1"/>
        <v>0.4999921663098527</v>
      </c>
      <c r="Q16" s="155">
        <v>15523.5936</v>
      </c>
      <c r="R16" s="158"/>
    </row>
    <row r="17" spans="1:18" ht="15.75" customHeight="1">
      <c r="A17" s="65">
        <f>+Pricing!A17</f>
        <v>42855</v>
      </c>
      <c r="B17" s="66"/>
      <c r="C17" s="71">
        <f>'Commodity Tonnages'!C17*Pricing!C17</f>
        <v>2163.48957825</v>
      </c>
      <c r="D17" s="74">
        <f>'Commodity Tonnages'!D17*Pricing!D17</f>
        <v>-562.2679347999999</v>
      </c>
      <c r="E17" s="74">
        <f>'Commodity Tonnages'!E17*Pricing!E17</f>
        <v>0</v>
      </c>
      <c r="F17" s="74">
        <f>'Commodity Tonnages'!F17*Pricing!F17</f>
        <v>390.5679921</v>
      </c>
      <c r="G17" s="74">
        <f>'Commodity Tonnages'!G17*Pricing!G17</f>
        <v>3621.192237</v>
      </c>
      <c r="H17" s="74">
        <f>'Commodity Tonnages'!H17*Pricing!H17</f>
        <v>5303.0932851</v>
      </c>
      <c r="I17" s="74">
        <f>'Commodity Tonnages'!I17*Pricing!I17</f>
        <v>689.09654931</v>
      </c>
      <c r="J17" s="74">
        <f>'Commodity Tonnages'!J17*Pricing!J17</f>
        <v>689.09654931</v>
      </c>
      <c r="K17" s="74">
        <f>'Commodity Tonnages'!K17*Pricing!K17</f>
        <v>6453.01879794</v>
      </c>
      <c r="L17" s="74">
        <f>'Commodity Tonnages'!L17*Pricing!L17</f>
        <v>-2428.9146397100053</v>
      </c>
      <c r="M17" s="131">
        <f t="shared" si="0"/>
        <v>16318.372414499994</v>
      </c>
      <c r="O17" s="98">
        <f t="shared" si="2"/>
        <v>8159.285114499995</v>
      </c>
      <c r="P17" s="154">
        <f t="shared" si="1"/>
        <v>0.5000060610977299</v>
      </c>
      <c r="Q17" s="155">
        <v>8159.087299999999</v>
      </c>
      <c r="R17" s="158"/>
    </row>
    <row r="18" spans="1:17" ht="15.75" customHeight="1">
      <c r="A18" s="69" t="s">
        <v>32</v>
      </c>
      <c r="B18" s="66"/>
      <c r="C18" s="132">
        <f aca="true" t="shared" si="3" ref="C18:L18">SUM(C6:C17)</f>
        <v>27818.4817116</v>
      </c>
      <c r="D18" s="133">
        <f t="shared" si="3"/>
        <v>-7215.481880880001</v>
      </c>
      <c r="E18" s="133">
        <f t="shared" si="3"/>
        <v>0</v>
      </c>
      <c r="F18" s="132">
        <f t="shared" si="3"/>
        <v>4963.630426095</v>
      </c>
      <c r="G18" s="132">
        <f t="shared" si="3"/>
        <v>75649.98178335</v>
      </c>
      <c r="H18" s="132">
        <f t="shared" si="3"/>
        <v>114272.59723616196</v>
      </c>
      <c r="I18" s="132">
        <f t="shared" si="3"/>
        <v>11412.227035034999</v>
      </c>
      <c r="J18" s="132">
        <f t="shared" si="3"/>
        <v>11412.227035034999</v>
      </c>
      <c r="K18" s="132">
        <f t="shared" si="3"/>
        <v>87918.462106992</v>
      </c>
      <c r="L18" s="133">
        <f t="shared" si="3"/>
        <v>-31794.884380100066</v>
      </c>
      <c r="M18" s="134">
        <f>SUM(C18:L18)</f>
        <v>294437.2410732889</v>
      </c>
      <c r="O18" s="135">
        <f>SUM(O6:O17)</f>
        <v>147218.55137328894</v>
      </c>
      <c r="P18" s="140">
        <f>+O18/M18</f>
        <v>0.4999997650998384</v>
      </c>
      <c r="Q18" s="135">
        <f>+M18-O18</f>
        <v>147218.68969999996</v>
      </c>
    </row>
    <row r="19" spans="1:15" ht="12.75">
      <c r="A19" s="66"/>
      <c r="B19" s="66"/>
      <c r="C19" s="71"/>
      <c r="D19" s="71"/>
      <c r="E19" s="71"/>
      <c r="F19" s="71"/>
      <c r="G19" s="71"/>
      <c r="H19" s="71"/>
      <c r="I19" s="71"/>
      <c r="J19" s="71"/>
      <c r="K19" s="71"/>
      <c r="L19" s="71"/>
      <c r="M19" s="71"/>
      <c r="O19" s="80"/>
    </row>
    <row r="20" spans="1:15" ht="12.75">
      <c r="A20" s="66"/>
      <c r="B20" s="66"/>
      <c r="C20" s="66"/>
      <c r="D20" s="66"/>
      <c r="E20" s="66"/>
      <c r="F20" s="66"/>
      <c r="G20" s="66"/>
      <c r="H20" s="66"/>
      <c r="I20" s="66"/>
      <c r="J20" s="66"/>
      <c r="K20" s="66"/>
      <c r="L20" s="66"/>
      <c r="M20" s="67"/>
      <c r="O20" s="81"/>
    </row>
    <row r="21" spans="1:15" ht="12.75">
      <c r="A21" s="66"/>
      <c r="B21" s="66"/>
      <c r="C21" s="66"/>
      <c r="D21" s="66"/>
      <c r="E21" s="66"/>
      <c r="F21" s="66"/>
      <c r="G21" s="66"/>
      <c r="H21" s="66"/>
      <c r="I21" s="66"/>
      <c r="J21" s="66"/>
      <c r="K21" s="66"/>
      <c r="L21" s="66"/>
      <c r="M21" s="67"/>
      <c r="O21" s="82"/>
    </row>
    <row r="22" spans="1:13" ht="12.75">
      <c r="A22" s="66"/>
      <c r="B22" s="66"/>
      <c r="C22" s="66"/>
      <c r="D22" s="66"/>
      <c r="E22" s="66"/>
      <c r="F22" s="66"/>
      <c r="G22" s="66"/>
      <c r="H22" s="66"/>
      <c r="I22" s="66"/>
      <c r="J22" s="66"/>
      <c r="K22" s="66"/>
      <c r="L22" s="66"/>
      <c r="M22" s="67"/>
    </row>
    <row r="23" spans="1:13" ht="12.75">
      <c r="A23" s="66"/>
      <c r="B23" s="66"/>
      <c r="C23" s="66"/>
      <c r="D23" s="66"/>
      <c r="E23" s="66"/>
      <c r="F23" s="66"/>
      <c r="G23" s="66"/>
      <c r="H23" s="66"/>
      <c r="I23" s="66"/>
      <c r="J23" s="66"/>
      <c r="K23" s="66"/>
      <c r="L23" s="66"/>
      <c r="M23" s="67"/>
    </row>
    <row r="24" spans="1:13" ht="12.75">
      <c r="A24" s="66"/>
      <c r="B24" s="66"/>
      <c r="C24" s="66"/>
      <c r="D24" s="66"/>
      <c r="E24" s="66"/>
      <c r="F24" s="66"/>
      <c r="G24" s="66"/>
      <c r="H24" s="66"/>
      <c r="I24" s="66"/>
      <c r="J24" s="66"/>
      <c r="K24" s="66"/>
      <c r="L24" s="66"/>
      <c r="M24" s="67"/>
    </row>
    <row r="25" spans="1:13" ht="12.75">
      <c r="A25" s="66"/>
      <c r="B25" s="66"/>
      <c r="C25" s="66"/>
      <c r="D25" s="66"/>
      <c r="E25" s="66"/>
      <c r="F25" s="66"/>
      <c r="G25" s="66"/>
      <c r="H25" s="66"/>
      <c r="I25" s="66"/>
      <c r="J25" s="66"/>
      <c r="K25" s="66"/>
      <c r="L25" s="66"/>
      <c r="M25" s="67"/>
    </row>
    <row r="26" spans="1:13" ht="12.75">
      <c r="A26" s="66"/>
      <c r="B26" s="66"/>
      <c r="C26" s="66"/>
      <c r="D26" s="66"/>
      <c r="E26" s="66"/>
      <c r="F26" s="66"/>
      <c r="G26" s="66"/>
      <c r="H26" s="66"/>
      <c r="I26" s="66"/>
      <c r="J26" s="66"/>
      <c r="K26" s="66"/>
      <c r="L26" s="66"/>
      <c r="M26" s="67"/>
    </row>
    <row r="27" spans="1:13" ht="12.75">
      <c r="A27" s="66"/>
      <c r="B27" s="66"/>
      <c r="C27" s="66"/>
      <c r="D27" s="66"/>
      <c r="E27" s="66"/>
      <c r="F27" s="66"/>
      <c r="G27" s="66"/>
      <c r="H27" s="66"/>
      <c r="I27" s="66"/>
      <c r="J27" s="66"/>
      <c r="K27" s="66"/>
      <c r="L27" s="66"/>
      <c r="M27" s="67"/>
    </row>
    <row r="28" spans="1:13" ht="12.75">
      <c r="A28" s="66"/>
      <c r="B28" s="66"/>
      <c r="C28" s="66"/>
      <c r="D28" s="66"/>
      <c r="E28" s="66"/>
      <c r="F28" s="66"/>
      <c r="G28" s="66"/>
      <c r="H28" s="66"/>
      <c r="I28" s="66"/>
      <c r="J28" s="66"/>
      <c r="K28" s="66"/>
      <c r="L28" s="66"/>
      <c r="M28" s="66"/>
    </row>
    <row r="29" spans="1:13" ht="12.75">
      <c r="A29" s="66"/>
      <c r="B29" s="66"/>
      <c r="C29" s="66"/>
      <c r="D29" s="66"/>
      <c r="E29" s="66"/>
      <c r="F29" s="66"/>
      <c r="G29" s="66"/>
      <c r="H29" s="66"/>
      <c r="I29" s="66"/>
      <c r="J29" s="66"/>
      <c r="K29" s="66"/>
      <c r="L29" s="66"/>
      <c r="M29" s="66"/>
    </row>
    <row r="30" spans="1:13" ht="12.75">
      <c r="A30" s="66"/>
      <c r="B30" s="66"/>
      <c r="C30" s="66"/>
      <c r="D30" s="66"/>
      <c r="E30" s="66"/>
      <c r="F30" s="66"/>
      <c r="G30" s="66"/>
      <c r="H30" s="66"/>
      <c r="I30" s="66"/>
      <c r="J30" s="66"/>
      <c r="K30" s="66"/>
      <c r="L30" s="66"/>
      <c r="M30" s="66"/>
    </row>
    <row r="31" spans="1:13" ht="12.75">
      <c r="A31" s="66"/>
      <c r="B31" s="66"/>
      <c r="C31" s="66"/>
      <c r="D31" s="66"/>
      <c r="E31" s="66"/>
      <c r="F31" s="66"/>
      <c r="G31" s="66"/>
      <c r="H31" s="66"/>
      <c r="I31" s="66"/>
      <c r="J31" s="66"/>
      <c r="K31" s="66"/>
      <c r="L31" s="66"/>
      <c r="M31" s="66"/>
    </row>
    <row r="32" spans="1:13" ht="12.75">
      <c r="A32" s="66"/>
      <c r="B32" s="66"/>
      <c r="C32" s="66"/>
      <c r="D32" s="66"/>
      <c r="E32" s="66"/>
      <c r="F32" s="66"/>
      <c r="G32" s="66"/>
      <c r="H32" s="66"/>
      <c r="I32" s="66"/>
      <c r="J32" s="66"/>
      <c r="K32" s="66"/>
      <c r="L32" s="66"/>
      <c r="M32" s="66"/>
    </row>
    <row r="33" spans="1:13" ht="12.75">
      <c r="A33" s="66"/>
      <c r="B33" s="66"/>
      <c r="C33" s="66"/>
      <c r="D33" s="66"/>
      <c r="E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sheetData>
  <sheetProtection/>
  <printOptions/>
  <pageMargins left="0.25" right="0.25"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dimension ref="A1:P118"/>
  <sheetViews>
    <sheetView showGridLines="0" view="pageBreakPreview" zoomScaleSheetLayoutView="100" zoomScalePageLayoutView="0" workbookViewId="0" topLeftCell="A1">
      <selection activeCell="E15" sqref="E15"/>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59" t="str">
        <f>"Single-Family Tonnages by Commodity ("&amp;TEXT(A6,"mmmm yyyy")&amp;" through "&amp;TEXT(A17,"mmmm yyyy")&amp;")"</f>
        <v>Single-Family Tonnages by Commodity (May 2016 through April 2017)</v>
      </c>
      <c r="B1" s="60"/>
    </row>
    <row r="2" spans="1:2" ht="12.75">
      <c r="A2" s="61" t="str">
        <f>'WUTC_AW of Bellevue_SF'!A1</f>
        <v>Rabanco Ltd (dba Allied Waste of Bellevue)</v>
      </c>
      <c r="B2" s="61"/>
    </row>
    <row r="3" spans="1:2" ht="12.75">
      <c r="A3" s="61"/>
      <c r="B3" s="61"/>
    </row>
    <row r="4" spans="1:2" ht="12.75">
      <c r="A4" s="61"/>
      <c r="B4" s="61"/>
    </row>
    <row r="5" spans="1:14" ht="12.75">
      <c r="A5" s="60"/>
      <c r="B5" s="62"/>
      <c r="C5" s="63" t="s">
        <v>21</v>
      </c>
      <c r="D5" s="63" t="s">
        <v>22</v>
      </c>
      <c r="E5" s="63" t="s">
        <v>33</v>
      </c>
      <c r="F5" s="63" t="s">
        <v>23</v>
      </c>
      <c r="G5" s="63" t="s">
        <v>24</v>
      </c>
      <c r="H5" s="63" t="s">
        <v>25</v>
      </c>
      <c r="I5" s="63" t="s">
        <v>26</v>
      </c>
      <c r="J5" s="63" t="s">
        <v>27</v>
      </c>
      <c r="K5" s="63" t="s">
        <v>28</v>
      </c>
      <c r="L5" s="63" t="s">
        <v>29</v>
      </c>
      <c r="M5" s="63"/>
      <c r="N5" s="63" t="s">
        <v>30</v>
      </c>
    </row>
    <row r="6" spans="1:16" ht="15.75" customHeight="1">
      <c r="A6" s="130">
        <f>'Single Family'!$C$6</f>
        <v>42491</v>
      </c>
      <c r="B6" s="66" t="s">
        <v>67</v>
      </c>
      <c r="C6" s="108">
        <f>'Single Family'!C32</f>
        <v>2.5053</v>
      </c>
      <c r="D6" s="109">
        <f>'Single Family'!C34</f>
        <v>59.05827200000001</v>
      </c>
      <c r="E6" s="108">
        <f>'Single Family'!C35</f>
        <v>0</v>
      </c>
      <c r="F6" s="108">
        <f>'Single Family'!C30</f>
        <v>5.511660000000001</v>
      </c>
      <c r="G6" s="108">
        <f>'Single Family'!C27</f>
        <v>65.13780000000001</v>
      </c>
      <c r="H6" s="108">
        <f>'Single Family'!C37</f>
        <v>107.494072</v>
      </c>
      <c r="I6" s="108">
        <f>'Single Family'!C31/2</f>
        <v>7.499198000000001</v>
      </c>
      <c r="J6" s="108">
        <f>'Single Family'!C31/2</f>
        <v>7.499198000000001</v>
      </c>
      <c r="K6" s="108">
        <f>'Single Family'!C28</f>
        <v>59.525928</v>
      </c>
      <c r="L6" s="108">
        <f>'Single Family'!C36</f>
        <v>19.808572000000044</v>
      </c>
      <c r="M6" s="64"/>
      <c r="N6" s="136">
        <f aca="true" t="shared" si="0" ref="N6:N17">SUM(C6:L6)</f>
        <v>334.0400000000001</v>
      </c>
      <c r="O6" s="75"/>
      <c r="P6" s="68"/>
    </row>
    <row r="7" spans="1:16" ht="15.75" customHeight="1">
      <c r="A7" s="65">
        <f aca="true" t="shared" si="1" ref="A7:A17">EOMONTH(A6,1)</f>
        <v>42551</v>
      </c>
      <c r="B7" s="66" t="s">
        <v>68</v>
      </c>
      <c r="C7" s="108">
        <f>'Single Family'!D32</f>
        <v>2.929725</v>
      </c>
      <c r="D7" s="109">
        <f>'Single Family'!D34</f>
        <v>69.063384</v>
      </c>
      <c r="E7" s="108">
        <f>'Single Family'!D35</f>
        <v>0</v>
      </c>
      <c r="F7" s="108">
        <f>'Single Family'!D30</f>
        <v>6.445395</v>
      </c>
      <c r="G7" s="108">
        <f>'Single Family'!D27</f>
        <v>76.17285</v>
      </c>
      <c r="H7" s="108">
        <f>'Single Family'!D37</f>
        <v>125.70473399999999</v>
      </c>
      <c r="I7" s="108">
        <f>'Single Family'!D31/2</f>
        <v>8.7696435</v>
      </c>
      <c r="J7" s="108">
        <f>'Single Family'!D31/2</f>
        <v>8.7696435</v>
      </c>
      <c r="K7" s="108">
        <f>'Single Family'!D28</f>
        <v>69.610266</v>
      </c>
      <c r="L7" s="108">
        <f>'Single Family'!D36</f>
        <v>23.16435900000005</v>
      </c>
      <c r="M7" s="64"/>
      <c r="N7" s="136">
        <f t="shared" si="0"/>
        <v>390.63000000000005</v>
      </c>
      <c r="P7" s="68"/>
    </row>
    <row r="8" spans="1:16" ht="15.75" customHeight="1">
      <c r="A8" s="65">
        <f t="shared" si="1"/>
        <v>42582</v>
      </c>
      <c r="B8" s="66" t="s">
        <v>69</v>
      </c>
      <c r="C8" s="108">
        <f>'Single Family'!E32</f>
        <v>2.547225</v>
      </c>
      <c r="D8" s="109">
        <f>'Single Family'!E34</f>
        <v>60.046584</v>
      </c>
      <c r="E8" s="108">
        <f>'Single Family'!E35</f>
        <v>0</v>
      </c>
      <c r="F8" s="108">
        <f>'Single Family'!E30</f>
        <v>5.6038950000000005</v>
      </c>
      <c r="G8" s="108">
        <f>'Single Family'!E27</f>
        <v>66.22785</v>
      </c>
      <c r="H8" s="108">
        <f>'Single Family'!E37</f>
        <v>109.29293399999999</v>
      </c>
      <c r="I8" s="108">
        <f>'Single Family'!E31/2</f>
        <v>7.6246935</v>
      </c>
      <c r="J8" s="108">
        <f>'Single Family'!E31/2</f>
        <v>7.6246935</v>
      </c>
      <c r="K8" s="108">
        <f>'Single Family'!E28</f>
        <v>60.522065999999995</v>
      </c>
      <c r="L8" s="108">
        <f>'Single Family'!E36</f>
        <v>20.140059000000043</v>
      </c>
      <c r="M8" s="64"/>
      <c r="N8" s="136">
        <f t="shared" si="0"/>
        <v>339.63000000000005</v>
      </c>
      <c r="P8" s="68"/>
    </row>
    <row r="9" spans="1:16" ht="15.75" customHeight="1">
      <c r="A9" s="65">
        <f t="shared" si="1"/>
        <v>42613</v>
      </c>
      <c r="B9" s="66" t="s">
        <v>70</v>
      </c>
      <c r="C9" s="108">
        <f>'Single Family'!F32</f>
        <v>3.07185</v>
      </c>
      <c r="D9" s="109">
        <f>'Single Family'!F34</f>
        <v>72.41374400000001</v>
      </c>
      <c r="E9" s="108">
        <f>'Single Family'!F35</f>
        <v>0</v>
      </c>
      <c r="F9" s="108">
        <f>'Single Family'!F30</f>
        <v>6.75807</v>
      </c>
      <c r="G9" s="108">
        <f>'Single Family'!F27</f>
        <v>79.8681</v>
      </c>
      <c r="H9" s="108">
        <f>'Single Family'!F37</f>
        <v>131.802844</v>
      </c>
      <c r="I9" s="108">
        <f>'Single Family'!F31/2</f>
        <v>9.195071</v>
      </c>
      <c r="J9" s="108">
        <f>'Single Family'!F31/2</f>
        <v>9.195071</v>
      </c>
      <c r="K9" s="108">
        <f>'Single Family'!F28</f>
        <v>72.987156</v>
      </c>
      <c r="L9" s="108">
        <f>'Single Family'!F36</f>
        <v>24.28809400000005</v>
      </c>
      <c r="M9" s="64"/>
      <c r="N9" s="136">
        <f t="shared" si="0"/>
        <v>409.58</v>
      </c>
      <c r="P9" s="68"/>
    </row>
    <row r="10" spans="1:16" ht="15.75" customHeight="1">
      <c r="A10" s="65">
        <f t="shared" si="1"/>
        <v>42643</v>
      </c>
      <c r="B10" s="66" t="s">
        <v>71</v>
      </c>
      <c r="C10" s="108">
        <f>'Single Family'!G32</f>
        <v>2.8760250000000003</v>
      </c>
      <c r="D10" s="109">
        <f>'Single Family'!G34</f>
        <v>67.79749600000001</v>
      </c>
      <c r="E10" s="108">
        <f>'Single Family'!G35</f>
        <v>0</v>
      </c>
      <c r="F10" s="108">
        <f>'Single Family'!G30</f>
        <v>6.327255000000001</v>
      </c>
      <c r="G10" s="108">
        <f>'Single Family'!G27</f>
        <v>74.77665</v>
      </c>
      <c r="H10" s="108">
        <f>'Single Family'!G37</f>
        <v>123.400646</v>
      </c>
      <c r="I10" s="108">
        <f>'Single Family'!G31/2</f>
        <v>8.608901500000002</v>
      </c>
      <c r="J10" s="108">
        <f>'Single Family'!G31/2</f>
        <v>8.608901500000002</v>
      </c>
      <c r="K10" s="108">
        <f>'Single Family'!G28</f>
        <v>68.334354</v>
      </c>
      <c r="L10" s="108">
        <f>'Single Family'!G36</f>
        <v>22.73977100000005</v>
      </c>
      <c r="M10" s="64"/>
      <c r="N10" s="136">
        <f t="shared" si="0"/>
        <v>383.4700000000001</v>
      </c>
      <c r="P10" s="68"/>
    </row>
    <row r="11" spans="1:16" ht="15.75" customHeight="1">
      <c r="A11" s="65">
        <f t="shared" si="1"/>
        <v>42674</v>
      </c>
      <c r="B11" s="66" t="s">
        <v>72</v>
      </c>
      <c r="C11" s="108">
        <f>'Single Family'!H32</f>
        <v>2.5347</v>
      </c>
      <c r="D11" s="109">
        <f>'Single Family'!H34</f>
        <v>59.751328</v>
      </c>
      <c r="E11" s="108">
        <f>'Single Family'!H35</f>
        <v>0</v>
      </c>
      <c r="F11" s="108">
        <f>'Single Family'!H30</f>
        <v>5.57634</v>
      </c>
      <c r="G11" s="108">
        <f>'Single Family'!H27</f>
        <v>65.9022</v>
      </c>
      <c r="H11" s="108">
        <f>'Single Family'!H37</f>
        <v>108.75552799999998</v>
      </c>
      <c r="I11" s="108">
        <f>'Single Family'!H31/2</f>
        <v>7.587202</v>
      </c>
      <c r="J11" s="108">
        <f>'Single Family'!H31/2</f>
        <v>7.587202</v>
      </c>
      <c r="K11" s="108">
        <f>'Single Family'!H28</f>
        <v>60.224472</v>
      </c>
      <c r="L11" s="108">
        <f>'Single Family'!H36</f>
        <v>20.041028000000043</v>
      </c>
      <c r="M11" s="64"/>
      <c r="N11" s="136">
        <f t="shared" si="0"/>
        <v>337.96</v>
      </c>
      <c r="P11" s="68"/>
    </row>
    <row r="12" spans="1:16" ht="15.75" customHeight="1">
      <c r="A12" s="65">
        <f t="shared" si="1"/>
        <v>42704</v>
      </c>
      <c r="B12" s="66" t="s">
        <v>73</v>
      </c>
      <c r="C12" s="108">
        <f>'Single Family'!I32</f>
        <v>2.741025</v>
      </c>
      <c r="D12" s="109">
        <f>'Single Family'!I34</f>
        <v>64.61509600000001</v>
      </c>
      <c r="E12" s="108">
        <f>'Single Family'!I35</f>
        <v>0</v>
      </c>
      <c r="F12" s="108">
        <f>'Single Family'!I30</f>
        <v>6.030255</v>
      </c>
      <c r="G12" s="108">
        <f>'Single Family'!I27</f>
        <v>71.26665000000001</v>
      </c>
      <c r="H12" s="108">
        <f>'Single Family'!I37</f>
        <v>117.608246</v>
      </c>
      <c r="I12" s="108">
        <f>'Single Family'!I31/2</f>
        <v>8.2048015</v>
      </c>
      <c r="J12" s="108">
        <f>'Single Family'!I31/2</f>
        <v>8.2048015</v>
      </c>
      <c r="K12" s="108">
        <f>'Single Family'!I28</f>
        <v>65.126754</v>
      </c>
      <c r="L12" s="108">
        <f>'Single Family'!I36</f>
        <v>21.672371000000048</v>
      </c>
      <c r="M12" s="64"/>
      <c r="N12" s="136">
        <f t="shared" si="0"/>
        <v>365.47</v>
      </c>
      <c r="P12" s="68"/>
    </row>
    <row r="13" spans="1:16" ht="15.75" customHeight="1">
      <c r="A13" s="65">
        <f t="shared" si="1"/>
        <v>42735</v>
      </c>
      <c r="B13" s="66" t="s">
        <v>74</v>
      </c>
      <c r="C13" s="108">
        <f>'Single Family'!J32</f>
        <v>3.1470000000000002</v>
      </c>
      <c r="D13" s="109">
        <f>'Single Family'!J34</f>
        <v>74.18528</v>
      </c>
      <c r="E13" s="108">
        <f>'Single Family'!J35</f>
        <v>0</v>
      </c>
      <c r="F13" s="108">
        <f>'Single Family'!J30</f>
        <v>6.923400000000001</v>
      </c>
      <c r="G13" s="108">
        <f>'Single Family'!J27</f>
        <v>81.822</v>
      </c>
      <c r="H13" s="108">
        <f>'Single Family'!J37</f>
        <v>135.02728</v>
      </c>
      <c r="I13" s="108">
        <f>'Single Family'!J31/2</f>
        <v>9.420020000000001</v>
      </c>
      <c r="J13" s="108">
        <f>'Single Family'!J31/2</f>
        <v>9.420020000000001</v>
      </c>
      <c r="K13" s="108">
        <f>'Single Family'!J28</f>
        <v>74.77272</v>
      </c>
      <c r="L13" s="108">
        <f>'Single Family'!J36</f>
        <v>24.882280000000055</v>
      </c>
      <c r="M13" s="64"/>
      <c r="N13" s="136">
        <f t="shared" si="0"/>
        <v>419.6000000000001</v>
      </c>
      <c r="P13" s="68"/>
    </row>
    <row r="14" spans="1:16" ht="15.75" customHeight="1">
      <c r="A14" s="65">
        <f t="shared" si="1"/>
        <v>42766</v>
      </c>
      <c r="B14" s="66" t="s">
        <v>75</v>
      </c>
      <c r="C14" s="108">
        <f>'Single Family'!K32</f>
        <v>3.1174500000000003</v>
      </c>
      <c r="D14" s="109">
        <f>'Single Family'!K34</f>
        <v>73.48868800000001</v>
      </c>
      <c r="E14" s="108">
        <f>'Single Family'!K35</f>
        <v>0</v>
      </c>
      <c r="F14" s="108">
        <f>'Single Family'!K30</f>
        <v>6.858390000000001</v>
      </c>
      <c r="G14" s="108">
        <f>'Single Family'!K27</f>
        <v>81.0537</v>
      </c>
      <c r="H14" s="108">
        <f>'Single Family'!K37</f>
        <v>133.759388</v>
      </c>
      <c r="I14" s="108">
        <f>'Single Family'!K31/2</f>
        <v>9.331567000000001</v>
      </c>
      <c r="J14" s="108">
        <f>'Single Family'!K31/2</f>
        <v>9.331567000000001</v>
      </c>
      <c r="K14" s="108">
        <f>'Single Family'!K28</f>
        <v>74.070612</v>
      </c>
      <c r="L14" s="108">
        <f>'Single Family'!K36</f>
        <v>24.648638000000055</v>
      </c>
      <c r="M14" s="64"/>
      <c r="N14" s="136">
        <f t="shared" si="0"/>
        <v>415.6600000000001</v>
      </c>
      <c r="P14" s="68"/>
    </row>
    <row r="15" spans="1:16" ht="15.75" customHeight="1">
      <c r="A15" s="65">
        <f t="shared" si="1"/>
        <v>42794</v>
      </c>
      <c r="B15" s="66" t="s">
        <v>76</v>
      </c>
      <c r="C15" s="108">
        <f>'Single Family'!L32</f>
        <v>2.384175</v>
      </c>
      <c r="D15" s="109">
        <f>'Single Family'!L34</f>
        <v>56.202952</v>
      </c>
      <c r="E15" s="108">
        <f>'Single Family'!L35</f>
        <v>0</v>
      </c>
      <c r="F15" s="108">
        <f>'Single Family'!L30</f>
        <v>5.245185</v>
      </c>
      <c r="G15" s="108">
        <f>'Single Family'!L27</f>
        <v>61.98855</v>
      </c>
      <c r="H15" s="108">
        <f>'Single Family'!L37</f>
        <v>102.29700199999999</v>
      </c>
      <c r="I15" s="108">
        <f>'Single Family'!L31/2</f>
        <v>7.1366305</v>
      </c>
      <c r="J15" s="108">
        <f>'Single Family'!L31/2</f>
        <v>7.1366305</v>
      </c>
      <c r="K15" s="108">
        <f>'Single Family'!L28</f>
        <v>56.647997999999994</v>
      </c>
      <c r="L15" s="108">
        <f>'Single Family'!L36</f>
        <v>18.85087700000004</v>
      </c>
      <c r="M15" s="64"/>
      <c r="N15" s="136">
        <f t="shared" si="0"/>
        <v>317.89</v>
      </c>
      <c r="P15" s="68"/>
    </row>
    <row r="16" spans="1:16" ht="15.75" customHeight="1">
      <c r="A16" s="65">
        <f t="shared" si="1"/>
        <v>42825</v>
      </c>
      <c r="B16" s="66" t="s">
        <v>77</v>
      </c>
      <c r="C16" s="108">
        <f>'Single Family'!M32</f>
        <v>2.7253499999999997</v>
      </c>
      <c r="D16" s="109">
        <f>'Single Family'!M34</f>
        <v>64.24558400000001</v>
      </c>
      <c r="E16" s="108">
        <f>'Single Family'!M35</f>
        <v>0</v>
      </c>
      <c r="F16" s="108">
        <f>'Single Family'!M30</f>
        <v>5.99577</v>
      </c>
      <c r="G16" s="108">
        <f>'Single Family'!M27</f>
        <v>70.8591</v>
      </c>
      <c r="H16" s="108">
        <f>'Single Family'!M37</f>
        <v>116.935684</v>
      </c>
      <c r="I16" s="108">
        <f>'Single Family'!M31/2</f>
        <v>8.157881</v>
      </c>
      <c r="J16" s="108">
        <f>'Single Family'!M31/2</f>
        <v>8.157881</v>
      </c>
      <c r="K16" s="108">
        <f>'Single Family'!M28</f>
        <v>64.754316</v>
      </c>
      <c r="L16" s="108">
        <f>'Single Family'!M36</f>
        <v>21.548434000000046</v>
      </c>
      <c r="M16" s="64"/>
      <c r="N16" s="136">
        <f t="shared" si="0"/>
        <v>363.38</v>
      </c>
      <c r="P16" s="68"/>
    </row>
    <row r="17" spans="1:16" ht="15.75" customHeight="1">
      <c r="A17" s="65">
        <f t="shared" si="1"/>
        <v>42855</v>
      </c>
      <c r="B17" s="66" t="s">
        <v>78</v>
      </c>
      <c r="C17" s="108">
        <f>'Single Family'!N32</f>
        <v>2.282475</v>
      </c>
      <c r="D17" s="109">
        <f>'Single Family'!N34</f>
        <v>53.805544</v>
      </c>
      <c r="E17" s="108">
        <f>'Single Family'!N35</f>
        <v>0</v>
      </c>
      <c r="F17" s="108">
        <f>'Single Family'!N30</f>
        <v>5.021445</v>
      </c>
      <c r="G17" s="108">
        <f>'Single Family'!N27</f>
        <v>59.34435</v>
      </c>
      <c r="H17" s="108">
        <f>'Single Family'!N37</f>
        <v>97.93339399999999</v>
      </c>
      <c r="I17" s="108">
        <f>'Single Family'!N31/2</f>
        <v>6.8322085</v>
      </c>
      <c r="J17" s="108">
        <f>'Single Family'!N31/2</f>
        <v>6.8322085</v>
      </c>
      <c r="K17" s="108">
        <f>'Single Family'!N28</f>
        <v>54.231606</v>
      </c>
      <c r="L17" s="108">
        <f>'Single Family'!N36</f>
        <v>18.04676900000004</v>
      </c>
      <c r="M17" s="64"/>
      <c r="N17" s="136">
        <f t="shared" si="0"/>
        <v>304.33000000000004</v>
      </c>
      <c r="P17" s="68"/>
    </row>
    <row r="18" spans="1:15" ht="15.75" customHeight="1">
      <c r="A18" s="69" t="s">
        <v>32</v>
      </c>
      <c r="B18" s="66"/>
      <c r="C18" s="137">
        <f aca="true" t="shared" si="2" ref="C18:L18">SUM(C6:C17)</f>
        <v>32.862300000000005</v>
      </c>
      <c r="D18" s="137">
        <f t="shared" si="2"/>
        <v>774.6739520000001</v>
      </c>
      <c r="E18" s="137">
        <f t="shared" si="2"/>
        <v>0</v>
      </c>
      <c r="F18" s="137">
        <f t="shared" si="2"/>
        <v>72.29706</v>
      </c>
      <c r="G18" s="137">
        <f t="shared" si="2"/>
        <v>854.4198000000001</v>
      </c>
      <c r="H18" s="137">
        <f t="shared" si="2"/>
        <v>1410.0117520000001</v>
      </c>
      <c r="I18" s="137">
        <f t="shared" si="2"/>
        <v>98.367818</v>
      </c>
      <c r="J18" s="137">
        <f t="shared" si="2"/>
        <v>98.367818</v>
      </c>
      <c r="K18" s="137">
        <f t="shared" si="2"/>
        <v>780.808248</v>
      </c>
      <c r="L18" s="137">
        <f t="shared" si="2"/>
        <v>259.8312520000006</v>
      </c>
      <c r="M18" s="64"/>
      <c r="N18" s="138">
        <f>SUM(N6:N17)</f>
        <v>4381.64</v>
      </c>
      <c r="O18" s="67"/>
    </row>
    <row r="19" spans="1:14" ht="12.75">
      <c r="A19" s="65"/>
      <c r="B19" s="66"/>
      <c r="C19" s="66"/>
      <c r="D19" s="66"/>
      <c r="E19" s="66"/>
      <c r="F19" s="66"/>
      <c r="G19" s="66"/>
      <c r="H19" s="66"/>
      <c r="I19" s="66"/>
      <c r="J19" s="66"/>
      <c r="K19" s="66"/>
      <c r="L19" s="66"/>
      <c r="M19" s="64"/>
      <c r="N19" s="67"/>
    </row>
    <row r="20" spans="1:14" ht="12.75">
      <c r="A20" s="59"/>
      <c r="B20" s="66"/>
      <c r="C20" s="66"/>
      <c r="D20" s="66"/>
      <c r="E20" s="66"/>
      <c r="F20" s="66"/>
      <c r="G20" s="66"/>
      <c r="H20" s="66"/>
      <c r="I20" s="66"/>
      <c r="J20" s="66"/>
      <c r="K20" s="66"/>
      <c r="L20" s="66"/>
      <c r="M20" s="64"/>
      <c r="N20" s="67"/>
    </row>
    <row r="21" spans="1:14" ht="12.75">
      <c r="A21" s="65"/>
      <c r="B21" s="66"/>
      <c r="C21" s="66"/>
      <c r="D21" s="66"/>
      <c r="E21" s="66"/>
      <c r="F21" s="66"/>
      <c r="G21" s="66"/>
      <c r="H21" s="66"/>
      <c r="I21" s="66"/>
      <c r="J21" s="66"/>
      <c r="K21" s="66"/>
      <c r="L21" s="66"/>
      <c r="M21" s="64"/>
      <c r="N21" s="67"/>
    </row>
    <row r="22" spans="1:14" ht="12.75">
      <c r="A22" s="65"/>
      <c r="B22" s="66"/>
      <c r="C22" s="66"/>
      <c r="D22" s="66"/>
      <c r="E22" s="66"/>
      <c r="F22" s="66"/>
      <c r="G22" s="66"/>
      <c r="H22" s="66"/>
      <c r="I22" s="66"/>
      <c r="J22" s="66"/>
      <c r="K22" s="66"/>
      <c r="L22" s="66"/>
      <c r="M22" s="64"/>
      <c r="N22" s="67"/>
    </row>
    <row r="23" spans="1:14" ht="12.75">
      <c r="A23" s="66"/>
      <c r="B23" s="66"/>
      <c r="C23" s="66"/>
      <c r="D23" s="66"/>
      <c r="E23" s="66"/>
      <c r="F23" s="66"/>
      <c r="G23" s="66"/>
      <c r="H23" s="66"/>
      <c r="I23" s="66"/>
      <c r="J23" s="66"/>
      <c r="K23" s="66"/>
      <c r="L23" s="66"/>
      <c r="M23" s="64"/>
      <c r="N23" s="67"/>
    </row>
    <row r="24" spans="1:14" ht="12.75">
      <c r="A24" s="66"/>
      <c r="B24" s="66"/>
      <c r="C24" s="66"/>
      <c r="D24" s="66"/>
      <c r="E24" s="66"/>
      <c r="F24" s="66"/>
      <c r="G24" s="66"/>
      <c r="H24" s="66"/>
      <c r="I24" s="66"/>
      <c r="J24" s="66"/>
      <c r="K24" s="66"/>
      <c r="L24" s="66"/>
      <c r="M24" s="64"/>
      <c r="N24" s="67"/>
    </row>
    <row r="25" spans="1:14" ht="12.75">
      <c r="A25" s="66"/>
      <c r="B25" s="66"/>
      <c r="C25" s="66"/>
      <c r="E25" s="66"/>
      <c r="F25" s="66"/>
      <c r="G25" s="66"/>
      <c r="H25" s="66"/>
      <c r="I25" s="66"/>
      <c r="J25" s="66"/>
      <c r="K25" s="66"/>
      <c r="L25" s="66"/>
      <c r="M25" s="64"/>
      <c r="N25" s="67"/>
    </row>
    <row r="26" spans="1:14" ht="12.75">
      <c r="A26" s="66"/>
      <c r="B26" s="66"/>
      <c r="C26" s="66"/>
      <c r="D26" s="66"/>
      <c r="E26" s="66"/>
      <c r="F26" s="66"/>
      <c r="G26" s="66"/>
      <c r="H26" s="66"/>
      <c r="I26" s="66"/>
      <c r="J26" s="66"/>
      <c r="K26" s="66"/>
      <c r="L26" s="66"/>
      <c r="M26" s="64"/>
      <c r="N26" s="67"/>
    </row>
    <row r="27" spans="1:14" ht="12.75">
      <c r="A27" s="66"/>
      <c r="B27" s="66"/>
      <c r="C27" s="66"/>
      <c r="D27" s="66"/>
      <c r="E27" s="66"/>
      <c r="F27" s="66"/>
      <c r="G27" s="66"/>
      <c r="H27" s="66"/>
      <c r="I27" s="66"/>
      <c r="J27" s="66"/>
      <c r="K27" s="66"/>
      <c r="L27" s="66"/>
      <c r="M27" s="64"/>
      <c r="N27" s="67"/>
    </row>
    <row r="28" spans="1:14" ht="12.75">
      <c r="A28" s="66"/>
      <c r="B28" s="66"/>
      <c r="C28" s="66"/>
      <c r="D28" s="66"/>
      <c r="E28" s="66"/>
      <c r="F28" s="66"/>
      <c r="G28" s="66"/>
      <c r="H28" s="66"/>
      <c r="I28" s="66"/>
      <c r="J28" s="66"/>
      <c r="K28" s="66"/>
      <c r="L28" s="66"/>
      <c r="M28" s="64"/>
      <c r="N28" s="66"/>
    </row>
    <row r="29" spans="1:14" ht="12.75">
      <c r="A29" s="66"/>
      <c r="B29" s="66"/>
      <c r="C29" s="66"/>
      <c r="D29" s="66"/>
      <c r="E29" s="66"/>
      <c r="F29" s="66"/>
      <c r="G29" s="66"/>
      <c r="H29" s="66"/>
      <c r="I29" s="66"/>
      <c r="J29" s="66"/>
      <c r="K29" s="66"/>
      <c r="L29" s="66"/>
      <c r="M29" s="64"/>
      <c r="N29" s="66"/>
    </row>
    <row r="30" spans="1:14" ht="12.75">
      <c r="A30" s="66"/>
      <c r="B30" s="66"/>
      <c r="C30" s="66"/>
      <c r="D30" s="66"/>
      <c r="E30" s="66"/>
      <c r="F30" s="66"/>
      <c r="G30" s="66"/>
      <c r="H30" s="66"/>
      <c r="I30" s="66"/>
      <c r="J30" s="66"/>
      <c r="K30" s="66"/>
      <c r="L30" s="66"/>
      <c r="M30" s="64"/>
      <c r="N30" s="66"/>
    </row>
    <row r="31" spans="1:14" ht="12.75">
      <c r="A31" s="66"/>
      <c r="B31" s="66"/>
      <c r="C31" s="66"/>
      <c r="D31" s="66"/>
      <c r="E31" s="66"/>
      <c r="F31" s="66"/>
      <c r="G31" s="66"/>
      <c r="H31" s="66"/>
      <c r="I31" s="66"/>
      <c r="J31" s="66"/>
      <c r="K31" s="66"/>
      <c r="L31" s="66"/>
      <c r="M31" s="64"/>
      <c r="N31" s="66"/>
    </row>
    <row r="32" spans="1:14" ht="12.75">
      <c r="A32" s="66"/>
      <c r="B32" s="66"/>
      <c r="C32" s="66"/>
      <c r="D32" s="66"/>
      <c r="E32" s="66"/>
      <c r="F32" s="66"/>
      <c r="G32" s="66"/>
      <c r="H32" s="66"/>
      <c r="I32" s="66"/>
      <c r="J32" s="66"/>
      <c r="K32" s="66"/>
      <c r="L32" s="66"/>
      <c r="M32" s="64"/>
      <c r="N32" s="66"/>
    </row>
    <row r="33" spans="1:14" ht="12.75">
      <c r="A33" s="66"/>
      <c r="B33" s="66"/>
      <c r="C33" s="66"/>
      <c r="D33" s="66"/>
      <c r="E33" s="66"/>
      <c r="F33" s="66"/>
      <c r="G33" s="66"/>
      <c r="H33" s="66"/>
      <c r="I33" s="66"/>
      <c r="J33" s="66"/>
      <c r="K33" s="66"/>
      <c r="L33" s="66"/>
      <c r="M33" s="64"/>
      <c r="N33" s="66"/>
    </row>
    <row r="34" spans="1:14" ht="12.75">
      <c r="A34" s="66"/>
      <c r="B34" s="66"/>
      <c r="C34" s="66"/>
      <c r="D34" s="66"/>
      <c r="E34" s="66"/>
      <c r="F34" s="66"/>
      <c r="G34" s="66"/>
      <c r="H34" s="66"/>
      <c r="I34" s="66"/>
      <c r="J34" s="66"/>
      <c r="K34" s="66"/>
      <c r="L34" s="66"/>
      <c r="M34" s="64"/>
      <c r="N34" s="66"/>
    </row>
    <row r="35" spans="1:14" ht="12.75">
      <c r="A35" s="66"/>
      <c r="B35" s="66"/>
      <c r="C35" s="66"/>
      <c r="D35" s="66"/>
      <c r="E35" s="66"/>
      <c r="F35" s="66"/>
      <c r="G35" s="66"/>
      <c r="H35" s="66"/>
      <c r="I35" s="66"/>
      <c r="J35" s="66"/>
      <c r="K35" s="66"/>
      <c r="L35" s="66"/>
      <c r="M35" s="64"/>
      <c r="N35" s="66"/>
    </row>
    <row r="36" spans="1:14" ht="12.75">
      <c r="A36" s="66"/>
      <c r="B36" s="66"/>
      <c r="C36" s="66"/>
      <c r="D36" s="66"/>
      <c r="E36" s="66"/>
      <c r="F36" s="66"/>
      <c r="G36" s="66"/>
      <c r="H36" s="66"/>
      <c r="I36" s="66"/>
      <c r="J36" s="66"/>
      <c r="K36" s="66"/>
      <c r="L36" s="66"/>
      <c r="M36" s="64"/>
      <c r="N36" s="66"/>
    </row>
    <row r="37" spans="1:14" ht="12.75">
      <c r="A37" s="66"/>
      <c r="B37" s="66"/>
      <c r="C37" s="66"/>
      <c r="D37" s="66"/>
      <c r="E37" s="66"/>
      <c r="F37" s="66"/>
      <c r="G37" s="66"/>
      <c r="H37" s="66"/>
      <c r="I37" s="66"/>
      <c r="J37" s="66"/>
      <c r="K37" s="66"/>
      <c r="L37" s="66"/>
      <c r="M37" s="64"/>
      <c r="N37" s="66"/>
    </row>
    <row r="38" spans="1:14" ht="12.75">
      <c r="A38" s="66"/>
      <c r="B38" s="66"/>
      <c r="C38" s="66"/>
      <c r="D38" s="66"/>
      <c r="E38" s="66"/>
      <c r="F38" s="66"/>
      <c r="G38" s="66"/>
      <c r="H38" s="66"/>
      <c r="I38" s="66"/>
      <c r="J38" s="66"/>
      <c r="K38" s="66"/>
      <c r="L38" s="66"/>
      <c r="M38" s="64"/>
      <c r="N38" s="66"/>
    </row>
    <row r="39" spans="1:14" ht="12.75">
      <c r="A39" s="66"/>
      <c r="B39" s="66"/>
      <c r="C39" s="66"/>
      <c r="D39" s="66"/>
      <c r="E39" s="66"/>
      <c r="F39" s="66"/>
      <c r="G39" s="66"/>
      <c r="H39" s="66"/>
      <c r="I39" s="66"/>
      <c r="J39" s="66"/>
      <c r="K39" s="66"/>
      <c r="L39" s="66"/>
      <c r="M39" s="66"/>
      <c r="N39" s="66"/>
    </row>
    <row r="40" spans="1:14" ht="12.75">
      <c r="A40" s="66"/>
      <c r="B40" s="66"/>
      <c r="C40" s="66"/>
      <c r="D40" s="66"/>
      <c r="E40" s="66"/>
      <c r="F40" s="66"/>
      <c r="G40" s="66"/>
      <c r="H40" s="66"/>
      <c r="I40" s="66"/>
      <c r="J40" s="66"/>
      <c r="K40" s="66"/>
      <c r="L40" s="66"/>
      <c r="M40" s="66"/>
      <c r="N40" s="66"/>
    </row>
    <row r="41" spans="1:14" ht="12.75">
      <c r="A41" s="66"/>
      <c r="B41" s="66"/>
      <c r="C41" s="66"/>
      <c r="D41" s="66"/>
      <c r="E41" s="66"/>
      <c r="F41" s="66"/>
      <c r="G41" s="66"/>
      <c r="H41" s="66"/>
      <c r="I41" s="66"/>
      <c r="J41" s="66"/>
      <c r="K41" s="66"/>
      <c r="L41" s="66"/>
      <c r="M41" s="66"/>
      <c r="N41" s="66"/>
    </row>
    <row r="42" spans="1:14" ht="12.75">
      <c r="A42" s="66"/>
      <c r="B42" s="66"/>
      <c r="C42" s="66"/>
      <c r="D42" s="66"/>
      <c r="E42" s="66"/>
      <c r="F42" s="66"/>
      <c r="G42" s="66"/>
      <c r="H42" s="66"/>
      <c r="I42" s="66"/>
      <c r="J42" s="66"/>
      <c r="K42" s="66"/>
      <c r="L42" s="66"/>
      <c r="M42" s="66"/>
      <c r="N42" s="66"/>
    </row>
    <row r="43" spans="1:14" ht="12.75">
      <c r="A43" s="66"/>
      <c r="B43" s="66"/>
      <c r="C43" s="66"/>
      <c r="D43" s="66"/>
      <c r="E43" s="66"/>
      <c r="F43" s="66"/>
      <c r="G43" s="66"/>
      <c r="H43" s="66"/>
      <c r="I43" s="66"/>
      <c r="J43" s="66"/>
      <c r="K43" s="66"/>
      <c r="L43" s="66"/>
      <c r="M43" s="66"/>
      <c r="N43" s="66"/>
    </row>
    <row r="44" spans="1:14" ht="12.75">
      <c r="A44" s="66"/>
      <c r="B44" s="66"/>
      <c r="C44" s="66"/>
      <c r="D44" s="66"/>
      <c r="E44" s="66"/>
      <c r="F44" s="66"/>
      <c r="G44" s="66"/>
      <c r="H44" s="66"/>
      <c r="I44" s="66"/>
      <c r="J44" s="66"/>
      <c r="K44" s="66"/>
      <c r="L44" s="66"/>
      <c r="M44" s="66"/>
      <c r="N44" s="66"/>
    </row>
    <row r="45" spans="1:14" ht="12.75">
      <c r="A45" s="66"/>
      <c r="B45" s="66"/>
      <c r="C45" s="66"/>
      <c r="D45" s="66"/>
      <c r="E45" s="66"/>
      <c r="F45" s="66"/>
      <c r="G45" s="66"/>
      <c r="H45" s="66"/>
      <c r="I45" s="66"/>
      <c r="J45" s="66"/>
      <c r="K45" s="66"/>
      <c r="L45" s="66"/>
      <c r="M45" s="66"/>
      <c r="N45" s="66"/>
    </row>
    <row r="46" spans="1:14" ht="12.75">
      <c r="A46" s="66"/>
      <c r="B46" s="66"/>
      <c r="C46" s="66"/>
      <c r="D46" s="66"/>
      <c r="E46" s="66"/>
      <c r="F46" s="66"/>
      <c r="G46" s="66"/>
      <c r="H46" s="66"/>
      <c r="I46" s="66"/>
      <c r="J46" s="66"/>
      <c r="K46" s="66"/>
      <c r="L46" s="66"/>
      <c r="M46" s="66"/>
      <c r="N46" s="66"/>
    </row>
    <row r="47" spans="1:14" ht="12.75">
      <c r="A47" s="66"/>
      <c r="B47" s="66"/>
      <c r="C47" s="66"/>
      <c r="D47" s="66"/>
      <c r="E47" s="66"/>
      <c r="F47" s="66"/>
      <c r="G47" s="66"/>
      <c r="H47" s="66"/>
      <c r="I47" s="66"/>
      <c r="J47" s="66"/>
      <c r="K47" s="66"/>
      <c r="L47" s="66"/>
      <c r="M47" s="66"/>
      <c r="N47" s="66"/>
    </row>
    <row r="48" spans="1:14" ht="12.75">
      <c r="A48" s="66"/>
      <c r="B48" s="66"/>
      <c r="C48" s="66"/>
      <c r="D48" s="66"/>
      <c r="E48" s="66"/>
      <c r="F48" s="66"/>
      <c r="G48" s="66"/>
      <c r="H48" s="66"/>
      <c r="I48" s="66"/>
      <c r="J48" s="66"/>
      <c r="K48" s="66"/>
      <c r="L48" s="66"/>
      <c r="M48" s="66"/>
      <c r="N48" s="66"/>
    </row>
    <row r="49" spans="1:14" ht="12.75">
      <c r="A49" s="66"/>
      <c r="B49" s="66"/>
      <c r="C49" s="66"/>
      <c r="D49" s="66"/>
      <c r="E49" s="66"/>
      <c r="F49" s="66"/>
      <c r="G49" s="66"/>
      <c r="H49" s="66"/>
      <c r="I49" s="66"/>
      <c r="J49" s="66"/>
      <c r="K49" s="66"/>
      <c r="L49" s="66"/>
      <c r="M49" s="66"/>
      <c r="N49" s="66"/>
    </row>
    <row r="50" spans="1:14" ht="12.75">
      <c r="A50" s="66"/>
      <c r="B50" s="66"/>
      <c r="C50" s="66"/>
      <c r="D50" s="66"/>
      <c r="E50" s="66"/>
      <c r="F50" s="66"/>
      <c r="G50" s="66"/>
      <c r="H50" s="66"/>
      <c r="I50" s="66"/>
      <c r="J50" s="66"/>
      <c r="K50" s="66"/>
      <c r="L50" s="66"/>
      <c r="M50" s="66"/>
      <c r="N50" s="66"/>
    </row>
    <row r="51" spans="1:14" ht="12.75">
      <c r="A51" s="66"/>
      <c r="B51" s="66"/>
      <c r="C51" s="66"/>
      <c r="D51" s="66"/>
      <c r="E51" s="66"/>
      <c r="F51" s="66"/>
      <c r="G51" s="66"/>
      <c r="H51" s="66"/>
      <c r="I51" s="66"/>
      <c r="J51" s="66"/>
      <c r="K51" s="66"/>
      <c r="L51" s="66"/>
      <c r="M51" s="66"/>
      <c r="N51" s="66"/>
    </row>
    <row r="52" spans="1:14" ht="12.75">
      <c r="A52" s="66"/>
      <c r="B52" s="66"/>
      <c r="C52" s="66"/>
      <c r="D52" s="66"/>
      <c r="E52" s="66"/>
      <c r="F52" s="66"/>
      <c r="G52" s="66"/>
      <c r="H52" s="66"/>
      <c r="I52" s="66"/>
      <c r="J52" s="66"/>
      <c r="K52" s="66"/>
      <c r="L52" s="66"/>
      <c r="M52" s="66"/>
      <c r="N52" s="66"/>
    </row>
    <row r="53" spans="1:14" ht="12.75">
      <c r="A53" s="66"/>
      <c r="B53" s="66"/>
      <c r="C53" s="66"/>
      <c r="D53" s="66"/>
      <c r="E53" s="66"/>
      <c r="F53" s="66"/>
      <c r="G53" s="66"/>
      <c r="H53" s="66"/>
      <c r="I53" s="66"/>
      <c r="J53" s="66"/>
      <c r="K53" s="66"/>
      <c r="L53" s="66"/>
      <c r="M53" s="66"/>
      <c r="N53" s="66"/>
    </row>
    <row r="54" spans="1:14" ht="12.75">
      <c r="A54" s="66"/>
      <c r="B54" s="66"/>
      <c r="C54" s="66"/>
      <c r="D54" s="66"/>
      <c r="E54" s="66"/>
      <c r="F54" s="66"/>
      <c r="G54" s="66"/>
      <c r="H54" s="66"/>
      <c r="I54" s="66"/>
      <c r="J54" s="66"/>
      <c r="K54" s="66"/>
      <c r="L54" s="66"/>
      <c r="M54" s="66"/>
      <c r="N54" s="66"/>
    </row>
    <row r="55" spans="1:14" ht="12.75">
      <c r="A55" s="66"/>
      <c r="B55" s="66"/>
      <c r="C55" s="66"/>
      <c r="D55" s="66"/>
      <c r="E55" s="66"/>
      <c r="F55" s="66"/>
      <c r="G55" s="66"/>
      <c r="H55" s="66"/>
      <c r="I55" s="66"/>
      <c r="J55" s="66"/>
      <c r="K55" s="66"/>
      <c r="L55" s="66"/>
      <c r="M55" s="66"/>
      <c r="N55" s="66"/>
    </row>
    <row r="56" spans="1:14" ht="12.75">
      <c r="A56" s="66"/>
      <c r="B56" s="66"/>
      <c r="C56" s="66"/>
      <c r="D56" s="66"/>
      <c r="E56" s="66"/>
      <c r="F56" s="66"/>
      <c r="G56" s="66"/>
      <c r="H56" s="66"/>
      <c r="I56" s="66"/>
      <c r="J56" s="66"/>
      <c r="K56" s="66"/>
      <c r="L56" s="66"/>
      <c r="M56" s="66"/>
      <c r="N56" s="66"/>
    </row>
    <row r="57" spans="1:14" ht="12.75">
      <c r="A57" s="66"/>
      <c r="B57" s="66"/>
      <c r="C57" s="66"/>
      <c r="D57" s="66"/>
      <c r="E57" s="66"/>
      <c r="F57" s="66"/>
      <c r="G57" s="66"/>
      <c r="H57" s="66"/>
      <c r="I57" s="66"/>
      <c r="J57" s="66"/>
      <c r="K57" s="66"/>
      <c r="L57" s="66"/>
      <c r="M57" s="66"/>
      <c r="N57" s="66"/>
    </row>
    <row r="58" spans="1:14" ht="12.75">
      <c r="A58" s="66"/>
      <c r="B58" s="66"/>
      <c r="C58" s="66"/>
      <c r="D58" s="66"/>
      <c r="E58" s="66"/>
      <c r="F58" s="66"/>
      <c r="G58" s="66"/>
      <c r="H58" s="66"/>
      <c r="I58" s="66"/>
      <c r="J58" s="66"/>
      <c r="K58" s="66"/>
      <c r="L58" s="66"/>
      <c r="M58" s="66"/>
      <c r="N58" s="66"/>
    </row>
    <row r="59" spans="1:14" ht="12.75">
      <c r="A59" s="66"/>
      <c r="B59" s="66"/>
      <c r="C59" s="66"/>
      <c r="D59" s="66"/>
      <c r="E59" s="66"/>
      <c r="F59" s="66"/>
      <c r="G59" s="66"/>
      <c r="H59" s="66"/>
      <c r="I59" s="66"/>
      <c r="J59" s="66"/>
      <c r="K59" s="66"/>
      <c r="L59" s="66"/>
      <c r="M59" s="66"/>
      <c r="N59" s="66"/>
    </row>
    <row r="60" spans="1:14" ht="12.75">
      <c r="A60" s="66"/>
      <c r="B60" s="66"/>
      <c r="C60" s="66"/>
      <c r="D60" s="66"/>
      <c r="E60" s="66"/>
      <c r="F60" s="66"/>
      <c r="G60" s="66"/>
      <c r="H60" s="66"/>
      <c r="I60" s="66"/>
      <c r="J60" s="66"/>
      <c r="K60" s="66"/>
      <c r="L60" s="66"/>
      <c r="M60" s="66"/>
      <c r="N60" s="66"/>
    </row>
    <row r="61" spans="1:14" ht="12.75">
      <c r="A61" s="66"/>
      <c r="B61" s="66"/>
      <c r="C61" s="66"/>
      <c r="D61" s="66"/>
      <c r="E61" s="66"/>
      <c r="F61" s="66"/>
      <c r="G61" s="66"/>
      <c r="H61" s="66"/>
      <c r="I61" s="66"/>
      <c r="J61" s="66"/>
      <c r="K61" s="66"/>
      <c r="L61" s="66"/>
      <c r="M61" s="66"/>
      <c r="N61" s="66"/>
    </row>
    <row r="62" spans="1:14" ht="12.75">
      <c r="A62" s="66"/>
      <c r="B62" s="66"/>
      <c r="C62" s="66"/>
      <c r="D62" s="66"/>
      <c r="E62" s="66"/>
      <c r="F62" s="66"/>
      <c r="G62" s="66"/>
      <c r="H62" s="66"/>
      <c r="I62" s="66"/>
      <c r="J62" s="66"/>
      <c r="K62" s="66"/>
      <c r="L62" s="66"/>
      <c r="M62" s="66"/>
      <c r="N62" s="66"/>
    </row>
    <row r="63" spans="1:14" ht="12.75">
      <c r="A63" s="66"/>
      <c r="B63" s="66"/>
      <c r="C63" s="66"/>
      <c r="D63" s="66"/>
      <c r="E63" s="66"/>
      <c r="F63" s="66"/>
      <c r="G63" s="66"/>
      <c r="H63" s="66"/>
      <c r="I63" s="66"/>
      <c r="J63" s="66"/>
      <c r="K63" s="66"/>
      <c r="L63" s="66"/>
      <c r="M63" s="66"/>
      <c r="N63" s="66"/>
    </row>
    <row r="64" spans="1:14" ht="12.75">
      <c r="A64" s="66"/>
      <c r="B64" s="66"/>
      <c r="C64" s="66"/>
      <c r="D64" s="66"/>
      <c r="E64" s="66"/>
      <c r="F64" s="66"/>
      <c r="G64" s="66"/>
      <c r="H64" s="66"/>
      <c r="I64" s="66"/>
      <c r="J64" s="66"/>
      <c r="K64" s="66"/>
      <c r="L64" s="66"/>
      <c r="M64" s="66"/>
      <c r="N64" s="66"/>
    </row>
    <row r="65" spans="1:14" ht="12.75">
      <c r="A65" s="66"/>
      <c r="B65" s="66"/>
      <c r="C65" s="66"/>
      <c r="D65" s="66"/>
      <c r="E65" s="66"/>
      <c r="F65" s="66"/>
      <c r="G65" s="66"/>
      <c r="H65" s="66"/>
      <c r="I65" s="66"/>
      <c r="J65" s="66"/>
      <c r="K65" s="66"/>
      <c r="L65" s="66"/>
      <c r="M65" s="66"/>
      <c r="N65" s="66"/>
    </row>
    <row r="66" spans="1:14" ht="12.75">
      <c r="A66" s="66"/>
      <c r="B66" s="66"/>
      <c r="C66" s="66"/>
      <c r="D66" s="66"/>
      <c r="E66" s="66"/>
      <c r="F66" s="66"/>
      <c r="G66" s="66"/>
      <c r="H66" s="66"/>
      <c r="I66" s="66"/>
      <c r="J66" s="66"/>
      <c r="K66" s="66"/>
      <c r="L66" s="66"/>
      <c r="M66" s="66"/>
      <c r="N66" s="66"/>
    </row>
    <row r="67" spans="1:14" ht="12.75">
      <c r="A67" s="66"/>
      <c r="B67" s="66"/>
      <c r="C67" s="66"/>
      <c r="D67" s="66"/>
      <c r="E67" s="66"/>
      <c r="F67" s="66"/>
      <c r="G67" s="66"/>
      <c r="H67" s="66"/>
      <c r="I67" s="66"/>
      <c r="J67" s="66"/>
      <c r="K67" s="66"/>
      <c r="L67" s="66"/>
      <c r="M67" s="66"/>
      <c r="N67" s="66"/>
    </row>
    <row r="68" spans="1:14" ht="12.75">
      <c r="A68" s="66"/>
      <c r="B68" s="66"/>
      <c r="C68" s="66"/>
      <c r="D68" s="66"/>
      <c r="E68" s="66"/>
      <c r="F68" s="66"/>
      <c r="G68" s="66"/>
      <c r="H68" s="66"/>
      <c r="I68" s="66"/>
      <c r="J68" s="66"/>
      <c r="K68" s="66"/>
      <c r="L68" s="66"/>
      <c r="M68" s="66"/>
      <c r="N68" s="66"/>
    </row>
    <row r="69" spans="1:14" ht="12.75">
      <c r="A69" s="66"/>
      <c r="B69" s="66"/>
      <c r="C69" s="66"/>
      <c r="D69" s="66"/>
      <c r="E69" s="66"/>
      <c r="F69" s="66"/>
      <c r="G69" s="66"/>
      <c r="H69" s="66"/>
      <c r="I69" s="66"/>
      <c r="J69" s="66"/>
      <c r="K69" s="66"/>
      <c r="L69" s="66"/>
      <c r="M69" s="66"/>
      <c r="N69" s="66"/>
    </row>
    <row r="70" spans="1:14" ht="12.75">
      <c r="A70" s="66"/>
      <c r="B70" s="66"/>
      <c r="C70" s="66"/>
      <c r="D70" s="66"/>
      <c r="E70" s="66"/>
      <c r="F70" s="66"/>
      <c r="G70" s="66"/>
      <c r="H70" s="66"/>
      <c r="I70" s="66"/>
      <c r="J70" s="66"/>
      <c r="K70" s="66"/>
      <c r="L70" s="66"/>
      <c r="M70" s="66"/>
      <c r="N70" s="66"/>
    </row>
    <row r="71" spans="1:14" ht="12.75">
      <c r="A71" s="66"/>
      <c r="B71" s="66"/>
      <c r="C71" s="66"/>
      <c r="D71" s="66"/>
      <c r="E71" s="66"/>
      <c r="F71" s="66"/>
      <c r="G71" s="66"/>
      <c r="H71" s="66"/>
      <c r="I71" s="66"/>
      <c r="J71" s="66"/>
      <c r="K71" s="66"/>
      <c r="L71" s="66"/>
      <c r="M71" s="66"/>
      <c r="N71" s="66"/>
    </row>
    <row r="72" spans="1:14" ht="12.75">
      <c r="A72" s="66"/>
      <c r="B72" s="66"/>
      <c r="C72" s="66"/>
      <c r="D72" s="66"/>
      <c r="E72" s="66"/>
      <c r="F72" s="66"/>
      <c r="G72" s="66"/>
      <c r="H72" s="66"/>
      <c r="I72" s="66"/>
      <c r="J72" s="66"/>
      <c r="K72" s="66"/>
      <c r="L72" s="66"/>
      <c r="M72" s="66"/>
      <c r="N72" s="66"/>
    </row>
    <row r="73" spans="1:14" ht="12.75">
      <c r="A73" s="66"/>
      <c r="B73" s="66"/>
      <c r="C73" s="66"/>
      <c r="D73" s="66"/>
      <c r="E73" s="66"/>
      <c r="F73" s="66"/>
      <c r="G73" s="66"/>
      <c r="H73" s="66"/>
      <c r="I73" s="66"/>
      <c r="J73" s="66"/>
      <c r="K73" s="66"/>
      <c r="L73" s="66"/>
      <c r="M73" s="66"/>
      <c r="N73" s="66"/>
    </row>
    <row r="74" spans="1:14" ht="12.75">
      <c r="A74" s="66"/>
      <c r="B74" s="66"/>
      <c r="C74" s="66"/>
      <c r="D74" s="66"/>
      <c r="E74" s="66"/>
      <c r="F74" s="66"/>
      <c r="G74" s="66"/>
      <c r="H74" s="66"/>
      <c r="I74" s="66"/>
      <c r="J74" s="66"/>
      <c r="K74" s="66"/>
      <c r="L74" s="66"/>
      <c r="M74" s="66"/>
      <c r="N74" s="66"/>
    </row>
    <row r="75" spans="1:14" ht="12.75">
      <c r="A75" s="66"/>
      <c r="B75" s="66"/>
      <c r="C75" s="66"/>
      <c r="D75" s="66"/>
      <c r="E75" s="66"/>
      <c r="F75" s="66"/>
      <c r="G75" s="66"/>
      <c r="H75" s="66"/>
      <c r="I75" s="66"/>
      <c r="J75" s="66"/>
      <c r="K75" s="66"/>
      <c r="L75" s="66"/>
      <c r="M75" s="66"/>
      <c r="N75" s="66"/>
    </row>
    <row r="76" spans="1:14" ht="12.75">
      <c r="A76" s="66"/>
      <c r="B76" s="66"/>
      <c r="C76" s="66"/>
      <c r="D76" s="66"/>
      <c r="E76" s="66"/>
      <c r="F76" s="66"/>
      <c r="G76" s="66"/>
      <c r="H76" s="66"/>
      <c r="I76" s="66"/>
      <c r="J76" s="66"/>
      <c r="K76" s="66"/>
      <c r="L76" s="66"/>
      <c r="M76" s="66"/>
      <c r="N76" s="66"/>
    </row>
    <row r="77" spans="1:14" ht="12.75">
      <c r="A77" s="66"/>
      <c r="B77" s="66"/>
      <c r="C77" s="66"/>
      <c r="D77" s="66"/>
      <c r="E77" s="66"/>
      <c r="F77" s="66"/>
      <c r="G77" s="66"/>
      <c r="H77" s="66"/>
      <c r="I77" s="66"/>
      <c r="J77" s="66"/>
      <c r="K77" s="66"/>
      <c r="L77" s="66"/>
      <c r="M77" s="66"/>
      <c r="N77" s="66"/>
    </row>
    <row r="78" spans="1:14" ht="12.75">
      <c r="A78" s="66"/>
      <c r="B78" s="66"/>
      <c r="C78" s="66"/>
      <c r="D78" s="66"/>
      <c r="E78" s="66"/>
      <c r="F78" s="66"/>
      <c r="G78" s="66"/>
      <c r="H78" s="66"/>
      <c r="I78" s="66"/>
      <c r="J78" s="66"/>
      <c r="K78" s="66"/>
      <c r="L78" s="66"/>
      <c r="M78" s="66"/>
      <c r="N78" s="66"/>
    </row>
    <row r="79" spans="1:14" ht="12.75">
      <c r="A79" s="66"/>
      <c r="B79" s="66"/>
      <c r="C79" s="66"/>
      <c r="D79" s="66"/>
      <c r="E79" s="66"/>
      <c r="F79" s="66"/>
      <c r="G79" s="66"/>
      <c r="H79" s="66"/>
      <c r="I79" s="66"/>
      <c r="J79" s="66"/>
      <c r="K79" s="66"/>
      <c r="L79" s="66"/>
      <c r="M79" s="66"/>
      <c r="N79" s="66"/>
    </row>
    <row r="80" spans="1:14" ht="12.75">
      <c r="A80" s="66"/>
      <c r="B80" s="66"/>
      <c r="C80" s="66"/>
      <c r="D80" s="66"/>
      <c r="E80" s="66"/>
      <c r="F80" s="66"/>
      <c r="G80" s="66"/>
      <c r="H80" s="66"/>
      <c r="I80" s="66"/>
      <c r="J80" s="66"/>
      <c r="K80" s="66"/>
      <c r="L80" s="66"/>
      <c r="M80" s="66"/>
      <c r="N80" s="66"/>
    </row>
    <row r="81" spans="1:14" ht="12.75">
      <c r="A81" s="66"/>
      <c r="B81" s="66"/>
      <c r="C81" s="66"/>
      <c r="D81" s="66"/>
      <c r="E81" s="66"/>
      <c r="F81" s="66"/>
      <c r="G81" s="66"/>
      <c r="H81" s="66"/>
      <c r="I81" s="66"/>
      <c r="J81" s="66"/>
      <c r="K81" s="66"/>
      <c r="L81" s="66"/>
      <c r="M81" s="66"/>
      <c r="N81" s="66"/>
    </row>
    <row r="82" spans="1:14" ht="12.75">
      <c r="A82" s="66"/>
      <c r="B82" s="66"/>
      <c r="C82" s="66"/>
      <c r="D82" s="66"/>
      <c r="E82" s="66"/>
      <c r="F82" s="66"/>
      <c r="G82" s="66"/>
      <c r="H82" s="66"/>
      <c r="I82" s="66"/>
      <c r="J82" s="66"/>
      <c r="K82" s="66"/>
      <c r="L82" s="66"/>
      <c r="M82" s="66"/>
      <c r="N82" s="66"/>
    </row>
    <row r="83" spans="1:14" ht="12.75">
      <c r="A83" s="66"/>
      <c r="B83" s="66"/>
      <c r="C83" s="66"/>
      <c r="D83" s="66"/>
      <c r="E83" s="66"/>
      <c r="F83" s="66"/>
      <c r="G83" s="66"/>
      <c r="H83" s="66"/>
      <c r="I83" s="66"/>
      <c r="J83" s="66"/>
      <c r="K83" s="66"/>
      <c r="L83" s="66"/>
      <c r="M83" s="66"/>
      <c r="N83" s="66"/>
    </row>
    <row r="84" spans="1:14" ht="12.75">
      <c r="A84" s="66"/>
      <c r="B84" s="66"/>
      <c r="C84" s="66"/>
      <c r="D84" s="66"/>
      <c r="E84" s="66"/>
      <c r="F84" s="66"/>
      <c r="G84" s="66"/>
      <c r="H84" s="66"/>
      <c r="I84" s="66"/>
      <c r="J84" s="66"/>
      <c r="K84" s="66"/>
      <c r="L84" s="66"/>
      <c r="M84" s="66"/>
      <c r="N84" s="66"/>
    </row>
    <row r="85" spans="1:14" ht="12.75">
      <c r="A85" s="66"/>
      <c r="B85" s="66"/>
      <c r="C85" s="66"/>
      <c r="D85" s="66"/>
      <c r="E85" s="66"/>
      <c r="F85" s="66"/>
      <c r="G85" s="66"/>
      <c r="H85" s="66"/>
      <c r="I85" s="66"/>
      <c r="J85" s="66"/>
      <c r="K85" s="66"/>
      <c r="L85" s="66"/>
      <c r="M85" s="66"/>
      <c r="N85" s="66"/>
    </row>
    <row r="86" spans="1:14" ht="12.75">
      <c r="A86" s="66"/>
      <c r="B86" s="66"/>
      <c r="C86" s="66"/>
      <c r="D86" s="66"/>
      <c r="E86" s="66"/>
      <c r="F86" s="66"/>
      <c r="G86" s="66"/>
      <c r="H86" s="66"/>
      <c r="I86" s="66"/>
      <c r="J86" s="66"/>
      <c r="K86" s="66"/>
      <c r="L86" s="66"/>
      <c r="M86" s="66"/>
      <c r="N86" s="66"/>
    </row>
    <row r="87" spans="1:14" ht="12.75">
      <c r="A87" s="66"/>
      <c r="B87" s="66"/>
      <c r="C87" s="66"/>
      <c r="D87" s="66"/>
      <c r="E87" s="66"/>
      <c r="F87" s="66"/>
      <c r="G87" s="66"/>
      <c r="H87" s="66"/>
      <c r="I87" s="66"/>
      <c r="J87" s="66"/>
      <c r="K87" s="66"/>
      <c r="L87" s="66"/>
      <c r="M87" s="66"/>
      <c r="N87" s="66"/>
    </row>
    <row r="88" spans="1:14" ht="12.75">
      <c r="A88" s="66"/>
      <c r="B88" s="66"/>
      <c r="C88" s="66"/>
      <c r="D88" s="66"/>
      <c r="E88" s="66"/>
      <c r="F88" s="66"/>
      <c r="G88" s="66"/>
      <c r="H88" s="66"/>
      <c r="I88" s="66"/>
      <c r="J88" s="66"/>
      <c r="K88" s="66"/>
      <c r="L88" s="66"/>
      <c r="M88" s="66"/>
      <c r="N88" s="66"/>
    </row>
    <row r="89" spans="1:14" ht="12.75">
      <c r="A89" s="66"/>
      <c r="B89" s="66"/>
      <c r="C89" s="66"/>
      <c r="D89" s="66"/>
      <c r="E89" s="66"/>
      <c r="F89" s="66"/>
      <c r="G89" s="66"/>
      <c r="H89" s="66"/>
      <c r="I89" s="66"/>
      <c r="J89" s="66"/>
      <c r="K89" s="66"/>
      <c r="L89" s="66"/>
      <c r="M89" s="66"/>
      <c r="N89" s="66"/>
    </row>
    <row r="90" spans="1:14" ht="12.75">
      <c r="A90" s="66"/>
      <c r="B90" s="66"/>
      <c r="C90" s="66"/>
      <c r="D90" s="66"/>
      <c r="E90" s="66"/>
      <c r="F90" s="66"/>
      <c r="G90" s="66"/>
      <c r="H90" s="66"/>
      <c r="I90" s="66"/>
      <c r="J90" s="66"/>
      <c r="K90" s="66"/>
      <c r="L90" s="66"/>
      <c r="M90" s="66"/>
      <c r="N90" s="66"/>
    </row>
    <row r="91" spans="1:14" ht="12.75">
      <c r="A91" s="66"/>
      <c r="B91" s="66"/>
      <c r="C91" s="66"/>
      <c r="D91" s="66"/>
      <c r="E91" s="66"/>
      <c r="F91" s="66"/>
      <c r="G91" s="66"/>
      <c r="H91" s="66"/>
      <c r="I91" s="66"/>
      <c r="J91" s="66"/>
      <c r="K91" s="66"/>
      <c r="L91" s="66"/>
      <c r="M91" s="66"/>
      <c r="N91" s="66"/>
    </row>
    <row r="92" spans="1:14" ht="12.75">
      <c r="A92" s="66"/>
      <c r="B92" s="66"/>
      <c r="C92" s="66"/>
      <c r="D92" s="66"/>
      <c r="E92" s="66"/>
      <c r="F92" s="66"/>
      <c r="G92" s="66"/>
      <c r="H92" s="66"/>
      <c r="I92" s="66"/>
      <c r="J92" s="66"/>
      <c r="K92" s="66"/>
      <c r="L92" s="66"/>
      <c r="M92" s="66"/>
      <c r="N92" s="66"/>
    </row>
    <row r="93" spans="1:14" ht="12.75">
      <c r="A93" s="66"/>
      <c r="B93" s="66"/>
      <c r="C93" s="66"/>
      <c r="D93" s="66"/>
      <c r="E93" s="66"/>
      <c r="F93" s="66"/>
      <c r="G93" s="66"/>
      <c r="H93" s="66"/>
      <c r="I93" s="66"/>
      <c r="J93" s="66"/>
      <c r="K93" s="66"/>
      <c r="L93" s="66"/>
      <c r="M93" s="66"/>
      <c r="N93" s="66"/>
    </row>
    <row r="94" spans="1:14" ht="12.75">
      <c r="A94" s="66"/>
      <c r="B94" s="66"/>
      <c r="C94" s="66"/>
      <c r="D94" s="66"/>
      <c r="E94" s="66"/>
      <c r="F94" s="66"/>
      <c r="G94" s="66"/>
      <c r="H94" s="66"/>
      <c r="I94" s="66"/>
      <c r="J94" s="66"/>
      <c r="K94" s="66"/>
      <c r="L94" s="66"/>
      <c r="M94" s="66"/>
      <c r="N94" s="66"/>
    </row>
    <row r="95" spans="1:14" ht="12.75">
      <c r="A95" s="66"/>
      <c r="B95" s="66"/>
      <c r="C95" s="66"/>
      <c r="D95" s="66"/>
      <c r="E95" s="66"/>
      <c r="F95" s="66"/>
      <c r="G95" s="66"/>
      <c r="H95" s="66"/>
      <c r="I95" s="66"/>
      <c r="J95" s="66"/>
      <c r="K95" s="66"/>
      <c r="L95" s="66"/>
      <c r="M95" s="66"/>
      <c r="N95" s="66"/>
    </row>
    <row r="96" spans="1:14" ht="12.75">
      <c r="A96" s="66"/>
      <c r="B96" s="66"/>
      <c r="C96" s="66"/>
      <c r="D96" s="66"/>
      <c r="E96" s="66"/>
      <c r="F96" s="66"/>
      <c r="G96" s="66"/>
      <c r="H96" s="66"/>
      <c r="I96" s="66"/>
      <c r="J96" s="66"/>
      <c r="K96" s="66"/>
      <c r="L96" s="66"/>
      <c r="M96" s="66"/>
      <c r="N96" s="66"/>
    </row>
    <row r="97" spans="1:14" ht="12.75">
      <c r="A97" s="66"/>
      <c r="B97" s="66"/>
      <c r="C97" s="66"/>
      <c r="D97" s="66"/>
      <c r="E97" s="66"/>
      <c r="F97" s="66"/>
      <c r="G97" s="66"/>
      <c r="H97" s="66"/>
      <c r="I97" s="66"/>
      <c r="J97" s="66"/>
      <c r="K97" s="66"/>
      <c r="L97" s="66"/>
      <c r="M97" s="66"/>
      <c r="N97" s="66"/>
    </row>
    <row r="98" spans="1:14" ht="12.75">
      <c r="A98" s="66"/>
      <c r="B98" s="66"/>
      <c r="C98" s="66"/>
      <c r="D98" s="66"/>
      <c r="E98" s="66"/>
      <c r="F98" s="66"/>
      <c r="G98" s="66"/>
      <c r="H98" s="66"/>
      <c r="I98" s="66"/>
      <c r="J98" s="66"/>
      <c r="K98" s="66"/>
      <c r="L98" s="66"/>
      <c r="M98" s="66"/>
      <c r="N98" s="66"/>
    </row>
    <row r="99" spans="1:14" ht="12.75">
      <c r="A99" s="66"/>
      <c r="B99" s="66"/>
      <c r="C99" s="66"/>
      <c r="D99" s="66"/>
      <c r="E99" s="66"/>
      <c r="F99" s="66"/>
      <c r="G99" s="66"/>
      <c r="H99" s="66"/>
      <c r="I99" s="66"/>
      <c r="J99" s="66"/>
      <c r="K99" s="66"/>
      <c r="L99" s="66"/>
      <c r="M99" s="66"/>
      <c r="N99" s="66"/>
    </row>
    <row r="100" spans="1:14" ht="12.75">
      <c r="A100" s="66"/>
      <c r="B100" s="66"/>
      <c r="C100" s="66"/>
      <c r="D100" s="66"/>
      <c r="E100" s="66"/>
      <c r="F100" s="66"/>
      <c r="G100" s="66"/>
      <c r="H100" s="66"/>
      <c r="I100" s="66"/>
      <c r="J100" s="66"/>
      <c r="K100" s="66"/>
      <c r="L100" s="66"/>
      <c r="M100" s="66"/>
      <c r="N100" s="66"/>
    </row>
    <row r="101" spans="1:14" ht="12.75">
      <c r="A101" s="66"/>
      <c r="B101" s="66"/>
      <c r="C101" s="66"/>
      <c r="D101" s="66"/>
      <c r="E101" s="66"/>
      <c r="F101" s="66"/>
      <c r="G101" s="66"/>
      <c r="H101" s="66"/>
      <c r="I101" s="66"/>
      <c r="J101" s="66"/>
      <c r="K101" s="66"/>
      <c r="L101" s="66"/>
      <c r="M101" s="66"/>
      <c r="N101" s="66"/>
    </row>
    <row r="102" spans="1:14" ht="12.75">
      <c r="A102" s="66"/>
      <c r="B102" s="66"/>
      <c r="C102" s="66"/>
      <c r="D102" s="66"/>
      <c r="E102" s="66"/>
      <c r="F102" s="66"/>
      <c r="G102" s="66"/>
      <c r="H102" s="66"/>
      <c r="I102" s="66"/>
      <c r="J102" s="66"/>
      <c r="K102" s="66"/>
      <c r="L102" s="66"/>
      <c r="M102" s="66"/>
      <c r="N102" s="66"/>
    </row>
    <row r="103" spans="1:14" ht="12.75">
      <c r="A103" s="66"/>
      <c r="B103" s="66"/>
      <c r="C103" s="66"/>
      <c r="D103" s="66"/>
      <c r="E103" s="66"/>
      <c r="F103" s="66"/>
      <c r="G103" s="66"/>
      <c r="H103" s="66"/>
      <c r="I103" s="66"/>
      <c r="J103" s="66"/>
      <c r="K103" s="66"/>
      <c r="L103" s="66"/>
      <c r="M103" s="66"/>
      <c r="N103" s="66"/>
    </row>
    <row r="104" spans="1:14" ht="12.75">
      <c r="A104" s="66"/>
      <c r="B104" s="66"/>
      <c r="C104" s="66"/>
      <c r="D104" s="66"/>
      <c r="E104" s="66"/>
      <c r="F104" s="66"/>
      <c r="G104" s="66"/>
      <c r="H104" s="66"/>
      <c r="I104" s="66"/>
      <c r="J104" s="66"/>
      <c r="K104" s="66"/>
      <c r="L104" s="66"/>
      <c r="M104" s="66"/>
      <c r="N104" s="66"/>
    </row>
    <row r="105" spans="1:14" ht="12.75">
      <c r="A105" s="66"/>
      <c r="B105" s="66"/>
      <c r="C105" s="66"/>
      <c r="D105" s="66"/>
      <c r="E105" s="66"/>
      <c r="F105" s="66"/>
      <c r="G105" s="66"/>
      <c r="H105" s="66"/>
      <c r="I105" s="66"/>
      <c r="J105" s="66"/>
      <c r="K105" s="66"/>
      <c r="L105" s="66"/>
      <c r="M105" s="66"/>
      <c r="N105" s="66"/>
    </row>
    <row r="106" spans="1:14" ht="12.75">
      <c r="A106" s="66"/>
      <c r="B106" s="66"/>
      <c r="C106" s="66"/>
      <c r="D106" s="66"/>
      <c r="E106" s="66"/>
      <c r="F106" s="66"/>
      <c r="G106" s="66"/>
      <c r="H106" s="66"/>
      <c r="I106" s="66"/>
      <c r="J106" s="66"/>
      <c r="K106" s="66"/>
      <c r="L106" s="66"/>
      <c r="M106" s="66"/>
      <c r="N106" s="66"/>
    </row>
    <row r="107" spans="1:14" ht="12.75">
      <c r="A107" s="66"/>
      <c r="B107" s="66"/>
      <c r="C107" s="66"/>
      <c r="D107" s="66"/>
      <c r="E107" s="66"/>
      <c r="F107" s="66"/>
      <c r="G107" s="66"/>
      <c r="H107" s="66"/>
      <c r="I107" s="66"/>
      <c r="J107" s="66"/>
      <c r="K107" s="66"/>
      <c r="L107" s="66"/>
      <c r="M107" s="66"/>
      <c r="N107" s="66"/>
    </row>
    <row r="108" spans="1:14" ht="12.75">
      <c r="A108" s="66"/>
      <c r="B108" s="66"/>
      <c r="C108" s="66"/>
      <c r="D108" s="66"/>
      <c r="E108" s="66"/>
      <c r="F108" s="66"/>
      <c r="G108" s="66"/>
      <c r="H108" s="66"/>
      <c r="I108" s="66"/>
      <c r="J108" s="66"/>
      <c r="K108" s="66"/>
      <c r="L108" s="66"/>
      <c r="M108" s="66"/>
      <c r="N108" s="66"/>
    </row>
    <row r="109" spans="1:14" ht="12.75">
      <c r="A109" s="66"/>
      <c r="B109" s="66"/>
      <c r="C109" s="66"/>
      <c r="D109" s="66"/>
      <c r="E109" s="66"/>
      <c r="F109" s="66"/>
      <c r="G109" s="66"/>
      <c r="H109" s="66"/>
      <c r="I109" s="66"/>
      <c r="J109" s="66"/>
      <c r="K109" s="66"/>
      <c r="L109" s="66"/>
      <c r="M109" s="66"/>
      <c r="N109" s="66"/>
    </row>
    <row r="110" spans="1:14" ht="12.75">
      <c r="A110" s="66"/>
      <c r="B110" s="66"/>
      <c r="C110" s="66"/>
      <c r="D110" s="66"/>
      <c r="E110" s="66"/>
      <c r="F110" s="66"/>
      <c r="G110" s="66"/>
      <c r="H110" s="66"/>
      <c r="I110" s="66"/>
      <c r="J110" s="66"/>
      <c r="K110" s="66"/>
      <c r="L110" s="66"/>
      <c r="M110" s="66"/>
      <c r="N110" s="66"/>
    </row>
    <row r="111" spans="1:14" ht="12.75">
      <c r="A111" s="66"/>
      <c r="B111" s="66"/>
      <c r="C111" s="66"/>
      <c r="D111" s="66"/>
      <c r="E111" s="66"/>
      <c r="F111" s="66"/>
      <c r="G111" s="66"/>
      <c r="H111" s="66"/>
      <c r="I111" s="66"/>
      <c r="J111" s="66"/>
      <c r="K111" s="66"/>
      <c r="L111" s="66"/>
      <c r="M111" s="66"/>
      <c r="N111" s="66"/>
    </row>
    <row r="112" spans="1:14" ht="12.75">
      <c r="A112" s="66"/>
      <c r="B112" s="66"/>
      <c r="C112" s="66"/>
      <c r="D112" s="66"/>
      <c r="E112" s="66"/>
      <c r="F112" s="66"/>
      <c r="G112" s="66"/>
      <c r="H112" s="66"/>
      <c r="I112" s="66"/>
      <c r="J112" s="66"/>
      <c r="K112" s="66"/>
      <c r="L112" s="66"/>
      <c r="M112" s="66"/>
      <c r="N112" s="66"/>
    </row>
    <row r="113" spans="1:14" ht="12.75">
      <c r="A113" s="66"/>
      <c r="B113" s="66"/>
      <c r="C113" s="66"/>
      <c r="D113" s="66"/>
      <c r="E113" s="66"/>
      <c r="F113" s="66"/>
      <c r="G113" s="66"/>
      <c r="H113" s="66"/>
      <c r="I113" s="66"/>
      <c r="J113" s="66"/>
      <c r="K113" s="66"/>
      <c r="L113" s="66"/>
      <c r="M113" s="66"/>
      <c r="N113" s="66"/>
    </row>
    <row r="114" spans="1:14" ht="12.75">
      <c r="A114" s="66"/>
      <c r="B114" s="66"/>
      <c r="C114" s="66"/>
      <c r="D114" s="66"/>
      <c r="E114" s="66"/>
      <c r="F114" s="66"/>
      <c r="G114" s="66"/>
      <c r="H114" s="66"/>
      <c r="I114" s="66"/>
      <c r="J114" s="66"/>
      <c r="K114" s="66"/>
      <c r="L114" s="66"/>
      <c r="M114" s="66"/>
      <c r="N114" s="66"/>
    </row>
    <row r="115" spans="1:14" ht="12.75">
      <c r="A115" s="66"/>
      <c r="B115" s="66"/>
      <c r="C115" s="66"/>
      <c r="D115" s="66"/>
      <c r="E115" s="66"/>
      <c r="F115" s="66"/>
      <c r="G115" s="66"/>
      <c r="H115" s="66"/>
      <c r="I115" s="66"/>
      <c r="J115" s="66"/>
      <c r="K115" s="66"/>
      <c r="L115" s="66"/>
      <c r="M115" s="66"/>
      <c r="N115" s="66"/>
    </row>
    <row r="116" spans="1:14" ht="12.75">
      <c r="A116" s="66"/>
      <c r="B116" s="66"/>
      <c r="C116" s="66"/>
      <c r="D116" s="66"/>
      <c r="E116" s="66"/>
      <c r="F116" s="66"/>
      <c r="G116" s="66"/>
      <c r="H116" s="66"/>
      <c r="I116" s="66"/>
      <c r="J116" s="66"/>
      <c r="K116" s="66"/>
      <c r="L116" s="66"/>
      <c r="M116" s="66"/>
      <c r="N116" s="66"/>
    </row>
    <row r="117" spans="1:14" ht="12.75">
      <c r="A117" s="66"/>
      <c r="B117" s="66"/>
      <c r="C117" s="66"/>
      <c r="D117" s="66"/>
      <c r="E117" s="66"/>
      <c r="F117" s="66"/>
      <c r="G117" s="66"/>
      <c r="H117" s="66"/>
      <c r="I117" s="66"/>
      <c r="J117" s="66"/>
      <c r="K117" s="66"/>
      <c r="L117" s="66"/>
      <c r="M117" s="66"/>
      <c r="N117" s="66"/>
    </row>
    <row r="118" spans="1:14" ht="12.75">
      <c r="A118" s="66"/>
      <c r="B118" s="66"/>
      <c r="C118" s="66"/>
      <c r="D118" s="66"/>
      <c r="E118" s="66"/>
      <c r="F118" s="66"/>
      <c r="G118" s="66"/>
      <c r="H118" s="66"/>
      <c r="I118" s="66"/>
      <c r="J118" s="66"/>
      <c r="K118" s="66"/>
      <c r="L118" s="66"/>
      <c r="M118" s="66"/>
      <c r="N118" s="66"/>
    </row>
  </sheetData>
  <sheetProtection/>
  <printOptions/>
  <pageMargins left="0.5" right="0.5" top="0.75" bottom="0.75"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N120"/>
  <sheetViews>
    <sheetView showGridLines="0" view="pageBreakPreview" zoomScaleSheetLayoutView="100" zoomScalePageLayoutView="0" workbookViewId="0" topLeftCell="A1">
      <selection activeCell="K8" sqref="K8"/>
    </sheetView>
  </sheetViews>
  <sheetFormatPr defaultColWidth="9.140625" defaultRowHeight="12.75"/>
  <cols>
    <col min="2" max="2" width="2.28125" style="0" bestFit="1" customWidth="1"/>
    <col min="3" max="12" width="11.7109375" style="0" customWidth="1"/>
  </cols>
  <sheetData>
    <row r="1" spans="1:2" ht="12.75">
      <c r="A1" s="59" t="str">
        <f>"Commodity Pricing ("&amp;TEXT(A6,"mmmm yyyy")&amp;" through "&amp;TEXT(A17,"mmmm yyyy")&amp;")"</f>
        <v>Commodity Pricing (May 2016 through April 2017)</v>
      </c>
      <c r="B1" s="60"/>
    </row>
    <row r="2" spans="1:2" ht="12.75">
      <c r="A2" s="61" t="str">
        <f>Value!A2</f>
        <v>Rabanco Ltd (dba Allied Waste of Bellevue)</v>
      </c>
      <c r="B2" s="61"/>
    </row>
    <row r="3" spans="1:2" ht="12.75">
      <c r="A3" s="61"/>
      <c r="B3" s="61"/>
    </row>
    <row r="4" spans="1:2" ht="12.75">
      <c r="A4" s="61"/>
      <c r="B4" s="61"/>
    </row>
    <row r="5" spans="2:13" ht="12.75">
      <c r="B5" s="70"/>
      <c r="C5" s="63" t="s">
        <v>21</v>
      </c>
      <c r="D5" s="63" t="s">
        <v>22</v>
      </c>
      <c r="E5" s="63" t="s">
        <v>33</v>
      </c>
      <c r="F5" s="63" t="s">
        <v>23</v>
      </c>
      <c r="G5" s="63" t="s">
        <v>24</v>
      </c>
      <c r="H5" s="63" t="s">
        <v>25</v>
      </c>
      <c r="I5" s="63" t="s">
        <v>26</v>
      </c>
      <c r="J5" s="63" t="s">
        <v>27</v>
      </c>
      <c r="K5" s="63" t="s">
        <v>28</v>
      </c>
      <c r="L5" s="63" t="s">
        <v>29</v>
      </c>
      <c r="M5" s="63"/>
    </row>
    <row r="6" spans="1:13" ht="15.75" customHeight="1">
      <c r="A6" s="130">
        <f>'Single Family'!$C$6</f>
        <v>42491</v>
      </c>
      <c r="B6" s="66" t="s">
        <v>67</v>
      </c>
      <c r="C6" s="106">
        <f>'Single Family'!C74</f>
        <v>798</v>
      </c>
      <c r="D6" s="107">
        <f>'Single Family'!C76</f>
        <v>-2.2</v>
      </c>
      <c r="E6" s="107">
        <f>'Single Family'!C77</f>
        <v>-120.17</v>
      </c>
      <c r="F6" s="108">
        <f>'Single Family'!C72</f>
        <v>73.93</v>
      </c>
      <c r="G6" s="106">
        <f>'Single Family'!C69</f>
        <v>72.25</v>
      </c>
      <c r="H6" s="106">
        <f>'Single Family'!C79</f>
        <v>69.38</v>
      </c>
      <c r="I6" s="106">
        <f>'Single Family'!C73</f>
        <v>133.8</v>
      </c>
      <c r="J6" s="106">
        <f>'Single Family'!C73</f>
        <v>133.8</v>
      </c>
      <c r="K6" s="106">
        <f>'Single Family'!C70</f>
        <v>87.8</v>
      </c>
      <c r="L6" s="107">
        <f>'Single Family'!C78</f>
        <v>-120.17</v>
      </c>
      <c r="M6" s="70"/>
    </row>
    <row r="7" spans="1:13" ht="15.75" customHeight="1">
      <c r="A7" s="65">
        <f>+'Commodity Tonnages'!A7</f>
        <v>42551</v>
      </c>
      <c r="B7" s="66" t="s">
        <v>68</v>
      </c>
      <c r="C7" s="106">
        <f>'Single Family'!D74</f>
        <v>778.7</v>
      </c>
      <c r="D7" s="107">
        <f>'Single Family'!D76</f>
        <v>-7.81</v>
      </c>
      <c r="E7" s="107">
        <f>'Single Family'!D77</f>
        <v>-120.17</v>
      </c>
      <c r="F7" s="108">
        <f>'Single Family'!D72</f>
        <v>64.9</v>
      </c>
      <c r="G7" s="106">
        <f>'Single Family'!D69</f>
        <v>75.63</v>
      </c>
      <c r="H7" s="106">
        <f>'Single Family'!D79</f>
        <v>71.97</v>
      </c>
      <c r="I7" s="106">
        <f>'Single Family'!D73</f>
        <v>129.45</v>
      </c>
      <c r="J7" s="106">
        <f>'Single Family'!D73</f>
        <v>129.45</v>
      </c>
      <c r="K7" s="106">
        <f>'Single Family'!D70</f>
        <v>90.36</v>
      </c>
      <c r="L7" s="107">
        <f>'Single Family'!D78</f>
        <v>-120.17</v>
      </c>
      <c r="M7" s="70"/>
    </row>
    <row r="8" spans="1:13" ht="15.75" customHeight="1">
      <c r="A8" s="65">
        <f>+'Commodity Tonnages'!A8</f>
        <v>42582</v>
      </c>
      <c r="B8" s="66" t="s">
        <v>69</v>
      </c>
      <c r="C8" s="106">
        <f>'Single Family'!E74</f>
        <v>777</v>
      </c>
      <c r="D8" s="107">
        <f>'Single Family'!E76</f>
        <v>-8.03</v>
      </c>
      <c r="E8" s="107">
        <f>'Single Family'!E77</f>
        <v>-120.17</v>
      </c>
      <c r="F8" s="108">
        <f>'Single Family'!E72</f>
        <v>58.33</v>
      </c>
      <c r="G8" s="106">
        <f>'Single Family'!E69</f>
        <v>83.6</v>
      </c>
      <c r="H8" s="106">
        <f>'Single Family'!E79</f>
        <v>78.17</v>
      </c>
      <c r="I8" s="106">
        <f>'Single Family'!E73</f>
        <v>134.41</v>
      </c>
      <c r="J8" s="106">
        <f>'Single Family'!E73</f>
        <v>134.41</v>
      </c>
      <c r="K8" s="106">
        <f>'Single Family'!E70</f>
        <v>101.52</v>
      </c>
      <c r="L8" s="107">
        <f>'Single Family'!E78</f>
        <v>-120.17</v>
      </c>
      <c r="M8" s="67"/>
    </row>
    <row r="9" spans="1:13" ht="15.75" customHeight="1">
      <c r="A9" s="65">
        <f>+'Commodity Tonnages'!A9</f>
        <v>42613</v>
      </c>
      <c r="B9" s="66" t="s">
        <v>70</v>
      </c>
      <c r="C9" s="106">
        <f>'Single Family'!F74</f>
        <v>798</v>
      </c>
      <c r="D9" s="107">
        <f>'Single Family'!F76</f>
        <v>-1.52</v>
      </c>
      <c r="E9" s="107">
        <f>'Single Family'!F77</f>
        <v>-120.17</v>
      </c>
      <c r="F9" s="108">
        <f>'Single Family'!F72</f>
        <v>59.25</v>
      </c>
      <c r="G9" s="106">
        <f>'Single Family'!F69</f>
        <v>93.37</v>
      </c>
      <c r="H9" s="106">
        <f>'Single Family'!F79</f>
        <v>87.47</v>
      </c>
      <c r="I9" s="106">
        <f>'Single Family'!F73</f>
        <v>130.42</v>
      </c>
      <c r="J9" s="106">
        <f>'Single Family'!F73</f>
        <v>130.42</v>
      </c>
      <c r="K9" s="106">
        <f>'Single Family'!F70</f>
        <v>110.76</v>
      </c>
      <c r="L9" s="107">
        <f>'Single Family'!F78</f>
        <v>-120.17</v>
      </c>
      <c r="M9" s="67"/>
    </row>
    <row r="10" spans="1:13" ht="15.75" customHeight="1">
      <c r="A10" s="65">
        <f>+'Commodity Tonnages'!A10</f>
        <v>42643</v>
      </c>
      <c r="B10" s="66" t="s">
        <v>71</v>
      </c>
      <c r="C10" s="106">
        <f>'Single Family'!G74</f>
        <v>784</v>
      </c>
      <c r="D10" s="107">
        <f>'Single Family'!G76</f>
        <v>-5.91</v>
      </c>
      <c r="E10" s="107">
        <f>'Single Family'!G77</f>
        <v>-120.17</v>
      </c>
      <c r="F10" s="108">
        <f>'Single Family'!G72</f>
        <v>59.29</v>
      </c>
      <c r="G10" s="106">
        <f>'Single Family'!G69</f>
        <v>90.66</v>
      </c>
      <c r="H10" s="106">
        <f>'Single Family'!G79</f>
        <v>77.81</v>
      </c>
      <c r="I10" s="106">
        <f>'Single Family'!G73</f>
        <v>110.89</v>
      </c>
      <c r="J10" s="106">
        <f>'Single Family'!G73</f>
        <v>110.89</v>
      </c>
      <c r="K10" s="106">
        <f>'Single Family'!G70</f>
        <v>99.86</v>
      </c>
      <c r="L10" s="107">
        <f>'Single Family'!G78</f>
        <v>-120.17</v>
      </c>
      <c r="M10" s="67"/>
    </row>
    <row r="11" spans="1:13" ht="15.75" customHeight="1">
      <c r="A11" s="65">
        <f>+'Commodity Tonnages'!A11</f>
        <v>42674</v>
      </c>
      <c r="B11" s="66" t="s">
        <v>72</v>
      </c>
      <c r="C11" s="106">
        <f>'Single Family'!H74</f>
        <v>812</v>
      </c>
      <c r="D11" s="107">
        <f>'Single Family'!H76</f>
        <v>-6.71</v>
      </c>
      <c r="E11" s="107">
        <f>'Single Family'!H77</f>
        <v>-120.17</v>
      </c>
      <c r="F11" s="108">
        <f>'Single Family'!H72</f>
        <v>52.472</v>
      </c>
      <c r="G11" s="106">
        <f>'Single Family'!H69</f>
        <v>88.47</v>
      </c>
      <c r="H11" s="106">
        <f>'Single Family'!H79</f>
        <v>76.42</v>
      </c>
      <c r="I11" s="106">
        <f>'Single Family'!H73</f>
        <v>100.65</v>
      </c>
      <c r="J11" s="106">
        <f>'Single Family'!H73</f>
        <v>100.65</v>
      </c>
      <c r="K11" s="106">
        <f>'Single Family'!H70</f>
        <v>103.64</v>
      </c>
      <c r="L11" s="107">
        <f>'Single Family'!H78</f>
        <v>-120.17</v>
      </c>
      <c r="M11" s="67"/>
    </row>
    <row r="12" spans="1:13" ht="15.75" customHeight="1">
      <c r="A12" s="65">
        <f>+'Commodity Tonnages'!A12</f>
        <v>42704</v>
      </c>
      <c r="B12" s="66" t="s">
        <v>73</v>
      </c>
      <c r="C12" s="106">
        <f>'Single Family'!I74</f>
        <v>836.49</v>
      </c>
      <c r="D12" s="107">
        <f>'Single Family'!I76</f>
        <v>-16.34</v>
      </c>
      <c r="E12" s="107">
        <f>'Single Family'!I77</f>
        <v>-120.17</v>
      </c>
      <c r="F12" s="108">
        <f>'Single Family'!I72</f>
        <v>66.003</v>
      </c>
      <c r="G12" s="106">
        <f>'Single Family'!I69</f>
        <v>91.42</v>
      </c>
      <c r="H12" s="106">
        <f>'Single Family'!I79</f>
        <v>81.59</v>
      </c>
      <c r="I12" s="106">
        <f>'Single Family'!I73</f>
        <v>107.11</v>
      </c>
      <c r="J12" s="106">
        <f>'Single Family'!I73</f>
        <v>107.11</v>
      </c>
      <c r="K12" s="106">
        <f>'Single Family'!I70</f>
        <v>110.66</v>
      </c>
      <c r="L12" s="107">
        <f>'Single Family'!I78</f>
        <v>-120.17</v>
      </c>
      <c r="M12" s="67"/>
    </row>
    <row r="13" spans="1:13" ht="15.75" customHeight="1">
      <c r="A13" s="65">
        <f>+'Commodity Tonnages'!A13</f>
        <v>42735</v>
      </c>
      <c r="B13" s="66" t="s">
        <v>74</v>
      </c>
      <c r="C13" s="106">
        <f>'Single Family'!J74</f>
        <v>863.569</v>
      </c>
      <c r="D13" s="107">
        <f>'Single Family'!J76</f>
        <v>-19.71</v>
      </c>
      <c r="E13" s="107">
        <f>'Single Family'!J77</f>
        <v>-120.17</v>
      </c>
      <c r="F13" s="108">
        <f>'Single Family'!J72</f>
        <v>67.54299999999999</v>
      </c>
      <c r="G13" s="106">
        <f>'Single Family'!J69</f>
        <v>90.15299999999999</v>
      </c>
      <c r="H13" s="106">
        <f>'Single Family'!J79</f>
        <v>85.946</v>
      </c>
      <c r="I13" s="106">
        <f>'Single Family'!J73</f>
        <v>99.484</v>
      </c>
      <c r="J13" s="106">
        <f>'Single Family'!J73</f>
        <v>99.484</v>
      </c>
      <c r="K13" s="106">
        <f>'Single Family'!J70</f>
        <v>112.602</v>
      </c>
      <c r="L13" s="107">
        <f>'Single Family'!J78</f>
        <v>-120.17</v>
      </c>
      <c r="M13" s="67"/>
    </row>
    <row r="14" spans="1:13" ht="15.75" customHeight="1">
      <c r="A14" s="65">
        <f>+'Commodity Tonnages'!A14</f>
        <v>42766</v>
      </c>
      <c r="B14" s="66" t="s">
        <v>75</v>
      </c>
      <c r="C14" s="106">
        <f>'Single Family'!K74</f>
        <v>886.4379999999999</v>
      </c>
      <c r="D14" s="107">
        <f>'Single Family'!K76</f>
        <v>-11</v>
      </c>
      <c r="E14" s="107">
        <f>'Single Family'!K77</f>
        <v>-120.17</v>
      </c>
      <c r="F14" s="108">
        <f>'Single Family'!K72</f>
        <v>82.467</v>
      </c>
      <c r="G14" s="106">
        <f>'Single Family'!K69</f>
        <v>94.08699999999999</v>
      </c>
      <c r="H14" s="106">
        <f>'Single Family'!K79</f>
        <v>80.395</v>
      </c>
      <c r="I14" s="106">
        <f>'Single Family'!K73</f>
        <v>111.96499999999999</v>
      </c>
      <c r="J14" s="106">
        <f>'Single Family'!K73</f>
        <v>111.96499999999999</v>
      </c>
      <c r="K14" s="106">
        <f>'Single Family'!K70</f>
        <v>119.57399999999998</v>
      </c>
      <c r="L14" s="107">
        <f>'Single Family'!K78</f>
        <v>-120.17</v>
      </c>
      <c r="M14" s="67"/>
    </row>
    <row r="15" spans="1:13" ht="15.75" customHeight="1">
      <c r="A15" s="65">
        <f>+'Commodity Tonnages'!A15</f>
        <v>42794</v>
      </c>
      <c r="B15" s="66" t="s">
        <v>76</v>
      </c>
      <c r="C15" s="106">
        <f>'Single Family'!L74</f>
        <v>939.4279999999999</v>
      </c>
      <c r="D15" s="107">
        <f>'Single Family'!L76</f>
        <v>-10.55</v>
      </c>
      <c r="E15" s="107">
        <f>'Single Family'!L77</f>
        <v>-120.17</v>
      </c>
      <c r="F15" s="108">
        <f>'Single Family'!L72</f>
        <v>73.514</v>
      </c>
      <c r="G15" s="106">
        <f>'Single Family'!L69</f>
        <v>111.293</v>
      </c>
      <c r="H15" s="106">
        <f>'Single Family'!L79</f>
        <v>103.03299999999999</v>
      </c>
      <c r="I15" s="106">
        <f>'Single Family'!L73</f>
        <v>125.03399999999999</v>
      </c>
      <c r="J15" s="106">
        <f>'Single Family'!L73</f>
        <v>125.03399999999999</v>
      </c>
      <c r="K15" s="106">
        <f>'Single Family'!L70</f>
        <v>141.428</v>
      </c>
      <c r="L15" s="107">
        <f>'Single Family'!$L$78</f>
        <v>-120.17</v>
      </c>
      <c r="M15" s="67"/>
    </row>
    <row r="16" spans="1:13" ht="15.75" customHeight="1">
      <c r="A16" s="65">
        <f>+'Commodity Tonnages'!A16</f>
        <v>42825</v>
      </c>
      <c r="B16" s="66" t="s">
        <v>77</v>
      </c>
      <c r="C16" s="106">
        <f>'Single Family'!M74</f>
        <v>960.316</v>
      </c>
      <c r="D16" s="107">
        <f>'Single Family'!M76</f>
        <v>-10.44</v>
      </c>
      <c r="E16" s="107">
        <f>'Single Family'!M77</f>
        <v>-134.59</v>
      </c>
      <c r="F16" s="108">
        <f>'Single Family'!M72</f>
        <v>89.299</v>
      </c>
      <c r="G16" s="106">
        <f>'Single Family'!M69</f>
        <v>106.428</v>
      </c>
      <c r="H16" s="106">
        <f>'Single Family'!M79</f>
        <v>102.494</v>
      </c>
      <c r="I16" s="106">
        <f>'Single Family'!M73</f>
        <v>108.983</v>
      </c>
      <c r="J16" s="106">
        <f>'Single Family'!M73</f>
        <v>108.983</v>
      </c>
      <c r="K16" s="106">
        <f>'Single Family'!M70</f>
        <v>156.905</v>
      </c>
      <c r="L16" s="107">
        <f>'Single Family'!$M$78</f>
        <v>-134.59</v>
      </c>
      <c r="M16" s="67"/>
    </row>
    <row r="17" spans="1:13" ht="15.75" customHeight="1">
      <c r="A17" s="65">
        <f>+'Commodity Tonnages'!A17</f>
        <v>42855</v>
      </c>
      <c r="B17" s="66" t="s">
        <v>78</v>
      </c>
      <c r="C17" s="106">
        <f>'Single Family'!N74</f>
        <v>947.87</v>
      </c>
      <c r="D17" s="107">
        <f>'Single Family'!N76</f>
        <v>-10.45</v>
      </c>
      <c r="E17" s="107">
        <f>'Single Family'!N77</f>
        <v>-134.59</v>
      </c>
      <c r="F17" s="108">
        <f>'Single Family'!N72</f>
        <v>77.78</v>
      </c>
      <c r="G17" s="106">
        <f>'Single Family'!N69</f>
        <v>61.02</v>
      </c>
      <c r="H17" s="106">
        <f>'Single Family'!N79</f>
        <v>54.15</v>
      </c>
      <c r="I17" s="106">
        <f>'Single Family'!N73</f>
        <v>100.86</v>
      </c>
      <c r="J17" s="106">
        <f>'Single Family'!N73</f>
        <v>100.86</v>
      </c>
      <c r="K17" s="106">
        <f>'Single Family'!N70</f>
        <v>118.99</v>
      </c>
      <c r="L17" s="107">
        <f>'Single Family'!$M$78</f>
        <v>-134.59</v>
      </c>
      <c r="M17" s="67"/>
    </row>
    <row r="18" spans="1:13" ht="12.75">
      <c r="A18" s="66"/>
      <c r="B18" s="66"/>
      <c r="C18" s="67"/>
      <c r="D18" s="67"/>
      <c r="E18" s="67"/>
      <c r="F18" s="67"/>
      <c r="G18" s="67"/>
      <c r="H18" s="67"/>
      <c r="I18" s="67"/>
      <c r="J18" s="67"/>
      <c r="K18" s="67"/>
      <c r="L18" s="66"/>
      <c r="M18" s="67"/>
    </row>
    <row r="19" spans="1:14" ht="12.75">
      <c r="A19" s="69"/>
      <c r="B19" s="66"/>
      <c r="C19" s="67"/>
      <c r="D19" s="67"/>
      <c r="E19" s="67"/>
      <c r="F19" s="67"/>
      <c r="G19" s="67"/>
      <c r="H19" s="67"/>
      <c r="I19" s="67"/>
      <c r="J19" s="67"/>
      <c r="K19" s="67"/>
      <c r="L19" s="67"/>
      <c r="M19" s="67"/>
      <c r="N19" s="67" t="s">
        <v>31</v>
      </c>
    </row>
    <row r="20" spans="1:13" ht="12.75">
      <c r="A20" s="66"/>
      <c r="B20" s="66"/>
      <c r="C20" s="66"/>
      <c r="D20" s="66"/>
      <c r="E20" s="66"/>
      <c r="F20" s="66"/>
      <c r="G20" s="66"/>
      <c r="H20" s="66"/>
      <c r="I20" s="66"/>
      <c r="J20" s="66"/>
      <c r="K20" s="66"/>
      <c r="L20" s="66"/>
      <c r="M20" s="67"/>
    </row>
    <row r="21" spans="1:13" ht="12.75">
      <c r="A21" s="66"/>
      <c r="B21" s="66"/>
      <c r="C21" s="66"/>
      <c r="D21" s="66"/>
      <c r="E21" s="66"/>
      <c r="F21" s="66"/>
      <c r="G21" s="66"/>
      <c r="H21" s="66"/>
      <c r="I21" s="66"/>
      <c r="J21" s="66"/>
      <c r="K21" s="66"/>
      <c r="L21" s="66"/>
      <c r="M21" s="67"/>
    </row>
    <row r="22" spans="1:13" ht="12.75">
      <c r="A22" s="66"/>
      <c r="B22" s="66"/>
      <c r="C22" s="66"/>
      <c r="D22" s="66"/>
      <c r="F22" s="66"/>
      <c r="G22" s="66"/>
      <c r="H22" s="66"/>
      <c r="I22" s="66"/>
      <c r="J22" s="66"/>
      <c r="K22" s="66"/>
      <c r="L22" s="66"/>
      <c r="M22" s="67"/>
    </row>
    <row r="23" spans="1:13" ht="12.75">
      <c r="A23" s="66"/>
      <c r="B23" s="66"/>
      <c r="C23" s="66"/>
      <c r="D23" s="66"/>
      <c r="F23" s="66"/>
      <c r="G23" s="66"/>
      <c r="H23" s="66"/>
      <c r="I23" s="66"/>
      <c r="J23" s="66"/>
      <c r="K23" s="66"/>
      <c r="L23" s="66"/>
      <c r="M23" s="67"/>
    </row>
    <row r="24" spans="1:13" ht="12.75">
      <c r="A24" s="66"/>
      <c r="B24" s="66"/>
      <c r="C24" s="66"/>
      <c r="D24" s="66"/>
      <c r="G24" s="66"/>
      <c r="H24" s="66"/>
      <c r="I24" s="66"/>
      <c r="J24" s="66"/>
      <c r="K24" s="66"/>
      <c r="L24" s="66"/>
      <c r="M24" s="67"/>
    </row>
    <row r="25" spans="1:13" ht="12.75">
      <c r="A25" s="66"/>
      <c r="B25" s="66"/>
      <c r="C25" s="66"/>
      <c r="D25" s="66"/>
      <c r="F25" s="66"/>
      <c r="G25" s="66"/>
      <c r="H25" s="66"/>
      <c r="I25" s="66"/>
      <c r="J25" s="66"/>
      <c r="K25" s="66"/>
      <c r="L25" s="66"/>
      <c r="M25" s="67"/>
    </row>
    <row r="26" spans="1:13" ht="12.75">
      <c r="A26" s="66"/>
      <c r="B26" s="66"/>
      <c r="C26" s="66"/>
      <c r="D26" s="66"/>
      <c r="F26" s="66"/>
      <c r="G26" s="66"/>
      <c r="H26" s="66"/>
      <c r="I26" s="66"/>
      <c r="J26" s="66"/>
      <c r="K26" s="66"/>
      <c r="L26" s="66"/>
      <c r="M26" s="67"/>
    </row>
    <row r="27" spans="1:13" ht="12.75">
      <c r="A27" s="66"/>
      <c r="B27" s="66"/>
      <c r="C27" s="66"/>
      <c r="D27" s="66"/>
      <c r="F27" s="66"/>
      <c r="G27" s="66"/>
      <c r="H27" s="66"/>
      <c r="I27" s="66"/>
      <c r="J27" s="66"/>
      <c r="K27" s="66"/>
      <c r="L27" s="66"/>
      <c r="M27" s="67"/>
    </row>
    <row r="28" spans="1:13" ht="12.75">
      <c r="A28" s="66"/>
      <c r="B28" s="66"/>
      <c r="C28" s="66"/>
      <c r="D28" s="66"/>
      <c r="F28" s="66"/>
      <c r="G28" s="66"/>
      <c r="H28" s="66"/>
      <c r="I28" s="66"/>
      <c r="J28" s="66"/>
      <c r="K28" s="66"/>
      <c r="L28" s="66"/>
      <c r="M28" s="67"/>
    </row>
    <row r="29" spans="1:13" ht="12.75">
      <c r="A29" s="66"/>
      <c r="B29" s="66"/>
      <c r="C29" s="66"/>
      <c r="D29" s="66"/>
      <c r="F29" s="66"/>
      <c r="G29" s="66"/>
      <c r="H29" s="66"/>
      <c r="I29" s="66"/>
      <c r="J29" s="66"/>
      <c r="K29" s="66"/>
      <c r="L29" s="66"/>
      <c r="M29" s="67"/>
    </row>
    <row r="30" spans="1:13" ht="12.75">
      <c r="A30" s="66"/>
      <c r="B30" s="66"/>
      <c r="C30" s="66"/>
      <c r="D30" s="66"/>
      <c r="F30" s="66"/>
      <c r="G30" s="66"/>
      <c r="H30" s="66"/>
      <c r="I30" s="66"/>
      <c r="J30" s="66"/>
      <c r="K30" s="66"/>
      <c r="L30" s="66"/>
      <c r="M30" s="66"/>
    </row>
    <row r="31" spans="1:13" ht="12.75">
      <c r="A31" s="66"/>
      <c r="B31" s="66"/>
      <c r="C31" s="66"/>
      <c r="D31" s="66"/>
      <c r="F31" s="66"/>
      <c r="G31" s="66"/>
      <c r="H31" s="66"/>
      <c r="I31" s="66"/>
      <c r="J31" s="66"/>
      <c r="K31" s="66"/>
      <c r="L31" s="66"/>
      <c r="M31" s="66"/>
    </row>
    <row r="32" spans="1:13" ht="12.75">
      <c r="A32" s="66"/>
      <c r="B32" s="66"/>
      <c r="C32" s="66"/>
      <c r="D32" s="66"/>
      <c r="F32" s="66"/>
      <c r="G32" s="66"/>
      <c r="H32" s="66"/>
      <c r="I32" s="66"/>
      <c r="J32" s="66"/>
      <c r="K32" s="66"/>
      <c r="L32" s="66"/>
      <c r="M32" s="66"/>
    </row>
    <row r="33" spans="1:13" ht="12.75">
      <c r="A33" s="66"/>
      <c r="B33" s="66"/>
      <c r="C33" s="66"/>
      <c r="D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row r="119" spans="1:13" ht="12.75">
      <c r="A119" s="66"/>
      <c r="B119" s="66"/>
      <c r="C119" s="66"/>
      <c r="D119" s="66"/>
      <c r="E119" s="66"/>
      <c r="F119" s="66"/>
      <c r="G119" s="66"/>
      <c r="H119" s="66"/>
      <c r="I119" s="66"/>
      <c r="J119" s="66"/>
      <c r="K119" s="66"/>
      <c r="L119" s="66"/>
      <c r="M119" s="66"/>
    </row>
    <row r="120" spans="1:13" ht="12.75">
      <c r="A120" s="66"/>
      <c r="B120" s="66"/>
      <c r="C120" s="66"/>
      <c r="D120" s="66"/>
      <c r="E120" s="66"/>
      <c r="F120" s="66"/>
      <c r="G120" s="66"/>
      <c r="H120" s="66"/>
      <c r="I120" s="66"/>
      <c r="J120" s="66"/>
      <c r="K120" s="66"/>
      <c r="L120" s="66"/>
      <c r="M120" s="66"/>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U105"/>
  <sheetViews>
    <sheetView showGridLines="0" view="pageBreakPreview" zoomScaleSheetLayoutView="100" zoomScalePageLayoutView="0" workbookViewId="0" topLeftCell="A1">
      <pane xSplit="2" ySplit="6" topLeftCell="C67" activePane="bottomRight" state="frozen"/>
      <selection pane="topLeft" activeCell="I58" sqref="I58"/>
      <selection pane="topRight" activeCell="I58" sqref="I58"/>
      <selection pane="bottomLeft" activeCell="I58" sqref="I58"/>
      <selection pane="bottomRight" activeCell="F93" sqref="F93"/>
    </sheetView>
  </sheetViews>
  <sheetFormatPr defaultColWidth="9.140625" defaultRowHeight="12.75"/>
  <cols>
    <col min="1" max="1" width="6.00390625" style="66" customWidth="1"/>
    <col min="2" max="2" width="17.8515625" style="66" customWidth="1"/>
    <col min="3" max="4" width="9.8515625" style="66" customWidth="1"/>
    <col min="5" max="5" width="11.28125" style="66" customWidth="1"/>
    <col min="6" max="7" width="9.57421875" style="66" customWidth="1"/>
    <col min="8" max="8" width="9.8515625" style="66" customWidth="1"/>
    <col min="9" max="9" width="10.421875" style="66" customWidth="1"/>
    <col min="10" max="10" width="10.7109375" style="66" customWidth="1"/>
    <col min="11" max="14" width="11.140625" style="66" bestFit="1" customWidth="1"/>
    <col min="15" max="15" width="10.7109375" style="66" bestFit="1" customWidth="1"/>
    <col min="16" max="17" width="9.140625" style="66" customWidth="1"/>
    <col min="18" max="19" width="9.7109375" style="66" bestFit="1" customWidth="1"/>
    <col min="20" max="16384" width="9.140625" style="66" customWidth="1"/>
  </cols>
  <sheetData>
    <row r="1" ht="11.25"/>
    <row r="2" spans="2:3" ht="11.25">
      <c r="B2" s="83" t="s">
        <v>80</v>
      </c>
      <c r="C2" s="84"/>
    </row>
    <row r="3" ht="11.25">
      <c r="C3" s="84"/>
    </row>
    <row r="4" spans="3:10" ht="11.25">
      <c r="C4" s="85"/>
      <c r="D4" s="85"/>
      <c r="E4" s="85"/>
      <c r="F4" s="85"/>
      <c r="G4" s="85"/>
      <c r="H4" s="86"/>
      <c r="I4" s="86"/>
      <c r="J4" s="83"/>
    </row>
    <row r="5" spans="3:10" ht="11.25">
      <c r="C5" s="85"/>
      <c r="D5" s="85"/>
      <c r="E5" s="85"/>
      <c r="F5" s="85"/>
      <c r="G5" s="85"/>
      <c r="H5" s="86"/>
      <c r="I5" s="86"/>
      <c r="J5" s="85"/>
    </row>
    <row r="6" spans="3:14" ht="9.75" customHeight="1">
      <c r="C6" s="126">
        <v>42491</v>
      </c>
      <c r="D6" s="87">
        <f aca="true" t="shared" si="0" ref="D6:N6">EOMONTH(C6,1)</f>
        <v>42551</v>
      </c>
      <c r="E6" s="87">
        <f t="shared" si="0"/>
        <v>42582</v>
      </c>
      <c r="F6" s="87">
        <f t="shared" si="0"/>
        <v>42613</v>
      </c>
      <c r="G6" s="87">
        <f t="shared" si="0"/>
        <v>42643</v>
      </c>
      <c r="H6" s="87">
        <f t="shared" si="0"/>
        <v>42674</v>
      </c>
      <c r="I6" s="87">
        <f t="shared" si="0"/>
        <v>42704</v>
      </c>
      <c r="J6" s="87">
        <f t="shared" si="0"/>
        <v>42735</v>
      </c>
      <c r="K6" s="87">
        <f t="shared" si="0"/>
        <v>42766</v>
      </c>
      <c r="L6" s="87">
        <f t="shared" si="0"/>
        <v>42794</v>
      </c>
      <c r="M6" s="87">
        <f t="shared" si="0"/>
        <v>42825</v>
      </c>
      <c r="N6" s="87">
        <f t="shared" si="0"/>
        <v>42855</v>
      </c>
    </row>
    <row r="7" spans="1:14" s="67" customFormat="1" ht="11.25">
      <c r="A7" s="88" t="s">
        <v>47</v>
      </c>
      <c r="C7" s="127">
        <v>334.04</v>
      </c>
      <c r="D7" s="127">
        <v>390.63</v>
      </c>
      <c r="E7" s="127">
        <v>339.63</v>
      </c>
      <c r="F7" s="127">
        <v>409.58</v>
      </c>
      <c r="G7" s="127">
        <v>383.47</v>
      </c>
      <c r="H7" s="127">
        <v>337.96</v>
      </c>
      <c r="I7" s="127">
        <v>365.47</v>
      </c>
      <c r="J7" s="127">
        <v>419.6</v>
      </c>
      <c r="K7" s="127">
        <v>415.66</v>
      </c>
      <c r="L7" s="127">
        <v>317.89</v>
      </c>
      <c r="M7" s="127">
        <v>363.38</v>
      </c>
      <c r="N7" s="127">
        <v>304.33</v>
      </c>
    </row>
    <row r="8" spans="1:14" ht="11.25">
      <c r="A8" s="66" t="s">
        <v>48</v>
      </c>
      <c r="C8" s="89">
        <v>0</v>
      </c>
      <c r="D8" s="89">
        <v>0</v>
      </c>
      <c r="E8" s="89">
        <v>0</v>
      </c>
      <c r="F8" s="89">
        <v>0</v>
      </c>
      <c r="G8" s="89">
        <v>0</v>
      </c>
      <c r="H8" s="89">
        <v>0</v>
      </c>
      <c r="I8" s="89">
        <v>0</v>
      </c>
      <c r="J8" s="89">
        <v>0</v>
      </c>
      <c r="K8" s="89">
        <v>0</v>
      </c>
      <c r="L8" s="89">
        <v>0</v>
      </c>
      <c r="M8" s="89">
        <v>0</v>
      </c>
      <c r="N8" s="89">
        <v>0</v>
      </c>
    </row>
    <row r="9" spans="1:14" ht="11.25">
      <c r="A9" s="66" t="s">
        <v>49</v>
      </c>
      <c r="C9" s="90">
        <f aca="true" t="shared" si="1" ref="C9:L9">+C7*C8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+M7*M8</f>
        <v>0</v>
      </c>
      <c r="N9" s="90">
        <f>+N7*N8</f>
        <v>0</v>
      </c>
    </row>
    <row r="10" spans="1:14" ht="11.25">
      <c r="A10" s="83" t="s">
        <v>50</v>
      </c>
      <c r="C10" s="91">
        <f aca="true" t="shared" si="2" ref="C10:L10">+C7-C9</f>
        <v>334.04</v>
      </c>
      <c r="D10" s="91">
        <f t="shared" si="2"/>
        <v>390.63</v>
      </c>
      <c r="E10" s="91">
        <f t="shared" si="2"/>
        <v>339.63</v>
      </c>
      <c r="F10" s="91">
        <f t="shared" si="2"/>
        <v>409.58</v>
      </c>
      <c r="G10" s="91">
        <f t="shared" si="2"/>
        <v>383.47</v>
      </c>
      <c r="H10" s="91">
        <f t="shared" si="2"/>
        <v>337.96</v>
      </c>
      <c r="I10" s="91">
        <f t="shared" si="2"/>
        <v>365.47</v>
      </c>
      <c r="J10" s="91">
        <f t="shared" si="2"/>
        <v>419.6</v>
      </c>
      <c r="K10" s="91">
        <f t="shared" si="2"/>
        <v>415.66</v>
      </c>
      <c r="L10" s="91">
        <f t="shared" si="2"/>
        <v>317.89</v>
      </c>
      <c r="M10" s="91">
        <f>+M7-M9</f>
        <v>363.38</v>
      </c>
      <c r="N10" s="91">
        <f>+N7-N9</f>
        <v>304.33</v>
      </c>
    </row>
    <row r="11" ht="11.25"/>
    <row r="12" ht="11.25">
      <c r="A12" s="83" t="s">
        <v>51</v>
      </c>
    </row>
    <row r="13" spans="2:14" s="92" customFormat="1" ht="11.25">
      <c r="B13" s="92" t="s">
        <v>24</v>
      </c>
      <c r="C13" s="124">
        <v>0.195</v>
      </c>
      <c r="D13" s="124">
        <f>+C13</f>
        <v>0.195</v>
      </c>
      <c r="E13" s="124">
        <f aca="true" t="shared" si="3" ref="E13:N13">+D13</f>
        <v>0.195</v>
      </c>
      <c r="F13" s="124">
        <f t="shared" si="3"/>
        <v>0.195</v>
      </c>
      <c r="G13" s="124">
        <f t="shared" si="3"/>
        <v>0.195</v>
      </c>
      <c r="H13" s="124">
        <f t="shared" si="3"/>
        <v>0.195</v>
      </c>
      <c r="I13" s="124">
        <f t="shared" si="3"/>
        <v>0.195</v>
      </c>
      <c r="J13" s="124">
        <f t="shared" si="3"/>
        <v>0.195</v>
      </c>
      <c r="K13" s="124">
        <f t="shared" si="3"/>
        <v>0.195</v>
      </c>
      <c r="L13" s="124">
        <f t="shared" si="3"/>
        <v>0.195</v>
      </c>
      <c r="M13" s="124">
        <f t="shared" si="3"/>
        <v>0.195</v>
      </c>
      <c r="N13" s="124">
        <f t="shared" si="3"/>
        <v>0.195</v>
      </c>
    </row>
    <row r="14" spans="2:14" s="92" customFormat="1" ht="11.25">
      <c r="B14" s="92" t="s">
        <v>28</v>
      </c>
      <c r="C14" s="124">
        <v>0.1782</v>
      </c>
      <c r="D14" s="124">
        <f aca="true" t="shared" si="4" ref="D14:N23">+C14</f>
        <v>0.1782</v>
      </c>
      <c r="E14" s="124">
        <f t="shared" si="4"/>
        <v>0.1782</v>
      </c>
      <c r="F14" s="124">
        <f t="shared" si="4"/>
        <v>0.1782</v>
      </c>
      <c r="G14" s="124">
        <f t="shared" si="4"/>
        <v>0.1782</v>
      </c>
      <c r="H14" s="124">
        <f t="shared" si="4"/>
        <v>0.1782</v>
      </c>
      <c r="I14" s="124">
        <f t="shared" si="4"/>
        <v>0.1782</v>
      </c>
      <c r="J14" s="124">
        <f t="shared" si="4"/>
        <v>0.1782</v>
      </c>
      <c r="K14" s="124">
        <f t="shared" si="4"/>
        <v>0.1782</v>
      </c>
      <c r="L14" s="124">
        <f t="shared" si="4"/>
        <v>0.1782</v>
      </c>
      <c r="M14" s="124">
        <f t="shared" si="4"/>
        <v>0.1782</v>
      </c>
      <c r="N14" s="124">
        <f t="shared" si="4"/>
        <v>0.1782</v>
      </c>
    </row>
    <row r="15" spans="2:14" s="92" customFormat="1" ht="11.25">
      <c r="B15" s="92" t="s">
        <v>52</v>
      </c>
      <c r="C15" s="124">
        <v>0</v>
      </c>
      <c r="D15" s="124">
        <f t="shared" si="4"/>
        <v>0</v>
      </c>
      <c r="E15" s="124">
        <f t="shared" si="4"/>
        <v>0</v>
      </c>
      <c r="F15" s="124">
        <f t="shared" si="4"/>
        <v>0</v>
      </c>
      <c r="G15" s="124">
        <f t="shared" si="4"/>
        <v>0</v>
      </c>
      <c r="H15" s="124">
        <f t="shared" si="4"/>
        <v>0</v>
      </c>
      <c r="I15" s="124">
        <f t="shared" si="4"/>
        <v>0</v>
      </c>
      <c r="J15" s="124">
        <f t="shared" si="4"/>
        <v>0</v>
      </c>
      <c r="K15" s="124">
        <f t="shared" si="4"/>
        <v>0</v>
      </c>
      <c r="L15" s="124">
        <f t="shared" si="4"/>
        <v>0</v>
      </c>
      <c r="M15" s="124">
        <f t="shared" si="4"/>
        <v>0</v>
      </c>
      <c r="N15" s="124">
        <f t="shared" si="4"/>
        <v>0</v>
      </c>
    </row>
    <row r="16" spans="2:14" s="92" customFormat="1" ht="11.25">
      <c r="B16" s="92" t="s">
        <v>53</v>
      </c>
      <c r="C16" s="124">
        <v>0.0165</v>
      </c>
      <c r="D16" s="124">
        <f t="shared" si="4"/>
        <v>0.0165</v>
      </c>
      <c r="E16" s="124">
        <f t="shared" si="4"/>
        <v>0.0165</v>
      </c>
      <c r="F16" s="124">
        <f t="shared" si="4"/>
        <v>0.0165</v>
      </c>
      <c r="G16" s="124">
        <f t="shared" si="4"/>
        <v>0.0165</v>
      </c>
      <c r="H16" s="124">
        <f t="shared" si="4"/>
        <v>0.0165</v>
      </c>
      <c r="I16" s="124">
        <f t="shared" si="4"/>
        <v>0.0165</v>
      </c>
      <c r="J16" s="124">
        <f t="shared" si="4"/>
        <v>0.0165</v>
      </c>
      <c r="K16" s="124">
        <f t="shared" si="4"/>
        <v>0.0165</v>
      </c>
      <c r="L16" s="124">
        <f t="shared" si="4"/>
        <v>0.0165</v>
      </c>
      <c r="M16" s="124">
        <f t="shared" si="4"/>
        <v>0.0165</v>
      </c>
      <c r="N16" s="124">
        <f t="shared" si="4"/>
        <v>0.0165</v>
      </c>
    </row>
    <row r="17" spans="2:14" s="92" customFormat="1" ht="11.25">
      <c r="B17" s="92" t="s">
        <v>54</v>
      </c>
      <c r="C17" s="124">
        <v>0.0449</v>
      </c>
      <c r="D17" s="124">
        <f t="shared" si="4"/>
        <v>0.0449</v>
      </c>
      <c r="E17" s="124">
        <f t="shared" si="4"/>
        <v>0.0449</v>
      </c>
      <c r="F17" s="124">
        <f t="shared" si="4"/>
        <v>0.0449</v>
      </c>
      <c r="G17" s="124">
        <f t="shared" si="4"/>
        <v>0.0449</v>
      </c>
      <c r="H17" s="124">
        <f t="shared" si="4"/>
        <v>0.0449</v>
      </c>
      <c r="I17" s="124">
        <f t="shared" si="4"/>
        <v>0.0449</v>
      </c>
      <c r="J17" s="124">
        <f t="shared" si="4"/>
        <v>0.0449</v>
      </c>
      <c r="K17" s="124">
        <f t="shared" si="4"/>
        <v>0.0449</v>
      </c>
      <c r="L17" s="124">
        <f t="shared" si="4"/>
        <v>0.0449</v>
      </c>
      <c r="M17" s="124">
        <f t="shared" si="4"/>
        <v>0.0449</v>
      </c>
      <c r="N17" s="124">
        <f t="shared" si="4"/>
        <v>0.0449</v>
      </c>
    </row>
    <row r="18" spans="2:14" s="92" customFormat="1" ht="11.25">
      <c r="B18" s="92" t="s">
        <v>55</v>
      </c>
      <c r="C18" s="124">
        <v>0.0075</v>
      </c>
      <c r="D18" s="124">
        <f t="shared" si="4"/>
        <v>0.0075</v>
      </c>
      <c r="E18" s="124">
        <f t="shared" si="4"/>
        <v>0.0075</v>
      </c>
      <c r="F18" s="124">
        <f t="shared" si="4"/>
        <v>0.0075</v>
      </c>
      <c r="G18" s="124">
        <f t="shared" si="4"/>
        <v>0.0075</v>
      </c>
      <c r="H18" s="124">
        <f t="shared" si="4"/>
        <v>0.0075</v>
      </c>
      <c r="I18" s="124">
        <f t="shared" si="4"/>
        <v>0.0075</v>
      </c>
      <c r="J18" s="124">
        <f t="shared" si="4"/>
        <v>0.0075</v>
      </c>
      <c r="K18" s="124">
        <f t="shared" si="4"/>
        <v>0.0075</v>
      </c>
      <c r="L18" s="124">
        <f t="shared" si="4"/>
        <v>0.0075</v>
      </c>
      <c r="M18" s="124">
        <f t="shared" si="4"/>
        <v>0.0075</v>
      </c>
      <c r="N18" s="124">
        <f t="shared" si="4"/>
        <v>0.0075</v>
      </c>
    </row>
    <row r="19" spans="2:14" s="92" customFormat="1" ht="11.25">
      <c r="B19" s="66" t="s">
        <v>56</v>
      </c>
      <c r="C19" s="124">
        <v>0</v>
      </c>
      <c r="D19" s="124">
        <f t="shared" si="4"/>
        <v>0</v>
      </c>
      <c r="E19" s="124">
        <f t="shared" si="4"/>
        <v>0</v>
      </c>
      <c r="F19" s="124">
        <f t="shared" si="4"/>
        <v>0</v>
      </c>
      <c r="G19" s="124">
        <f t="shared" si="4"/>
        <v>0</v>
      </c>
      <c r="H19" s="124">
        <f t="shared" si="4"/>
        <v>0</v>
      </c>
      <c r="I19" s="124">
        <f t="shared" si="4"/>
        <v>0</v>
      </c>
      <c r="J19" s="124">
        <f t="shared" si="4"/>
        <v>0</v>
      </c>
      <c r="K19" s="124">
        <f t="shared" si="4"/>
        <v>0</v>
      </c>
      <c r="L19" s="124">
        <f t="shared" si="4"/>
        <v>0</v>
      </c>
      <c r="M19" s="124">
        <f t="shared" si="4"/>
        <v>0</v>
      </c>
      <c r="N19" s="124">
        <f t="shared" si="4"/>
        <v>0</v>
      </c>
    </row>
    <row r="20" spans="2:14" s="92" customFormat="1" ht="11.25">
      <c r="B20" s="66" t="s">
        <v>22</v>
      </c>
      <c r="C20" s="124">
        <v>0.1768</v>
      </c>
      <c r="D20" s="124">
        <f t="shared" si="4"/>
        <v>0.1768</v>
      </c>
      <c r="E20" s="124">
        <f t="shared" si="4"/>
        <v>0.1768</v>
      </c>
      <c r="F20" s="124">
        <f t="shared" si="4"/>
        <v>0.1768</v>
      </c>
      <c r="G20" s="124">
        <f t="shared" si="4"/>
        <v>0.1768</v>
      </c>
      <c r="H20" s="124">
        <f t="shared" si="4"/>
        <v>0.1768</v>
      </c>
      <c r="I20" s="124">
        <f t="shared" si="4"/>
        <v>0.1768</v>
      </c>
      <c r="J20" s="124">
        <f t="shared" si="4"/>
        <v>0.1768</v>
      </c>
      <c r="K20" s="124">
        <f t="shared" si="4"/>
        <v>0.1768</v>
      </c>
      <c r="L20" s="124">
        <f t="shared" si="4"/>
        <v>0.1768</v>
      </c>
      <c r="M20" s="124">
        <f t="shared" si="4"/>
        <v>0.1768</v>
      </c>
      <c r="N20" s="124">
        <f t="shared" si="4"/>
        <v>0.1768</v>
      </c>
    </row>
    <row r="21" spans="2:14" s="92" customFormat="1" ht="11.25">
      <c r="B21" s="92" t="s">
        <v>57</v>
      </c>
      <c r="C21" s="124">
        <v>0</v>
      </c>
      <c r="D21" s="124">
        <f t="shared" si="4"/>
        <v>0</v>
      </c>
      <c r="E21" s="124">
        <f t="shared" si="4"/>
        <v>0</v>
      </c>
      <c r="F21" s="124">
        <f t="shared" si="4"/>
        <v>0</v>
      </c>
      <c r="G21" s="124">
        <f t="shared" si="4"/>
        <v>0</v>
      </c>
      <c r="H21" s="124">
        <f t="shared" si="4"/>
        <v>0</v>
      </c>
      <c r="I21" s="124">
        <f t="shared" si="4"/>
        <v>0</v>
      </c>
      <c r="J21" s="124">
        <f t="shared" si="4"/>
        <v>0</v>
      </c>
      <c r="K21" s="124">
        <f t="shared" si="4"/>
        <v>0</v>
      </c>
      <c r="L21" s="124">
        <f t="shared" si="4"/>
        <v>0</v>
      </c>
      <c r="M21" s="124">
        <f t="shared" si="4"/>
        <v>0</v>
      </c>
      <c r="N21" s="124">
        <f t="shared" si="4"/>
        <v>0</v>
      </c>
    </row>
    <row r="22" spans="2:14" s="92" customFormat="1" ht="11.25">
      <c r="B22" s="92" t="s">
        <v>58</v>
      </c>
      <c r="C22" s="124">
        <v>0.05930000000000013</v>
      </c>
      <c r="D22" s="124">
        <f t="shared" si="4"/>
        <v>0.05930000000000013</v>
      </c>
      <c r="E22" s="124">
        <f t="shared" si="4"/>
        <v>0.05930000000000013</v>
      </c>
      <c r="F22" s="124">
        <f t="shared" si="4"/>
        <v>0.05930000000000013</v>
      </c>
      <c r="G22" s="124">
        <f t="shared" si="4"/>
        <v>0.05930000000000013</v>
      </c>
      <c r="H22" s="124">
        <f t="shared" si="4"/>
        <v>0.05930000000000013</v>
      </c>
      <c r="I22" s="124">
        <f t="shared" si="4"/>
        <v>0.05930000000000013</v>
      </c>
      <c r="J22" s="124">
        <f t="shared" si="4"/>
        <v>0.05930000000000013</v>
      </c>
      <c r="K22" s="124">
        <f t="shared" si="4"/>
        <v>0.05930000000000013</v>
      </c>
      <c r="L22" s="124">
        <f t="shared" si="4"/>
        <v>0.05930000000000013</v>
      </c>
      <c r="M22" s="124">
        <f t="shared" si="4"/>
        <v>0.05930000000000013</v>
      </c>
      <c r="N22" s="124">
        <f t="shared" si="4"/>
        <v>0.05930000000000013</v>
      </c>
    </row>
    <row r="23" spans="2:14" s="92" customFormat="1" ht="11.25">
      <c r="B23" s="92" t="s">
        <v>59</v>
      </c>
      <c r="C23" s="125">
        <v>0.3218</v>
      </c>
      <c r="D23" s="124">
        <f t="shared" si="4"/>
        <v>0.3218</v>
      </c>
      <c r="E23" s="124">
        <f t="shared" si="4"/>
        <v>0.3218</v>
      </c>
      <c r="F23" s="124">
        <f t="shared" si="4"/>
        <v>0.3218</v>
      </c>
      <c r="G23" s="124">
        <f t="shared" si="4"/>
        <v>0.3218</v>
      </c>
      <c r="H23" s="124">
        <f t="shared" si="4"/>
        <v>0.3218</v>
      </c>
      <c r="I23" s="124">
        <f t="shared" si="4"/>
        <v>0.3218</v>
      </c>
      <c r="J23" s="124">
        <f t="shared" si="4"/>
        <v>0.3218</v>
      </c>
      <c r="K23" s="124">
        <f t="shared" si="4"/>
        <v>0.3218</v>
      </c>
      <c r="L23" s="124">
        <f t="shared" si="4"/>
        <v>0.3218</v>
      </c>
      <c r="M23" s="124">
        <f t="shared" si="4"/>
        <v>0.3218</v>
      </c>
      <c r="N23" s="124">
        <f t="shared" si="4"/>
        <v>0.3218</v>
      </c>
    </row>
    <row r="24" spans="3:14" ht="11.25">
      <c r="C24" s="93">
        <v>1</v>
      </c>
      <c r="D24" s="93">
        <v>1</v>
      </c>
      <c r="E24" s="93">
        <v>1</v>
      </c>
      <c r="F24" s="93">
        <v>1</v>
      </c>
      <c r="G24" s="93">
        <v>1</v>
      </c>
      <c r="H24" s="93">
        <v>1</v>
      </c>
      <c r="I24" s="93">
        <v>1</v>
      </c>
      <c r="J24" s="93">
        <v>1</v>
      </c>
      <c r="K24" s="93">
        <v>1</v>
      </c>
      <c r="L24" s="93">
        <v>1</v>
      </c>
      <c r="M24" s="93">
        <v>1</v>
      </c>
      <c r="N24" s="93">
        <v>1</v>
      </c>
    </row>
    <row r="25" ht="11.25"/>
    <row r="26" ht="11.25">
      <c r="A26" s="83" t="s">
        <v>60</v>
      </c>
    </row>
    <row r="27" spans="2:14" ht="11.25">
      <c r="B27" s="66" t="s">
        <v>24</v>
      </c>
      <c r="C27" s="75">
        <f aca="true" t="shared" si="5" ref="C27:C37">+C$10*C13</f>
        <v>65.13780000000001</v>
      </c>
      <c r="D27" s="75">
        <f aca="true" t="shared" si="6" ref="D27:M27">+D$10*D13</f>
        <v>76.17285</v>
      </c>
      <c r="E27" s="75">
        <f>+E$10*E13</f>
        <v>66.22785</v>
      </c>
      <c r="F27" s="75">
        <f t="shared" si="6"/>
        <v>79.8681</v>
      </c>
      <c r="G27" s="75">
        <f t="shared" si="6"/>
        <v>74.77665</v>
      </c>
      <c r="H27" s="75">
        <f t="shared" si="6"/>
        <v>65.9022</v>
      </c>
      <c r="I27" s="75">
        <f t="shared" si="6"/>
        <v>71.26665000000001</v>
      </c>
      <c r="J27" s="75">
        <f t="shared" si="6"/>
        <v>81.822</v>
      </c>
      <c r="K27" s="75">
        <f t="shared" si="6"/>
        <v>81.0537</v>
      </c>
      <c r="L27" s="75">
        <f t="shared" si="6"/>
        <v>61.98855</v>
      </c>
      <c r="M27" s="75">
        <f t="shared" si="6"/>
        <v>70.8591</v>
      </c>
      <c r="N27" s="75">
        <f>+N$10*N13</f>
        <v>59.34435</v>
      </c>
    </row>
    <row r="28" spans="2:14" ht="11.25">
      <c r="B28" s="66" t="s">
        <v>28</v>
      </c>
      <c r="C28" s="75">
        <f t="shared" si="5"/>
        <v>59.525928</v>
      </c>
      <c r="D28" s="75">
        <f aca="true" t="shared" si="7" ref="D28:M28">+D$10*D14</f>
        <v>69.610266</v>
      </c>
      <c r="E28" s="75">
        <f>+E$10*E14</f>
        <v>60.522065999999995</v>
      </c>
      <c r="F28" s="75">
        <f t="shared" si="7"/>
        <v>72.987156</v>
      </c>
      <c r="G28" s="75">
        <f t="shared" si="7"/>
        <v>68.334354</v>
      </c>
      <c r="H28" s="75">
        <f t="shared" si="7"/>
        <v>60.224472</v>
      </c>
      <c r="I28" s="75">
        <f t="shared" si="7"/>
        <v>65.126754</v>
      </c>
      <c r="J28" s="75">
        <f t="shared" si="7"/>
        <v>74.77272</v>
      </c>
      <c r="K28" s="75">
        <f t="shared" si="7"/>
        <v>74.070612</v>
      </c>
      <c r="L28" s="75">
        <f t="shared" si="7"/>
        <v>56.647997999999994</v>
      </c>
      <c r="M28" s="75">
        <f t="shared" si="7"/>
        <v>64.754316</v>
      </c>
      <c r="N28" s="75">
        <f>+N$10*N14</f>
        <v>54.231606</v>
      </c>
    </row>
    <row r="29" spans="2:14" ht="11.25">
      <c r="B29" s="66" t="s">
        <v>52</v>
      </c>
      <c r="C29" s="75">
        <f t="shared" si="5"/>
        <v>0</v>
      </c>
      <c r="D29" s="75">
        <f aca="true" t="shared" si="8" ref="D29:N29">+D$10*D15</f>
        <v>0</v>
      </c>
      <c r="E29" s="75">
        <f t="shared" si="8"/>
        <v>0</v>
      </c>
      <c r="F29" s="75">
        <f t="shared" si="8"/>
        <v>0</v>
      </c>
      <c r="G29" s="75">
        <f t="shared" si="8"/>
        <v>0</v>
      </c>
      <c r="H29" s="75">
        <f t="shared" si="8"/>
        <v>0</v>
      </c>
      <c r="I29" s="75">
        <f t="shared" si="8"/>
        <v>0</v>
      </c>
      <c r="J29" s="75">
        <f t="shared" si="8"/>
        <v>0</v>
      </c>
      <c r="K29" s="75">
        <f t="shared" si="8"/>
        <v>0</v>
      </c>
      <c r="L29" s="75">
        <f t="shared" si="8"/>
        <v>0</v>
      </c>
      <c r="M29" s="75">
        <f t="shared" si="8"/>
        <v>0</v>
      </c>
      <c r="N29" s="75">
        <f t="shared" si="8"/>
        <v>0</v>
      </c>
    </row>
    <row r="30" spans="2:16" ht="11.25">
      <c r="B30" s="66" t="s">
        <v>53</v>
      </c>
      <c r="C30" s="75">
        <f t="shared" si="5"/>
        <v>5.511660000000001</v>
      </c>
      <c r="D30" s="75">
        <f aca="true" t="shared" si="9" ref="D30:N30">+D$10*D16</f>
        <v>6.445395</v>
      </c>
      <c r="E30" s="75">
        <f t="shared" si="9"/>
        <v>5.6038950000000005</v>
      </c>
      <c r="F30" s="75">
        <f t="shared" si="9"/>
        <v>6.75807</v>
      </c>
      <c r="G30" s="75">
        <f t="shared" si="9"/>
        <v>6.327255000000001</v>
      </c>
      <c r="H30" s="75">
        <f t="shared" si="9"/>
        <v>5.57634</v>
      </c>
      <c r="I30" s="75">
        <f t="shared" si="9"/>
        <v>6.030255</v>
      </c>
      <c r="J30" s="75">
        <f t="shared" si="9"/>
        <v>6.923400000000001</v>
      </c>
      <c r="K30" s="75">
        <f t="shared" si="9"/>
        <v>6.858390000000001</v>
      </c>
      <c r="L30" s="75">
        <f t="shared" si="9"/>
        <v>5.245185</v>
      </c>
      <c r="M30" s="75">
        <f t="shared" si="9"/>
        <v>5.99577</v>
      </c>
      <c r="N30" s="75">
        <f t="shared" si="9"/>
        <v>5.021445</v>
      </c>
      <c r="P30" s="103"/>
    </row>
    <row r="31" spans="2:16" ht="12.75">
      <c r="B31" s="66" t="s">
        <v>54</v>
      </c>
      <c r="C31" s="75">
        <f t="shared" si="5"/>
        <v>14.998396000000001</v>
      </c>
      <c r="D31" s="75">
        <f aca="true" t="shared" si="10" ref="D31:N31">+D$10*D17</f>
        <v>17.539287</v>
      </c>
      <c r="E31" s="75">
        <f t="shared" si="10"/>
        <v>15.249387</v>
      </c>
      <c r="F31" s="75">
        <f t="shared" si="10"/>
        <v>18.390142</v>
      </c>
      <c r="G31" s="75">
        <f t="shared" si="10"/>
        <v>17.217803000000004</v>
      </c>
      <c r="H31" s="75">
        <f t="shared" si="10"/>
        <v>15.174404</v>
      </c>
      <c r="I31" s="75">
        <f t="shared" si="10"/>
        <v>16.409603</v>
      </c>
      <c r="J31" s="75">
        <f t="shared" si="10"/>
        <v>18.840040000000002</v>
      </c>
      <c r="K31" s="75">
        <f t="shared" si="10"/>
        <v>18.663134000000003</v>
      </c>
      <c r="L31" s="75">
        <f t="shared" si="10"/>
        <v>14.273261</v>
      </c>
      <c r="M31" s="75">
        <f t="shared" si="10"/>
        <v>16.315762</v>
      </c>
      <c r="N31" s="75">
        <f t="shared" si="10"/>
        <v>13.664417</v>
      </c>
      <c r="P31" s="60"/>
    </row>
    <row r="32" spans="2:16" ht="12.75">
      <c r="B32" s="66" t="s">
        <v>55</v>
      </c>
      <c r="C32" s="75">
        <f t="shared" si="5"/>
        <v>2.5053</v>
      </c>
      <c r="D32" s="75">
        <f aca="true" t="shared" si="11" ref="D32:N32">+D$10*D18</f>
        <v>2.929725</v>
      </c>
      <c r="E32" s="75">
        <f t="shared" si="11"/>
        <v>2.547225</v>
      </c>
      <c r="F32" s="75">
        <f t="shared" si="11"/>
        <v>3.07185</v>
      </c>
      <c r="G32" s="75">
        <f t="shared" si="11"/>
        <v>2.8760250000000003</v>
      </c>
      <c r="H32" s="75">
        <f t="shared" si="11"/>
        <v>2.5347</v>
      </c>
      <c r="I32" s="75">
        <f t="shared" si="11"/>
        <v>2.741025</v>
      </c>
      <c r="J32" s="75">
        <f t="shared" si="11"/>
        <v>3.1470000000000002</v>
      </c>
      <c r="K32" s="75">
        <f t="shared" si="11"/>
        <v>3.1174500000000003</v>
      </c>
      <c r="L32" s="75">
        <f t="shared" si="11"/>
        <v>2.384175</v>
      </c>
      <c r="M32" s="75">
        <f t="shared" si="11"/>
        <v>2.7253499999999997</v>
      </c>
      <c r="N32" s="75">
        <f t="shared" si="11"/>
        <v>2.282475</v>
      </c>
      <c r="P32" s="60"/>
    </row>
    <row r="33" spans="2:16" ht="12.75">
      <c r="B33" s="66" t="s">
        <v>56</v>
      </c>
      <c r="C33" s="75">
        <f t="shared" si="5"/>
        <v>0</v>
      </c>
      <c r="D33" s="75">
        <f aca="true" t="shared" si="12" ref="D33:N33">+D$10*D19</f>
        <v>0</v>
      </c>
      <c r="E33" s="75">
        <f t="shared" si="12"/>
        <v>0</v>
      </c>
      <c r="F33" s="75">
        <f t="shared" si="12"/>
        <v>0</v>
      </c>
      <c r="G33" s="75">
        <f t="shared" si="12"/>
        <v>0</v>
      </c>
      <c r="H33" s="75">
        <f t="shared" si="12"/>
        <v>0</v>
      </c>
      <c r="I33" s="75">
        <f t="shared" si="12"/>
        <v>0</v>
      </c>
      <c r="J33" s="75">
        <f t="shared" si="12"/>
        <v>0</v>
      </c>
      <c r="K33" s="75">
        <f t="shared" si="12"/>
        <v>0</v>
      </c>
      <c r="L33" s="75">
        <f t="shared" si="12"/>
        <v>0</v>
      </c>
      <c r="M33" s="75">
        <f t="shared" si="12"/>
        <v>0</v>
      </c>
      <c r="N33" s="75">
        <f t="shared" si="12"/>
        <v>0</v>
      </c>
      <c r="P33" s="60"/>
    </row>
    <row r="34" spans="2:16" ht="12.75">
      <c r="B34" s="66" t="s">
        <v>22</v>
      </c>
      <c r="C34" s="75">
        <f t="shared" si="5"/>
        <v>59.05827200000001</v>
      </c>
      <c r="D34" s="75">
        <f aca="true" t="shared" si="13" ref="D34:N34">+D$10*D20</f>
        <v>69.063384</v>
      </c>
      <c r="E34" s="75">
        <f t="shared" si="13"/>
        <v>60.046584</v>
      </c>
      <c r="F34" s="75">
        <f t="shared" si="13"/>
        <v>72.41374400000001</v>
      </c>
      <c r="G34" s="75">
        <f t="shared" si="13"/>
        <v>67.79749600000001</v>
      </c>
      <c r="H34" s="75">
        <f t="shared" si="13"/>
        <v>59.751328</v>
      </c>
      <c r="I34" s="75">
        <f t="shared" si="13"/>
        <v>64.61509600000001</v>
      </c>
      <c r="J34" s="75">
        <f t="shared" si="13"/>
        <v>74.18528</v>
      </c>
      <c r="K34" s="75">
        <f t="shared" si="13"/>
        <v>73.48868800000001</v>
      </c>
      <c r="L34" s="75">
        <f t="shared" si="13"/>
        <v>56.202952</v>
      </c>
      <c r="M34" s="75">
        <f t="shared" si="13"/>
        <v>64.24558400000001</v>
      </c>
      <c r="N34" s="75">
        <f t="shared" si="13"/>
        <v>53.805544</v>
      </c>
      <c r="P34" s="60"/>
    </row>
    <row r="35" spans="2:16" ht="12.75">
      <c r="B35" s="66" t="s">
        <v>57</v>
      </c>
      <c r="C35" s="75">
        <f t="shared" si="5"/>
        <v>0</v>
      </c>
      <c r="D35" s="75">
        <f aca="true" t="shared" si="14" ref="D35:N35">+D$10*D21</f>
        <v>0</v>
      </c>
      <c r="E35" s="75">
        <f t="shared" si="14"/>
        <v>0</v>
      </c>
      <c r="F35" s="75">
        <f t="shared" si="14"/>
        <v>0</v>
      </c>
      <c r="G35" s="75">
        <f t="shared" si="14"/>
        <v>0</v>
      </c>
      <c r="H35" s="75">
        <f t="shared" si="14"/>
        <v>0</v>
      </c>
      <c r="I35" s="75">
        <f t="shared" si="14"/>
        <v>0</v>
      </c>
      <c r="J35" s="75">
        <f t="shared" si="14"/>
        <v>0</v>
      </c>
      <c r="K35" s="75">
        <f t="shared" si="14"/>
        <v>0</v>
      </c>
      <c r="L35" s="75">
        <f t="shared" si="14"/>
        <v>0</v>
      </c>
      <c r="M35" s="75">
        <f t="shared" si="14"/>
        <v>0</v>
      </c>
      <c r="N35" s="75">
        <f t="shared" si="14"/>
        <v>0</v>
      </c>
      <c r="P35" s="60"/>
    </row>
    <row r="36" spans="2:16" ht="12.75">
      <c r="B36" s="66" t="s">
        <v>58</v>
      </c>
      <c r="C36" s="75">
        <f t="shared" si="5"/>
        <v>19.808572000000044</v>
      </c>
      <c r="D36" s="75">
        <f aca="true" t="shared" si="15" ref="D36:N36">+D$10*D22</f>
        <v>23.16435900000005</v>
      </c>
      <c r="E36" s="75">
        <f t="shared" si="15"/>
        <v>20.140059000000043</v>
      </c>
      <c r="F36" s="75">
        <f t="shared" si="15"/>
        <v>24.28809400000005</v>
      </c>
      <c r="G36" s="75">
        <f t="shared" si="15"/>
        <v>22.73977100000005</v>
      </c>
      <c r="H36" s="75">
        <f t="shared" si="15"/>
        <v>20.041028000000043</v>
      </c>
      <c r="I36" s="75">
        <f t="shared" si="15"/>
        <v>21.672371000000048</v>
      </c>
      <c r="J36" s="75">
        <f t="shared" si="15"/>
        <v>24.882280000000055</v>
      </c>
      <c r="K36" s="75">
        <f t="shared" si="15"/>
        <v>24.648638000000055</v>
      </c>
      <c r="L36" s="75">
        <f t="shared" si="15"/>
        <v>18.85087700000004</v>
      </c>
      <c r="M36" s="75">
        <f t="shared" si="15"/>
        <v>21.548434000000046</v>
      </c>
      <c r="N36" s="75">
        <f t="shared" si="15"/>
        <v>18.04676900000004</v>
      </c>
      <c r="P36" s="60"/>
    </row>
    <row r="37" spans="2:16" ht="12.75">
      <c r="B37" s="66" t="s">
        <v>59</v>
      </c>
      <c r="C37" s="90">
        <f t="shared" si="5"/>
        <v>107.494072</v>
      </c>
      <c r="D37" s="90">
        <f aca="true" t="shared" si="16" ref="D37:N37">+D$10*D23</f>
        <v>125.70473399999999</v>
      </c>
      <c r="E37" s="90">
        <f t="shared" si="16"/>
        <v>109.29293399999999</v>
      </c>
      <c r="F37" s="90">
        <f t="shared" si="16"/>
        <v>131.802844</v>
      </c>
      <c r="G37" s="90">
        <f t="shared" si="16"/>
        <v>123.400646</v>
      </c>
      <c r="H37" s="90">
        <f t="shared" si="16"/>
        <v>108.75552799999998</v>
      </c>
      <c r="I37" s="90">
        <f t="shared" si="16"/>
        <v>117.608246</v>
      </c>
      <c r="J37" s="90">
        <f t="shared" si="16"/>
        <v>135.02728</v>
      </c>
      <c r="K37" s="90">
        <f t="shared" si="16"/>
        <v>133.759388</v>
      </c>
      <c r="L37" s="90">
        <f t="shared" si="16"/>
        <v>102.29700199999999</v>
      </c>
      <c r="M37" s="90">
        <f t="shared" si="16"/>
        <v>116.935684</v>
      </c>
      <c r="N37" s="90">
        <f t="shared" si="16"/>
        <v>97.93339399999999</v>
      </c>
      <c r="P37" s="60"/>
    </row>
    <row r="38" spans="3:16" ht="12.75">
      <c r="C38" s="75">
        <f>SUM(C27:C37)</f>
        <v>334.04000000000013</v>
      </c>
      <c r="D38" s="75">
        <f>SUM(D27:D37)</f>
        <v>390.63</v>
      </c>
      <c r="E38" s="75">
        <f>SUM(E27:E37)</f>
        <v>339.63000000000005</v>
      </c>
      <c r="F38" s="75">
        <f aca="true" t="shared" si="17" ref="F38:N38">SUM(F27:F37)</f>
        <v>409.58000000000004</v>
      </c>
      <c r="G38" s="75">
        <f t="shared" si="17"/>
        <v>383.4700000000001</v>
      </c>
      <c r="H38" s="75">
        <f t="shared" si="17"/>
        <v>337.96</v>
      </c>
      <c r="I38" s="75">
        <f t="shared" si="17"/>
        <v>365.47000000000014</v>
      </c>
      <c r="J38" s="75">
        <f t="shared" si="17"/>
        <v>419.6</v>
      </c>
      <c r="K38" s="75">
        <f t="shared" si="17"/>
        <v>415.6600000000001</v>
      </c>
      <c r="L38" s="75">
        <f t="shared" si="17"/>
        <v>317.89</v>
      </c>
      <c r="M38" s="75">
        <f t="shared" si="17"/>
        <v>363.38000000000005</v>
      </c>
      <c r="N38" s="75">
        <f t="shared" si="17"/>
        <v>304.33000000000004</v>
      </c>
      <c r="P38" s="60"/>
    </row>
    <row r="39" ht="11.25">
      <c r="P39" s="103"/>
    </row>
    <row r="40" ht="11.25">
      <c r="A40" s="83" t="s">
        <v>61</v>
      </c>
    </row>
    <row r="41" spans="2:14" ht="11.25">
      <c r="B41" s="66" t="s">
        <v>24</v>
      </c>
      <c r="C41" s="94">
        <v>1</v>
      </c>
      <c r="D41" s="95">
        <v>1</v>
      </c>
      <c r="E41" s="95">
        <v>1</v>
      </c>
      <c r="F41" s="95">
        <v>1</v>
      </c>
      <c r="G41" s="95">
        <v>1</v>
      </c>
      <c r="H41" s="95">
        <v>1</v>
      </c>
      <c r="I41" s="95">
        <v>1</v>
      </c>
      <c r="J41" s="95">
        <v>1</v>
      </c>
      <c r="K41" s="95">
        <v>1</v>
      </c>
      <c r="L41" s="95">
        <v>1</v>
      </c>
      <c r="M41" s="95">
        <v>1</v>
      </c>
      <c r="N41" s="95">
        <v>1</v>
      </c>
    </row>
    <row r="42" spans="2:14" ht="11.25">
      <c r="B42" s="66" t="s">
        <v>28</v>
      </c>
      <c r="C42" s="94">
        <v>1</v>
      </c>
      <c r="D42" s="95">
        <v>1</v>
      </c>
      <c r="E42" s="95">
        <v>1</v>
      </c>
      <c r="F42" s="95">
        <v>1</v>
      </c>
      <c r="G42" s="95">
        <v>1</v>
      </c>
      <c r="H42" s="95">
        <v>1</v>
      </c>
      <c r="I42" s="95">
        <v>1</v>
      </c>
      <c r="J42" s="95">
        <v>1</v>
      </c>
      <c r="K42" s="95">
        <v>1</v>
      </c>
      <c r="L42" s="95">
        <v>1</v>
      </c>
      <c r="M42" s="95">
        <v>1</v>
      </c>
      <c r="N42" s="95">
        <v>1</v>
      </c>
    </row>
    <row r="43" spans="2:14" ht="11.25">
      <c r="B43" s="66" t="s">
        <v>52</v>
      </c>
      <c r="C43" s="94">
        <v>1</v>
      </c>
      <c r="D43" s="95">
        <v>1</v>
      </c>
      <c r="E43" s="95">
        <v>1</v>
      </c>
      <c r="F43" s="95">
        <v>1</v>
      </c>
      <c r="G43" s="95">
        <v>1</v>
      </c>
      <c r="H43" s="95">
        <v>1</v>
      </c>
      <c r="I43" s="95">
        <v>1</v>
      </c>
      <c r="J43" s="95">
        <v>1</v>
      </c>
      <c r="K43" s="95">
        <v>1</v>
      </c>
      <c r="L43" s="95">
        <v>1</v>
      </c>
      <c r="M43" s="95">
        <v>1</v>
      </c>
      <c r="N43" s="95">
        <v>1</v>
      </c>
    </row>
    <row r="44" spans="2:14" ht="11.25">
      <c r="B44" s="66" t="s">
        <v>53</v>
      </c>
      <c r="C44" s="94">
        <v>1</v>
      </c>
      <c r="D44" s="95">
        <v>1</v>
      </c>
      <c r="E44" s="95">
        <v>1</v>
      </c>
      <c r="F44" s="95">
        <v>1</v>
      </c>
      <c r="G44" s="95">
        <v>1</v>
      </c>
      <c r="H44" s="95">
        <v>1</v>
      </c>
      <c r="I44" s="95">
        <v>1</v>
      </c>
      <c r="J44" s="95">
        <v>1</v>
      </c>
      <c r="K44" s="95">
        <v>1</v>
      </c>
      <c r="L44" s="95">
        <v>1</v>
      </c>
      <c r="M44" s="95">
        <v>1</v>
      </c>
      <c r="N44" s="95">
        <v>1</v>
      </c>
    </row>
    <row r="45" spans="2:14" ht="11.25">
      <c r="B45" s="66" t="s">
        <v>54</v>
      </c>
      <c r="C45" s="94">
        <v>1</v>
      </c>
      <c r="D45" s="95">
        <v>1</v>
      </c>
      <c r="E45" s="95">
        <v>1</v>
      </c>
      <c r="F45" s="95">
        <v>1</v>
      </c>
      <c r="G45" s="95">
        <v>1</v>
      </c>
      <c r="H45" s="95">
        <v>1</v>
      </c>
      <c r="I45" s="95">
        <v>1</v>
      </c>
      <c r="J45" s="95">
        <v>1</v>
      </c>
      <c r="K45" s="95">
        <v>1</v>
      </c>
      <c r="L45" s="95">
        <v>1</v>
      </c>
      <c r="M45" s="95">
        <v>1</v>
      </c>
      <c r="N45" s="95">
        <v>1</v>
      </c>
    </row>
    <row r="46" spans="2:14" ht="11.25">
      <c r="B46" s="66" t="s">
        <v>55</v>
      </c>
      <c r="C46" s="94">
        <v>1</v>
      </c>
      <c r="D46" s="95">
        <v>1</v>
      </c>
      <c r="E46" s="95">
        <v>1</v>
      </c>
      <c r="F46" s="95">
        <v>1</v>
      </c>
      <c r="G46" s="95">
        <v>1</v>
      </c>
      <c r="H46" s="95">
        <v>1</v>
      </c>
      <c r="I46" s="95">
        <v>1</v>
      </c>
      <c r="J46" s="95">
        <v>1</v>
      </c>
      <c r="K46" s="95">
        <v>1</v>
      </c>
      <c r="L46" s="95">
        <v>1</v>
      </c>
      <c r="M46" s="95">
        <v>1</v>
      </c>
      <c r="N46" s="95">
        <v>1</v>
      </c>
    </row>
    <row r="47" spans="2:14" ht="11.25">
      <c r="B47" s="66" t="s">
        <v>56</v>
      </c>
      <c r="C47" s="94">
        <v>1</v>
      </c>
      <c r="D47" s="95">
        <v>1</v>
      </c>
      <c r="E47" s="95">
        <v>1</v>
      </c>
      <c r="F47" s="95">
        <v>1</v>
      </c>
      <c r="G47" s="95">
        <v>1</v>
      </c>
      <c r="H47" s="95">
        <v>1</v>
      </c>
      <c r="I47" s="95">
        <v>1</v>
      </c>
      <c r="J47" s="95">
        <v>1</v>
      </c>
      <c r="K47" s="95">
        <v>1</v>
      </c>
      <c r="L47" s="95">
        <v>1</v>
      </c>
      <c r="M47" s="95">
        <v>1</v>
      </c>
      <c r="N47" s="95">
        <v>1</v>
      </c>
    </row>
    <row r="48" spans="2:14" ht="11.25">
      <c r="B48" s="66" t="s">
        <v>22</v>
      </c>
      <c r="C48" s="94">
        <v>1</v>
      </c>
      <c r="D48" s="95">
        <v>1</v>
      </c>
      <c r="E48" s="95">
        <v>1</v>
      </c>
      <c r="F48" s="95">
        <v>1</v>
      </c>
      <c r="G48" s="95">
        <v>1</v>
      </c>
      <c r="H48" s="95">
        <v>1</v>
      </c>
      <c r="I48" s="95">
        <v>1</v>
      </c>
      <c r="J48" s="95">
        <v>1</v>
      </c>
      <c r="K48" s="95">
        <v>1</v>
      </c>
      <c r="L48" s="95">
        <v>1</v>
      </c>
      <c r="M48" s="95">
        <v>1</v>
      </c>
      <c r="N48" s="95">
        <v>1</v>
      </c>
    </row>
    <row r="49" spans="2:14" ht="11.25">
      <c r="B49" s="66" t="s">
        <v>57</v>
      </c>
      <c r="C49" s="94">
        <v>1</v>
      </c>
      <c r="D49" s="95">
        <v>1</v>
      </c>
      <c r="E49" s="95">
        <v>1</v>
      </c>
      <c r="F49" s="95">
        <v>1</v>
      </c>
      <c r="G49" s="95">
        <v>1</v>
      </c>
      <c r="H49" s="95">
        <v>1</v>
      </c>
      <c r="I49" s="95">
        <v>1</v>
      </c>
      <c r="J49" s="95">
        <v>1</v>
      </c>
      <c r="K49" s="95">
        <v>1</v>
      </c>
      <c r="L49" s="95">
        <v>1</v>
      </c>
      <c r="M49" s="95">
        <v>1</v>
      </c>
      <c r="N49" s="95">
        <v>1</v>
      </c>
    </row>
    <row r="50" spans="2:14" ht="11.25">
      <c r="B50" s="66" t="s">
        <v>58</v>
      </c>
      <c r="C50" s="94">
        <v>1</v>
      </c>
      <c r="D50" s="95">
        <v>1</v>
      </c>
      <c r="E50" s="95">
        <v>1</v>
      </c>
      <c r="F50" s="95">
        <v>1</v>
      </c>
      <c r="G50" s="95">
        <v>1</v>
      </c>
      <c r="H50" s="95">
        <v>1</v>
      </c>
      <c r="I50" s="95">
        <v>1</v>
      </c>
      <c r="J50" s="95">
        <v>1</v>
      </c>
      <c r="K50" s="95">
        <v>1</v>
      </c>
      <c r="L50" s="95">
        <v>1</v>
      </c>
      <c r="M50" s="95">
        <v>1</v>
      </c>
      <c r="N50" s="95">
        <v>1</v>
      </c>
    </row>
    <row r="51" spans="3:14" ht="14.25" customHeight="1">
      <c r="C51" s="93"/>
      <c r="D51" s="95"/>
      <c r="E51" s="95"/>
      <c r="F51" s="95"/>
      <c r="G51" s="95"/>
      <c r="H51" s="95"/>
      <c r="I51" s="95"/>
      <c r="J51" s="95"/>
      <c r="K51" s="95"/>
      <c r="L51" s="95"/>
      <c r="M51" s="95"/>
      <c r="N51" s="95"/>
    </row>
    <row r="52" spans="1:14" ht="11.25">
      <c r="A52" s="66" t="s">
        <v>59</v>
      </c>
      <c r="C52" s="93">
        <f>+C65/C37</f>
        <v>0.9999999999999991</v>
      </c>
      <c r="D52" s="95">
        <v>1</v>
      </c>
      <c r="E52" s="95">
        <v>1</v>
      </c>
      <c r="F52" s="95">
        <v>1</v>
      </c>
      <c r="G52" s="95">
        <v>1</v>
      </c>
      <c r="H52" s="95">
        <v>1</v>
      </c>
      <c r="I52" s="95">
        <v>1</v>
      </c>
      <c r="J52" s="95">
        <v>1</v>
      </c>
      <c r="K52" s="95">
        <v>1</v>
      </c>
      <c r="L52" s="95">
        <v>1</v>
      </c>
      <c r="M52" s="95">
        <v>1</v>
      </c>
      <c r="N52" s="95">
        <v>1</v>
      </c>
    </row>
    <row r="53" spans="12:14" ht="11.25">
      <c r="L53" s="93"/>
      <c r="N53" s="95"/>
    </row>
    <row r="54" spans="1:14" ht="11.25">
      <c r="A54" s="83" t="s">
        <v>62</v>
      </c>
      <c r="L54" s="93"/>
      <c r="N54" s="95"/>
    </row>
    <row r="55" spans="2:14" ht="11.25">
      <c r="B55" s="66" t="s">
        <v>24</v>
      </c>
      <c r="C55" s="75">
        <f aca="true" t="shared" si="18" ref="C55:N55">+C27*C41</f>
        <v>65.13780000000001</v>
      </c>
      <c r="D55" s="75">
        <f t="shared" si="18"/>
        <v>76.17285</v>
      </c>
      <c r="E55" s="75">
        <f>+E27*E41</f>
        <v>66.22785</v>
      </c>
      <c r="F55" s="75">
        <f>+F27*F41</f>
        <v>79.8681</v>
      </c>
      <c r="G55" s="75">
        <f t="shared" si="18"/>
        <v>74.77665</v>
      </c>
      <c r="H55" s="75">
        <f t="shared" si="18"/>
        <v>65.9022</v>
      </c>
      <c r="I55" s="75">
        <f t="shared" si="18"/>
        <v>71.26665000000001</v>
      </c>
      <c r="J55" s="75">
        <f t="shared" si="18"/>
        <v>81.822</v>
      </c>
      <c r="K55" s="75">
        <f t="shared" si="18"/>
        <v>81.0537</v>
      </c>
      <c r="L55" s="75">
        <f t="shared" si="18"/>
        <v>61.98855</v>
      </c>
      <c r="M55" s="75">
        <f t="shared" si="18"/>
        <v>70.8591</v>
      </c>
      <c r="N55" s="75">
        <f t="shared" si="18"/>
        <v>59.34435</v>
      </c>
    </row>
    <row r="56" spans="2:16" ht="12.75">
      <c r="B56" s="66" t="s">
        <v>28</v>
      </c>
      <c r="C56" s="75">
        <f aca="true" t="shared" si="19" ref="C56:N56">+C28*C42</f>
        <v>59.525928</v>
      </c>
      <c r="D56" s="75">
        <f t="shared" si="19"/>
        <v>69.610266</v>
      </c>
      <c r="E56" s="75">
        <f t="shared" si="19"/>
        <v>60.522065999999995</v>
      </c>
      <c r="F56" s="75">
        <f t="shared" si="19"/>
        <v>72.987156</v>
      </c>
      <c r="G56" s="75">
        <f t="shared" si="19"/>
        <v>68.334354</v>
      </c>
      <c r="H56" s="75">
        <f t="shared" si="19"/>
        <v>60.224472</v>
      </c>
      <c r="I56" s="75">
        <f t="shared" si="19"/>
        <v>65.126754</v>
      </c>
      <c r="J56" s="75">
        <f t="shared" si="19"/>
        <v>74.77272</v>
      </c>
      <c r="K56" s="75">
        <f t="shared" si="19"/>
        <v>74.070612</v>
      </c>
      <c r="L56" s="75">
        <f t="shared" si="19"/>
        <v>56.647997999999994</v>
      </c>
      <c r="M56" s="75">
        <f t="shared" si="19"/>
        <v>64.754316</v>
      </c>
      <c r="N56" s="75">
        <f t="shared" si="19"/>
        <v>54.231606</v>
      </c>
      <c r="P56" s="156"/>
    </row>
    <row r="57" spans="2:16" ht="12.75">
      <c r="B57" s="66" t="s">
        <v>52</v>
      </c>
      <c r="C57" s="75">
        <f aca="true" t="shared" si="20" ref="C57:N57">+C29*C43</f>
        <v>0</v>
      </c>
      <c r="D57" s="75">
        <f t="shared" si="20"/>
        <v>0</v>
      </c>
      <c r="E57" s="75">
        <f t="shared" si="20"/>
        <v>0</v>
      </c>
      <c r="F57" s="75">
        <f t="shared" si="20"/>
        <v>0</v>
      </c>
      <c r="G57" s="75">
        <f t="shared" si="20"/>
        <v>0</v>
      </c>
      <c r="H57" s="75">
        <f t="shared" si="20"/>
        <v>0</v>
      </c>
      <c r="I57" s="75">
        <f t="shared" si="20"/>
        <v>0</v>
      </c>
      <c r="J57" s="75">
        <f t="shared" si="20"/>
        <v>0</v>
      </c>
      <c r="K57" s="75">
        <f t="shared" si="20"/>
        <v>0</v>
      </c>
      <c r="L57" s="75">
        <f t="shared" si="20"/>
        <v>0</v>
      </c>
      <c r="M57" s="75">
        <f t="shared" si="20"/>
        <v>0</v>
      </c>
      <c r="N57" s="75">
        <f t="shared" si="20"/>
        <v>0</v>
      </c>
      <c r="P57" s="156"/>
    </row>
    <row r="58" spans="2:16" ht="12.75">
      <c r="B58" s="66" t="s">
        <v>53</v>
      </c>
      <c r="C58" s="75">
        <f aca="true" t="shared" si="21" ref="C58:N58">+C30*C44</f>
        <v>5.511660000000001</v>
      </c>
      <c r="D58" s="75">
        <f t="shared" si="21"/>
        <v>6.445395</v>
      </c>
      <c r="E58" s="75">
        <f t="shared" si="21"/>
        <v>5.6038950000000005</v>
      </c>
      <c r="F58" s="75">
        <f t="shared" si="21"/>
        <v>6.75807</v>
      </c>
      <c r="G58" s="75">
        <f t="shared" si="21"/>
        <v>6.327255000000001</v>
      </c>
      <c r="H58" s="75">
        <f t="shared" si="21"/>
        <v>5.57634</v>
      </c>
      <c r="I58" s="75">
        <f t="shared" si="21"/>
        <v>6.030255</v>
      </c>
      <c r="J58" s="75">
        <f t="shared" si="21"/>
        <v>6.923400000000001</v>
      </c>
      <c r="K58" s="75">
        <f t="shared" si="21"/>
        <v>6.858390000000001</v>
      </c>
      <c r="L58" s="75">
        <f t="shared" si="21"/>
        <v>5.245185</v>
      </c>
      <c r="M58" s="75">
        <f t="shared" si="21"/>
        <v>5.99577</v>
      </c>
      <c r="N58" s="75">
        <f t="shared" si="21"/>
        <v>5.021445</v>
      </c>
      <c r="P58" s="156"/>
    </row>
    <row r="59" spans="2:16" ht="12.75">
      <c r="B59" s="66" t="s">
        <v>54</v>
      </c>
      <c r="C59" s="75">
        <f aca="true" t="shared" si="22" ref="C59:N59">+C31*C45</f>
        <v>14.998396000000001</v>
      </c>
      <c r="D59" s="75">
        <f t="shared" si="22"/>
        <v>17.539287</v>
      </c>
      <c r="E59" s="75">
        <f t="shared" si="22"/>
        <v>15.249387</v>
      </c>
      <c r="F59" s="75">
        <f t="shared" si="22"/>
        <v>18.390142</v>
      </c>
      <c r="G59" s="75">
        <f t="shared" si="22"/>
        <v>17.217803000000004</v>
      </c>
      <c r="H59" s="75">
        <f t="shared" si="22"/>
        <v>15.174404</v>
      </c>
      <c r="I59" s="75">
        <f t="shared" si="22"/>
        <v>16.409603</v>
      </c>
      <c r="J59" s="75">
        <f t="shared" si="22"/>
        <v>18.840040000000002</v>
      </c>
      <c r="K59" s="75">
        <f t="shared" si="22"/>
        <v>18.663134000000003</v>
      </c>
      <c r="L59" s="75">
        <f t="shared" si="22"/>
        <v>14.273261</v>
      </c>
      <c r="M59" s="75">
        <f t="shared" si="22"/>
        <v>16.315762</v>
      </c>
      <c r="N59" s="75">
        <f t="shared" si="22"/>
        <v>13.664417</v>
      </c>
      <c r="P59" s="156"/>
    </row>
    <row r="60" spans="2:16" ht="12.75">
      <c r="B60" s="66" t="s">
        <v>55</v>
      </c>
      <c r="C60" s="96">
        <f aca="true" t="shared" si="23" ref="C60:N60">+C32*C46</f>
        <v>2.5053</v>
      </c>
      <c r="D60" s="96">
        <f t="shared" si="23"/>
        <v>2.929725</v>
      </c>
      <c r="E60" s="96">
        <f t="shared" si="23"/>
        <v>2.547225</v>
      </c>
      <c r="F60" s="96">
        <f t="shared" si="23"/>
        <v>3.07185</v>
      </c>
      <c r="G60" s="96">
        <f t="shared" si="23"/>
        <v>2.8760250000000003</v>
      </c>
      <c r="H60" s="96">
        <f t="shared" si="23"/>
        <v>2.5347</v>
      </c>
      <c r="I60" s="96">
        <f t="shared" si="23"/>
        <v>2.741025</v>
      </c>
      <c r="J60" s="96">
        <f t="shared" si="23"/>
        <v>3.1470000000000002</v>
      </c>
      <c r="K60" s="96">
        <f t="shared" si="23"/>
        <v>3.1174500000000003</v>
      </c>
      <c r="L60" s="96">
        <f t="shared" si="23"/>
        <v>2.384175</v>
      </c>
      <c r="M60" s="96">
        <f t="shared" si="23"/>
        <v>2.7253499999999997</v>
      </c>
      <c r="N60" s="96">
        <f t="shared" si="23"/>
        <v>2.282475</v>
      </c>
      <c r="P60" s="156"/>
    </row>
    <row r="61" spans="2:16" ht="12.75">
      <c r="B61" s="66" t="s">
        <v>56</v>
      </c>
      <c r="C61" s="75">
        <f aca="true" t="shared" si="24" ref="C61:N61">+C33*C47</f>
        <v>0</v>
      </c>
      <c r="D61" s="75">
        <f t="shared" si="24"/>
        <v>0</v>
      </c>
      <c r="E61" s="75">
        <f t="shared" si="24"/>
        <v>0</v>
      </c>
      <c r="F61" s="75">
        <f t="shared" si="24"/>
        <v>0</v>
      </c>
      <c r="G61" s="75">
        <f t="shared" si="24"/>
        <v>0</v>
      </c>
      <c r="H61" s="75">
        <f t="shared" si="24"/>
        <v>0</v>
      </c>
      <c r="I61" s="75">
        <f t="shared" si="24"/>
        <v>0</v>
      </c>
      <c r="J61" s="75">
        <f t="shared" si="24"/>
        <v>0</v>
      </c>
      <c r="K61" s="75">
        <f t="shared" si="24"/>
        <v>0</v>
      </c>
      <c r="L61" s="75">
        <f t="shared" si="24"/>
        <v>0</v>
      </c>
      <c r="M61" s="75">
        <f t="shared" si="24"/>
        <v>0</v>
      </c>
      <c r="N61" s="75">
        <f t="shared" si="24"/>
        <v>0</v>
      </c>
      <c r="P61" s="156"/>
    </row>
    <row r="62" spans="2:20" ht="12.75">
      <c r="B62" s="66" t="s">
        <v>49</v>
      </c>
      <c r="C62" s="75">
        <f aca="true" t="shared" si="25" ref="C62:N62">+C34*C48</f>
        <v>59.05827200000001</v>
      </c>
      <c r="D62" s="75">
        <f t="shared" si="25"/>
        <v>69.063384</v>
      </c>
      <c r="E62" s="75">
        <f>+E34*E48</f>
        <v>60.046584</v>
      </c>
      <c r="F62" s="75">
        <f t="shared" si="25"/>
        <v>72.41374400000001</v>
      </c>
      <c r="G62" s="75">
        <f t="shared" si="25"/>
        <v>67.79749600000001</v>
      </c>
      <c r="H62" s="75">
        <f t="shared" si="25"/>
        <v>59.751328</v>
      </c>
      <c r="I62" s="75">
        <f t="shared" si="25"/>
        <v>64.61509600000001</v>
      </c>
      <c r="J62" s="75">
        <f t="shared" si="25"/>
        <v>74.18528</v>
      </c>
      <c r="K62" s="75">
        <f t="shared" si="25"/>
        <v>73.48868800000001</v>
      </c>
      <c r="L62" s="75">
        <f t="shared" si="25"/>
        <v>56.202952</v>
      </c>
      <c r="M62" s="75">
        <f t="shared" si="25"/>
        <v>64.24558400000001</v>
      </c>
      <c r="N62" s="75">
        <f t="shared" si="25"/>
        <v>53.805544</v>
      </c>
      <c r="Q62" s="162"/>
      <c r="R62" s="103"/>
      <c r="S62" s="157"/>
      <c r="T62" s="157"/>
    </row>
    <row r="63" spans="2:20" ht="12.75">
      <c r="B63" s="66" t="s">
        <v>57</v>
      </c>
      <c r="C63" s="75">
        <f aca="true" t="shared" si="26" ref="C63:N63">+C35*C49</f>
        <v>0</v>
      </c>
      <c r="D63" s="75">
        <f t="shared" si="26"/>
        <v>0</v>
      </c>
      <c r="E63" s="75">
        <f t="shared" si="26"/>
        <v>0</v>
      </c>
      <c r="F63" s="75">
        <f t="shared" si="26"/>
        <v>0</v>
      </c>
      <c r="G63" s="75">
        <f t="shared" si="26"/>
        <v>0</v>
      </c>
      <c r="H63" s="75">
        <f t="shared" si="26"/>
        <v>0</v>
      </c>
      <c r="I63" s="75">
        <f t="shared" si="26"/>
        <v>0</v>
      </c>
      <c r="J63" s="75">
        <f t="shared" si="26"/>
        <v>0</v>
      </c>
      <c r="K63" s="75">
        <f t="shared" si="26"/>
        <v>0</v>
      </c>
      <c r="L63" s="75">
        <f t="shared" si="26"/>
        <v>0</v>
      </c>
      <c r="M63" s="75">
        <f t="shared" si="26"/>
        <v>0</v>
      </c>
      <c r="N63" s="75">
        <f t="shared" si="26"/>
        <v>0</v>
      </c>
      <c r="Q63" s="162"/>
      <c r="R63" s="103"/>
      <c r="S63" s="157"/>
      <c r="T63" s="157"/>
    </row>
    <row r="64" spans="2:20" ht="12.75">
      <c r="B64" s="66" t="s">
        <v>58</v>
      </c>
      <c r="C64" s="75">
        <f aca="true" t="shared" si="27" ref="C64:N64">+C36*C50</f>
        <v>19.808572000000044</v>
      </c>
      <c r="D64" s="75">
        <f t="shared" si="27"/>
        <v>23.16435900000005</v>
      </c>
      <c r="E64" s="75">
        <f>+E36*E50</f>
        <v>20.140059000000043</v>
      </c>
      <c r="F64" s="75">
        <f t="shared" si="27"/>
        <v>24.28809400000005</v>
      </c>
      <c r="G64" s="75">
        <f t="shared" si="27"/>
        <v>22.73977100000005</v>
      </c>
      <c r="H64" s="75">
        <f t="shared" si="27"/>
        <v>20.041028000000043</v>
      </c>
      <c r="I64" s="75">
        <f t="shared" si="27"/>
        <v>21.672371000000048</v>
      </c>
      <c r="J64" s="75">
        <f t="shared" si="27"/>
        <v>24.882280000000055</v>
      </c>
      <c r="K64" s="75">
        <f t="shared" si="27"/>
        <v>24.648638000000055</v>
      </c>
      <c r="L64" s="75">
        <f t="shared" si="27"/>
        <v>18.85087700000004</v>
      </c>
      <c r="M64" s="75">
        <f t="shared" si="27"/>
        <v>21.548434000000046</v>
      </c>
      <c r="N64" s="75">
        <f t="shared" si="27"/>
        <v>18.04676900000004</v>
      </c>
      <c r="Q64" s="162"/>
      <c r="R64" s="103"/>
      <c r="S64" s="157"/>
      <c r="T64" s="157"/>
    </row>
    <row r="65" spans="2:20" ht="12.75">
      <c r="B65" s="66" t="s">
        <v>59</v>
      </c>
      <c r="C65" s="90">
        <f aca="true" t="shared" si="28" ref="C65:L65">+C7-SUM(C55:C64)</f>
        <v>107.4940719999999</v>
      </c>
      <c r="D65" s="90">
        <f t="shared" si="28"/>
        <v>125.70473399999997</v>
      </c>
      <c r="E65" s="90">
        <f t="shared" si="28"/>
        <v>109.29293399999995</v>
      </c>
      <c r="F65" s="90">
        <f t="shared" si="28"/>
        <v>131.80284399999994</v>
      </c>
      <c r="G65" s="90">
        <f t="shared" si="28"/>
        <v>123.40064599999994</v>
      </c>
      <c r="H65" s="90">
        <f t="shared" si="28"/>
        <v>108.75552799999997</v>
      </c>
      <c r="I65" s="90">
        <f t="shared" si="28"/>
        <v>117.6082459999999</v>
      </c>
      <c r="J65" s="90">
        <f t="shared" si="28"/>
        <v>135.02728000000002</v>
      </c>
      <c r="K65" s="90">
        <f t="shared" si="28"/>
        <v>133.75938799999994</v>
      </c>
      <c r="L65" s="90">
        <f t="shared" si="28"/>
        <v>102.29700199999996</v>
      </c>
      <c r="M65" s="90">
        <f>+M7-SUM(M55:M64)</f>
        <v>116.93568399999995</v>
      </c>
      <c r="N65" s="90">
        <f>+N7-SUM(N55:N64)</f>
        <v>97.93339399999994</v>
      </c>
      <c r="Q65" s="162"/>
      <c r="R65" s="103"/>
      <c r="S65" s="157"/>
      <c r="T65" s="157"/>
    </row>
    <row r="66" spans="3:20" ht="12.75">
      <c r="C66" s="75">
        <f aca="true" t="shared" si="29" ref="C66:N66">SUM(C55:C65)</f>
        <v>334.04</v>
      </c>
      <c r="D66" s="75">
        <f t="shared" si="29"/>
        <v>390.63</v>
      </c>
      <c r="E66" s="75">
        <f t="shared" si="29"/>
        <v>339.63</v>
      </c>
      <c r="F66" s="75">
        <f t="shared" si="29"/>
        <v>409.58</v>
      </c>
      <c r="G66" s="75">
        <f t="shared" si="29"/>
        <v>383.47</v>
      </c>
      <c r="H66" s="75">
        <f t="shared" si="29"/>
        <v>337.96</v>
      </c>
      <c r="I66" s="75">
        <f t="shared" si="29"/>
        <v>365.47</v>
      </c>
      <c r="J66" s="75">
        <f t="shared" si="29"/>
        <v>419.6</v>
      </c>
      <c r="K66" s="75">
        <f t="shared" si="29"/>
        <v>415.66</v>
      </c>
      <c r="L66" s="75">
        <f t="shared" si="29"/>
        <v>317.89</v>
      </c>
      <c r="M66" s="75">
        <f t="shared" si="29"/>
        <v>363.38</v>
      </c>
      <c r="N66" s="75">
        <f t="shared" si="29"/>
        <v>304.33</v>
      </c>
      <c r="Q66" s="162"/>
      <c r="R66" s="103"/>
      <c r="S66" s="157"/>
      <c r="T66" s="157"/>
    </row>
    <row r="67" spans="17:20" ht="7.5" customHeight="1">
      <c r="Q67" s="162"/>
      <c r="R67" s="103"/>
      <c r="S67" s="157"/>
      <c r="T67" s="157"/>
    </row>
    <row r="68" spans="1:20" ht="12.75">
      <c r="A68" s="97" t="s">
        <v>63</v>
      </c>
      <c r="Q68" s="162"/>
      <c r="R68" s="103"/>
      <c r="S68" s="157"/>
      <c r="T68" s="157"/>
    </row>
    <row r="69" spans="2:21" ht="12.75">
      <c r="B69" s="66" t="s">
        <v>24</v>
      </c>
      <c r="C69" s="128">
        <v>72.25</v>
      </c>
      <c r="D69" s="128">
        <v>75.63</v>
      </c>
      <c r="E69" s="128">
        <v>83.6</v>
      </c>
      <c r="F69" s="128">
        <v>93.37</v>
      </c>
      <c r="G69" s="159">
        <v>90.66</v>
      </c>
      <c r="H69" s="159">
        <v>88.47</v>
      </c>
      <c r="I69" s="128">
        <v>91.42</v>
      </c>
      <c r="J69" s="128">
        <v>90.15299999999999</v>
      </c>
      <c r="K69" s="128">
        <v>94.08699999999999</v>
      </c>
      <c r="L69" s="128">
        <v>111.293</v>
      </c>
      <c r="M69" s="128">
        <v>106.428</v>
      </c>
      <c r="N69" s="128">
        <v>61.02</v>
      </c>
      <c r="Q69" s="162"/>
      <c r="R69" s="103"/>
      <c r="S69" s="157"/>
      <c r="T69" s="157"/>
      <c r="U69" s="60"/>
    </row>
    <row r="70" spans="2:21" ht="12.75">
      <c r="B70" s="66" t="s">
        <v>28</v>
      </c>
      <c r="C70" s="128">
        <v>87.8</v>
      </c>
      <c r="D70" s="128">
        <v>90.36</v>
      </c>
      <c r="E70" s="128">
        <v>101.52</v>
      </c>
      <c r="F70" s="128">
        <v>110.76</v>
      </c>
      <c r="G70" s="159">
        <v>99.86</v>
      </c>
      <c r="H70" s="159">
        <v>103.64</v>
      </c>
      <c r="I70" s="128">
        <v>110.66</v>
      </c>
      <c r="J70" s="128">
        <v>112.602</v>
      </c>
      <c r="K70" s="128">
        <v>119.57399999999998</v>
      </c>
      <c r="L70" s="128">
        <v>141.428</v>
      </c>
      <c r="M70" s="128">
        <v>156.905</v>
      </c>
      <c r="N70" s="128">
        <v>118.99</v>
      </c>
      <c r="Q70" s="60"/>
      <c r="R70" s="103"/>
      <c r="S70" s="103"/>
      <c r="T70" s="157"/>
      <c r="U70" s="157"/>
    </row>
    <row r="71" spans="2:21" ht="12.75">
      <c r="B71" s="66" t="s">
        <v>52</v>
      </c>
      <c r="C71" s="128">
        <v>0</v>
      </c>
      <c r="D71" s="128"/>
      <c r="E71" s="128"/>
      <c r="F71" s="128"/>
      <c r="G71" s="159"/>
      <c r="H71" s="159"/>
      <c r="I71" s="128"/>
      <c r="J71" s="128"/>
      <c r="K71" s="128"/>
      <c r="L71" s="128"/>
      <c r="M71" s="128"/>
      <c r="N71" s="128"/>
      <c r="Q71" s="60"/>
      <c r="R71" s="103"/>
      <c r="S71" s="103"/>
      <c r="T71" s="157"/>
      <c r="U71" s="157"/>
    </row>
    <row r="72" spans="2:21" ht="12.75">
      <c r="B72" s="66" t="s">
        <v>53</v>
      </c>
      <c r="C72" s="128">
        <v>73.93</v>
      </c>
      <c r="D72" s="128">
        <v>64.9</v>
      </c>
      <c r="E72" s="128">
        <v>58.33</v>
      </c>
      <c r="F72" s="128">
        <v>59.25</v>
      </c>
      <c r="G72" s="159">
        <v>59.29</v>
      </c>
      <c r="H72" s="159">
        <v>52.472</v>
      </c>
      <c r="I72" s="128">
        <v>66.003</v>
      </c>
      <c r="J72" s="128">
        <v>67.54299999999999</v>
      </c>
      <c r="K72" s="128">
        <v>82.467</v>
      </c>
      <c r="L72" s="128">
        <v>73.514</v>
      </c>
      <c r="M72" s="128">
        <v>89.299</v>
      </c>
      <c r="N72" s="128">
        <v>77.78</v>
      </c>
      <c r="Q72" s="60"/>
      <c r="R72" s="103"/>
      <c r="T72" s="157"/>
      <c r="U72" s="157"/>
    </row>
    <row r="73" spans="2:21" ht="12.75">
      <c r="B73" s="66" t="s">
        <v>54</v>
      </c>
      <c r="C73" s="128">
        <v>133.8</v>
      </c>
      <c r="D73" s="128">
        <v>129.45</v>
      </c>
      <c r="E73" s="128">
        <v>134.41</v>
      </c>
      <c r="F73" s="128">
        <v>130.42</v>
      </c>
      <c r="G73" s="159">
        <v>110.89</v>
      </c>
      <c r="H73" s="159">
        <v>100.65</v>
      </c>
      <c r="I73" s="128">
        <v>107.11</v>
      </c>
      <c r="J73" s="128">
        <v>99.484</v>
      </c>
      <c r="K73" s="128">
        <v>111.96499999999999</v>
      </c>
      <c r="L73" s="128">
        <v>125.03399999999999</v>
      </c>
      <c r="M73" s="128">
        <v>108.983</v>
      </c>
      <c r="N73" s="128">
        <v>100.86</v>
      </c>
      <c r="Q73" s="103"/>
      <c r="R73" s="103"/>
      <c r="T73" s="157"/>
      <c r="U73" s="157"/>
    </row>
    <row r="74" spans="2:21" ht="12.75">
      <c r="B74" s="66" t="s">
        <v>55</v>
      </c>
      <c r="C74" s="128">
        <v>798</v>
      </c>
      <c r="D74" s="128">
        <v>778.7</v>
      </c>
      <c r="E74" s="128">
        <v>777</v>
      </c>
      <c r="F74" s="128">
        <v>798</v>
      </c>
      <c r="G74" s="159">
        <v>784</v>
      </c>
      <c r="H74" s="159">
        <v>812</v>
      </c>
      <c r="I74" s="128">
        <v>836.49</v>
      </c>
      <c r="J74" s="128">
        <v>863.569</v>
      </c>
      <c r="K74" s="128">
        <v>886.4379999999999</v>
      </c>
      <c r="L74" s="128">
        <v>939.4279999999999</v>
      </c>
      <c r="M74" s="128">
        <v>960.316</v>
      </c>
      <c r="N74" s="128">
        <v>947.87</v>
      </c>
      <c r="R74" s="162"/>
      <c r="S74" s="103"/>
      <c r="T74" s="157"/>
      <c r="U74" s="157"/>
    </row>
    <row r="75" spans="2:21" ht="12.75">
      <c r="B75" s="66" t="s">
        <v>56</v>
      </c>
      <c r="C75" s="128">
        <v>0</v>
      </c>
      <c r="D75" s="128"/>
      <c r="E75" s="128"/>
      <c r="F75" s="128"/>
      <c r="G75" s="159"/>
      <c r="H75" s="159"/>
      <c r="I75" s="128"/>
      <c r="J75" s="128"/>
      <c r="K75" s="128"/>
      <c r="L75" s="128"/>
      <c r="M75" s="128"/>
      <c r="N75" s="128"/>
      <c r="R75" s="162"/>
      <c r="S75" s="103"/>
      <c r="T75" s="157"/>
      <c r="U75" s="157"/>
    </row>
    <row r="76" spans="2:21" ht="12.75">
      <c r="B76" s="66" t="s">
        <v>49</v>
      </c>
      <c r="C76" s="128">
        <v>-2.2</v>
      </c>
      <c r="D76" s="128">
        <v>-7.81</v>
      </c>
      <c r="E76" s="128">
        <v>-8.03</v>
      </c>
      <c r="F76" s="128">
        <v>-1.52</v>
      </c>
      <c r="G76" s="159">
        <v>-5.91</v>
      </c>
      <c r="H76" s="159">
        <v>-6.71</v>
      </c>
      <c r="I76" s="128">
        <v>-16.34</v>
      </c>
      <c r="J76" s="128">
        <v>-19.71</v>
      </c>
      <c r="K76" s="128">
        <v>-11</v>
      </c>
      <c r="L76" s="128">
        <v>-10.55</v>
      </c>
      <c r="M76" s="128">
        <v>-10.44</v>
      </c>
      <c r="N76" s="128">
        <v>-10.45</v>
      </c>
      <c r="R76" s="162"/>
      <c r="S76" s="103"/>
      <c r="T76" s="157"/>
      <c r="U76" s="157"/>
    </row>
    <row r="77" spans="2:21" ht="12.75">
      <c r="B77" s="66" t="s">
        <v>57</v>
      </c>
      <c r="C77" s="128">
        <v>-120.17</v>
      </c>
      <c r="D77" s="128">
        <v>-120.17</v>
      </c>
      <c r="E77" s="128">
        <v>-120.17</v>
      </c>
      <c r="F77" s="128">
        <v>-120.17</v>
      </c>
      <c r="G77" s="159">
        <v>-120.17</v>
      </c>
      <c r="H77" s="159">
        <v>-120.17</v>
      </c>
      <c r="I77" s="128">
        <v>-120.17</v>
      </c>
      <c r="J77" s="128">
        <v>-120.17</v>
      </c>
      <c r="K77" s="128">
        <v>-120.17</v>
      </c>
      <c r="L77" s="128">
        <v>-120.17</v>
      </c>
      <c r="M77" s="128">
        <v>-134.59</v>
      </c>
      <c r="N77" s="128">
        <v>-134.59</v>
      </c>
      <c r="R77" s="162"/>
      <c r="S77" s="157"/>
      <c r="T77" s="157"/>
      <c r="U77" s="157"/>
    </row>
    <row r="78" spans="2:19" ht="12.75">
      <c r="B78" s="66" t="s">
        <v>58</v>
      </c>
      <c r="C78" s="128">
        <v>-120.17</v>
      </c>
      <c r="D78" s="128">
        <v>-120.17</v>
      </c>
      <c r="E78" s="128">
        <v>-120.17</v>
      </c>
      <c r="F78" s="128">
        <v>-120.17</v>
      </c>
      <c r="G78" s="159">
        <v>-120.17</v>
      </c>
      <c r="H78" s="159">
        <v>-120.17</v>
      </c>
      <c r="I78" s="128">
        <v>-120.17</v>
      </c>
      <c r="J78" s="128">
        <v>-120.17</v>
      </c>
      <c r="K78" s="128">
        <v>-120.17</v>
      </c>
      <c r="L78" s="128">
        <v>-120.17</v>
      </c>
      <c r="M78" s="128">
        <v>-134.59</v>
      </c>
      <c r="N78" s="128">
        <v>-134.59</v>
      </c>
      <c r="R78" s="162"/>
      <c r="S78" s="103"/>
    </row>
    <row r="79" spans="2:18" ht="12.75">
      <c r="B79" s="66" t="s">
        <v>59</v>
      </c>
      <c r="C79" s="128">
        <v>69.38</v>
      </c>
      <c r="D79" s="128">
        <v>71.97</v>
      </c>
      <c r="E79" s="128">
        <v>78.17</v>
      </c>
      <c r="F79" s="128">
        <v>87.47</v>
      </c>
      <c r="G79" s="159">
        <v>77.81</v>
      </c>
      <c r="H79" s="159">
        <v>76.42</v>
      </c>
      <c r="I79" s="128">
        <v>81.59</v>
      </c>
      <c r="J79" s="128">
        <v>85.946</v>
      </c>
      <c r="K79" s="128">
        <v>80.395</v>
      </c>
      <c r="L79" s="128">
        <v>103.03299999999999</v>
      </c>
      <c r="M79" s="128">
        <v>102.494</v>
      </c>
      <c r="N79" s="128">
        <v>54.15</v>
      </c>
      <c r="O79" s="111">
        <f>SUM(C69:N79)</f>
        <v>12728.522999999996</v>
      </c>
      <c r="R79" s="162"/>
    </row>
    <row r="80" ht="7.5" customHeight="1">
      <c r="R80" s="162"/>
    </row>
    <row r="81" spans="1:18" ht="12.75">
      <c r="A81" s="83" t="s">
        <v>64</v>
      </c>
      <c r="R81" s="162"/>
    </row>
    <row r="82" spans="2:19" ht="11.25">
      <c r="B82" s="66" t="s">
        <v>24</v>
      </c>
      <c r="C82" s="98">
        <f aca="true" t="shared" si="30" ref="C82:N82">+C69*C55</f>
        <v>4706.206050000001</v>
      </c>
      <c r="D82" s="75">
        <f t="shared" si="30"/>
        <v>5760.9526455</v>
      </c>
      <c r="E82" s="75">
        <f t="shared" si="30"/>
        <v>5536.64826</v>
      </c>
      <c r="F82" s="75">
        <f t="shared" si="30"/>
        <v>7457.284497000001</v>
      </c>
      <c r="G82" s="75">
        <f t="shared" si="30"/>
        <v>6779.251089</v>
      </c>
      <c r="H82" s="75">
        <f t="shared" si="30"/>
        <v>5830.367633999999</v>
      </c>
      <c r="I82" s="75">
        <f t="shared" si="30"/>
        <v>6515.197143000001</v>
      </c>
      <c r="J82" s="75">
        <f t="shared" si="30"/>
        <v>7376.498766</v>
      </c>
      <c r="K82" s="75">
        <f t="shared" si="30"/>
        <v>7626.0994719</v>
      </c>
      <c r="L82" s="75">
        <f t="shared" si="30"/>
        <v>6898.89169515</v>
      </c>
      <c r="M82" s="75">
        <f t="shared" si="30"/>
        <v>7541.3922948</v>
      </c>
      <c r="N82" s="75">
        <f t="shared" si="30"/>
        <v>3621.192237</v>
      </c>
      <c r="P82" s="103"/>
      <c r="Q82" s="103"/>
      <c r="R82" s="103"/>
      <c r="S82" s="103"/>
    </row>
    <row r="83" spans="2:19" ht="12.75">
      <c r="B83" s="66" t="s">
        <v>28</v>
      </c>
      <c r="C83" s="98">
        <f aca="true" t="shared" si="31" ref="C83:M83">+C70*C56</f>
        <v>5226.3764783999995</v>
      </c>
      <c r="D83" s="75">
        <f>D70*D56</f>
        <v>6289.98363576</v>
      </c>
      <c r="E83" s="75">
        <f t="shared" si="31"/>
        <v>6144.200140319999</v>
      </c>
      <c r="F83" s="75">
        <f t="shared" si="31"/>
        <v>8084.05739856</v>
      </c>
      <c r="G83" s="75">
        <f t="shared" si="31"/>
        <v>6823.868590440001</v>
      </c>
      <c r="H83" s="75">
        <f t="shared" si="31"/>
        <v>6241.66427808</v>
      </c>
      <c r="I83" s="75">
        <f t="shared" si="31"/>
        <v>7206.92659764</v>
      </c>
      <c r="J83" s="75">
        <f t="shared" si="31"/>
        <v>8419.557817440002</v>
      </c>
      <c r="K83" s="75">
        <f t="shared" si="31"/>
        <v>8856.919359287998</v>
      </c>
      <c r="L83" s="75">
        <f t="shared" si="31"/>
        <v>8011.613061143999</v>
      </c>
      <c r="M83" s="75">
        <f t="shared" si="31"/>
        <v>10160.27595198</v>
      </c>
      <c r="N83" s="75">
        <f>+N70*N56</f>
        <v>6453.01879794</v>
      </c>
      <c r="P83" s="103"/>
      <c r="Q83" s="60"/>
      <c r="R83" s="157"/>
      <c r="S83" s="103"/>
    </row>
    <row r="84" spans="2:19" ht="12.75">
      <c r="B84" s="66" t="s">
        <v>52</v>
      </c>
      <c r="C84" s="98">
        <f aca="true" t="shared" si="32" ref="C84:N84">+C71*C57</f>
        <v>0</v>
      </c>
      <c r="D84" s="75">
        <f t="shared" si="32"/>
        <v>0</v>
      </c>
      <c r="E84" s="75">
        <f t="shared" si="32"/>
        <v>0</v>
      </c>
      <c r="F84" s="75">
        <f t="shared" si="32"/>
        <v>0</v>
      </c>
      <c r="G84" s="75">
        <f t="shared" si="32"/>
        <v>0</v>
      </c>
      <c r="H84" s="75">
        <f t="shared" si="32"/>
        <v>0</v>
      </c>
      <c r="I84" s="75"/>
      <c r="J84" s="75">
        <f t="shared" si="32"/>
        <v>0</v>
      </c>
      <c r="K84" s="75">
        <f t="shared" si="32"/>
        <v>0</v>
      </c>
      <c r="L84" s="75">
        <f t="shared" si="32"/>
        <v>0</v>
      </c>
      <c r="M84" s="75">
        <f t="shared" si="32"/>
        <v>0</v>
      </c>
      <c r="N84" s="75">
        <f t="shared" si="32"/>
        <v>0</v>
      </c>
      <c r="P84" s="103"/>
      <c r="Q84" s="60"/>
      <c r="R84" s="157"/>
      <c r="S84" s="103"/>
    </row>
    <row r="85" spans="2:19" ht="12.75">
      <c r="B85" s="66" t="s">
        <v>53</v>
      </c>
      <c r="C85" s="98">
        <f aca="true" t="shared" si="33" ref="C85:N85">+C72*C58</f>
        <v>407.4770238000001</v>
      </c>
      <c r="D85" s="75">
        <f>+D72*D58</f>
        <v>418.30613550000004</v>
      </c>
      <c r="E85" s="75">
        <f t="shared" si="33"/>
        <v>326.87519535</v>
      </c>
      <c r="F85" s="75">
        <f t="shared" si="33"/>
        <v>400.4156475</v>
      </c>
      <c r="G85" s="75">
        <f t="shared" si="33"/>
        <v>375.14294895000006</v>
      </c>
      <c r="H85" s="75">
        <f t="shared" si="33"/>
        <v>292.60171248</v>
      </c>
      <c r="I85" s="75">
        <f t="shared" si="33"/>
        <v>398.014920765</v>
      </c>
      <c r="J85" s="75">
        <f t="shared" si="33"/>
        <v>467.6272062</v>
      </c>
      <c r="K85" s="75">
        <f t="shared" si="33"/>
        <v>565.59084813</v>
      </c>
      <c r="L85" s="75">
        <f t="shared" si="33"/>
        <v>385.59453009</v>
      </c>
      <c r="M85" s="75">
        <f t="shared" si="33"/>
        <v>535.41626523</v>
      </c>
      <c r="N85" s="75">
        <f t="shared" si="33"/>
        <v>390.5679921</v>
      </c>
      <c r="P85" s="103"/>
      <c r="Q85" s="60"/>
      <c r="R85" s="157"/>
      <c r="S85" s="103"/>
    </row>
    <row r="86" spans="2:19" ht="12.75">
      <c r="B86" s="66" t="s">
        <v>54</v>
      </c>
      <c r="C86" s="98">
        <f aca="true" t="shared" si="34" ref="C86:M86">+C73*C59</f>
        <v>2006.7853848000004</v>
      </c>
      <c r="D86" s="75">
        <f t="shared" si="34"/>
        <v>2270.46070215</v>
      </c>
      <c r="E86" s="75">
        <f t="shared" si="34"/>
        <v>2049.67010667</v>
      </c>
      <c r="F86" s="75">
        <f t="shared" si="34"/>
        <v>2398.44231964</v>
      </c>
      <c r="G86" s="75">
        <f t="shared" si="34"/>
        <v>1909.2821746700004</v>
      </c>
      <c r="H86" s="75">
        <f t="shared" si="34"/>
        <v>1527.3037626</v>
      </c>
      <c r="I86" s="75">
        <f t="shared" si="34"/>
        <v>1757.63257733</v>
      </c>
      <c r="J86" s="75">
        <f t="shared" si="34"/>
        <v>1874.28253936</v>
      </c>
      <c r="K86" s="75">
        <f t="shared" si="34"/>
        <v>2089.61779831</v>
      </c>
      <c r="L86" s="75">
        <f t="shared" si="34"/>
        <v>1784.6429158739998</v>
      </c>
      <c r="M86" s="75">
        <f t="shared" si="34"/>
        <v>1778.140690046</v>
      </c>
      <c r="N86" s="75">
        <f>+N73*N59</f>
        <v>1378.19309862</v>
      </c>
      <c r="P86" s="103"/>
      <c r="Q86" s="60"/>
      <c r="R86" s="157"/>
      <c r="S86" s="103"/>
    </row>
    <row r="87" spans="2:19" ht="12.75">
      <c r="B87" s="66" t="s">
        <v>55</v>
      </c>
      <c r="C87" s="98">
        <f aca="true" t="shared" si="35" ref="C87:N87">+C74*C60</f>
        <v>1999.2294000000002</v>
      </c>
      <c r="D87" s="75">
        <f t="shared" si="35"/>
        <v>2281.3768575</v>
      </c>
      <c r="E87" s="75">
        <f t="shared" si="35"/>
        <v>1979.193825</v>
      </c>
      <c r="F87" s="75">
        <f t="shared" si="35"/>
        <v>2451.3363</v>
      </c>
      <c r="G87" s="75">
        <f t="shared" si="35"/>
        <v>2254.8036</v>
      </c>
      <c r="H87" s="75">
        <f t="shared" si="35"/>
        <v>2058.1764</v>
      </c>
      <c r="I87" s="75">
        <f t="shared" si="35"/>
        <v>2292.84000225</v>
      </c>
      <c r="J87" s="75">
        <f>+J74*J60</f>
        <v>2717.651643</v>
      </c>
      <c r="K87" s="75">
        <f t="shared" si="35"/>
        <v>2763.4261431</v>
      </c>
      <c r="L87" s="75">
        <f t="shared" si="35"/>
        <v>2239.7607519</v>
      </c>
      <c r="M87" s="75">
        <f t="shared" si="35"/>
        <v>2617.1972106</v>
      </c>
      <c r="N87" s="75">
        <f t="shared" si="35"/>
        <v>2163.48957825</v>
      </c>
      <c r="P87" s="103"/>
      <c r="Q87" s="60"/>
      <c r="R87" s="157"/>
      <c r="S87" s="103"/>
    </row>
    <row r="88" spans="2:19" ht="12.75">
      <c r="B88" s="66" t="s">
        <v>56</v>
      </c>
      <c r="C88" s="98">
        <f aca="true" t="shared" si="36" ref="C88:N88">+C75*C61</f>
        <v>0</v>
      </c>
      <c r="D88" s="75">
        <f t="shared" si="36"/>
        <v>0</v>
      </c>
      <c r="E88" s="75">
        <f t="shared" si="36"/>
        <v>0</v>
      </c>
      <c r="F88" s="75">
        <f t="shared" si="36"/>
        <v>0</v>
      </c>
      <c r="G88" s="75">
        <f t="shared" si="36"/>
        <v>0</v>
      </c>
      <c r="H88" s="75">
        <f t="shared" si="36"/>
        <v>0</v>
      </c>
      <c r="I88" s="75"/>
      <c r="J88" s="75">
        <f t="shared" si="36"/>
        <v>0</v>
      </c>
      <c r="K88" s="75">
        <f t="shared" si="36"/>
        <v>0</v>
      </c>
      <c r="L88" s="75">
        <f t="shared" si="36"/>
        <v>0</v>
      </c>
      <c r="M88" s="75">
        <f t="shared" si="36"/>
        <v>0</v>
      </c>
      <c r="N88" s="75">
        <f t="shared" si="36"/>
        <v>0</v>
      </c>
      <c r="P88" s="103"/>
      <c r="Q88" s="60"/>
      <c r="R88" s="157"/>
      <c r="S88" s="103"/>
    </row>
    <row r="89" spans="2:19" ht="12.75">
      <c r="B89" s="66" t="s">
        <v>49</v>
      </c>
      <c r="C89" s="98">
        <f aca="true" t="shared" si="37" ref="C89:N89">+C76*C62</f>
        <v>-129.92819840000004</v>
      </c>
      <c r="D89" s="75">
        <f t="shared" si="37"/>
        <v>-539.38502904</v>
      </c>
      <c r="E89" s="75">
        <f t="shared" si="37"/>
        <v>-482.17406952</v>
      </c>
      <c r="F89" s="75">
        <f t="shared" si="37"/>
        <v>-110.06889088000001</v>
      </c>
      <c r="G89" s="75">
        <f t="shared" si="37"/>
        <v>-400.68320136000006</v>
      </c>
      <c r="H89" s="75">
        <f t="shared" si="37"/>
        <v>-400.93141088</v>
      </c>
      <c r="I89" s="75">
        <f t="shared" si="37"/>
        <v>-1055.8106686400001</v>
      </c>
      <c r="J89" s="75">
        <f t="shared" si="37"/>
        <v>-1462.1918688</v>
      </c>
      <c r="K89" s="75">
        <f t="shared" si="37"/>
        <v>-808.3755680000002</v>
      </c>
      <c r="L89" s="75">
        <f t="shared" si="37"/>
        <v>-592.9411436</v>
      </c>
      <c r="M89" s="75">
        <f t="shared" si="37"/>
        <v>-670.72389696</v>
      </c>
      <c r="N89" s="75">
        <f t="shared" si="37"/>
        <v>-562.2679347999999</v>
      </c>
      <c r="P89" s="103"/>
      <c r="Q89" s="60"/>
      <c r="R89" s="157"/>
      <c r="S89" s="103"/>
    </row>
    <row r="90" spans="2:19" ht="12.75">
      <c r="B90" s="66" t="s">
        <v>57</v>
      </c>
      <c r="C90" s="98">
        <f aca="true" t="shared" si="38" ref="C90:N90">+C77*C63</f>
        <v>0</v>
      </c>
      <c r="D90" s="75">
        <f t="shared" si="38"/>
        <v>0</v>
      </c>
      <c r="E90" s="75">
        <f t="shared" si="38"/>
        <v>0</v>
      </c>
      <c r="F90" s="75">
        <f t="shared" si="38"/>
        <v>0</v>
      </c>
      <c r="G90" s="75">
        <f t="shared" si="38"/>
        <v>0</v>
      </c>
      <c r="H90" s="75">
        <f t="shared" si="38"/>
        <v>0</v>
      </c>
      <c r="I90" s="75">
        <f t="shared" si="38"/>
        <v>0</v>
      </c>
      <c r="J90" s="75">
        <f t="shared" si="38"/>
        <v>0</v>
      </c>
      <c r="K90" s="75">
        <f t="shared" si="38"/>
        <v>0</v>
      </c>
      <c r="L90" s="75">
        <f t="shared" si="38"/>
        <v>0</v>
      </c>
      <c r="M90" s="75">
        <f t="shared" si="38"/>
        <v>0</v>
      </c>
      <c r="N90" s="75">
        <f t="shared" si="38"/>
        <v>0</v>
      </c>
      <c r="P90" s="103"/>
      <c r="Q90" s="60"/>
      <c r="R90" s="157"/>
      <c r="S90" s="103"/>
    </row>
    <row r="91" spans="2:19" ht="11.25">
      <c r="B91" s="66" t="s">
        <v>58</v>
      </c>
      <c r="C91" s="98">
        <f aca="true" t="shared" si="39" ref="C91:J91">+C78*C64</f>
        <v>-2380.3960972400055</v>
      </c>
      <c r="D91" s="75">
        <f t="shared" si="39"/>
        <v>-2783.661021030006</v>
      </c>
      <c r="E91" s="75">
        <f t="shared" si="39"/>
        <v>-2420.2308900300054</v>
      </c>
      <c r="F91" s="75">
        <f t="shared" si="39"/>
        <v>-2918.700255980006</v>
      </c>
      <c r="G91" s="75">
        <f t="shared" si="39"/>
        <v>-2732.638281070006</v>
      </c>
      <c r="H91" s="75">
        <f t="shared" si="39"/>
        <v>-2408.3303347600054</v>
      </c>
      <c r="I91" s="75">
        <f t="shared" si="39"/>
        <v>-2604.368823070006</v>
      </c>
      <c r="J91" s="75">
        <f t="shared" si="39"/>
        <v>-2990.1035876000064</v>
      </c>
      <c r="K91" s="75">
        <f aca="true" t="shared" si="40" ref="K91:N92">+K78*K64</f>
        <v>-2962.0268284600065</v>
      </c>
      <c r="L91" s="75">
        <f t="shared" si="40"/>
        <v>-2265.3098890900046</v>
      </c>
      <c r="M91" s="75">
        <f t="shared" si="40"/>
        <v>-2900.203732060006</v>
      </c>
      <c r="N91" s="75">
        <f t="shared" si="40"/>
        <v>-2428.9146397100053</v>
      </c>
      <c r="P91" s="103"/>
      <c r="Q91" s="103"/>
      <c r="R91" s="103"/>
      <c r="S91" s="103"/>
    </row>
    <row r="92" spans="2:14" ht="11.25">
      <c r="B92" s="66" t="s">
        <v>59</v>
      </c>
      <c r="C92" s="99">
        <f aca="true" t="shared" si="41" ref="C92:J92">+C79*C65</f>
        <v>7457.938715359993</v>
      </c>
      <c r="D92" s="90">
        <f t="shared" si="41"/>
        <v>9046.969705979998</v>
      </c>
      <c r="E92" s="90">
        <f t="shared" si="41"/>
        <v>8543.428650779995</v>
      </c>
      <c r="F92" s="90">
        <f t="shared" si="41"/>
        <v>11528.794764679995</v>
      </c>
      <c r="G92" s="90">
        <f t="shared" si="41"/>
        <v>9601.804265259996</v>
      </c>
      <c r="H92" s="90">
        <f t="shared" si="41"/>
        <v>8311.097449759998</v>
      </c>
      <c r="I92" s="90">
        <f t="shared" si="41"/>
        <v>9595.656791139992</v>
      </c>
      <c r="J92" s="90">
        <f t="shared" si="41"/>
        <v>11605.054606880001</v>
      </c>
      <c r="K92" s="90">
        <f t="shared" si="40"/>
        <v>10753.585998259996</v>
      </c>
      <c r="L92" s="90">
        <f t="shared" si="40"/>
        <v>10539.967007065994</v>
      </c>
      <c r="M92" s="90">
        <f t="shared" si="40"/>
        <v>11985.205995895994</v>
      </c>
      <c r="N92" s="75">
        <f t="shared" si="40"/>
        <v>5303.093285099996</v>
      </c>
    </row>
    <row r="93" spans="1:15" ht="11.25">
      <c r="A93" s="83" t="s">
        <v>65</v>
      </c>
      <c r="B93" s="83"/>
      <c r="C93" s="100">
        <f aca="true" t="shared" si="42" ref="C93:J93">SUM(C82:C92)</f>
        <v>19293.68875671999</v>
      </c>
      <c r="D93" s="101">
        <f t="shared" si="42"/>
        <v>22745.003632319993</v>
      </c>
      <c r="E93" s="101">
        <f t="shared" si="42"/>
        <v>21677.61121856999</v>
      </c>
      <c r="F93" s="101">
        <f t="shared" si="42"/>
        <v>29291.561780519987</v>
      </c>
      <c r="G93" s="101">
        <f t="shared" si="42"/>
        <v>24610.831185889998</v>
      </c>
      <c r="H93" s="101">
        <f t="shared" si="42"/>
        <v>21451.949491279993</v>
      </c>
      <c r="I93" s="101">
        <f t="shared" si="42"/>
        <v>24106.08854041499</v>
      </c>
      <c r="J93" s="101">
        <f t="shared" si="42"/>
        <v>28008.37712248</v>
      </c>
      <c r="K93" s="101">
        <f>SUM(K82:K92)</f>
        <v>28884.83722252799</v>
      </c>
      <c r="L93" s="101">
        <f>SUM(L82:L92)</f>
        <v>27002.218928533992</v>
      </c>
      <c r="M93" s="101">
        <f>SUM(M82:M92)</f>
        <v>31046.700779531984</v>
      </c>
      <c r="N93" s="110">
        <f>SUM(N82:N92)</f>
        <v>16318.372414499989</v>
      </c>
      <c r="O93" s="111">
        <f>SUM(C93:N93)/2</f>
        <v>147218.62053664445</v>
      </c>
    </row>
    <row r="94" spans="1:14" ht="11.25">
      <c r="A94" s="83" t="s">
        <v>66</v>
      </c>
      <c r="B94" s="83"/>
      <c r="C94" s="100">
        <f>+C93/C66</f>
        <v>57.75861799999996</v>
      </c>
      <c r="D94" s="101">
        <f aca="true" t="shared" si="43" ref="D94:J94">+D93/D66</f>
        <v>58.226463999999986</v>
      </c>
      <c r="E94" s="101">
        <f>+E93/E66</f>
        <v>63.82713899999997</v>
      </c>
      <c r="F94" s="101">
        <f t="shared" si="43"/>
        <v>71.51609399999997</v>
      </c>
      <c r="G94" s="101">
        <f t="shared" si="43"/>
        <v>64.17928699999999</v>
      </c>
      <c r="H94" s="101">
        <f t="shared" si="43"/>
        <v>63.474817999999985</v>
      </c>
      <c r="I94" s="101">
        <f t="shared" si="43"/>
        <v>65.95914449999997</v>
      </c>
      <c r="J94" s="101">
        <f t="shared" si="43"/>
        <v>66.7501838</v>
      </c>
      <c r="K94" s="101">
        <f>+K93/K66</f>
        <v>69.49150079999997</v>
      </c>
      <c r="L94" s="101">
        <f>+L93/L66</f>
        <v>84.94202059999998</v>
      </c>
      <c r="M94" s="101">
        <f>+M93/M66</f>
        <v>85.43866139999996</v>
      </c>
      <c r="N94" s="75">
        <f>+N93/N66</f>
        <v>53.62064999999997</v>
      </c>
    </row>
    <row r="95" ht="7.5" customHeight="1"/>
    <row r="96" spans="1:14" ht="11.25">
      <c r="A96" s="83" t="s">
        <v>82</v>
      </c>
      <c r="C96" s="111">
        <f>C94*0.7</f>
        <v>40.43103259999997</v>
      </c>
      <c r="D96" s="111">
        <f aca="true" t="shared" si="44" ref="D96:L96">D94*0.7</f>
        <v>40.75852479999999</v>
      </c>
      <c r="E96" s="111">
        <f>E94*0.7</f>
        <v>44.67899729999998</v>
      </c>
      <c r="F96" s="111">
        <f t="shared" si="44"/>
        <v>50.06126579999997</v>
      </c>
      <c r="G96" s="111">
        <f t="shared" si="44"/>
        <v>44.92550089999999</v>
      </c>
      <c r="H96" s="111">
        <f t="shared" si="44"/>
        <v>44.43237259999999</v>
      </c>
      <c r="I96" s="111">
        <f t="shared" si="44"/>
        <v>46.17140114999997</v>
      </c>
      <c r="J96" s="111">
        <f t="shared" si="44"/>
        <v>46.725128659999996</v>
      </c>
      <c r="K96" s="111">
        <f t="shared" si="44"/>
        <v>48.644050559999975</v>
      </c>
      <c r="L96" s="111">
        <f t="shared" si="44"/>
        <v>59.45941441999998</v>
      </c>
      <c r="M96" s="111">
        <f>M94*0.7</f>
        <v>59.80706297999997</v>
      </c>
      <c r="N96" s="111">
        <f>N94*0.7</f>
        <v>37.53445499999997</v>
      </c>
    </row>
    <row r="97" spans="3:10" ht="11.25">
      <c r="C97" s="102"/>
      <c r="D97" s="102"/>
      <c r="E97" s="102"/>
      <c r="F97" s="102"/>
      <c r="G97" s="102"/>
      <c r="H97" s="102"/>
      <c r="I97" s="102"/>
      <c r="J97" s="103"/>
    </row>
    <row r="98" spans="1:10" ht="11.25">
      <c r="A98" s="83"/>
      <c r="B98" s="83"/>
      <c r="C98" s="100"/>
      <c r="D98" s="100"/>
      <c r="E98" s="100">
        <v>27.49</v>
      </c>
      <c r="F98" s="100"/>
      <c r="G98" s="100"/>
      <c r="H98" s="100"/>
      <c r="I98" s="100"/>
      <c r="J98" s="104"/>
    </row>
    <row r="99" spans="3:10" ht="7.5" customHeight="1">
      <c r="C99" s="103"/>
      <c r="D99" s="103"/>
      <c r="E99" s="103"/>
      <c r="F99" s="103"/>
      <c r="G99" s="103"/>
      <c r="H99" s="103"/>
      <c r="I99" s="103"/>
      <c r="J99" s="103"/>
    </row>
    <row r="100" spans="1:10" ht="11.25">
      <c r="A100" s="83"/>
      <c r="B100" s="83"/>
      <c r="C100" s="104"/>
      <c r="D100" s="104"/>
      <c r="E100" s="104"/>
      <c r="F100" s="104"/>
      <c r="G100" s="104"/>
      <c r="H100" s="104"/>
      <c r="I100" s="104"/>
      <c r="J100" s="104"/>
    </row>
    <row r="101" spans="3:10" ht="7.5" customHeight="1">
      <c r="C101" s="103"/>
      <c r="D101" s="103"/>
      <c r="E101" s="103"/>
      <c r="F101" s="103"/>
      <c r="G101" s="103"/>
      <c r="H101" s="103"/>
      <c r="I101" s="103"/>
      <c r="J101" s="103"/>
    </row>
    <row r="102" spans="1:10" ht="11.25">
      <c r="A102" s="83"/>
      <c r="C102" s="102"/>
      <c r="D102" s="102"/>
      <c r="E102" s="102"/>
      <c r="F102" s="102"/>
      <c r="G102" s="102"/>
      <c r="H102" s="102"/>
      <c r="I102" s="102"/>
      <c r="J102" s="105"/>
    </row>
    <row r="105" ht="11.25">
      <c r="B105" s="66" t="str">
        <f ca="1">CELL("filename")</f>
        <v>\\D-172-01\Share\District\~WUTC Files~\1. RSA\2015-2017 Plan Year\Commodity Credit Templates 2016-2017\[Eastside Commodity Credit Tariff Pages 2017.xls]Item 100, page 3</v>
      </c>
    </row>
  </sheetData>
  <sheetProtection/>
  <printOptions/>
  <pageMargins left="0.5" right="0.5" top="0.75" bottom="0.75" header="0.5" footer="0.5"/>
  <pageSetup fitToWidth="0" fitToHeight="1" horizontalDpi="600" verticalDpi="600" orientation="portrait" scale="58" r:id="rId3"/>
  <rowBreaks count="1" manualBreakCount="1">
    <brk id="53"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Van nostrand, Kaitlyn</cp:lastModifiedBy>
  <cp:lastPrinted>2015-06-09T16:37:56Z</cp:lastPrinted>
  <dcterms:created xsi:type="dcterms:W3CDTF">2008-05-23T15:47:44Z</dcterms:created>
  <dcterms:modified xsi:type="dcterms:W3CDTF">2017-06-14T16:57:52Z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HighlyConfidenti">
    <vt:lpwstr>0</vt:lpwstr>
  </property>
  <property fmtid="{D5CDD505-2E9C-101B-9397-08002B2CF9AE}" pid="5" name="CaseCompanyNam">
    <vt:lpwstr>RABANCO LTD</vt:lpwstr>
  </property>
  <property fmtid="{D5CDD505-2E9C-101B-9397-08002B2CF9AE}" pid="6" name="IsConfidenti">
    <vt:lpwstr>0</vt:lpwstr>
  </property>
  <property fmtid="{D5CDD505-2E9C-101B-9397-08002B2CF9AE}" pid="7" name="IsEFS">
    <vt:lpwstr>0</vt:lpwstr>
  </property>
  <property fmtid="{D5CDD505-2E9C-101B-9397-08002B2CF9AE}" pid="8" name="DocketNumb">
    <vt:lpwstr>170707</vt:lpwstr>
  </property>
  <property fmtid="{D5CDD505-2E9C-101B-9397-08002B2CF9AE}" pid="9" name="Dat">
    <vt:lpwstr>2017-06-14T00:00:00Z</vt:lpwstr>
  </property>
  <property fmtid="{D5CDD505-2E9C-101B-9397-08002B2CF9AE}" pid="10" name="Nickna">
    <vt:lpwstr/>
  </property>
  <property fmtid="{D5CDD505-2E9C-101B-9397-08002B2CF9AE}" pid="11" name="CaseTy">
    <vt:lpwstr>Tariff Revision</vt:lpwstr>
  </property>
  <property fmtid="{D5CDD505-2E9C-101B-9397-08002B2CF9AE}" pid="12" name="OpenedDa">
    <vt:lpwstr>2017-06-14T00:00:00Z</vt:lpwstr>
  </property>
  <property fmtid="{D5CDD505-2E9C-101B-9397-08002B2CF9AE}" pid="13" name="Pref">
    <vt:lpwstr>TG</vt:lpwstr>
  </property>
  <property fmtid="{D5CDD505-2E9C-101B-9397-08002B2CF9AE}" pid="14" name="IndustryCo">
    <vt:lpwstr>227</vt:lpwstr>
  </property>
  <property fmtid="{D5CDD505-2E9C-101B-9397-08002B2CF9AE}" pid="15" name="CaseStat">
    <vt:lpwstr>Closed</vt:lpwstr>
  </property>
  <property fmtid="{D5CDD505-2E9C-101B-9397-08002B2CF9AE}" pid="16" name="Proce">
    <vt:lpwstr/>
  </property>
  <property fmtid="{D5CDD505-2E9C-101B-9397-08002B2CF9AE}" pid="17" name="_docset_NoMedatataSyncRequir">
    <vt:lpwstr>False</vt:lpwstr>
  </property>
  <property fmtid="{D5CDD505-2E9C-101B-9397-08002B2CF9AE}" pid="18" name="Visibili">
    <vt:lpwstr/>
  </property>
  <property fmtid="{D5CDD505-2E9C-101B-9397-08002B2CF9AE}" pid="19" name="DocumentGro">
    <vt:lpwstr/>
  </property>
</Properties>
</file>