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 activeTab="1"/>
  </bookViews>
  <sheets>
    <sheet name="References" sheetId="4" r:id="rId1"/>
    <sheet name="Calculations" sheetId="7" r:id="rId2"/>
  </sheets>
  <definedNames>
    <definedName name="_xlnm.Print_Area" localSheetId="1">Calculations!$A$2:$Q$112</definedName>
    <definedName name="_xlnm.Print_Titles" localSheetId="1">Calculations!$1:$1</definedName>
  </definedNames>
  <calcPr calcId="145621"/>
</workbook>
</file>

<file path=xl/calcChain.xml><?xml version="1.0" encoding="utf-8"?>
<calcChain xmlns="http://schemas.openxmlformats.org/spreadsheetml/2006/main">
  <c r="G27" i="7" l="1"/>
  <c r="G94" i="7"/>
  <c r="F94" i="7"/>
  <c r="H94" i="7" s="1"/>
  <c r="G9" i="7"/>
  <c r="G15" i="7"/>
  <c r="G7" i="7"/>
  <c r="G110" i="7"/>
  <c r="G109" i="7"/>
  <c r="E110" i="7"/>
  <c r="F110" i="7" s="1"/>
  <c r="E109" i="7"/>
  <c r="F109" i="7" s="1"/>
  <c r="G107" i="7"/>
  <c r="G108" i="7"/>
  <c r="E108" i="7"/>
  <c r="F108" i="7" s="1"/>
  <c r="H108" i="7" s="1"/>
  <c r="E107" i="7"/>
  <c r="F107" i="7" s="1"/>
  <c r="G101" i="7"/>
  <c r="G102" i="7"/>
  <c r="E102" i="7"/>
  <c r="F102" i="7" s="1"/>
  <c r="E101" i="7"/>
  <c r="F101" i="7" s="1"/>
  <c r="G95" i="7"/>
  <c r="F95" i="7"/>
  <c r="G93" i="7"/>
  <c r="G92" i="7"/>
  <c r="F93" i="7"/>
  <c r="F92" i="7"/>
  <c r="M91" i="7"/>
  <c r="M64" i="7"/>
  <c r="O64" i="7" s="1"/>
  <c r="M60" i="7"/>
  <c r="O60" i="7" s="1"/>
  <c r="P56" i="7"/>
  <c r="M56" i="7"/>
  <c r="O56" i="7" s="1"/>
  <c r="M27" i="7"/>
  <c r="M26" i="7"/>
  <c r="M25" i="7"/>
  <c r="M24" i="7"/>
  <c r="M23" i="7"/>
  <c r="M22" i="7"/>
  <c r="M21" i="7"/>
  <c r="H102" i="7" l="1"/>
  <c r="H95" i="7"/>
  <c r="H110" i="7"/>
  <c r="H109" i="7"/>
  <c r="H107" i="7"/>
  <c r="H101" i="7"/>
  <c r="H92" i="7"/>
  <c r="H93" i="7"/>
  <c r="N64" i="7"/>
  <c r="P64" i="7" s="1"/>
  <c r="Q64" i="7" s="1"/>
  <c r="N60" i="7"/>
  <c r="P60" i="7" s="1"/>
  <c r="Q60" i="7" s="1"/>
  <c r="Q56" i="7"/>
  <c r="M50" i="7"/>
  <c r="O50" i="7" s="1"/>
  <c r="M51" i="7"/>
  <c r="O51" i="7" s="1"/>
  <c r="F51" i="7"/>
  <c r="M46" i="7"/>
  <c r="N46" i="7" s="1"/>
  <c r="P46" i="7" s="1"/>
  <c r="F46" i="7"/>
  <c r="P41" i="7"/>
  <c r="M40" i="7"/>
  <c r="O40" i="7" s="1"/>
  <c r="M41" i="7"/>
  <c r="O41" i="7" s="1"/>
  <c r="F41" i="7"/>
  <c r="O36" i="7"/>
  <c r="N36" i="7"/>
  <c r="P36" i="7" s="1"/>
  <c r="M35" i="7"/>
  <c r="O35" i="7" s="1"/>
  <c r="F36" i="7"/>
  <c r="P31" i="7"/>
  <c r="M31" i="7"/>
  <c r="O31" i="7" s="1"/>
  <c r="F31" i="7"/>
  <c r="G13" i="7"/>
  <c r="G12" i="7"/>
  <c r="G11" i="7"/>
  <c r="G2" i="7"/>
  <c r="G3" i="7"/>
  <c r="G4" i="7"/>
  <c r="G5" i="7"/>
  <c r="G6" i="7"/>
  <c r="G8" i="7"/>
  <c r="G10" i="7"/>
  <c r="G14" i="7"/>
  <c r="G16" i="7"/>
  <c r="G20" i="7"/>
  <c r="G21" i="7"/>
  <c r="G22" i="7"/>
  <c r="G23" i="7"/>
  <c r="G24" i="7"/>
  <c r="G25" i="7"/>
  <c r="G26" i="7"/>
  <c r="G30" i="7"/>
  <c r="F30" i="7"/>
  <c r="G32" i="7"/>
  <c r="F32" i="7"/>
  <c r="G33" i="7"/>
  <c r="H33" i="7" s="1"/>
  <c r="G35" i="7"/>
  <c r="F35" i="7"/>
  <c r="G37" i="7"/>
  <c r="F37" i="7"/>
  <c r="G38" i="7"/>
  <c r="H38" i="7" s="1"/>
  <c r="G40" i="7"/>
  <c r="F40" i="7"/>
  <c r="G42" i="7"/>
  <c r="F42" i="7"/>
  <c r="G43" i="7"/>
  <c r="H43" i="7" s="1"/>
  <c r="G45" i="7"/>
  <c r="F45" i="7"/>
  <c r="G47" i="7"/>
  <c r="F47" i="7"/>
  <c r="G48" i="7"/>
  <c r="H48" i="7" s="1"/>
  <c r="G50" i="7"/>
  <c r="F50" i="7"/>
  <c r="G52" i="7"/>
  <c r="F52" i="7"/>
  <c r="G53" i="7"/>
  <c r="H53" i="7" s="1"/>
  <c r="G55" i="7"/>
  <c r="F55" i="7"/>
  <c r="G57" i="7"/>
  <c r="E57" i="7"/>
  <c r="G59" i="7"/>
  <c r="F59" i="7"/>
  <c r="G61" i="7"/>
  <c r="F61" i="7"/>
  <c r="G63" i="7"/>
  <c r="F63" i="7"/>
  <c r="G65" i="7"/>
  <c r="E65" i="7"/>
  <c r="F65" i="7" s="1"/>
  <c r="G67" i="7"/>
  <c r="F67" i="7"/>
  <c r="G68" i="7"/>
  <c r="F68" i="7"/>
  <c r="G70" i="7"/>
  <c r="F70" i="7"/>
  <c r="G71" i="7"/>
  <c r="F71" i="7"/>
  <c r="G73" i="7"/>
  <c r="F73" i="7"/>
  <c r="G74" i="7"/>
  <c r="F74" i="7"/>
  <c r="G76" i="7"/>
  <c r="F76" i="7"/>
  <c r="G77" i="7"/>
  <c r="F77" i="7"/>
  <c r="D119" i="7"/>
  <c r="O77" i="7"/>
  <c r="O76" i="7"/>
  <c r="O74" i="7"/>
  <c r="O73" i="7"/>
  <c r="O71" i="7"/>
  <c r="O70" i="7"/>
  <c r="O68" i="7"/>
  <c r="O67" i="7"/>
  <c r="O63" i="7"/>
  <c r="O61" i="7"/>
  <c r="O59" i="7"/>
  <c r="O55" i="7"/>
  <c r="O52" i="7"/>
  <c r="O47" i="7"/>
  <c r="O45" i="7"/>
  <c r="O42" i="7"/>
  <c r="O37" i="7"/>
  <c r="O32" i="7"/>
  <c r="O30" i="7"/>
  <c r="O26" i="7"/>
  <c r="O25" i="7"/>
  <c r="O24" i="7"/>
  <c r="O23" i="7"/>
  <c r="O22" i="7"/>
  <c r="O21" i="7"/>
  <c r="O20" i="7"/>
  <c r="O16" i="7"/>
  <c r="O8" i="7"/>
  <c r="C2" i="7"/>
  <c r="O2" i="7"/>
  <c r="C3" i="7"/>
  <c r="O3" i="7"/>
  <c r="C4" i="7"/>
  <c r="O4" i="7"/>
  <c r="C5" i="7"/>
  <c r="O5" i="7"/>
  <c r="O6" i="7"/>
  <c r="O7" i="7"/>
  <c r="O9" i="7"/>
  <c r="O10" i="7"/>
  <c r="O11" i="7"/>
  <c r="O12" i="7"/>
  <c r="O13" i="7"/>
  <c r="O14" i="7"/>
  <c r="O15" i="7"/>
  <c r="S17" i="7"/>
  <c r="D19" i="7"/>
  <c r="O27" i="7"/>
  <c r="Q29" i="7"/>
  <c r="Q34" i="7"/>
  <c r="Q39" i="7"/>
  <c r="N44" i="7"/>
  <c r="Q44" i="7"/>
  <c r="Q49" i="7"/>
  <c r="Q53" i="7"/>
  <c r="Q54" i="7"/>
  <c r="Q58" i="7"/>
  <c r="D83" i="7"/>
  <c r="G88" i="7"/>
  <c r="G89" i="7"/>
  <c r="G90" i="7"/>
  <c r="G91" i="7"/>
  <c r="G96" i="7"/>
  <c r="G99" i="7"/>
  <c r="G100" i="7"/>
  <c r="G103" i="7"/>
  <c r="G104" i="7"/>
  <c r="G105" i="7"/>
  <c r="G106" i="7"/>
  <c r="B3" i="4"/>
  <c r="C3" i="4" s="1"/>
  <c r="B4" i="4"/>
  <c r="C4" i="4" s="1"/>
  <c r="B5" i="4"/>
  <c r="E5" i="4" s="1"/>
  <c r="F5" i="4"/>
  <c r="B6" i="4"/>
  <c r="C6" i="4" s="1"/>
  <c r="D6" i="4"/>
  <c r="E6" i="4"/>
  <c r="F6" i="4"/>
  <c r="H6" i="4"/>
  <c r="B7" i="4"/>
  <c r="D7" i="4" s="1"/>
  <c r="B8" i="4"/>
  <c r="H8" i="4" s="1"/>
  <c r="G8" i="4"/>
  <c r="B9" i="4"/>
  <c r="E90" i="7" s="1"/>
  <c r="F90" i="7" s="1"/>
  <c r="F9" i="4"/>
  <c r="C47" i="4"/>
  <c r="G47" i="4"/>
  <c r="C48" i="4"/>
  <c r="G48" i="4"/>
  <c r="B49" i="4"/>
  <c r="B52" i="4" s="1"/>
  <c r="B54" i="4"/>
  <c r="Q46" i="7" l="1"/>
  <c r="O46" i="7"/>
  <c r="Q41" i="7"/>
  <c r="H76" i="7"/>
  <c r="C49" i="4"/>
  <c r="E8" i="4"/>
  <c r="G6" i="4"/>
  <c r="H4" i="4"/>
  <c r="F3" i="4"/>
  <c r="F8" i="4"/>
  <c r="H3" i="4"/>
  <c r="G50" i="4"/>
  <c r="G52" i="4" s="1"/>
  <c r="B53" i="4" s="1"/>
  <c r="B55" i="4" s="1"/>
  <c r="C8" i="4"/>
  <c r="G4" i="4"/>
  <c r="D3" i="4"/>
  <c r="F4" i="4"/>
  <c r="F7" i="4"/>
  <c r="D4" i="4"/>
  <c r="N51" i="7"/>
  <c r="P51" i="7" s="1"/>
  <c r="Q51" i="7" s="1"/>
  <c r="H7" i="4"/>
  <c r="E4" i="4"/>
  <c r="Q36" i="7"/>
  <c r="H61" i="7"/>
  <c r="H50" i="7"/>
  <c r="H47" i="7"/>
  <c r="H40" i="7"/>
  <c r="H37" i="7"/>
  <c r="H30" i="7"/>
  <c r="H70" i="7"/>
  <c r="H59" i="7"/>
  <c r="H55" i="7"/>
  <c r="H52" i="7"/>
  <c r="H45" i="7"/>
  <c r="H42" i="7"/>
  <c r="H35" i="7"/>
  <c r="H32" i="7"/>
  <c r="Q31" i="7"/>
  <c r="H63" i="7"/>
  <c r="D84" i="7"/>
  <c r="H77" i="7"/>
  <c r="H71" i="7"/>
  <c r="O65" i="7"/>
  <c r="H90" i="7"/>
  <c r="H65" i="7"/>
  <c r="O19" i="7"/>
  <c r="H9" i="4"/>
  <c r="D9" i="4"/>
  <c r="E2" i="7"/>
  <c r="F2" i="7" s="1"/>
  <c r="E6" i="7"/>
  <c r="F6" i="7" s="1"/>
  <c r="H6" i="7" s="1"/>
  <c r="E22" i="7"/>
  <c r="F22" i="7" s="1"/>
  <c r="H22" i="7" s="1"/>
  <c r="E26" i="7"/>
  <c r="F26" i="7" s="1"/>
  <c r="H26" i="7" s="1"/>
  <c r="E4" i="7"/>
  <c r="F4" i="7" s="1"/>
  <c r="H4" i="7" s="1"/>
  <c r="E20" i="7"/>
  <c r="E24" i="7"/>
  <c r="F24" i="7" s="1"/>
  <c r="H24" i="7" s="1"/>
  <c r="E89" i="7"/>
  <c r="F89" i="7" s="1"/>
  <c r="H89" i="7" s="1"/>
  <c r="H5" i="4"/>
  <c r="D5" i="4"/>
  <c r="F57" i="7"/>
  <c r="H57" i="7" s="1"/>
  <c r="O57" i="7"/>
  <c r="E27" i="7"/>
  <c r="F27" i="7" s="1"/>
  <c r="H27" i="7" s="1"/>
  <c r="E25" i="7"/>
  <c r="F25" i="7" s="1"/>
  <c r="H25" i="7" s="1"/>
  <c r="E23" i="7"/>
  <c r="F23" i="7" s="1"/>
  <c r="H23" i="7" s="1"/>
  <c r="E21" i="7"/>
  <c r="F21" i="7" s="1"/>
  <c r="H21" i="7" s="1"/>
  <c r="E79" i="7"/>
  <c r="G9" i="4"/>
  <c r="C9" i="4"/>
  <c r="E91" i="7" s="1"/>
  <c r="F91" i="7" s="1"/>
  <c r="H91" i="7" s="1"/>
  <c r="E13" i="7"/>
  <c r="F13" i="7" s="1"/>
  <c r="H13" i="7" s="1"/>
  <c r="E12" i="7"/>
  <c r="F12" i="7" s="1"/>
  <c r="H12" i="7" s="1"/>
  <c r="E10" i="7"/>
  <c r="F10" i="7" s="1"/>
  <c r="H10" i="7" s="1"/>
  <c r="E14" i="7"/>
  <c r="F14" i="7" s="1"/>
  <c r="H14" i="7" s="1"/>
  <c r="E11" i="7"/>
  <c r="F11" i="7" s="1"/>
  <c r="H11" i="7" s="1"/>
  <c r="E15" i="7"/>
  <c r="F15" i="7" s="1"/>
  <c r="H15" i="7" s="1"/>
  <c r="E7" i="4"/>
  <c r="G5" i="4"/>
  <c r="C5" i="4"/>
  <c r="E3" i="4"/>
  <c r="E105" i="7"/>
  <c r="F105" i="7" s="1"/>
  <c r="H105" i="7" s="1"/>
  <c r="E8" i="7"/>
  <c r="F8" i="7" s="1"/>
  <c r="H8" i="7" s="1"/>
  <c r="E16" i="7"/>
  <c r="F16" i="7" s="1"/>
  <c r="H16" i="7" s="1"/>
  <c r="E9" i="7"/>
  <c r="F9" i="7" s="1"/>
  <c r="H9" i="7" s="1"/>
  <c r="E99" i="7"/>
  <c r="F99" i="7" s="1"/>
  <c r="H99" i="7" s="1"/>
  <c r="E106" i="7"/>
  <c r="F106" i="7" s="1"/>
  <c r="H106" i="7" s="1"/>
  <c r="E104" i="7"/>
  <c r="F104" i="7" s="1"/>
  <c r="H104" i="7" s="1"/>
  <c r="G83" i="7"/>
  <c r="E7" i="7"/>
  <c r="F7" i="7" s="1"/>
  <c r="H7" i="7" s="1"/>
  <c r="E5" i="7"/>
  <c r="F5" i="7" s="1"/>
  <c r="H5" i="7" s="1"/>
  <c r="E3" i="7"/>
  <c r="F3" i="7" s="1"/>
  <c r="H3" i="7" s="1"/>
  <c r="E9" i="4"/>
  <c r="D8" i="4"/>
  <c r="G7" i="4"/>
  <c r="C7" i="4"/>
  <c r="G3" i="4"/>
  <c r="E103" i="7"/>
  <c r="F103" i="7" s="1"/>
  <c r="H103" i="7" s="1"/>
  <c r="E100" i="7"/>
  <c r="F100" i="7" s="1"/>
  <c r="H100" i="7" s="1"/>
  <c r="E96" i="7"/>
  <c r="F96" i="7" s="1"/>
  <c r="H96" i="7" s="1"/>
  <c r="E88" i="7"/>
  <c r="F88" i="7" s="1"/>
  <c r="H88" i="7" s="1"/>
  <c r="H73" i="7"/>
  <c r="H68" i="7"/>
  <c r="H74" i="7"/>
  <c r="H67" i="7"/>
  <c r="F20" i="7" l="1"/>
  <c r="E83" i="7"/>
  <c r="O79" i="7"/>
  <c r="O83" i="7" s="1"/>
  <c r="O84" i="7" s="1"/>
  <c r="F79" i="7"/>
  <c r="H79" i="7" s="1"/>
  <c r="H2" i="7"/>
  <c r="H19" i="7" s="1"/>
  <c r="F19" i="7"/>
  <c r="H20" i="7" l="1"/>
  <c r="H83" i="7" s="1"/>
  <c r="H84" i="7" s="1"/>
  <c r="D121" i="7" s="1"/>
  <c r="I94" i="7" s="1"/>
  <c r="J94" i="7" s="1"/>
  <c r="K94" i="7" s="1"/>
  <c r="L94" i="7" s="1"/>
  <c r="N94" i="7" s="1"/>
  <c r="F83" i="7"/>
  <c r="F84" i="7" s="1"/>
  <c r="I95" i="7" l="1"/>
  <c r="J95" i="7" s="1"/>
  <c r="K95" i="7" s="1"/>
  <c r="L95" i="7" s="1"/>
  <c r="N95" i="7" s="1"/>
  <c r="I102" i="7"/>
  <c r="J102" i="7" s="1"/>
  <c r="K102" i="7" s="1"/>
  <c r="L102" i="7" s="1"/>
  <c r="N102" i="7" s="1"/>
  <c r="I108" i="7"/>
  <c r="J108" i="7" s="1"/>
  <c r="K108" i="7" s="1"/>
  <c r="L108" i="7" s="1"/>
  <c r="N108" i="7" s="1"/>
  <c r="I109" i="7"/>
  <c r="J109" i="7" s="1"/>
  <c r="K109" i="7" s="1"/>
  <c r="L109" i="7" s="1"/>
  <c r="N109" i="7" s="1"/>
  <c r="I101" i="7"/>
  <c r="J101" i="7" s="1"/>
  <c r="K101" i="7" s="1"/>
  <c r="L101" i="7" s="1"/>
  <c r="N101" i="7" s="1"/>
  <c r="I110" i="7"/>
  <c r="J110" i="7" s="1"/>
  <c r="K110" i="7" s="1"/>
  <c r="L110" i="7" s="1"/>
  <c r="N110" i="7" s="1"/>
  <c r="I107" i="7"/>
  <c r="J107" i="7" s="1"/>
  <c r="K107" i="7" s="1"/>
  <c r="L107" i="7" s="1"/>
  <c r="N107" i="7" s="1"/>
  <c r="I92" i="7"/>
  <c r="J92" i="7" s="1"/>
  <c r="K92" i="7" s="1"/>
  <c r="L92" i="7" s="1"/>
  <c r="N92" i="7" s="1"/>
  <c r="I93" i="7"/>
  <c r="J93" i="7" s="1"/>
  <c r="K93" i="7" s="1"/>
  <c r="L93" i="7" s="1"/>
  <c r="N93" i="7" s="1"/>
  <c r="I2" i="7"/>
  <c r="I4" i="7"/>
  <c r="J4" i="7" s="1"/>
  <c r="K4" i="7" s="1"/>
  <c r="L4" i="7" s="1"/>
  <c r="N4" i="7" s="1"/>
  <c r="P4" i="7" s="1"/>
  <c r="Q4" i="7" s="1"/>
  <c r="I6" i="7"/>
  <c r="J6" i="7" s="1"/>
  <c r="K6" i="7" s="1"/>
  <c r="L6" i="7" s="1"/>
  <c r="N6" i="7" s="1"/>
  <c r="P6" i="7" s="1"/>
  <c r="Q6" i="7" s="1"/>
  <c r="I8" i="7"/>
  <c r="J8" i="7" s="1"/>
  <c r="K8" i="7" s="1"/>
  <c r="L8" i="7" s="1"/>
  <c r="N8" i="7" s="1"/>
  <c r="P8" i="7" s="1"/>
  <c r="Q8" i="7" s="1"/>
  <c r="I10" i="7"/>
  <c r="J10" i="7" s="1"/>
  <c r="K10" i="7" s="1"/>
  <c r="L10" i="7" s="1"/>
  <c r="N10" i="7" s="1"/>
  <c r="P10" i="7" s="1"/>
  <c r="Q10" i="7" s="1"/>
  <c r="I12" i="7"/>
  <c r="J12" i="7" s="1"/>
  <c r="K12" i="7" s="1"/>
  <c r="L12" i="7" s="1"/>
  <c r="N12" i="7" s="1"/>
  <c r="P12" i="7" s="1"/>
  <c r="Q12" i="7" s="1"/>
  <c r="I14" i="7"/>
  <c r="J14" i="7" s="1"/>
  <c r="K14" i="7" s="1"/>
  <c r="L14" i="7" s="1"/>
  <c r="N14" i="7" s="1"/>
  <c r="P14" i="7" s="1"/>
  <c r="Q14" i="7" s="1"/>
  <c r="I16" i="7"/>
  <c r="J16" i="7" s="1"/>
  <c r="K16" i="7" s="1"/>
  <c r="L16" i="7" s="1"/>
  <c r="N16" i="7" s="1"/>
  <c r="P16" i="7" s="1"/>
  <c r="Q16" i="7" s="1"/>
  <c r="I79" i="7"/>
  <c r="J79" i="7" s="1"/>
  <c r="K79" i="7" s="1"/>
  <c r="L79" i="7" s="1"/>
  <c r="N79" i="7" s="1"/>
  <c r="P79" i="7" s="1"/>
  <c r="I21" i="7"/>
  <c r="J21" i="7" s="1"/>
  <c r="K21" i="7" s="1"/>
  <c r="L21" i="7" s="1"/>
  <c r="N21" i="7" s="1"/>
  <c r="P21" i="7" s="1"/>
  <c r="Q21" i="7" s="1"/>
  <c r="I23" i="7"/>
  <c r="J23" i="7" s="1"/>
  <c r="K23" i="7" s="1"/>
  <c r="L23" i="7" s="1"/>
  <c r="N23" i="7" s="1"/>
  <c r="P23" i="7" s="1"/>
  <c r="Q23" i="7" s="1"/>
  <c r="I25" i="7"/>
  <c r="J25" i="7" s="1"/>
  <c r="K25" i="7" s="1"/>
  <c r="L25" i="7" s="1"/>
  <c r="N25" i="7" s="1"/>
  <c r="P25" i="7" s="1"/>
  <c r="Q25" i="7" s="1"/>
  <c r="I27" i="7"/>
  <c r="J27" i="7" s="1"/>
  <c r="K27" i="7" s="1"/>
  <c r="L27" i="7" s="1"/>
  <c r="N27" i="7" s="1"/>
  <c r="P27" i="7" s="1"/>
  <c r="Q27" i="7" s="1"/>
  <c r="I32" i="7"/>
  <c r="J32" i="7" s="1"/>
  <c r="K32" i="7" s="1"/>
  <c r="L32" i="7" s="1"/>
  <c r="N32" i="7" s="1"/>
  <c r="P32" i="7" s="1"/>
  <c r="Q32" i="7" s="1"/>
  <c r="I35" i="7"/>
  <c r="J35" i="7" s="1"/>
  <c r="K35" i="7" s="1"/>
  <c r="L35" i="7" s="1"/>
  <c r="N35" i="7" s="1"/>
  <c r="P35" i="7" s="1"/>
  <c r="Q35" i="7" s="1"/>
  <c r="I40" i="7"/>
  <c r="J40" i="7" s="1"/>
  <c r="K40" i="7" s="1"/>
  <c r="L40" i="7" s="1"/>
  <c r="N40" i="7" s="1"/>
  <c r="P40" i="7" s="1"/>
  <c r="Q40" i="7" s="1"/>
  <c r="I45" i="7"/>
  <c r="J45" i="7" s="1"/>
  <c r="K45" i="7" s="1"/>
  <c r="L45" i="7" s="1"/>
  <c r="N45" i="7" s="1"/>
  <c r="P45" i="7" s="1"/>
  <c r="Q45" i="7" s="1"/>
  <c r="I50" i="7"/>
  <c r="J50" i="7" s="1"/>
  <c r="K50" i="7" s="1"/>
  <c r="L50" i="7" s="1"/>
  <c r="N50" i="7" s="1"/>
  <c r="P50" i="7" s="1"/>
  <c r="Q50" i="7" s="1"/>
  <c r="I55" i="7"/>
  <c r="J55" i="7" s="1"/>
  <c r="K55" i="7" s="1"/>
  <c r="L55" i="7" s="1"/>
  <c r="N55" i="7" s="1"/>
  <c r="P55" i="7" s="1"/>
  <c r="Q55" i="7" s="1"/>
  <c r="I59" i="7"/>
  <c r="J59" i="7" s="1"/>
  <c r="K59" i="7" s="1"/>
  <c r="L59" i="7" s="1"/>
  <c r="I3" i="7"/>
  <c r="J3" i="7" s="1"/>
  <c r="K3" i="7" s="1"/>
  <c r="L3" i="7" s="1"/>
  <c r="N3" i="7" s="1"/>
  <c r="P3" i="7" s="1"/>
  <c r="Q3" i="7" s="1"/>
  <c r="I7" i="7"/>
  <c r="J7" i="7" s="1"/>
  <c r="K7" i="7" s="1"/>
  <c r="L7" i="7" s="1"/>
  <c r="N7" i="7" s="1"/>
  <c r="P7" i="7" s="1"/>
  <c r="Q7" i="7" s="1"/>
  <c r="I11" i="7"/>
  <c r="J11" i="7" s="1"/>
  <c r="K11" i="7" s="1"/>
  <c r="L11" i="7" s="1"/>
  <c r="N11" i="7" s="1"/>
  <c r="P11" i="7" s="1"/>
  <c r="Q11" i="7" s="1"/>
  <c r="I15" i="7"/>
  <c r="J15" i="7" s="1"/>
  <c r="K15" i="7" s="1"/>
  <c r="L15" i="7" s="1"/>
  <c r="N15" i="7" s="1"/>
  <c r="P15" i="7" s="1"/>
  <c r="Q15" i="7" s="1"/>
  <c r="I53" i="7"/>
  <c r="J53" i="7" s="1"/>
  <c r="K53" i="7" s="1"/>
  <c r="L53" i="7" s="1"/>
  <c r="N53" i="7" s="1"/>
  <c r="I5" i="7"/>
  <c r="J5" i="7" s="1"/>
  <c r="K5" i="7" s="1"/>
  <c r="L5" i="7" s="1"/>
  <c r="N5" i="7" s="1"/>
  <c r="P5" i="7" s="1"/>
  <c r="Q5" i="7" s="1"/>
  <c r="I9" i="7"/>
  <c r="J9" i="7" s="1"/>
  <c r="K9" i="7" s="1"/>
  <c r="L9" i="7" s="1"/>
  <c r="N9" i="7" s="1"/>
  <c r="P9" i="7" s="1"/>
  <c r="Q9" i="7" s="1"/>
  <c r="I13" i="7"/>
  <c r="J13" i="7" s="1"/>
  <c r="K13" i="7" s="1"/>
  <c r="L13" i="7" s="1"/>
  <c r="N13" i="7" s="1"/>
  <c r="P13" i="7" s="1"/>
  <c r="Q13" i="7" s="1"/>
  <c r="I61" i="7"/>
  <c r="J61" i="7" s="1"/>
  <c r="K61" i="7" s="1"/>
  <c r="L61" i="7" s="1"/>
  <c r="N61" i="7" s="1"/>
  <c r="P61" i="7" s="1"/>
  <c r="Q61" i="7" s="1"/>
  <c r="I43" i="7"/>
  <c r="J43" i="7" s="1"/>
  <c r="K43" i="7" s="1"/>
  <c r="L43" i="7" s="1"/>
  <c r="N43" i="7" s="1"/>
  <c r="I22" i="7"/>
  <c r="J22" i="7" s="1"/>
  <c r="K22" i="7" s="1"/>
  <c r="L22" i="7" s="1"/>
  <c r="N22" i="7" s="1"/>
  <c r="P22" i="7" s="1"/>
  <c r="Q22" i="7" s="1"/>
  <c r="I33" i="7"/>
  <c r="J33" i="7" s="1"/>
  <c r="K33" i="7" s="1"/>
  <c r="L33" i="7" s="1"/>
  <c r="N33" i="7" s="1"/>
  <c r="P33" i="7" s="1"/>
  <c r="Q33" i="7" s="1"/>
  <c r="I52" i="7"/>
  <c r="J52" i="7" s="1"/>
  <c r="K52" i="7" s="1"/>
  <c r="L52" i="7" s="1"/>
  <c r="N52" i="7" s="1"/>
  <c r="P52" i="7" s="1"/>
  <c r="Q52" i="7" s="1"/>
  <c r="I65" i="7"/>
  <c r="J65" i="7" s="1"/>
  <c r="K65" i="7" s="1"/>
  <c r="L65" i="7" s="1"/>
  <c r="N65" i="7" s="1"/>
  <c r="P65" i="7" s="1"/>
  <c r="I71" i="7"/>
  <c r="J71" i="7" s="1"/>
  <c r="K71" i="7" s="1"/>
  <c r="L71" i="7" s="1"/>
  <c r="N71" i="7" s="1"/>
  <c r="P71" i="7" s="1"/>
  <c r="Q71" i="7" s="1"/>
  <c r="I77" i="7"/>
  <c r="J77" i="7" s="1"/>
  <c r="K77" i="7" s="1"/>
  <c r="L77" i="7" s="1"/>
  <c r="N77" i="7" s="1"/>
  <c r="P77" i="7" s="1"/>
  <c r="Q77" i="7" s="1"/>
  <c r="I91" i="7"/>
  <c r="J91" i="7" s="1"/>
  <c r="K91" i="7" s="1"/>
  <c r="L91" i="7" s="1"/>
  <c r="N91" i="7" s="1"/>
  <c r="I99" i="7"/>
  <c r="J99" i="7" s="1"/>
  <c r="K99" i="7" s="1"/>
  <c r="L99" i="7" s="1"/>
  <c r="N99" i="7" s="1"/>
  <c r="I106" i="7"/>
  <c r="J106" i="7" s="1"/>
  <c r="K106" i="7" s="1"/>
  <c r="L106" i="7" s="1"/>
  <c r="N106" i="7" s="1"/>
  <c r="I26" i="7"/>
  <c r="J26" i="7" s="1"/>
  <c r="K26" i="7" s="1"/>
  <c r="L26" i="7" s="1"/>
  <c r="N26" i="7" s="1"/>
  <c r="P26" i="7" s="1"/>
  <c r="Q26" i="7" s="1"/>
  <c r="I42" i="7"/>
  <c r="J42" i="7" s="1"/>
  <c r="K42" i="7" s="1"/>
  <c r="L42" i="7" s="1"/>
  <c r="N42" i="7" s="1"/>
  <c r="P42" i="7" s="1"/>
  <c r="Q42" i="7" s="1"/>
  <c r="I68" i="7"/>
  <c r="J68" i="7" s="1"/>
  <c r="K68" i="7" s="1"/>
  <c r="L68" i="7" s="1"/>
  <c r="N68" i="7" s="1"/>
  <c r="P68" i="7" s="1"/>
  <c r="Q68" i="7" s="1"/>
  <c r="I74" i="7"/>
  <c r="J74" i="7" s="1"/>
  <c r="K74" i="7" s="1"/>
  <c r="L74" i="7" s="1"/>
  <c r="N74" i="7" s="1"/>
  <c r="P74" i="7" s="1"/>
  <c r="I38" i="7"/>
  <c r="J38" i="7" s="1"/>
  <c r="K38" i="7" s="1"/>
  <c r="L38" i="7" s="1"/>
  <c r="N38" i="7" s="1"/>
  <c r="I89" i="7"/>
  <c r="J89" i="7" s="1"/>
  <c r="K89" i="7" s="1"/>
  <c r="L89" i="7" s="1"/>
  <c r="N89" i="7" s="1"/>
  <c r="I104" i="7"/>
  <c r="J104" i="7" s="1"/>
  <c r="K104" i="7" s="1"/>
  <c r="L104" i="7" s="1"/>
  <c r="N104" i="7" s="1"/>
  <c r="I37" i="7"/>
  <c r="J37" i="7" s="1"/>
  <c r="K37" i="7" s="1"/>
  <c r="L37" i="7" s="1"/>
  <c r="N37" i="7" s="1"/>
  <c r="P37" i="7" s="1"/>
  <c r="Q37" i="7" s="1"/>
  <c r="I67" i="7"/>
  <c r="J67" i="7" s="1"/>
  <c r="K67" i="7" s="1"/>
  <c r="L67" i="7" s="1"/>
  <c r="N67" i="7" s="1"/>
  <c r="P67" i="7" s="1"/>
  <c r="Q67" i="7" s="1"/>
  <c r="I48" i="7"/>
  <c r="J48" i="7" s="1"/>
  <c r="K48" i="7" s="1"/>
  <c r="L48" i="7" s="1"/>
  <c r="N48" i="7" s="1"/>
  <c r="I90" i="7"/>
  <c r="J90" i="7" s="1"/>
  <c r="K90" i="7" s="1"/>
  <c r="L90" i="7" s="1"/>
  <c r="N90" i="7" s="1"/>
  <c r="I105" i="7"/>
  <c r="J105" i="7" s="1"/>
  <c r="K105" i="7" s="1"/>
  <c r="L105" i="7" s="1"/>
  <c r="N105" i="7" s="1"/>
  <c r="I30" i="7"/>
  <c r="J30" i="7" s="1"/>
  <c r="K30" i="7" s="1"/>
  <c r="L30" i="7" s="1"/>
  <c r="N30" i="7" s="1"/>
  <c r="P30" i="7" s="1"/>
  <c r="Q30" i="7" s="1"/>
  <c r="I63" i="7"/>
  <c r="J63" i="7" s="1"/>
  <c r="K63" i="7" s="1"/>
  <c r="L63" i="7" s="1"/>
  <c r="N63" i="7" s="1"/>
  <c r="P63" i="7" s="1"/>
  <c r="I76" i="7"/>
  <c r="J76" i="7" s="1"/>
  <c r="K76" i="7" s="1"/>
  <c r="L76" i="7" s="1"/>
  <c r="N76" i="7" s="1"/>
  <c r="P76" i="7" s="1"/>
  <c r="Q76" i="7" s="1"/>
  <c r="I24" i="7"/>
  <c r="J24" i="7" s="1"/>
  <c r="K24" i="7" s="1"/>
  <c r="L24" i="7" s="1"/>
  <c r="N24" i="7" s="1"/>
  <c r="P24" i="7" s="1"/>
  <c r="Q24" i="7" s="1"/>
  <c r="I57" i="7"/>
  <c r="J57" i="7" s="1"/>
  <c r="K57" i="7" s="1"/>
  <c r="L57" i="7" s="1"/>
  <c r="N57" i="7" s="1"/>
  <c r="P57" i="7" s="1"/>
  <c r="Q57" i="7" s="1"/>
  <c r="I73" i="7"/>
  <c r="J73" i="7" s="1"/>
  <c r="K73" i="7" s="1"/>
  <c r="L73" i="7" s="1"/>
  <c r="N73" i="7" s="1"/>
  <c r="P73" i="7" s="1"/>
  <c r="I88" i="7"/>
  <c r="J88" i="7" s="1"/>
  <c r="K88" i="7" s="1"/>
  <c r="L88" i="7" s="1"/>
  <c r="N88" i="7" s="1"/>
  <c r="I96" i="7"/>
  <c r="J96" i="7" s="1"/>
  <c r="K96" i="7" s="1"/>
  <c r="L96" i="7" s="1"/>
  <c r="N96" i="7" s="1"/>
  <c r="I100" i="7"/>
  <c r="J100" i="7" s="1"/>
  <c r="K100" i="7" s="1"/>
  <c r="L100" i="7" s="1"/>
  <c r="N100" i="7" s="1"/>
  <c r="I103" i="7"/>
  <c r="J103" i="7" s="1"/>
  <c r="K103" i="7" s="1"/>
  <c r="L103" i="7" s="1"/>
  <c r="N103" i="7" s="1"/>
  <c r="I20" i="7"/>
  <c r="I47" i="7"/>
  <c r="J47" i="7" s="1"/>
  <c r="K47" i="7" s="1"/>
  <c r="L47" i="7" s="1"/>
  <c r="N47" i="7" s="1"/>
  <c r="P47" i="7" s="1"/>
  <c r="Q47" i="7" s="1"/>
  <c r="I70" i="7"/>
  <c r="J70" i="7" s="1"/>
  <c r="K70" i="7" s="1"/>
  <c r="L70" i="7" s="1"/>
  <c r="N70" i="7" s="1"/>
  <c r="P70" i="7" s="1"/>
  <c r="Q70" i="7" s="1"/>
  <c r="D120" i="7"/>
  <c r="N59" i="7" l="1"/>
  <c r="P59" i="7" s="1"/>
  <c r="Q59" i="7" s="1"/>
  <c r="I19" i="7"/>
  <c r="J2" i="7"/>
  <c r="K2" i="7" s="1"/>
  <c r="L2" i="7" s="1"/>
  <c r="N2" i="7" s="1"/>
  <c r="P2" i="7" s="1"/>
  <c r="I83" i="7"/>
  <c r="J20" i="7"/>
  <c r="K20" i="7" s="1"/>
  <c r="L20" i="7" s="1"/>
  <c r="N20" i="7" s="1"/>
  <c r="P20" i="7" s="1"/>
  <c r="Q20" i="7" l="1"/>
  <c r="Q83" i="7" s="1"/>
  <c r="P83" i="7"/>
  <c r="P19" i="7"/>
  <c r="Q2" i="7"/>
  <c r="Q19" i="7" s="1"/>
  <c r="I84" i="7"/>
  <c r="Q84" i="7" l="1"/>
  <c r="B64" i="4" s="1"/>
  <c r="B65" i="4" s="1"/>
  <c r="P84" i="7"/>
  <c r="B60" i="4" s="1"/>
  <c r="B61" i="4" s="1"/>
  <c r="C65" i="4" l="1"/>
</calcChain>
</file>

<file path=xl/sharedStrings.xml><?xml version="1.0" encoding="utf-8"?>
<sst xmlns="http://schemas.openxmlformats.org/spreadsheetml/2006/main" count="192" uniqueCount="166">
  <si>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</si>
  <si>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</si>
  <si>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</si>
  <si>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</si>
  <si>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</si>
  <si>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</si>
  <si>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</si>
  <si>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</si>
  <si>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</si>
  <si>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</si>
  <si>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</si>
  <si>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</si>
  <si>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</si>
  <si>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</si>
  <si>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</si>
  <si>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</si>
  <si>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</si>
  <si>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</si>
  <si>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</si>
  <si>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</si>
  <si>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</si>
  <si>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</si>
  <si>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</si>
  <si>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</si>
  <si>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</si>
  <si>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</si>
  <si>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</si>
  <si>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</si>
  <si>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</si>
  <si>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</si>
  <si>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</si>
  <si>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</si>
  <si>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</si>
  <si>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</si>
  <si>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</si>
  <si>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</si>
  <si>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</si>
  <si>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</si>
  <si>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</si>
  <si>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</si>
  <si>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</si>
  <si>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</si>
  <si>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</si>
  <si>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</si>
  <si>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</si>
  <si>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</si>
  <si>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</si>
  <si>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</si>
  <si>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</si>
  <si>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</si>
  <si>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</si>
  <si>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</si>
  <si>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</si>
  <si>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</si>
  <si>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</si>
  <si>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</si>
  <si>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</si>
  <si>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</si>
  <si>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</si>
  <si>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</si>
  <si>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</si>
  <si>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</si>
  <si>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</si>
  <si>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</si>
  <si>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</si>
  <si>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</si>
  <si>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</si>
  <si>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</si>
  <si>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</si>
  <si>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</si>
  <si>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</si>
  <si>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</si>
  <si>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</si>
  <si>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</si>
  <si>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</si>
  <si>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</si>
  <si>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</si>
  <si>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</si>
  <si>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</si>
  <si>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</si>
  <si>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</si>
  <si>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</si>
  <si>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</si>
  <si>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</si>
  <si>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</si>
  <si>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</si>
  <si>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</si>
  <si>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</si>
  <si>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</si>
  <si>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</si>
  <si>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</si>
  <si>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</si>
  <si>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</si>
  <si>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</si>
  <si>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</si>
  <si>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</si>
  <si>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Calculated Annual PUs based on freq</t>
  </si>
  <si>
    <t>na - multiple pickups not on tariff</t>
  </si>
  <si>
    <t>32 gal can week</t>
  </si>
  <si>
    <t>Res_Extra_bag/Box</t>
  </si>
  <si>
    <t>Not on Meeks, Co provided weight</t>
  </si>
  <si>
    <t>1 Can 1/MG</t>
  </si>
  <si>
    <t>1 Can 2/MG</t>
  </si>
  <si>
    <t>1-4 yards (comp load)</t>
  </si>
  <si>
    <t>Add'l yards (comp load)</t>
  </si>
  <si>
    <t>1 Yard - 1st Pickup</t>
  </si>
  <si>
    <t>1 Yard - Additional Pickup</t>
  </si>
  <si>
    <t>1 Yard - Special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</si>
  <si>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</si>
  <si>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</si>
  <si>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</si>
  <si>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</si>
  <si>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</si>
  <si>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</si>
  <si>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</si>
  <si>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</si>
  <si>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4 Yard - 1st Pickup</t>
  </si>
  <si>
    <t>4 Yard - Additional Pickup</t>
  </si>
  <si>
    <t>4 Yard - Special</t>
  </si>
  <si>
    <t>6 Yard - 1st Pickup</t>
  </si>
  <si>
    <t>6 Yard - Additional Pickup</t>
  </si>
  <si>
    <t>6 Yard - Special</t>
  </si>
  <si>
    <t>Company        Calculated Rate</t>
  </si>
  <si>
    <t>Company    Current Tariff</t>
  </si>
  <si>
    <t>Company Calculated Revenue</t>
  </si>
  <si>
    <t>45 gallon Can</t>
  </si>
  <si>
    <t>Pond Oreille County</t>
  </si>
  <si>
    <t>1 - 45 gal can weekly</t>
  </si>
  <si>
    <t>2 - 45 gal can weekly</t>
  </si>
  <si>
    <t>1 Can monthly</t>
  </si>
  <si>
    <t>1 - 45 Gal can monthly</t>
  </si>
  <si>
    <t>I can every other week</t>
  </si>
  <si>
    <t>2 can every other week</t>
  </si>
  <si>
    <t>3 can every other week</t>
  </si>
  <si>
    <t>4 can every other week</t>
  </si>
  <si>
    <t>1 - 45 Gal can every other week</t>
  </si>
  <si>
    <t>2 - 45 Gal can every other week</t>
  </si>
  <si>
    <t>Extra Cans</t>
  </si>
  <si>
    <t>2 -32 gal can week</t>
  </si>
  <si>
    <t>3 -32 gal can week</t>
  </si>
  <si>
    <t>4 -32 gal can week</t>
  </si>
  <si>
    <t>5 -32 gal can week</t>
  </si>
  <si>
    <t>6 -32 gal can week</t>
  </si>
  <si>
    <t>7 -32 gal can week</t>
  </si>
  <si>
    <t>1.5 Yard - Special</t>
  </si>
  <si>
    <t>2 Yard - Additional Pickups 2y2xw</t>
  </si>
  <si>
    <t>6 Yard - Additional Pickup 3xw</t>
  </si>
  <si>
    <t>1 Yard - Additional Pickup EOW</t>
  </si>
  <si>
    <t>1.5 - Additional Pickup EOW</t>
  </si>
  <si>
    <t>2 Yard - Additional Pickup EOW</t>
  </si>
  <si>
    <t>4 Yard - Additional Pickup EOW</t>
  </si>
  <si>
    <t>5 Cans WG EOW</t>
  </si>
  <si>
    <t>6 Cans WG EOW</t>
  </si>
  <si>
    <t>Add'l yards</t>
  </si>
  <si>
    <t>1 Yard - Rent</t>
  </si>
  <si>
    <t>1.5 Yard - Rent</t>
  </si>
  <si>
    <t>2 Yard - Rent</t>
  </si>
  <si>
    <t>4 Yard - Rent</t>
  </si>
  <si>
    <t>6 Yard - Rent</t>
  </si>
  <si>
    <t>4 Can WG</t>
  </si>
  <si>
    <t>6 Cans WG</t>
  </si>
  <si>
    <t>On Call Pickup</t>
  </si>
  <si>
    <t>1Yard -Temporary</t>
  </si>
  <si>
    <t>4 Yard - Temporary</t>
  </si>
  <si>
    <t>6 Yard - Temporary</t>
  </si>
  <si>
    <t>Extra 45 Gallon 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</si>
</sst>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</cellStyleXfs>
  <cellXfs count="182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0" xfId="82" applyNumberFormat="1" applyFont="1"/>
    <xf numFmtId="167" fontId="0" fillId="0" borderId="0" xfId="82" applyNumberFormat="1" applyFont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0" fontId="0" fillId="0" borderId="4" xfId="0" applyFont="1" applyFill="1" applyBorder="1" applyAlignment="1">
      <alignment vertical="center" textRotation="90"/>
    </xf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11" fillId="0" borderId="0" xfId="126" applyFont="1" applyFill="1" applyBorder="1"/>
    <xf numFmtId="44" fontId="3" fillId="36" borderId="4" xfId="126" applyFont="1" applyFill="1" applyBorder="1" applyAlignment="1">
      <alignment horizontal="right"/>
    </xf>
    <xf numFmtId="0" fontId="0" fillId="0" borderId="0" xfId="0" applyFont="1" applyFill="1"/>
    <xf numFmtId="166" fontId="11" fillId="0" borderId="0" xfId="83" applyNumberFormat="1" applyFont="1"/>
    <xf numFmtId="166" fontId="9" fillId="0" borderId="0" xfId="83" applyNumberFormat="1" applyFont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8" borderId="26" xfId="126" applyFont="1" applyFill="1" applyBorder="1"/>
    <xf numFmtId="44" fontId="0" fillId="38" borderId="0" xfId="126" applyFont="1" applyFill="1" applyBorder="1"/>
    <xf numFmtId="44" fontId="11" fillId="0" borderId="0" xfId="126" applyFont="1" applyBorder="1"/>
    <xf numFmtId="0" fontId="0" fillId="0" borderId="0" xfId="0" applyAlignment="1">
      <alignment horizontal="left" indent="1"/>
    </xf>
    <xf numFmtId="44" fontId="0" fillId="38" borderId="0" xfId="126" applyFont="1" applyFill="1" applyBorder="1"/>
    <xf numFmtId="166" fontId="0" fillId="0" borderId="0" xfId="82" applyNumberFormat="1" applyFont="1" applyFill="1" applyBorder="1"/>
    <xf numFmtId="166" fontId="0" fillId="0" borderId="0" xfId="82" applyNumberFormat="1" applyFont="1" applyFill="1" applyBorder="1" applyAlignment="1">
      <alignment horizontal="center" wrapText="1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166" fontId="0" fillId="0" borderId="0" xfId="82" applyNumberFormat="1" applyFont="1" applyFill="1" applyBorder="1" applyAlignment="1">
      <alignment horizontal="center" wrapText="1"/>
    </xf>
    <xf numFmtId="44" fontId="0" fillId="0" borderId="0" xfId="126" applyFont="1" applyFill="1" applyBorder="1"/>
    <xf numFmtId="44" fontId="0" fillId="38" borderId="0" xfId="126" applyFont="1" applyFill="1" applyBorder="1"/>
    <xf numFmtId="12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Border="1"/>
    <xf numFmtId="3" fontId="0" fillId="0" borderId="0" xfId="82" applyNumberFormat="1" applyFont="1" applyBorder="1"/>
    <xf numFmtId="3" fontId="3" fillId="0" borderId="0" xfId="82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36" borderId="0" xfId="0" applyNumberFormat="1" applyFont="1" applyFill="1" applyBorder="1" applyAlignment="1">
      <alignment horizontal="right"/>
    </xf>
    <xf numFmtId="3" fontId="0" fillId="0" borderId="0" xfId="82" applyNumberFormat="1" applyFont="1" applyFill="1" applyBorder="1"/>
    <xf numFmtId="3" fontId="0" fillId="0" borderId="34" xfId="82" applyNumberFormat="1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390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13" workbookViewId="0">
      <selection activeCell="B20" sqref="B20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75" t="s">
        <v>18</v>
      </c>
      <c r="B1" s="175"/>
      <c r="C1" s="175"/>
      <c r="D1" s="175"/>
      <c r="E1" s="175"/>
      <c r="F1" s="175"/>
      <c r="G1" s="175"/>
      <c r="H1" s="175"/>
    </row>
    <row r="2" spans="1:8">
      <c r="A2" s="3" t="s">
        <v>54</v>
      </c>
      <c r="B2" s="17" t="s">
        <v>40</v>
      </c>
      <c r="C2" s="17" t="s">
        <v>41</v>
      </c>
      <c r="D2" s="17" t="s">
        <v>42</v>
      </c>
      <c r="E2" s="18" t="s">
        <v>45</v>
      </c>
      <c r="F2" s="18" t="s">
        <v>46</v>
      </c>
      <c r="G2" s="18" t="s">
        <v>47</v>
      </c>
      <c r="H2" s="17" t="s">
        <v>50</v>
      </c>
    </row>
    <row r="3" spans="1:8">
      <c r="A3" s="3" t="s">
        <v>51</v>
      </c>
      <c r="B3" s="1">
        <f>52*5/12</f>
        <v>21.666666666666668</v>
      </c>
      <c r="C3" s="19">
        <f>$B$3*2</f>
        <v>43.333333333333336</v>
      </c>
      <c r="D3" s="19">
        <f>$B$3*3</f>
        <v>65</v>
      </c>
      <c r="E3" s="19">
        <f>$B$3*4</f>
        <v>86.666666666666671</v>
      </c>
      <c r="F3" s="19">
        <f>$B$3*5</f>
        <v>108.33333333333334</v>
      </c>
      <c r="G3" s="19">
        <f>$B$3*6</f>
        <v>130</v>
      </c>
      <c r="H3" s="19">
        <f>$B$3*7</f>
        <v>151.66666666666669</v>
      </c>
    </row>
    <row r="4" spans="1:8">
      <c r="A4" s="3" t="s">
        <v>87</v>
      </c>
      <c r="B4" s="1">
        <f>52*4/12</f>
        <v>17.333333333333332</v>
      </c>
      <c r="C4" s="19">
        <f>$B$4*2</f>
        <v>34.666666666666664</v>
      </c>
      <c r="D4" s="19">
        <f>$B$4*3</f>
        <v>52</v>
      </c>
      <c r="E4" s="19">
        <f>$B$4*4</f>
        <v>69.333333333333329</v>
      </c>
      <c r="F4" s="19">
        <f>$B$4*5</f>
        <v>86.666666666666657</v>
      </c>
      <c r="G4" s="19">
        <f>$B$4*6</f>
        <v>104</v>
      </c>
      <c r="H4" s="19">
        <f>$B$4*7</f>
        <v>121.33333333333333</v>
      </c>
    </row>
    <row r="5" spans="1:8">
      <c r="A5" s="3" t="s">
        <v>52</v>
      </c>
      <c r="B5" s="1">
        <f>52*3/12</f>
        <v>13</v>
      </c>
      <c r="C5" s="19">
        <f>$B$5*2</f>
        <v>26</v>
      </c>
      <c r="D5" s="19">
        <f>$B$5*3</f>
        <v>39</v>
      </c>
      <c r="E5" s="19">
        <f>$B$5*4</f>
        <v>52</v>
      </c>
      <c r="F5" s="19">
        <f>$B$5*5</f>
        <v>65</v>
      </c>
      <c r="G5" s="19">
        <f>$B$5*6</f>
        <v>78</v>
      </c>
      <c r="H5" s="19">
        <f>$B$5*7</f>
        <v>91</v>
      </c>
    </row>
    <row r="6" spans="1:8">
      <c r="A6" s="3" t="s">
        <v>53</v>
      </c>
      <c r="B6" s="1">
        <f>52*2/12</f>
        <v>8.6666666666666661</v>
      </c>
      <c r="C6" s="20">
        <f>$B$6*2</f>
        <v>17.333333333333332</v>
      </c>
      <c r="D6" s="20">
        <f>$B$6*3</f>
        <v>26</v>
      </c>
      <c r="E6" s="20">
        <f>$B$6*4</f>
        <v>34.666666666666664</v>
      </c>
      <c r="F6" s="20">
        <f>$B$6*5</f>
        <v>43.333333333333329</v>
      </c>
      <c r="G6" s="20">
        <f>$B$6*6</f>
        <v>52</v>
      </c>
      <c r="H6" s="20">
        <f>$B$6*7</f>
        <v>60.666666666666664</v>
      </c>
    </row>
    <row r="7" spans="1:8">
      <c r="A7" s="3" t="s">
        <v>21</v>
      </c>
      <c r="B7" s="1">
        <f>52/12</f>
        <v>4.333333333333333</v>
      </c>
      <c r="C7" s="20">
        <f>$B$7*2</f>
        <v>8.6666666666666661</v>
      </c>
      <c r="D7" s="20">
        <f>$B$7*3</f>
        <v>13</v>
      </c>
      <c r="E7" s="20">
        <f>$B$7*4</f>
        <v>17.333333333333332</v>
      </c>
      <c r="F7" s="20">
        <f>$B$7*5</f>
        <v>21.666666666666664</v>
      </c>
      <c r="G7" s="20">
        <f>$B$7*6</f>
        <v>26</v>
      </c>
      <c r="H7" s="20">
        <f>$B$7*7</f>
        <v>30.333333333333332</v>
      </c>
    </row>
    <row r="8" spans="1:8">
      <c r="A8" s="3" t="s">
        <v>23</v>
      </c>
      <c r="B8" s="1">
        <f>26/12</f>
        <v>2.1666666666666665</v>
      </c>
      <c r="C8" s="20">
        <f>$B$8*2</f>
        <v>4.333333333333333</v>
      </c>
      <c r="D8" s="20">
        <f>$B$8*3</f>
        <v>6.5</v>
      </c>
      <c r="E8" s="20">
        <f>$B$8*4</f>
        <v>8.6666666666666661</v>
      </c>
      <c r="F8" s="20">
        <f>$B$8*5</f>
        <v>10.833333333333332</v>
      </c>
      <c r="G8" s="20">
        <f>$B$8*6</f>
        <v>13</v>
      </c>
      <c r="H8" s="20">
        <f>$B$8*7</f>
        <v>15.166666666666666</v>
      </c>
    </row>
    <row r="9" spans="1:8">
      <c r="A9" s="3" t="s">
        <v>22</v>
      </c>
      <c r="B9" s="1">
        <f>12/12</f>
        <v>1</v>
      </c>
      <c r="C9" s="20">
        <f>$B$9*2</f>
        <v>2</v>
      </c>
      <c r="D9" s="20">
        <f>$B$9*3</f>
        <v>3</v>
      </c>
      <c r="E9" s="20">
        <f>$B$9*4</f>
        <v>4</v>
      </c>
      <c r="F9" s="20">
        <f>$B$9*5</f>
        <v>5</v>
      </c>
      <c r="G9" s="20">
        <f>$B$9*6</f>
        <v>6</v>
      </c>
      <c r="H9" s="20">
        <f>$B$9*7</f>
        <v>7</v>
      </c>
    </row>
    <row r="10" spans="1:8">
      <c r="B10" s="1"/>
      <c r="C10" s="20"/>
      <c r="D10" s="20"/>
      <c r="E10" s="20"/>
      <c r="F10" s="20"/>
      <c r="G10" s="20"/>
      <c r="H10" s="20"/>
    </row>
    <row r="11" spans="1:8">
      <c r="A11" s="175" t="s">
        <v>10</v>
      </c>
      <c r="B11" s="175"/>
      <c r="C11" s="20"/>
      <c r="D11" s="20"/>
      <c r="E11" s="20"/>
      <c r="F11" s="20"/>
      <c r="G11" s="20"/>
      <c r="H11" s="20"/>
    </row>
    <row r="12" spans="1:8">
      <c r="A12" s="2" t="s">
        <v>49</v>
      </c>
      <c r="B12" s="30" t="s">
        <v>79</v>
      </c>
      <c r="C12" s="20"/>
      <c r="D12" s="20"/>
      <c r="E12" s="20"/>
      <c r="F12" s="20"/>
      <c r="G12" s="20"/>
      <c r="H12" s="20"/>
    </row>
    <row r="13" spans="1:8">
      <c r="A13" s="21" t="s">
        <v>80</v>
      </c>
      <c r="B13" s="13">
        <v>20</v>
      </c>
      <c r="C13" s="20"/>
      <c r="D13" s="20"/>
      <c r="E13" s="20"/>
      <c r="F13" s="20"/>
      <c r="G13" s="20"/>
      <c r="H13" s="20"/>
    </row>
    <row r="14" spans="1:8">
      <c r="A14" s="21" t="s">
        <v>55</v>
      </c>
      <c r="B14" s="13">
        <v>34</v>
      </c>
      <c r="C14" s="20"/>
      <c r="D14" s="20"/>
      <c r="E14" s="20"/>
      <c r="F14" s="20"/>
      <c r="G14" s="20"/>
      <c r="H14" s="20"/>
    </row>
    <row r="15" spans="1:8">
      <c r="A15" s="21" t="s">
        <v>56</v>
      </c>
      <c r="B15" s="13">
        <v>51</v>
      </c>
      <c r="C15" s="20"/>
      <c r="D15" s="20"/>
      <c r="E15" s="20"/>
      <c r="F15" s="20"/>
      <c r="G15" s="20"/>
      <c r="H15" s="20"/>
    </row>
    <row r="16" spans="1:8">
      <c r="A16" s="21" t="s">
        <v>57</v>
      </c>
      <c r="B16" s="13">
        <v>77</v>
      </c>
      <c r="C16" s="20"/>
      <c r="D16" s="20"/>
      <c r="E16" s="20"/>
      <c r="F16" s="3" t="s">
        <v>19</v>
      </c>
      <c r="G16" s="13">
        <v>2000</v>
      </c>
      <c r="H16" s="20"/>
    </row>
    <row r="17" spans="1:8">
      <c r="A17" s="21" t="s">
        <v>58</v>
      </c>
      <c r="B17" s="13">
        <v>97</v>
      </c>
      <c r="C17" s="20"/>
      <c r="D17" s="20"/>
      <c r="E17" s="20"/>
      <c r="F17" s="3" t="s">
        <v>20</v>
      </c>
      <c r="G17" s="22" t="s">
        <v>43</v>
      </c>
      <c r="H17" s="20"/>
    </row>
    <row r="18" spans="1:8">
      <c r="A18" s="21" t="s">
        <v>59</v>
      </c>
      <c r="B18" s="13">
        <v>117</v>
      </c>
      <c r="C18" s="20"/>
      <c r="D18" s="20"/>
      <c r="E18" s="20"/>
      <c r="H18" s="20"/>
    </row>
    <row r="19" spans="1:8">
      <c r="A19" s="21" t="s">
        <v>60</v>
      </c>
      <c r="B19" s="13">
        <v>157</v>
      </c>
      <c r="C19" s="20"/>
      <c r="D19" s="20"/>
      <c r="E19" s="20"/>
      <c r="F19" s="15"/>
      <c r="G19" s="16"/>
      <c r="H19" s="20"/>
    </row>
    <row r="20" spans="1:8">
      <c r="A20" s="155" t="s">
        <v>125</v>
      </c>
      <c r="B20" s="13">
        <v>40</v>
      </c>
      <c r="C20" s="20" t="s">
        <v>81</v>
      </c>
      <c r="D20" s="20"/>
      <c r="E20" s="20"/>
      <c r="F20" s="15"/>
      <c r="G20" s="16"/>
      <c r="H20" s="20"/>
    </row>
    <row r="21" spans="1:8">
      <c r="A21" s="21" t="s">
        <v>61</v>
      </c>
      <c r="B21" s="13">
        <v>47</v>
      </c>
      <c r="C21" s="20"/>
      <c r="D21" s="20"/>
      <c r="E21" s="20"/>
      <c r="F21" s="20"/>
      <c r="G21" s="20"/>
      <c r="H21" s="20"/>
    </row>
    <row r="22" spans="1:8">
      <c r="A22" s="21" t="s">
        <v>62</v>
      </c>
      <c r="B22" s="13">
        <v>68</v>
      </c>
      <c r="C22" s="20"/>
      <c r="D22" s="20"/>
      <c r="E22" s="20"/>
      <c r="F22" s="20"/>
      <c r="G22" s="20"/>
      <c r="H22" s="20"/>
    </row>
    <row r="23" spans="1:8">
      <c r="A23" s="21" t="s">
        <v>63</v>
      </c>
      <c r="B23" s="13">
        <v>34</v>
      </c>
      <c r="C23" s="20"/>
      <c r="D23" s="20"/>
      <c r="E23" s="20"/>
      <c r="F23" s="20"/>
      <c r="G23" s="20"/>
      <c r="H23" s="20"/>
    </row>
    <row r="24" spans="1:8">
      <c r="A24" s="21" t="s">
        <v>31</v>
      </c>
      <c r="B24" s="13">
        <v>34</v>
      </c>
      <c r="C24" s="20"/>
      <c r="D24" s="20"/>
      <c r="E24" s="20"/>
      <c r="F24" s="20"/>
      <c r="G24" s="20"/>
      <c r="H24" s="20"/>
    </row>
    <row r="25" spans="1:8">
      <c r="A25" s="2" t="s">
        <v>64</v>
      </c>
      <c r="B25" s="13"/>
      <c r="C25" s="20"/>
      <c r="D25" s="20"/>
      <c r="E25" s="20"/>
      <c r="F25" s="20"/>
      <c r="G25" s="20"/>
      <c r="H25" s="20"/>
    </row>
    <row r="26" spans="1:8">
      <c r="A26" s="21" t="s">
        <v>65</v>
      </c>
      <c r="B26" s="13">
        <v>29</v>
      </c>
      <c r="C26" s="20"/>
      <c r="D26" s="20"/>
      <c r="E26" s="20"/>
      <c r="F26" s="20"/>
      <c r="G26" s="20"/>
      <c r="H26" s="20"/>
    </row>
    <row r="27" spans="1:8">
      <c r="A27" s="21" t="s">
        <v>66</v>
      </c>
      <c r="B27" s="13">
        <v>175</v>
      </c>
      <c r="C27" s="20"/>
      <c r="D27" s="20"/>
      <c r="E27" s="20"/>
      <c r="F27" s="20"/>
      <c r="G27" s="20"/>
      <c r="H27" s="20"/>
    </row>
    <row r="28" spans="1:8">
      <c r="A28" s="21" t="s">
        <v>67</v>
      </c>
      <c r="B28" s="13">
        <v>250</v>
      </c>
      <c r="C28" s="20"/>
      <c r="D28" s="20"/>
      <c r="E28" s="20"/>
      <c r="F28" s="20"/>
      <c r="G28" s="20"/>
      <c r="H28" s="20"/>
    </row>
    <row r="29" spans="1:8">
      <c r="A29" s="21" t="s">
        <v>68</v>
      </c>
      <c r="B29" s="13">
        <v>324</v>
      </c>
      <c r="C29" s="20"/>
      <c r="D29" s="20"/>
      <c r="E29" s="20"/>
      <c r="F29" s="20"/>
      <c r="G29" s="20"/>
      <c r="H29" s="20"/>
    </row>
    <row r="30" spans="1:8">
      <c r="A30" s="21" t="s">
        <v>69</v>
      </c>
      <c r="B30" s="13">
        <v>473</v>
      </c>
      <c r="C30" s="20"/>
      <c r="D30" s="20"/>
      <c r="E30" s="20"/>
      <c r="F30" s="20"/>
      <c r="G30" s="20"/>
      <c r="H30" s="20"/>
    </row>
    <row r="31" spans="1:8">
      <c r="A31" s="21" t="s">
        <v>70</v>
      </c>
      <c r="B31" s="13">
        <v>613</v>
      </c>
      <c r="C31" s="20"/>
      <c r="D31" s="20"/>
      <c r="E31" s="20"/>
      <c r="F31" s="20"/>
      <c r="G31" s="20"/>
      <c r="H31" s="20"/>
    </row>
    <row r="32" spans="1:8">
      <c r="A32" s="21" t="s">
        <v>71</v>
      </c>
      <c r="B32" s="13">
        <v>840</v>
      </c>
      <c r="C32" s="20"/>
      <c r="D32" s="20"/>
      <c r="E32" s="20"/>
      <c r="F32" s="20"/>
      <c r="G32" s="20"/>
      <c r="H32" s="20"/>
    </row>
    <row r="33" spans="1:8">
      <c r="A33" s="21" t="s">
        <v>72</v>
      </c>
      <c r="B33" s="13">
        <v>980</v>
      </c>
      <c r="C33" s="20"/>
      <c r="D33" s="20"/>
      <c r="E33" s="20"/>
      <c r="F33" s="20"/>
      <c r="G33" s="20"/>
      <c r="H33" s="20"/>
    </row>
    <row r="34" spans="1:8">
      <c r="A34" s="21" t="s">
        <v>88</v>
      </c>
      <c r="B34" s="13">
        <v>482</v>
      </c>
      <c r="C34" s="20" t="s">
        <v>81</v>
      </c>
      <c r="D34" s="20"/>
      <c r="E34" s="20"/>
      <c r="F34" s="20"/>
      <c r="G34" s="20"/>
      <c r="H34" s="20"/>
    </row>
    <row r="35" spans="1:8">
      <c r="A35" s="21" t="s">
        <v>89</v>
      </c>
      <c r="B35" s="13">
        <v>689</v>
      </c>
      <c r="C35" s="20" t="s">
        <v>81</v>
      </c>
      <c r="D35" s="20"/>
      <c r="E35" s="20"/>
      <c r="F35" s="20"/>
      <c r="G35" s="20"/>
      <c r="H35" s="20"/>
    </row>
    <row r="36" spans="1:8">
      <c r="A36" s="21" t="s">
        <v>74</v>
      </c>
      <c r="B36" s="13">
        <v>892</v>
      </c>
      <c r="C36" s="20" t="s">
        <v>81</v>
      </c>
      <c r="D36" s="20"/>
      <c r="E36" s="20"/>
      <c r="F36" s="20"/>
      <c r="G36" s="20"/>
      <c r="H36" s="20"/>
    </row>
    <row r="37" spans="1:8">
      <c r="A37" s="21" t="s">
        <v>73</v>
      </c>
      <c r="B37" s="13">
        <v>1301</v>
      </c>
      <c r="C37" s="20"/>
      <c r="D37" s="20"/>
      <c r="E37" s="20"/>
      <c r="F37" s="20"/>
      <c r="G37" s="20"/>
      <c r="H37" s="20"/>
    </row>
    <row r="38" spans="1:8">
      <c r="A38" s="21" t="s">
        <v>75</v>
      </c>
      <c r="B38" s="13">
        <v>1686</v>
      </c>
      <c r="C38" s="20"/>
      <c r="D38" s="20"/>
      <c r="E38" s="20"/>
      <c r="F38" s="20"/>
      <c r="G38" s="20"/>
      <c r="H38" s="20"/>
    </row>
    <row r="39" spans="1:8">
      <c r="A39" s="21" t="s">
        <v>76</v>
      </c>
      <c r="B39" s="13">
        <v>2046</v>
      </c>
      <c r="C39" s="20"/>
      <c r="D39" s="20"/>
      <c r="E39" s="20"/>
      <c r="F39" s="20"/>
      <c r="G39" s="20"/>
      <c r="H39" s="20"/>
    </row>
    <row r="40" spans="1:8">
      <c r="A40" s="21" t="s">
        <v>77</v>
      </c>
      <c r="B40" s="13">
        <v>2310</v>
      </c>
      <c r="C40" s="20"/>
      <c r="D40" s="20"/>
      <c r="E40" s="20"/>
      <c r="F40" s="20"/>
      <c r="G40" s="20"/>
      <c r="H40" s="20"/>
    </row>
    <row r="41" spans="1:8">
      <c r="A41" s="21" t="s">
        <v>90</v>
      </c>
      <c r="B41" s="13">
        <v>2800</v>
      </c>
      <c r="C41" s="20" t="s">
        <v>81</v>
      </c>
      <c r="D41" s="20"/>
      <c r="E41" s="20"/>
      <c r="F41" s="20"/>
      <c r="G41" s="20"/>
      <c r="H41" s="20"/>
    </row>
    <row r="42" spans="1:8">
      <c r="A42" s="21" t="s">
        <v>78</v>
      </c>
      <c r="B42" s="13">
        <v>125</v>
      </c>
      <c r="C42" s="20"/>
      <c r="D42" s="20"/>
      <c r="E42" s="20"/>
      <c r="F42" s="20"/>
      <c r="G42" s="20"/>
      <c r="H42" s="20"/>
    </row>
    <row r="43" spans="1:8">
      <c r="B43" s="177" t="s">
        <v>92</v>
      </c>
      <c r="C43" s="177"/>
    </row>
    <row r="46" spans="1:8">
      <c r="A46" s="29" t="s">
        <v>126</v>
      </c>
      <c r="B46" s="27" t="s">
        <v>5</v>
      </c>
      <c r="C46" s="27" t="s">
        <v>6</v>
      </c>
      <c r="F46" s="176" t="s">
        <v>26</v>
      </c>
      <c r="G46" s="176"/>
    </row>
    <row r="47" spans="1:8">
      <c r="A47" s="23" t="s">
        <v>7</v>
      </c>
      <c r="B47" s="6">
        <v>137</v>
      </c>
      <c r="C47" s="5">
        <f>B47/2000</f>
        <v>6.8500000000000005E-2</v>
      </c>
      <c r="F47" s="3" t="s">
        <v>27</v>
      </c>
      <c r="G47" s="9">
        <f>0.015</f>
        <v>1.4999999999999999E-2</v>
      </c>
    </row>
    <row r="48" spans="1:8">
      <c r="A48" s="23" t="s">
        <v>8</v>
      </c>
      <c r="B48" s="7">
        <v>143</v>
      </c>
      <c r="C48" s="8">
        <f>B48/2000</f>
        <v>7.1499999999999994E-2</v>
      </c>
      <c r="F48" s="3" t="s">
        <v>28</v>
      </c>
      <c r="G48" s="10">
        <f>0.004</f>
        <v>4.0000000000000001E-3</v>
      </c>
    </row>
    <row r="49" spans="1:7">
      <c r="A49" s="21" t="s">
        <v>9</v>
      </c>
      <c r="B49" s="6">
        <f>B48-B47</f>
        <v>6</v>
      </c>
      <c r="C49" s="12">
        <f>C48-C47</f>
        <v>2.9999999999999888E-3</v>
      </c>
      <c r="F49" s="3" t="s">
        <v>48</v>
      </c>
      <c r="G49" s="11"/>
    </row>
    <row r="50" spans="1:7">
      <c r="F50" s="3" t="s">
        <v>16</v>
      </c>
      <c r="G50" s="24">
        <f>SUM(G47:G49)</f>
        <v>1.9E-2</v>
      </c>
    </row>
    <row r="51" spans="1:7">
      <c r="B51" s="28" t="s">
        <v>93</v>
      </c>
    </row>
    <row r="52" spans="1:7">
      <c r="A52" s="3" t="s">
        <v>3</v>
      </c>
      <c r="B52" s="25">
        <f>B49</f>
        <v>6</v>
      </c>
      <c r="F52" s="3" t="s">
        <v>29</v>
      </c>
      <c r="G52" s="26">
        <f>1-G50</f>
        <v>0.98099999999999998</v>
      </c>
    </row>
    <row r="53" spans="1:7">
      <c r="A53" s="3" t="s">
        <v>25</v>
      </c>
      <c r="B53" s="25">
        <f>B52/$G$52</f>
        <v>6.1162079510703364</v>
      </c>
    </row>
    <row r="54" spans="1:7">
      <c r="A54" s="3" t="s">
        <v>24</v>
      </c>
      <c r="B54" s="14">
        <f>Calculations!D118</f>
        <v>1446.45</v>
      </c>
    </row>
    <row r="55" spans="1:7">
      <c r="A55" s="2" t="s">
        <v>30</v>
      </c>
      <c r="B55" s="4">
        <f>B53*B54</f>
        <v>8846.7889908256875</v>
      </c>
    </row>
    <row r="58" spans="1:7" ht="15.75" thickBot="1"/>
    <row r="59" spans="1:7">
      <c r="A59" s="97" t="s">
        <v>84</v>
      </c>
      <c r="B59" s="98" t="s">
        <v>82</v>
      </c>
      <c r="D59" s="25"/>
    </row>
    <row r="60" spans="1:7">
      <c r="A60" s="99" t="s">
        <v>83</v>
      </c>
      <c r="B60" s="100">
        <f>+Calculations!P84</f>
        <v>617913.31581369461</v>
      </c>
    </row>
    <row r="61" spans="1:7">
      <c r="A61" s="99" t="s">
        <v>12</v>
      </c>
      <c r="B61" s="100">
        <f>B60-B55</f>
        <v>609066.52682286897</v>
      </c>
    </row>
    <row r="62" spans="1:7">
      <c r="A62" s="99"/>
      <c r="B62" s="101"/>
    </row>
    <row r="63" spans="1:7">
      <c r="A63" s="102" t="s">
        <v>85</v>
      </c>
      <c r="B63" s="103" t="s">
        <v>82</v>
      </c>
    </row>
    <row r="64" spans="1:7">
      <c r="A64" s="99" t="s">
        <v>44</v>
      </c>
      <c r="B64" s="104">
        <f>Calculations!Q84</f>
        <v>7501.2570485915239</v>
      </c>
    </row>
    <row r="65" spans="1:3" ht="15.75" thickBot="1">
      <c r="A65" s="105" t="s">
        <v>12</v>
      </c>
      <c r="B65" s="106">
        <f>B64-B55</f>
        <v>-1345.5319422341636</v>
      </c>
      <c r="C65" s="25">
        <f>B61-B65</f>
        <v>610412.05876510311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G12" sqref="G12"/>
    </sheetView>
  </sheetViews>
  <sheetFormatPr defaultColWidth="8.85546875" defaultRowHeight="15"/>
  <cols>
    <col min="1" max="1" width="4.5703125" style="61" customWidth="1"/>
    <col min="2" max="2" width="10.85546875" style="65" bestFit="1" customWidth="1"/>
    <col min="3" max="3" width="35.5703125" style="61" bestFit="1" customWidth="1"/>
    <col min="4" max="4" width="19" style="62" bestFit="1" customWidth="1"/>
    <col min="5" max="5" width="10.5703125" style="61" bestFit="1" customWidth="1"/>
    <col min="6" max="6" width="14.140625" style="61" bestFit="1" customWidth="1"/>
    <col min="7" max="7" width="15.140625" style="61" customWidth="1"/>
    <col min="8" max="8" width="21.42578125" style="61" customWidth="1"/>
    <col min="9" max="9" width="16.28515625" style="60" customWidth="1"/>
    <col min="10" max="11" width="12.28515625" style="61" customWidth="1"/>
    <col min="12" max="12" width="10.7109375" style="61" customWidth="1"/>
    <col min="13" max="13" width="16.5703125" style="61" customWidth="1"/>
    <col min="14" max="14" width="15.42578125" style="61" customWidth="1"/>
    <col min="15" max="15" width="18.28515625" style="61" bestFit="1" customWidth="1"/>
    <col min="16" max="16" width="17.85546875" style="61" bestFit="1" customWidth="1"/>
    <col min="17" max="17" width="16" style="61" customWidth="1"/>
    <col min="18" max="18" width="8.85546875" style="61"/>
    <col min="19" max="19" width="9" style="61" bestFit="1" customWidth="1"/>
    <col min="20" max="16384" width="8.85546875" style="61"/>
  </cols>
  <sheetData>
    <row r="1" spans="1:19" ht="45">
      <c r="A1" s="29"/>
      <c r="B1" s="86" t="s">
        <v>15</v>
      </c>
      <c r="C1" s="87" t="s">
        <v>17</v>
      </c>
      <c r="D1" s="86" t="s">
        <v>37</v>
      </c>
      <c r="E1" s="86" t="s">
        <v>0</v>
      </c>
      <c r="F1" s="29" t="s">
        <v>1</v>
      </c>
      <c r="G1" s="86" t="s">
        <v>10</v>
      </c>
      <c r="H1" s="86" t="s">
        <v>34</v>
      </c>
      <c r="I1" s="117" t="s">
        <v>35</v>
      </c>
      <c r="J1" s="115" t="s">
        <v>9</v>
      </c>
      <c r="K1" s="86" t="s">
        <v>2</v>
      </c>
      <c r="L1" s="86" t="s">
        <v>38</v>
      </c>
      <c r="M1" s="86" t="s">
        <v>123</v>
      </c>
      <c r="N1" s="86" t="s">
        <v>122</v>
      </c>
      <c r="O1" s="86" t="s">
        <v>36</v>
      </c>
      <c r="P1" s="86" t="s">
        <v>124</v>
      </c>
      <c r="Q1" s="86" t="s">
        <v>39</v>
      </c>
    </row>
    <row r="2" spans="1:19" s="63" customFormat="1" ht="15" customHeight="1">
      <c r="A2" s="180" t="s">
        <v>13</v>
      </c>
      <c r="B2" s="122"/>
      <c r="C2" s="46" t="str">
        <f>+References!A14</f>
        <v>1 can</v>
      </c>
      <c r="D2" s="123">
        <v>352</v>
      </c>
      <c r="E2" s="73">
        <f>References!$B$7</f>
        <v>4.333333333333333</v>
      </c>
      <c r="F2" s="72">
        <f>D2*E2*12</f>
        <v>18304</v>
      </c>
      <c r="G2" s="144">
        <f>+References!B14</f>
        <v>34</v>
      </c>
      <c r="H2" s="74">
        <f t="shared" ref="H2:H16" si="0">F2*G2</f>
        <v>622336</v>
      </c>
      <c r="I2" s="116">
        <f t="shared" ref="I2:I16" si="1">$D$121*H2</f>
        <v>416202.65721911844</v>
      </c>
      <c r="J2" s="76">
        <f>(References!$C$49*I2)</f>
        <v>1248.6079716573506</v>
      </c>
      <c r="K2" s="76">
        <f>J2/References!$G$52</f>
        <v>1272.7910006700822</v>
      </c>
      <c r="L2" s="71">
        <f t="shared" ref="L2:L16" si="2">K2/F2*E2</f>
        <v>0.30132362705257626</v>
      </c>
      <c r="M2" s="126">
        <v>22.47</v>
      </c>
      <c r="N2" s="152">
        <f t="shared" ref="N2:N16" si="3">L2+M2</f>
        <v>22.771323627052574</v>
      </c>
      <c r="O2" s="71">
        <f t="shared" ref="O2:O16" si="4">D2*M2*12</f>
        <v>94913.279999999999</v>
      </c>
      <c r="P2" s="71">
        <f t="shared" ref="P2:P16" si="5">D2*N2*12</f>
        <v>96186.071000670083</v>
      </c>
      <c r="Q2" s="75">
        <f t="shared" ref="Q2:Q16" si="6">+P2-O2</f>
        <v>1272.791000670084</v>
      </c>
      <c r="S2" s="52"/>
    </row>
    <row r="3" spans="1:19" s="63" customFormat="1">
      <c r="A3" s="179"/>
      <c r="B3" s="122"/>
      <c r="C3" s="46" t="str">
        <f>+References!A15</f>
        <v>2 cans</v>
      </c>
      <c r="D3" s="123">
        <v>159</v>
      </c>
      <c r="E3" s="73">
        <f>References!$B$7</f>
        <v>4.333333333333333</v>
      </c>
      <c r="F3" s="72">
        <f>D3*E3*12</f>
        <v>8268</v>
      </c>
      <c r="G3" s="144">
        <f>+References!B15</f>
        <v>51</v>
      </c>
      <c r="H3" s="72">
        <f t="shared" si="0"/>
        <v>421668</v>
      </c>
      <c r="I3" s="48">
        <f t="shared" si="1"/>
        <v>282000.94814420381</v>
      </c>
      <c r="J3" s="71">
        <f>(References!$C$49*I3)</f>
        <v>846.0028444326083</v>
      </c>
      <c r="K3" s="71">
        <f>J3/References!$G$52</f>
        <v>862.38822062447332</v>
      </c>
      <c r="L3" s="71">
        <f t="shared" si="2"/>
        <v>0.45198544057886436</v>
      </c>
      <c r="M3" s="126">
        <v>37.21</v>
      </c>
      <c r="N3" s="153">
        <f t="shared" si="3"/>
        <v>37.661985440578867</v>
      </c>
      <c r="O3" s="71">
        <f t="shared" si="4"/>
        <v>70996.680000000008</v>
      </c>
      <c r="P3" s="71">
        <f t="shared" si="5"/>
        <v>71859.068220624467</v>
      </c>
      <c r="Q3" s="75">
        <f t="shared" si="6"/>
        <v>862.38822062445979</v>
      </c>
      <c r="S3" s="52"/>
    </row>
    <row r="4" spans="1:19" s="63" customFormat="1">
      <c r="A4" s="179"/>
      <c r="B4" s="122"/>
      <c r="C4" s="46" t="str">
        <f>+References!A16</f>
        <v>3 cans</v>
      </c>
      <c r="D4" s="123">
        <v>14</v>
      </c>
      <c r="E4" s="73">
        <f>References!$B$7</f>
        <v>4.333333333333333</v>
      </c>
      <c r="F4" s="72">
        <f>D4*E4*12</f>
        <v>728</v>
      </c>
      <c r="G4" s="144">
        <f>+References!B16</f>
        <v>77</v>
      </c>
      <c r="H4" s="72">
        <f t="shared" si="0"/>
        <v>56056</v>
      </c>
      <c r="I4" s="48">
        <f t="shared" si="1"/>
        <v>37488.842286280887</v>
      </c>
      <c r="J4" s="71">
        <f>(References!$C$49*I4)</f>
        <v>112.46652685884224</v>
      </c>
      <c r="K4" s="71">
        <f>J4/References!$G$52</f>
        <v>114.64477763388608</v>
      </c>
      <c r="L4" s="71">
        <f t="shared" si="2"/>
        <v>0.6824093906778933</v>
      </c>
      <c r="M4" s="126">
        <v>43.33</v>
      </c>
      <c r="N4" s="153">
        <f t="shared" si="3"/>
        <v>44.012409390677888</v>
      </c>
      <c r="O4" s="71">
        <f t="shared" si="4"/>
        <v>7279.4400000000005</v>
      </c>
      <c r="P4" s="71">
        <f t="shared" si="5"/>
        <v>7394.0847776338851</v>
      </c>
      <c r="Q4" s="75">
        <f t="shared" si="6"/>
        <v>114.64477763388459</v>
      </c>
      <c r="S4" s="52"/>
    </row>
    <row r="5" spans="1:19" s="63" customFormat="1">
      <c r="A5" s="179"/>
      <c r="B5" s="122"/>
      <c r="C5" s="46" t="str">
        <f>+References!A18</f>
        <v>5 cans</v>
      </c>
      <c r="D5" s="123">
        <v>1</v>
      </c>
      <c r="E5" s="73">
        <f>References!$B$7</f>
        <v>4.333333333333333</v>
      </c>
      <c r="F5" s="72">
        <f>D5*E5*12</f>
        <v>52</v>
      </c>
      <c r="G5" s="144">
        <f>+References!B18</f>
        <v>117</v>
      </c>
      <c r="H5" s="72">
        <f t="shared" si="0"/>
        <v>6084</v>
      </c>
      <c r="I5" s="48">
        <f t="shared" si="1"/>
        <v>4068.8261108486677</v>
      </c>
      <c r="J5" s="71">
        <f>(References!$C$49*I5)</f>
        <v>12.206478332545958</v>
      </c>
      <c r="K5" s="71">
        <f>J5/References!$G$52</f>
        <v>12.442893305347562</v>
      </c>
      <c r="L5" s="71">
        <f t="shared" si="2"/>
        <v>1.0369077754456302</v>
      </c>
      <c r="M5" s="126">
        <v>60.07</v>
      </c>
      <c r="N5" s="153">
        <f t="shared" si="3"/>
        <v>61.106907775445627</v>
      </c>
      <c r="O5" s="71">
        <f t="shared" si="4"/>
        <v>720.84</v>
      </c>
      <c r="P5" s="71">
        <f t="shared" si="5"/>
        <v>733.28289330534756</v>
      </c>
      <c r="Q5" s="75">
        <f t="shared" si="6"/>
        <v>12.442893305347525</v>
      </c>
      <c r="S5" s="52"/>
    </row>
    <row r="6" spans="1:19" s="63" customFormat="1">
      <c r="A6" s="179"/>
      <c r="B6" s="122"/>
      <c r="C6" s="46" t="s">
        <v>127</v>
      </c>
      <c r="D6" s="123">
        <v>13</v>
      </c>
      <c r="E6" s="73">
        <f>+References!B7</f>
        <v>4.333333333333333</v>
      </c>
      <c r="F6" s="72">
        <f>D6*E6*12</f>
        <v>676</v>
      </c>
      <c r="G6" s="146">
        <f>+References!B20</f>
        <v>40</v>
      </c>
      <c r="H6" s="72">
        <f t="shared" si="0"/>
        <v>27040</v>
      </c>
      <c r="I6" s="48">
        <f t="shared" si="1"/>
        <v>18083.671603771858</v>
      </c>
      <c r="J6" s="71">
        <f>(References!$C$49*I6)</f>
        <v>54.251014811315372</v>
      </c>
      <c r="K6" s="71">
        <f>J6/References!$G$52</f>
        <v>55.301748023766947</v>
      </c>
      <c r="L6" s="71">
        <f t="shared" si="2"/>
        <v>0.35449838476773682</v>
      </c>
      <c r="M6" s="126">
        <v>33.729999999999997</v>
      </c>
      <c r="N6" s="153">
        <f t="shared" si="3"/>
        <v>34.084498384767734</v>
      </c>
      <c r="O6" s="71">
        <f t="shared" si="4"/>
        <v>5261.8799999999992</v>
      </c>
      <c r="P6" s="71">
        <f t="shared" si="5"/>
        <v>5317.181748023766</v>
      </c>
      <c r="Q6" s="75">
        <f t="shared" si="6"/>
        <v>55.301748023766777</v>
      </c>
      <c r="S6" s="52"/>
    </row>
    <row r="7" spans="1:19" s="63" customFormat="1">
      <c r="A7" s="179"/>
      <c r="B7" s="122"/>
      <c r="C7" s="46" t="s">
        <v>128</v>
      </c>
      <c r="D7" s="123">
        <v>2</v>
      </c>
      <c r="E7" s="73">
        <f>References!$B$7</f>
        <v>4.333333333333333</v>
      </c>
      <c r="F7" s="72">
        <f>D7*E7*12*2</f>
        <v>208</v>
      </c>
      <c r="G7" s="146">
        <f>40*2</f>
        <v>80</v>
      </c>
      <c r="H7" s="72">
        <f t="shared" si="0"/>
        <v>16640</v>
      </c>
      <c r="I7" s="48">
        <f t="shared" si="1"/>
        <v>11128.413294628836</v>
      </c>
      <c r="J7" s="71">
        <f>(References!$C$49*I7)</f>
        <v>33.385239883886385</v>
      </c>
      <c r="K7" s="71">
        <f>J7/References!$G$52</f>
        <v>34.031844937702736</v>
      </c>
      <c r="L7" s="71">
        <f t="shared" si="2"/>
        <v>0.70899676953547364</v>
      </c>
      <c r="M7" s="126">
        <v>53.46</v>
      </c>
      <c r="N7" s="153">
        <f t="shared" si="3"/>
        <v>54.168996769535475</v>
      </c>
      <c r="O7" s="71">
        <f t="shared" si="4"/>
        <v>1283.04</v>
      </c>
      <c r="P7" s="71">
        <f t="shared" si="5"/>
        <v>1300.0559224688513</v>
      </c>
      <c r="Q7" s="75">
        <f t="shared" si="6"/>
        <v>17.015922468851386</v>
      </c>
      <c r="S7" s="52"/>
    </row>
    <row r="8" spans="1:19" s="63" customFormat="1">
      <c r="A8" s="179"/>
      <c r="B8" s="122"/>
      <c r="C8" s="46" t="s">
        <v>129</v>
      </c>
      <c r="D8" s="123">
        <v>5</v>
      </c>
      <c r="E8" s="73">
        <f>+References!B9</f>
        <v>1</v>
      </c>
      <c r="F8" s="72">
        <f>D8*E8*12</f>
        <v>60</v>
      </c>
      <c r="G8" s="144">
        <f>+References!B23</f>
        <v>34</v>
      </c>
      <c r="H8" s="72">
        <f t="shared" si="0"/>
        <v>2040</v>
      </c>
      <c r="I8" s="48">
        <f t="shared" si="1"/>
        <v>1364.3006683319004</v>
      </c>
      <c r="J8" s="71">
        <f>(References!$C$49*I8)</f>
        <v>4.0929020049956861</v>
      </c>
      <c r="K8" s="71">
        <f>J8/References!$G$52</f>
        <v>4.1721732976510566</v>
      </c>
      <c r="L8" s="71">
        <f t="shared" si="2"/>
        <v>6.9536221627517616E-2</v>
      </c>
      <c r="M8" s="126">
        <v>8.51</v>
      </c>
      <c r="N8" s="153">
        <f t="shared" si="3"/>
        <v>8.5795362216275173</v>
      </c>
      <c r="O8" s="71">
        <f t="shared" si="4"/>
        <v>510.59999999999997</v>
      </c>
      <c r="P8" s="71">
        <f t="shared" si="5"/>
        <v>514.77217329765108</v>
      </c>
      <c r="Q8" s="75">
        <f t="shared" si="6"/>
        <v>4.1721732976511134</v>
      </c>
      <c r="S8" s="52"/>
    </row>
    <row r="9" spans="1:19" s="63" customFormat="1">
      <c r="A9" s="179"/>
      <c r="B9" s="122"/>
      <c r="C9" s="46" t="s">
        <v>130</v>
      </c>
      <c r="D9" s="123">
        <v>1</v>
      </c>
      <c r="E9" s="73">
        <f>+References!B9</f>
        <v>1</v>
      </c>
      <c r="F9" s="72">
        <f>D9*E9*12</f>
        <v>12</v>
      </c>
      <c r="G9" s="144">
        <f>+References!B20</f>
        <v>40</v>
      </c>
      <c r="H9" s="72">
        <f t="shared" si="0"/>
        <v>480</v>
      </c>
      <c r="I9" s="48">
        <f t="shared" si="1"/>
        <v>321.01192196044718</v>
      </c>
      <c r="J9" s="71">
        <f>(References!$C$49*I9)</f>
        <v>0.96303576588133799</v>
      </c>
      <c r="K9" s="71">
        <f>J9/References!$G$52</f>
        <v>0.98168783474142507</v>
      </c>
      <c r="L9" s="71">
        <f t="shared" si="2"/>
        <v>8.1807319561785427E-2</v>
      </c>
      <c r="M9" s="126">
        <v>17.34</v>
      </c>
      <c r="N9" s="153">
        <f t="shared" si="3"/>
        <v>17.421807319561786</v>
      </c>
      <c r="O9" s="71">
        <f t="shared" si="4"/>
        <v>208.07999999999998</v>
      </c>
      <c r="P9" s="71">
        <f t="shared" si="5"/>
        <v>209.06168783474143</v>
      </c>
      <c r="Q9" s="75">
        <f t="shared" si="6"/>
        <v>0.98168783474145016</v>
      </c>
      <c r="S9" s="52"/>
    </row>
    <row r="10" spans="1:19" s="63" customFormat="1">
      <c r="A10" s="179"/>
      <c r="B10" s="122"/>
      <c r="C10" s="46" t="s">
        <v>131</v>
      </c>
      <c r="D10" s="123">
        <v>13</v>
      </c>
      <c r="E10" s="73">
        <f>+References!B8</f>
        <v>2.1666666666666665</v>
      </c>
      <c r="F10" s="72">
        <f>D10*E10*12</f>
        <v>338</v>
      </c>
      <c r="G10" s="144">
        <f>+References!B24</f>
        <v>34</v>
      </c>
      <c r="H10" s="157">
        <f t="shared" si="0"/>
        <v>11492</v>
      </c>
      <c r="I10" s="158">
        <f t="shared" si="1"/>
        <v>7685.5604316030394</v>
      </c>
      <c r="J10" s="159">
        <f>(References!$C$49*I10)</f>
        <v>23.056681294809032</v>
      </c>
      <c r="K10" s="159">
        <f>J10/References!$G$52</f>
        <v>23.503242910100951</v>
      </c>
      <c r="L10" s="71">
        <f t="shared" si="2"/>
        <v>0.15066181352628813</v>
      </c>
      <c r="M10" s="126">
        <v>17.739999999999998</v>
      </c>
      <c r="N10" s="156">
        <f t="shared" si="3"/>
        <v>17.890661813526286</v>
      </c>
      <c r="O10" s="71">
        <f t="shared" si="4"/>
        <v>2767.4399999999996</v>
      </c>
      <c r="P10" s="71">
        <f t="shared" si="5"/>
        <v>2790.9432429101007</v>
      </c>
      <c r="Q10" s="75">
        <f t="shared" si="6"/>
        <v>23.503242910101108</v>
      </c>
      <c r="S10" s="52"/>
    </row>
    <row r="11" spans="1:19" s="63" customFormat="1">
      <c r="A11" s="179"/>
      <c r="B11" s="122"/>
      <c r="C11" s="46" t="s">
        <v>132</v>
      </c>
      <c r="D11" s="123">
        <v>42</v>
      </c>
      <c r="E11" s="73">
        <f>+References!B8</f>
        <v>2.1666666666666665</v>
      </c>
      <c r="F11" s="72">
        <f>D11*E11*12*2</f>
        <v>2184</v>
      </c>
      <c r="G11" s="144">
        <f>+References!B15</f>
        <v>51</v>
      </c>
      <c r="H11" s="157">
        <f t="shared" si="0"/>
        <v>111384</v>
      </c>
      <c r="I11" s="158">
        <f t="shared" si="1"/>
        <v>74490.816490921759</v>
      </c>
      <c r="J11" s="159">
        <f>(References!$C$49*I11)</f>
        <v>223.47244947276445</v>
      </c>
      <c r="K11" s="159">
        <f>J11/References!$G$52</f>
        <v>227.80066205174765</v>
      </c>
      <c r="L11" s="71">
        <f t="shared" si="2"/>
        <v>0.22599272028943215</v>
      </c>
      <c r="M11" s="126">
        <v>22.1</v>
      </c>
      <c r="N11" s="156">
        <f t="shared" si="3"/>
        <v>22.325992720289435</v>
      </c>
      <c r="O11" s="71">
        <f t="shared" si="4"/>
        <v>11138.400000000001</v>
      </c>
      <c r="P11" s="71">
        <f t="shared" si="5"/>
        <v>11252.300331025875</v>
      </c>
      <c r="Q11" s="75">
        <f t="shared" si="6"/>
        <v>113.90033102587404</v>
      </c>
      <c r="S11" s="52"/>
    </row>
    <row r="12" spans="1:19" s="63" customFormat="1">
      <c r="A12" s="179"/>
      <c r="B12" s="122"/>
      <c r="C12" s="46" t="s">
        <v>133</v>
      </c>
      <c r="D12" s="123">
        <v>6</v>
      </c>
      <c r="E12" s="73">
        <f>+References!B8</f>
        <v>2.1666666666666665</v>
      </c>
      <c r="F12" s="72">
        <f>D12*E12*12*3</f>
        <v>468</v>
      </c>
      <c r="G12" s="144">
        <f>+References!B16</f>
        <v>77</v>
      </c>
      <c r="H12" s="157">
        <f t="shared" si="0"/>
        <v>36036</v>
      </c>
      <c r="I12" s="158">
        <f t="shared" si="1"/>
        <v>24099.970041180572</v>
      </c>
      <c r="J12" s="159">
        <f>(References!$C$49*I12)</f>
        <v>72.299910123541451</v>
      </c>
      <c r="K12" s="159">
        <f>J12/References!$G$52</f>
        <v>73.700214193212489</v>
      </c>
      <c r="L12" s="71">
        <f t="shared" si="2"/>
        <v>0.34120469533894665</v>
      </c>
      <c r="M12" s="126">
        <v>36.67</v>
      </c>
      <c r="N12" s="156">
        <f t="shared" si="3"/>
        <v>37.011204695338947</v>
      </c>
      <c r="O12" s="71">
        <f t="shared" si="4"/>
        <v>2640.2400000000002</v>
      </c>
      <c r="P12" s="71">
        <f t="shared" si="5"/>
        <v>2664.8067380644043</v>
      </c>
      <c r="Q12" s="75">
        <f t="shared" si="6"/>
        <v>24.566738064404035</v>
      </c>
      <c r="S12" s="52"/>
    </row>
    <row r="13" spans="1:19" s="63" customFormat="1">
      <c r="A13" s="179"/>
      <c r="B13" s="122"/>
      <c r="C13" s="46" t="s">
        <v>134</v>
      </c>
      <c r="D13" s="123">
        <v>2</v>
      </c>
      <c r="E13" s="73">
        <f>+References!B8</f>
        <v>2.1666666666666665</v>
      </c>
      <c r="F13" s="72">
        <f>D13*E13*12*4</f>
        <v>208</v>
      </c>
      <c r="G13" s="144">
        <f>+References!B17</f>
        <v>97</v>
      </c>
      <c r="H13" s="157">
        <f t="shared" si="0"/>
        <v>20176</v>
      </c>
      <c r="I13" s="158">
        <f t="shared" si="1"/>
        <v>13493.201119737461</v>
      </c>
      <c r="J13" s="159">
        <f>(References!$C$49*I13)</f>
        <v>40.479603359212234</v>
      </c>
      <c r="K13" s="159">
        <f>J13/References!$G$52</f>
        <v>41.263611986964563</v>
      </c>
      <c r="L13" s="71">
        <f t="shared" si="2"/>
        <v>0.42982929153088084</v>
      </c>
      <c r="M13" s="126">
        <v>42.1</v>
      </c>
      <c r="N13" s="156">
        <f t="shared" si="3"/>
        <v>42.529829291530881</v>
      </c>
      <c r="O13" s="71">
        <f t="shared" si="4"/>
        <v>1010.4000000000001</v>
      </c>
      <c r="P13" s="71">
        <f t="shared" si="5"/>
        <v>1020.7159029967411</v>
      </c>
      <c r="Q13" s="75">
        <f t="shared" si="6"/>
        <v>10.315902996740988</v>
      </c>
      <c r="S13" s="52"/>
    </row>
    <row r="14" spans="1:19" s="63" customFormat="1">
      <c r="A14" s="179"/>
      <c r="B14" s="122"/>
      <c r="C14" s="46" t="s">
        <v>135</v>
      </c>
      <c r="D14" s="123">
        <v>2</v>
      </c>
      <c r="E14" s="73">
        <f>+References!B8</f>
        <v>2.1666666666666665</v>
      </c>
      <c r="F14" s="72">
        <f>D14*E14*12</f>
        <v>52</v>
      </c>
      <c r="G14" s="146">
        <f>+References!B20</f>
        <v>40</v>
      </c>
      <c r="H14" s="157">
        <f t="shared" si="0"/>
        <v>2080</v>
      </c>
      <c r="I14" s="158">
        <f t="shared" si="1"/>
        <v>1391.0516618286044</v>
      </c>
      <c r="J14" s="159">
        <f>(References!$C$49*I14)</f>
        <v>4.1731549854857981</v>
      </c>
      <c r="K14" s="159">
        <f>J14/References!$G$52</f>
        <v>4.253980617212842</v>
      </c>
      <c r="L14" s="71">
        <f t="shared" si="2"/>
        <v>0.17724919238386841</v>
      </c>
      <c r="M14" s="126">
        <v>21.87</v>
      </c>
      <c r="N14" s="156">
        <f t="shared" si="3"/>
        <v>22.04724919238387</v>
      </c>
      <c r="O14" s="71">
        <f t="shared" si="4"/>
        <v>524.88</v>
      </c>
      <c r="P14" s="71">
        <f t="shared" si="5"/>
        <v>529.13398061721284</v>
      </c>
      <c r="Q14" s="75">
        <f t="shared" si="6"/>
        <v>4.2539806172128465</v>
      </c>
      <c r="S14" s="52"/>
    </row>
    <row r="15" spans="1:19" s="63" customFormat="1">
      <c r="A15" s="179"/>
      <c r="B15" s="122"/>
      <c r="C15" s="46" t="s">
        <v>136</v>
      </c>
      <c r="D15" s="123">
        <v>1</v>
      </c>
      <c r="E15" s="73">
        <f>+References!B8</f>
        <v>2.1666666666666665</v>
      </c>
      <c r="F15" s="72">
        <f>D15*E15*12*2</f>
        <v>52</v>
      </c>
      <c r="G15" s="146">
        <f>40*2</f>
        <v>80</v>
      </c>
      <c r="H15" s="160">
        <f t="shared" si="0"/>
        <v>4160</v>
      </c>
      <c r="I15" s="161">
        <f t="shared" si="1"/>
        <v>2782.1033236572089</v>
      </c>
      <c r="J15" s="162">
        <f>(References!$C$49*I15)</f>
        <v>8.3463099709715962</v>
      </c>
      <c r="K15" s="162">
        <f>J15/References!$G$52</f>
        <v>8.5079612344256841</v>
      </c>
      <c r="L15" s="71">
        <f t="shared" si="2"/>
        <v>0.35449838476773682</v>
      </c>
      <c r="M15" s="126">
        <v>33.729999999999997</v>
      </c>
      <c r="N15" s="163">
        <f t="shared" si="3"/>
        <v>34.084498384767734</v>
      </c>
      <c r="O15" s="71">
        <f t="shared" si="4"/>
        <v>404.76</v>
      </c>
      <c r="P15" s="71">
        <f t="shared" si="5"/>
        <v>409.01398061721284</v>
      </c>
      <c r="Q15" s="75">
        <f t="shared" si="6"/>
        <v>4.2539806172128465</v>
      </c>
      <c r="S15" s="52"/>
    </row>
    <row r="16" spans="1:19" s="63" customFormat="1">
      <c r="A16" s="179"/>
      <c r="B16" s="124"/>
      <c r="C16" s="46" t="s">
        <v>137</v>
      </c>
      <c r="D16" s="123">
        <v>94</v>
      </c>
      <c r="E16" s="73">
        <f>References!$B$9</f>
        <v>1</v>
      </c>
      <c r="F16" s="72">
        <f>D16*E16*12</f>
        <v>1128</v>
      </c>
      <c r="G16" s="144">
        <f>References!B14</f>
        <v>34</v>
      </c>
      <c r="H16" s="72">
        <f t="shared" si="0"/>
        <v>38352</v>
      </c>
      <c r="I16" s="48">
        <f t="shared" si="1"/>
        <v>25648.852564639728</v>
      </c>
      <c r="J16" s="71">
        <f>(References!$C$49*I16)</f>
        <v>76.946557693918891</v>
      </c>
      <c r="K16" s="71">
        <f>J16/References!$G$52</f>
        <v>78.436857995839844</v>
      </c>
      <c r="L16" s="71">
        <f t="shared" si="2"/>
        <v>6.9536221627517589E-2</v>
      </c>
      <c r="M16" s="126">
        <v>5.34</v>
      </c>
      <c r="N16" s="153">
        <f t="shared" si="3"/>
        <v>5.4095362216275173</v>
      </c>
      <c r="O16" s="71">
        <f t="shared" si="4"/>
        <v>6023.5199999999995</v>
      </c>
      <c r="P16" s="71">
        <f t="shared" si="5"/>
        <v>6101.9568579958395</v>
      </c>
      <c r="Q16" s="75">
        <f t="shared" si="6"/>
        <v>78.436857995840001</v>
      </c>
      <c r="S16" s="52"/>
    </row>
    <row r="17" spans="1:19" s="63" customFormat="1">
      <c r="A17" s="179"/>
      <c r="B17" s="122"/>
      <c r="D17" s="123"/>
      <c r="E17" s="73"/>
      <c r="F17" s="72"/>
      <c r="G17" s="144"/>
      <c r="H17" s="157"/>
      <c r="I17" s="158"/>
      <c r="J17" s="159"/>
      <c r="K17" s="159"/>
      <c r="L17" s="71"/>
      <c r="M17" s="126"/>
      <c r="N17" s="159"/>
      <c r="O17" s="71"/>
      <c r="P17" s="71"/>
      <c r="Q17" s="75"/>
      <c r="S17" s="164">
        <f>3.5*4.333</f>
        <v>15.165500000000002</v>
      </c>
    </row>
    <row r="18" spans="1:19" s="63" customFormat="1">
      <c r="A18" s="179"/>
      <c r="B18" s="49"/>
      <c r="C18" s="127"/>
      <c r="D18" s="128"/>
      <c r="E18" s="121"/>
      <c r="F18" s="72"/>
      <c r="G18" s="125"/>
      <c r="H18" s="72"/>
      <c r="I18" s="48"/>
      <c r="J18" s="71"/>
      <c r="K18" s="71"/>
      <c r="L18" s="71"/>
      <c r="M18" s="126"/>
      <c r="N18" s="71"/>
      <c r="O18" s="71"/>
      <c r="P18" s="71"/>
      <c r="Q18" s="75"/>
    </row>
    <row r="19" spans="1:19" s="63" customFormat="1">
      <c r="A19" s="50"/>
      <c r="B19" s="88"/>
      <c r="C19" s="51" t="s">
        <v>16</v>
      </c>
      <c r="D19" s="53">
        <f>SUM(D2:D18)</f>
        <v>707</v>
      </c>
      <c r="E19" s="54"/>
      <c r="F19" s="55">
        <f>SUM(F2:F18)</f>
        <v>32738</v>
      </c>
      <c r="G19" s="56"/>
      <c r="H19" s="89">
        <f>SUM(H2:H18)</f>
        <v>1376024</v>
      </c>
      <c r="I19" s="57">
        <f>SUM(I2:I18)</f>
        <v>920250.22688271326</v>
      </c>
      <c r="J19" s="78"/>
      <c r="K19" s="78"/>
      <c r="L19" s="78"/>
      <c r="M19" s="78"/>
      <c r="N19" s="78"/>
      <c r="O19" s="77">
        <f>SUM(O2:O18)</f>
        <v>205683.48</v>
      </c>
      <c r="P19" s="77">
        <f>SUM(P2:P18)</f>
        <v>208282.44945808622</v>
      </c>
      <c r="Q19" s="77">
        <f>SUM(Q2:Q18)</f>
        <v>2598.9694580861724</v>
      </c>
    </row>
    <row r="20" spans="1:19" s="63" customFormat="1" ht="15" customHeight="1">
      <c r="A20" s="180" t="s">
        <v>14</v>
      </c>
      <c r="B20" s="49"/>
      <c r="C20" s="129" t="s">
        <v>98</v>
      </c>
      <c r="D20" s="60">
        <v>13</v>
      </c>
      <c r="E20" s="73">
        <f>+References!B7</f>
        <v>4.333333333333333</v>
      </c>
      <c r="F20" s="72">
        <f>D20*E20*12</f>
        <v>676</v>
      </c>
      <c r="G20" s="144">
        <f>References!B26</f>
        <v>29</v>
      </c>
      <c r="H20" s="72">
        <f t="shared" ref="H20:H27" si="7">F20*G20</f>
        <v>19604</v>
      </c>
      <c r="I20" s="48">
        <f t="shared" ref="I20:I27" si="8">$D$121*H20</f>
        <v>13110.661912734597</v>
      </c>
      <c r="J20" s="71">
        <f>(References!$C$49*I20)</f>
        <v>39.331985738203642</v>
      </c>
      <c r="K20" s="71">
        <f>J20/References!$G$52</f>
        <v>40.093767317231034</v>
      </c>
      <c r="L20" s="71">
        <f t="shared" ref="L20:L26" si="9">K20/F20</f>
        <v>5.9310306682294429E-2</v>
      </c>
      <c r="M20" s="71">
        <v>21</v>
      </c>
      <c r="N20" s="153">
        <f t="shared" ref="N20:N27" si="10">L20+M20</f>
        <v>21.059310306682296</v>
      </c>
      <c r="O20" s="71">
        <f t="shared" ref="O20:O26" si="11">D20*M20*12</f>
        <v>3276</v>
      </c>
      <c r="P20" s="71">
        <f t="shared" ref="P20:P26" si="12">D20*N20*12</f>
        <v>3285.2524078424381</v>
      </c>
      <c r="Q20" s="75">
        <f t="shared" ref="Q20:Q58" si="13">+P20-O20</f>
        <v>9.2524078424380605</v>
      </c>
      <c r="S20" s="52"/>
    </row>
    <row r="21" spans="1:19" s="63" customFormat="1" ht="15" customHeight="1">
      <c r="A21" s="181"/>
      <c r="B21" s="49"/>
      <c r="C21" s="129" t="s">
        <v>138</v>
      </c>
      <c r="D21" s="60">
        <v>7</v>
      </c>
      <c r="E21" s="73">
        <f>+References!B7</f>
        <v>4.333333333333333</v>
      </c>
      <c r="F21" s="72">
        <f>D21*E21*12*2</f>
        <v>728</v>
      </c>
      <c r="G21" s="144">
        <f>References!B26</f>
        <v>29</v>
      </c>
      <c r="H21" s="72">
        <f t="shared" si="7"/>
        <v>21112</v>
      </c>
      <c r="I21" s="48">
        <f t="shared" si="8"/>
        <v>14119.174367560334</v>
      </c>
      <c r="J21" s="71">
        <f>(References!$C$49*I21)</f>
        <v>42.357523102680844</v>
      </c>
      <c r="K21" s="71">
        <f>J21/References!$G$52</f>
        <v>43.177903264710338</v>
      </c>
      <c r="L21" s="71">
        <f t="shared" si="9"/>
        <v>5.9310306682294422E-2</v>
      </c>
      <c r="M21" s="71">
        <f>4.33*3.79*2</f>
        <v>32.821400000000004</v>
      </c>
      <c r="N21" s="153">
        <f t="shared" si="10"/>
        <v>32.880710306682296</v>
      </c>
      <c r="O21" s="71">
        <f t="shared" si="11"/>
        <v>2756.9976000000001</v>
      </c>
      <c r="P21" s="71">
        <f t="shared" si="12"/>
        <v>2761.9796657613128</v>
      </c>
      <c r="Q21" s="75">
        <f t="shared" ref="Q21:Q27" si="14">+P21-O21</f>
        <v>4.9820657613126968</v>
      </c>
      <c r="S21" s="52"/>
    </row>
    <row r="22" spans="1:19" s="63" customFormat="1" ht="15" customHeight="1">
      <c r="A22" s="181"/>
      <c r="B22" s="49"/>
      <c r="C22" s="129" t="s">
        <v>139</v>
      </c>
      <c r="D22" s="60">
        <v>6</v>
      </c>
      <c r="E22" s="73">
        <f>+References!B7</f>
        <v>4.333333333333333</v>
      </c>
      <c r="F22" s="72">
        <f>D22*E22*12*3</f>
        <v>936</v>
      </c>
      <c r="G22" s="144">
        <f>References!B26</f>
        <v>29</v>
      </c>
      <c r="H22" s="72">
        <f t="shared" si="7"/>
        <v>27144</v>
      </c>
      <c r="I22" s="48">
        <f t="shared" si="8"/>
        <v>18153.224186863288</v>
      </c>
      <c r="J22" s="71">
        <f>(References!$C$49*I22)</f>
        <v>54.459672560589659</v>
      </c>
      <c r="K22" s="71">
        <f>J22/References!$G$52</f>
        <v>55.514447054627581</v>
      </c>
      <c r="L22" s="71">
        <f t="shared" si="9"/>
        <v>5.9310306682294422E-2</v>
      </c>
      <c r="M22" s="71">
        <f>3.79*4.33*3</f>
        <v>49.232100000000003</v>
      </c>
      <c r="N22" s="153">
        <f t="shared" si="10"/>
        <v>49.291410306682295</v>
      </c>
      <c r="O22" s="71">
        <f t="shared" si="11"/>
        <v>3544.7112000000002</v>
      </c>
      <c r="P22" s="71">
        <f t="shared" si="12"/>
        <v>3548.9815420811256</v>
      </c>
      <c r="Q22" s="75">
        <f t="shared" si="14"/>
        <v>4.2703420811253636</v>
      </c>
      <c r="S22" s="52"/>
    </row>
    <row r="23" spans="1:19" s="63" customFormat="1" ht="15" customHeight="1">
      <c r="A23" s="181"/>
      <c r="B23" s="49"/>
      <c r="C23" s="129" t="s">
        <v>140</v>
      </c>
      <c r="D23" s="60">
        <v>6</v>
      </c>
      <c r="E23" s="73">
        <f>+References!B7</f>
        <v>4.333333333333333</v>
      </c>
      <c r="F23" s="72">
        <f>D23*E23*12*4</f>
        <v>1248</v>
      </c>
      <c r="G23" s="144">
        <f>References!B26</f>
        <v>29</v>
      </c>
      <c r="H23" s="72">
        <f t="shared" si="7"/>
        <v>36192</v>
      </c>
      <c r="I23" s="48">
        <f t="shared" si="8"/>
        <v>24204.298915817715</v>
      </c>
      <c r="J23" s="71">
        <f>(References!$C$49*I23)</f>
        <v>72.612896747452879</v>
      </c>
      <c r="K23" s="71">
        <f>J23/References!$G$52</f>
        <v>74.019262739503446</v>
      </c>
      <c r="L23" s="71">
        <f t="shared" si="9"/>
        <v>5.9310306682294429E-2</v>
      </c>
      <c r="M23" s="71">
        <f>3.79*4.33*4</f>
        <v>65.642800000000008</v>
      </c>
      <c r="N23" s="153">
        <f t="shared" si="10"/>
        <v>65.7021103066823</v>
      </c>
      <c r="O23" s="71">
        <f t="shared" si="11"/>
        <v>4726.2816000000003</v>
      </c>
      <c r="P23" s="71">
        <f t="shared" si="12"/>
        <v>4730.5519420811252</v>
      </c>
      <c r="Q23" s="75">
        <f t="shared" si="14"/>
        <v>4.2703420811249089</v>
      </c>
      <c r="S23" s="52"/>
    </row>
    <row r="24" spans="1:19" s="63" customFormat="1" ht="15" customHeight="1">
      <c r="A24" s="181"/>
      <c r="B24" s="49"/>
      <c r="C24" s="129" t="s">
        <v>141</v>
      </c>
      <c r="D24" s="60">
        <v>2</v>
      </c>
      <c r="E24" s="73">
        <f>+References!B7</f>
        <v>4.333333333333333</v>
      </c>
      <c r="F24" s="72">
        <f>D24*E24*12*5</f>
        <v>520</v>
      </c>
      <c r="G24" s="144">
        <f>References!B26</f>
        <v>29</v>
      </c>
      <c r="H24" s="72">
        <f t="shared" si="7"/>
        <v>15080</v>
      </c>
      <c r="I24" s="48">
        <f t="shared" si="8"/>
        <v>10085.124548257381</v>
      </c>
      <c r="J24" s="71">
        <f>(References!$C$49*I24)</f>
        <v>30.255373644772032</v>
      </c>
      <c r="K24" s="71">
        <f>J24/References!$G$52</f>
        <v>30.841359474793101</v>
      </c>
      <c r="L24" s="71">
        <f t="shared" si="9"/>
        <v>5.9310306682294422E-2</v>
      </c>
      <c r="M24" s="71">
        <f>3.79*4.33*5</f>
        <v>82.053500000000014</v>
      </c>
      <c r="N24" s="153">
        <f t="shared" si="10"/>
        <v>82.112810306682306</v>
      </c>
      <c r="O24" s="71">
        <f t="shared" si="11"/>
        <v>1969.2840000000003</v>
      </c>
      <c r="P24" s="71">
        <f t="shared" si="12"/>
        <v>1970.7074473603752</v>
      </c>
      <c r="Q24" s="75">
        <f t="shared" si="14"/>
        <v>1.4234473603748938</v>
      </c>
      <c r="S24" s="52"/>
    </row>
    <row r="25" spans="1:19" s="63" customFormat="1" ht="15" customHeight="1">
      <c r="A25" s="181"/>
      <c r="B25" s="49"/>
      <c r="C25" s="129" t="s">
        <v>142</v>
      </c>
      <c r="D25" s="60">
        <v>4</v>
      </c>
      <c r="E25" s="73">
        <f>+References!B7</f>
        <v>4.333333333333333</v>
      </c>
      <c r="F25" s="72">
        <f>D25*E25*12*6</f>
        <v>1248</v>
      </c>
      <c r="G25" s="144">
        <f>References!B26</f>
        <v>29</v>
      </c>
      <c r="H25" s="72">
        <f t="shared" si="7"/>
        <v>36192</v>
      </c>
      <c r="I25" s="48">
        <f t="shared" si="8"/>
        <v>24204.298915817715</v>
      </c>
      <c r="J25" s="71">
        <f>(References!$C$49*I25)</f>
        <v>72.612896747452879</v>
      </c>
      <c r="K25" s="71">
        <f>J25/References!$G$52</f>
        <v>74.019262739503446</v>
      </c>
      <c r="L25" s="71">
        <f t="shared" si="9"/>
        <v>5.9310306682294429E-2</v>
      </c>
      <c r="M25" s="71">
        <f>4.33*3.79*6</f>
        <v>98.464200000000005</v>
      </c>
      <c r="N25" s="153">
        <f t="shared" si="10"/>
        <v>98.523510306682297</v>
      </c>
      <c r="O25" s="71">
        <f t="shared" si="11"/>
        <v>4726.2816000000003</v>
      </c>
      <c r="P25" s="71">
        <f t="shared" si="12"/>
        <v>4729.1284947207505</v>
      </c>
      <c r="Q25" s="75">
        <f t="shared" si="14"/>
        <v>2.8468947207502424</v>
      </c>
      <c r="S25" s="52"/>
    </row>
    <row r="26" spans="1:19" s="63" customFormat="1" ht="15" customHeight="1">
      <c r="A26" s="181"/>
      <c r="B26" s="49"/>
      <c r="C26" s="129" t="s">
        <v>143</v>
      </c>
      <c r="D26" s="60">
        <v>1</v>
      </c>
      <c r="E26" s="73">
        <f>+References!B7</f>
        <v>4.333333333333333</v>
      </c>
      <c r="F26" s="72">
        <f>D26*E26*12*7</f>
        <v>364</v>
      </c>
      <c r="G26" s="144">
        <f>References!B26</f>
        <v>29</v>
      </c>
      <c r="H26" s="72">
        <f t="shared" si="7"/>
        <v>10556</v>
      </c>
      <c r="I26" s="48">
        <f t="shared" si="8"/>
        <v>7059.5871837801669</v>
      </c>
      <c r="J26" s="71">
        <f>(References!$C$49*I26)</f>
        <v>21.178761551340422</v>
      </c>
      <c r="K26" s="71">
        <f>J26/References!$G$52</f>
        <v>21.588951632355169</v>
      </c>
      <c r="L26" s="71">
        <f t="shared" si="9"/>
        <v>5.9310306682294422E-2</v>
      </c>
      <c r="M26" s="71">
        <f>3.79*4.33*7</f>
        <v>114.87490000000001</v>
      </c>
      <c r="N26" s="153">
        <f t="shared" si="10"/>
        <v>114.9342103066823</v>
      </c>
      <c r="O26" s="71">
        <f t="shared" si="11"/>
        <v>1378.4988000000001</v>
      </c>
      <c r="P26" s="71">
        <f t="shared" si="12"/>
        <v>1379.2105236801876</v>
      </c>
      <c r="Q26" s="75">
        <f t="shared" si="14"/>
        <v>0.7117236801875606</v>
      </c>
      <c r="S26" s="52"/>
    </row>
    <row r="27" spans="1:19" s="63" customFormat="1" ht="15" customHeight="1">
      <c r="A27" s="181"/>
      <c r="B27" s="49"/>
      <c r="C27" s="46" t="s">
        <v>128</v>
      </c>
      <c r="D27" s="123">
        <v>2</v>
      </c>
      <c r="E27" s="73">
        <f>References!$B$7</f>
        <v>4.333333333333333</v>
      </c>
      <c r="F27" s="72">
        <f>D27*E27*12*2</f>
        <v>208</v>
      </c>
      <c r="G27" s="144">
        <f>+References!B20</f>
        <v>40</v>
      </c>
      <c r="H27" s="72">
        <f t="shared" si="7"/>
        <v>8320</v>
      </c>
      <c r="I27" s="48">
        <f t="shared" si="8"/>
        <v>5564.2066473144178</v>
      </c>
      <c r="J27" s="71">
        <f>(References!$C$49*I27)</f>
        <v>16.692619941943192</v>
      </c>
      <c r="K27" s="71">
        <f>J27/References!$G$52</f>
        <v>17.015922468851368</v>
      </c>
      <c r="L27" s="71">
        <f>K27/F27*E27</f>
        <v>0.35449838476773682</v>
      </c>
      <c r="M27" s="126">
        <f>4.33*8.48*2</f>
        <v>73.436800000000005</v>
      </c>
      <c r="N27" s="153">
        <f t="shared" si="10"/>
        <v>73.791298384767742</v>
      </c>
      <c r="O27" s="71">
        <f>D27*M27*12</f>
        <v>1762.4832000000001</v>
      </c>
      <c r="P27" s="71">
        <f>D27*N27*12</f>
        <v>1770.9911612344258</v>
      </c>
      <c r="Q27" s="75">
        <f t="shared" si="14"/>
        <v>8.507961234425693</v>
      </c>
      <c r="S27" s="52"/>
    </row>
    <row r="28" spans="1:19" s="63" customFormat="1" ht="15" customHeight="1">
      <c r="A28" s="181"/>
      <c r="B28" s="49"/>
      <c r="C28" s="129"/>
      <c r="D28" s="60"/>
      <c r="E28" s="73"/>
      <c r="F28" s="130"/>
      <c r="G28" s="144"/>
      <c r="H28" s="72"/>
      <c r="I28" s="48"/>
      <c r="J28" s="71"/>
      <c r="K28" s="71"/>
      <c r="L28" s="71"/>
      <c r="M28" s="71"/>
      <c r="N28" s="71"/>
      <c r="O28" s="71"/>
      <c r="P28" s="71"/>
      <c r="Q28" s="75"/>
      <c r="S28" s="52"/>
    </row>
    <row r="29" spans="1:19" s="63" customFormat="1">
      <c r="A29" s="181"/>
      <c r="B29" s="49"/>
      <c r="C29" s="150"/>
      <c r="D29" s="165"/>
      <c r="E29" s="73"/>
      <c r="F29" s="131"/>
      <c r="G29" s="146"/>
      <c r="H29" s="72"/>
      <c r="I29" s="48"/>
      <c r="J29" s="71"/>
      <c r="K29" s="71"/>
      <c r="L29" s="71"/>
      <c r="M29" s="141"/>
      <c r="N29" s="71"/>
      <c r="O29" s="71"/>
      <c r="P29" s="71"/>
      <c r="Q29" s="75">
        <f t="shared" si="13"/>
        <v>0</v>
      </c>
      <c r="S29" s="52"/>
    </row>
    <row r="30" spans="1:19" s="63" customFormat="1">
      <c r="A30" s="181"/>
      <c r="B30" s="49"/>
      <c r="C30" s="150" t="s">
        <v>105</v>
      </c>
      <c r="D30" s="123">
        <v>36</v>
      </c>
      <c r="E30" s="73">
        <v>1</v>
      </c>
      <c r="F30" s="72">
        <f>D30*E30*12</f>
        <v>432</v>
      </c>
      <c r="G30" s="146">
        <f>References!B27</f>
        <v>175</v>
      </c>
      <c r="H30" s="72">
        <f>F30*G30</f>
        <v>75600</v>
      </c>
      <c r="I30" s="48">
        <f>$D$121*H30</f>
        <v>50559.377708770429</v>
      </c>
      <c r="J30" s="71">
        <f>(References!$C$49*I30)</f>
        <v>151.67813312631071</v>
      </c>
      <c r="K30" s="71">
        <f>J30/References!$G$52</f>
        <v>154.61583397177444</v>
      </c>
      <c r="L30" s="71">
        <f>K30/F30</f>
        <v>0.35790702308281119</v>
      </c>
      <c r="M30" s="141">
        <v>20.65</v>
      </c>
      <c r="N30" s="153">
        <f>L30+M30</f>
        <v>21.007907023082808</v>
      </c>
      <c r="O30" s="71">
        <f>D30*E30*M30*12</f>
        <v>8920.7999999999993</v>
      </c>
      <c r="P30" s="71">
        <f>D30*N30*12</f>
        <v>9075.4158339717724</v>
      </c>
      <c r="Q30" s="75">
        <f t="shared" si="13"/>
        <v>154.6158339717731</v>
      </c>
      <c r="S30" s="52"/>
    </row>
    <row r="31" spans="1:19" s="63" customFormat="1">
      <c r="A31" s="181"/>
      <c r="B31" s="49"/>
      <c r="C31" s="150" t="s">
        <v>154</v>
      </c>
      <c r="D31" s="123">
        <v>36</v>
      </c>
      <c r="E31" s="73">
        <v>1</v>
      </c>
      <c r="F31" s="160">
        <f>D31*E31*12</f>
        <v>432</v>
      </c>
      <c r="G31" s="146"/>
      <c r="H31" s="160"/>
      <c r="I31" s="161"/>
      <c r="J31" s="162"/>
      <c r="K31" s="162"/>
      <c r="L31" s="162"/>
      <c r="M31" s="141">
        <f>31.75-20.65</f>
        <v>11.100000000000001</v>
      </c>
      <c r="N31" s="163">
        <v>11.1</v>
      </c>
      <c r="O31" s="162">
        <f>D31*E31*M31*12</f>
        <v>4795.2000000000007</v>
      </c>
      <c r="P31" s="162">
        <f>D31*N31*12</f>
        <v>4795.2</v>
      </c>
      <c r="Q31" s="75">
        <f t="shared" si="13"/>
        <v>0</v>
      </c>
      <c r="S31" s="52"/>
    </row>
    <row r="32" spans="1:19" s="63" customFormat="1">
      <c r="A32" s="181"/>
      <c r="B32" s="49"/>
      <c r="C32" s="129" t="s">
        <v>106</v>
      </c>
      <c r="D32" s="166">
        <v>36</v>
      </c>
      <c r="E32" s="73">
        <v>3.33</v>
      </c>
      <c r="F32" s="72">
        <f>D32*E32*12</f>
        <v>1438.56</v>
      </c>
      <c r="G32" s="146">
        <f>References!B27</f>
        <v>175</v>
      </c>
      <c r="H32" s="72">
        <f>F32*G32</f>
        <v>251748</v>
      </c>
      <c r="I32" s="48">
        <f>$D$121*H32</f>
        <v>168362.72777020553</v>
      </c>
      <c r="J32" s="71">
        <f>(References!$C$49*I32)</f>
        <v>505.08818331061468</v>
      </c>
      <c r="K32" s="71">
        <f>J32/References!$G$52</f>
        <v>514.87072712600889</v>
      </c>
      <c r="L32" s="71">
        <f>K32/F32</f>
        <v>0.35790702308281119</v>
      </c>
      <c r="M32" s="154">
        <v>20.65</v>
      </c>
      <c r="N32" s="153">
        <f>L32+M32</f>
        <v>21.007907023082808</v>
      </c>
      <c r="O32" s="71">
        <f>D32*E32*M32*12</f>
        <v>29706.263999999999</v>
      </c>
      <c r="P32" s="71">
        <f>D32*E32*N32*12</f>
        <v>30221.134727126006</v>
      </c>
      <c r="Q32" s="75">
        <f t="shared" si="13"/>
        <v>514.87072712600639</v>
      </c>
      <c r="S32" s="52"/>
    </row>
    <row r="33" spans="1:19" s="63" customFormat="1">
      <c r="A33" s="181"/>
      <c r="B33" s="49"/>
      <c r="C33" s="129" t="s">
        <v>107</v>
      </c>
      <c r="D33" s="167"/>
      <c r="E33" s="73"/>
      <c r="F33" s="131">
        <v>1</v>
      </c>
      <c r="G33" s="146">
        <f>References!B27</f>
        <v>175</v>
      </c>
      <c r="H33" s="72">
        <f>F33*G33</f>
        <v>175</v>
      </c>
      <c r="I33" s="48">
        <f>$D$121*H33</f>
        <v>117.0355965480797</v>
      </c>
      <c r="J33" s="71">
        <f>(References!$C$49*I33)</f>
        <v>0.35110678964423775</v>
      </c>
      <c r="K33" s="71">
        <f>J33/References!$G$52</f>
        <v>0.35790702308281119</v>
      </c>
      <c r="L33" s="71">
        <f t="shared" ref="L33:L47" si="15">K33/F33</f>
        <v>0.35790702308281119</v>
      </c>
      <c r="M33" s="141">
        <v>20.65</v>
      </c>
      <c r="N33" s="153">
        <f>L33+M33</f>
        <v>21.007907023082808</v>
      </c>
      <c r="O33" s="71"/>
      <c r="P33" s="71">
        <f>D33*N33*12</f>
        <v>0</v>
      </c>
      <c r="Q33" s="75">
        <f t="shared" si="13"/>
        <v>0</v>
      </c>
      <c r="S33" s="52"/>
    </row>
    <row r="34" spans="1:19" s="63" customFormat="1">
      <c r="A34" s="181"/>
      <c r="B34" s="49"/>
      <c r="C34" s="150"/>
      <c r="D34" s="171"/>
      <c r="E34" s="73"/>
      <c r="F34" s="131"/>
      <c r="G34" s="146"/>
      <c r="H34" s="72"/>
      <c r="I34" s="48"/>
      <c r="J34" s="71"/>
      <c r="K34" s="71"/>
      <c r="L34" s="71"/>
      <c r="M34" s="141"/>
      <c r="N34" s="71"/>
      <c r="O34" s="71"/>
      <c r="P34" s="71"/>
      <c r="Q34" s="75">
        <f t="shared" si="13"/>
        <v>0</v>
      </c>
      <c r="S34" s="52"/>
    </row>
    <row r="35" spans="1:19" s="63" customFormat="1">
      <c r="A35" s="181"/>
      <c r="B35" s="49"/>
      <c r="C35" s="150" t="s">
        <v>108</v>
      </c>
      <c r="D35" s="171">
        <v>3</v>
      </c>
      <c r="E35" s="73">
        <v>1</v>
      </c>
      <c r="F35" s="72">
        <f t="shared" ref="F35:F47" si="16">D35*E35*12</f>
        <v>36</v>
      </c>
      <c r="G35" s="146">
        <f>References!$B$28</f>
        <v>250</v>
      </c>
      <c r="H35" s="72">
        <f>F35*G35</f>
        <v>9000</v>
      </c>
      <c r="I35" s="48">
        <f>$D$121*H35</f>
        <v>6018.9735367583844</v>
      </c>
      <c r="J35" s="71">
        <f>(References!$C$49*I35)</f>
        <v>18.056920610275085</v>
      </c>
      <c r="K35" s="71">
        <f>J35/References!$G$52</f>
        <v>18.406646901401718</v>
      </c>
      <c r="L35" s="71">
        <f t="shared" si="15"/>
        <v>0.51129574726115878</v>
      </c>
      <c r="M35" s="141">
        <f>40-11.25</f>
        <v>28.75</v>
      </c>
      <c r="N35" s="153">
        <f>L35+M35</f>
        <v>29.261295747261158</v>
      </c>
      <c r="O35" s="71">
        <f>D35*E35*M35*12</f>
        <v>1035</v>
      </c>
      <c r="P35" s="71">
        <f>D35*N35*12</f>
        <v>1053.4066469014017</v>
      </c>
      <c r="Q35" s="75">
        <f t="shared" si="13"/>
        <v>18.4066469014017</v>
      </c>
      <c r="S35" s="52"/>
    </row>
    <row r="36" spans="1:19" s="63" customFormat="1">
      <c r="A36" s="181"/>
      <c r="B36" s="49"/>
      <c r="C36" s="150" t="s">
        <v>155</v>
      </c>
      <c r="D36" s="171">
        <v>3</v>
      </c>
      <c r="E36" s="73">
        <v>1</v>
      </c>
      <c r="F36" s="160">
        <f t="shared" si="16"/>
        <v>36</v>
      </c>
      <c r="G36" s="146"/>
      <c r="H36" s="160"/>
      <c r="I36" s="161"/>
      <c r="J36" s="162"/>
      <c r="K36" s="162"/>
      <c r="L36" s="162"/>
      <c r="M36" s="141">
        <v>11.25</v>
      </c>
      <c r="N36" s="163">
        <f>L36+M36</f>
        <v>11.25</v>
      </c>
      <c r="O36" s="162">
        <f>D36*E36*M36*12</f>
        <v>405</v>
      </c>
      <c r="P36" s="162">
        <f>D36*N36*12</f>
        <v>405</v>
      </c>
      <c r="Q36" s="75">
        <f t="shared" ref="Q36" si="17">+P36-O36</f>
        <v>0</v>
      </c>
      <c r="S36" s="52"/>
    </row>
    <row r="37" spans="1:19" s="63" customFormat="1">
      <c r="A37" s="181"/>
      <c r="B37" s="49"/>
      <c r="C37" s="129" t="s">
        <v>109</v>
      </c>
      <c r="D37" s="167">
        <v>3</v>
      </c>
      <c r="E37" s="73">
        <v>3.33</v>
      </c>
      <c r="F37" s="72">
        <f t="shared" si="16"/>
        <v>119.88</v>
      </c>
      <c r="G37" s="144">
        <f>References!$B$28</f>
        <v>250</v>
      </c>
      <c r="H37" s="72">
        <f>F37*G37</f>
        <v>29970</v>
      </c>
      <c r="I37" s="48">
        <f>$D$121*H37</f>
        <v>20043.181877405419</v>
      </c>
      <c r="J37" s="71">
        <f>(References!$C$49*I37)</f>
        <v>60.129545632216029</v>
      </c>
      <c r="K37" s="71">
        <f>J37/References!$G$52</f>
        <v>61.294134181667715</v>
      </c>
      <c r="L37" s="71">
        <f t="shared" si="15"/>
        <v>0.51129574726115878</v>
      </c>
      <c r="M37" s="141">
        <v>28.75</v>
      </c>
      <c r="N37" s="153">
        <f>L37+M37</f>
        <v>29.261295747261158</v>
      </c>
      <c r="O37" s="71">
        <f>D37*E37*M37*12</f>
        <v>3446.55</v>
      </c>
      <c r="P37" s="71">
        <f>D37*E37*N37*12</f>
        <v>3507.8441341816679</v>
      </c>
      <c r="Q37" s="75">
        <f t="shared" si="13"/>
        <v>61.294134181667687</v>
      </c>
      <c r="S37" s="52"/>
    </row>
    <row r="38" spans="1:19" s="63" customFormat="1">
      <c r="A38" s="181"/>
      <c r="B38" s="49"/>
      <c r="C38" s="129" t="s">
        <v>144</v>
      </c>
      <c r="D38" s="167"/>
      <c r="E38" s="73"/>
      <c r="F38" s="131">
        <v>1</v>
      </c>
      <c r="G38" s="144">
        <f>References!$B$28</f>
        <v>250</v>
      </c>
      <c r="H38" s="72">
        <f>F38*G38</f>
        <v>250</v>
      </c>
      <c r="I38" s="48">
        <f>$D$121*H38</f>
        <v>167.19370935439957</v>
      </c>
      <c r="J38" s="71">
        <f>(References!$C$49*I38)</f>
        <v>0.50158112806319688</v>
      </c>
      <c r="K38" s="71">
        <f>J38/References!$G$52</f>
        <v>0.51129574726115889</v>
      </c>
      <c r="L38" s="71">
        <f>K38/F38</f>
        <v>0.51129574726115889</v>
      </c>
      <c r="M38" s="141">
        <v>28.75</v>
      </c>
      <c r="N38" s="153">
        <f>L38+M38</f>
        <v>29.261295747261158</v>
      </c>
      <c r="O38" s="71"/>
      <c r="P38" s="71"/>
      <c r="Q38" s="75"/>
      <c r="S38" s="52"/>
    </row>
    <row r="39" spans="1:19" s="63" customFormat="1">
      <c r="A39" s="181"/>
      <c r="B39" s="49"/>
      <c r="C39" s="150"/>
      <c r="D39" s="171"/>
      <c r="E39" s="73"/>
      <c r="F39" s="131"/>
      <c r="G39" s="146"/>
      <c r="H39" s="72"/>
      <c r="I39" s="48"/>
      <c r="J39" s="71"/>
      <c r="K39" s="71"/>
      <c r="L39" s="71"/>
      <c r="M39" s="141"/>
      <c r="N39" s="71"/>
      <c r="O39" s="71"/>
      <c r="P39" s="71"/>
      <c r="Q39" s="75">
        <f t="shared" si="13"/>
        <v>0</v>
      </c>
      <c r="S39" s="52"/>
    </row>
    <row r="40" spans="1:19" s="63" customFormat="1">
      <c r="A40" s="181"/>
      <c r="B40" s="49"/>
      <c r="C40" s="150" t="s">
        <v>112</v>
      </c>
      <c r="D40" s="171">
        <v>25</v>
      </c>
      <c r="E40" s="73">
        <v>1</v>
      </c>
      <c r="F40" s="72">
        <f t="shared" si="16"/>
        <v>300</v>
      </c>
      <c r="G40" s="146">
        <f>References!$B$29</f>
        <v>324</v>
      </c>
      <c r="H40" s="72">
        <f>F40*G40</f>
        <v>97200</v>
      </c>
      <c r="I40" s="48">
        <f>$D$121*H40</f>
        <v>65004.914196990547</v>
      </c>
      <c r="J40" s="71">
        <f>(References!$C$49*I40)</f>
        <v>195.01474259097091</v>
      </c>
      <c r="K40" s="71">
        <f>J40/References!$G$52</f>
        <v>198.79178653513856</v>
      </c>
      <c r="L40" s="71">
        <f t="shared" si="15"/>
        <v>0.66263928845046183</v>
      </c>
      <c r="M40" s="141">
        <f>48.24-13.5</f>
        <v>34.74</v>
      </c>
      <c r="N40" s="153">
        <f t="shared" ref="N40:N48" si="18">L40+M40</f>
        <v>35.402639288450466</v>
      </c>
      <c r="O40" s="71">
        <f>D40*E40*M40*12</f>
        <v>10422</v>
      </c>
      <c r="P40" s="71">
        <f>D40*N40*12</f>
        <v>10620.791786535139</v>
      </c>
      <c r="Q40" s="75">
        <f t="shared" si="13"/>
        <v>198.79178653513918</v>
      </c>
      <c r="S40" s="52"/>
    </row>
    <row r="41" spans="1:19" s="63" customFormat="1">
      <c r="A41" s="181"/>
      <c r="B41" s="49"/>
      <c r="C41" s="150" t="s">
        <v>156</v>
      </c>
      <c r="D41" s="171">
        <v>25</v>
      </c>
      <c r="E41" s="73">
        <v>1</v>
      </c>
      <c r="F41" s="160">
        <f t="shared" ref="F41" si="19">D41*E41*12</f>
        <v>300</v>
      </c>
      <c r="G41" s="146"/>
      <c r="H41" s="160"/>
      <c r="I41" s="161"/>
      <c r="J41" s="162"/>
      <c r="K41" s="162"/>
      <c r="L41" s="162"/>
      <c r="M41" s="141">
        <f>48.24-34.74</f>
        <v>13.5</v>
      </c>
      <c r="N41" s="163">
        <v>13.5</v>
      </c>
      <c r="O41" s="162">
        <f>D41*E41*M41*12</f>
        <v>4050</v>
      </c>
      <c r="P41" s="162">
        <f>D41*N41*12</f>
        <v>4050</v>
      </c>
      <c r="Q41" s="75">
        <f t="shared" ref="Q41" si="20">+P41-O41</f>
        <v>0</v>
      </c>
      <c r="S41" s="52"/>
    </row>
    <row r="42" spans="1:19" s="63" customFormat="1">
      <c r="A42" s="181"/>
      <c r="B42" s="49"/>
      <c r="C42" s="150" t="s">
        <v>113</v>
      </c>
      <c r="D42" s="171">
        <v>25</v>
      </c>
      <c r="E42" s="73">
        <v>3.33</v>
      </c>
      <c r="F42" s="72">
        <f t="shared" si="16"/>
        <v>999</v>
      </c>
      <c r="G42" s="146">
        <f>References!$B$29</f>
        <v>324</v>
      </c>
      <c r="H42" s="72">
        <f>F42*G42</f>
        <v>323676</v>
      </c>
      <c r="I42" s="48">
        <f>$D$121*H42</f>
        <v>216466.36427597853</v>
      </c>
      <c r="J42" s="71">
        <f>(References!$C$49*I42)</f>
        <v>649.39909282793315</v>
      </c>
      <c r="K42" s="71">
        <f>J42/References!$G$52</f>
        <v>661.97664916201143</v>
      </c>
      <c r="L42" s="71">
        <f t="shared" si="15"/>
        <v>0.66263928845046194</v>
      </c>
      <c r="M42" s="141">
        <v>34.74</v>
      </c>
      <c r="N42" s="153">
        <f t="shared" si="18"/>
        <v>35.402639288450466</v>
      </c>
      <c r="O42" s="71">
        <f>D42*E42*M42*12</f>
        <v>34705.26</v>
      </c>
      <c r="P42" s="71">
        <f>D42*E42*N42*12</f>
        <v>35367.23664916202</v>
      </c>
      <c r="Q42" s="75">
        <f t="shared" si="13"/>
        <v>661.97664916201757</v>
      </c>
      <c r="S42" s="52"/>
    </row>
    <row r="43" spans="1:19" s="63" customFormat="1">
      <c r="A43" s="181"/>
      <c r="B43" s="49"/>
      <c r="C43" s="150" t="s">
        <v>114</v>
      </c>
      <c r="D43" s="171"/>
      <c r="E43" s="73"/>
      <c r="F43" s="72">
        <v>1</v>
      </c>
      <c r="G43" s="146">
        <f>References!$B$29</f>
        <v>324</v>
      </c>
      <c r="H43" s="72">
        <f>F43*G43</f>
        <v>324</v>
      </c>
      <c r="I43" s="48">
        <f>$D$121*H43</f>
        <v>216.68304732330182</v>
      </c>
      <c r="J43" s="71">
        <f>(References!$C$49*I43)</f>
        <v>0.65004914196990304</v>
      </c>
      <c r="K43" s="71">
        <f>J43/References!$G$52</f>
        <v>0.66263928845046183</v>
      </c>
      <c r="L43" s="71">
        <f>K43/F43</f>
        <v>0.66263928845046183</v>
      </c>
      <c r="M43" s="141">
        <v>34.74</v>
      </c>
      <c r="N43" s="153">
        <f t="shared" si="18"/>
        <v>35.402639288450466</v>
      </c>
      <c r="O43" s="71"/>
      <c r="P43" s="71"/>
      <c r="Q43" s="75"/>
      <c r="S43" s="52"/>
    </row>
    <row r="44" spans="1:19" s="63" customFormat="1">
      <c r="A44" s="181"/>
      <c r="B44" s="49"/>
      <c r="C44" s="150"/>
      <c r="D44" s="171"/>
      <c r="E44" s="73"/>
      <c r="F44" s="131"/>
      <c r="G44" s="146"/>
      <c r="H44" s="72"/>
      <c r="I44" s="48"/>
      <c r="J44" s="71"/>
      <c r="K44" s="71"/>
      <c r="L44" s="71"/>
      <c r="M44" s="141"/>
      <c r="N44" s="71">
        <f t="shared" si="18"/>
        <v>0</v>
      </c>
      <c r="O44" s="71"/>
      <c r="P44" s="71"/>
      <c r="Q44" s="75">
        <f t="shared" si="13"/>
        <v>0</v>
      </c>
      <c r="S44" s="52"/>
    </row>
    <row r="45" spans="1:19" s="63" customFormat="1">
      <c r="A45" s="140"/>
      <c r="B45" s="49"/>
      <c r="C45" s="150" t="s">
        <v>116</v>
      </c>
      <c r="D45" s="171">
        <v>19</v>
      </c>
      <c r="E45" s="73">
        <v>1</v>
      </c>
      <c r="F45" s="72">
        <f t="shared" si="16"/>
        <v>228</v>
      </c>
      <c r="G45" s="146">
        <f>References!$B$31</f>
        <v>613</v>
      </c>
      <c r="H45" s="72">
        <f>F45*G45</f>
        <v>139764</v>
      </c>
      <c r="I45" s="48">
        <f>$D$121*H45</f>
        <v>93470.646376833203</v>
      </c>
      <c r="J45" s="71">
        <f>(References!$C$49*I45)</f>
        <v>280.41193913049858</v>
      </c>
      <c r="K45" s="71">
        <f>J45/References!$G$52</f>
        <v>285.84295528083442</v>
      </c>
      <c r="L45" s="71">
        <f t="shared" si="15"/>
        <v>1.2536971722843615</v>
      </c>
      <c r="M45" s="141">
        <v>63.88</v>
      </c>
      <c r="N45" s="153">
        <f t="shared" si="18"/>
        <v>65.133697172284357</v>
      </c>
      <c r="O45" s="71">
        <f>D45*E45*M45*12</f>
        <v>14564.64</v>
      </c>
      <c r="P45" s="71">
        <f>D45*N45*12</f>
        <v>14850.482955280833</v>
      </c>
      <c r="Q45" s="75">
        <f t="shared" si="13"/>
        <v>285.84295528083385</v>
      </c>
      <c r="S45" s="52"/>
    </row>
    <row r="46" spans="1:19" s="63" customFormat="1">
      <c r="A46" s="173"/>
      <c r="B46" s="49"/>
      <c r="C46" s="150" t="s">
        <v>157</v>
      </c>
      <c r="D46" s="171">
        <v>19</v>
      </c>
      <c r="E46" s="73">
        <v>1</v>
      </c>
      <c r="F46" s="160">
        <f t="shared" ref="F46" si="21">D46*E46*12</f>
        <v>228</v>
      </c>
      <c r="G46" s="146"/>
      <c r="H46" s="160"/>
      <c r="I46" s="161"/>
      <c r="J46" s="162"/>
      <c r="K46" s="162"/>
      <c r="L46" s="162"/>
      <c r="M46" s="141">
        <f>88.63-63.88</f>
        <v>24.749999999999993</v>
      </c>
      <c r="N46" s="163">
        <f t="shared" ref="N46" si="22">L46+M46</f>
        <v>24.749999999999993</v>
      </c>
      <c r="O46" s="162">
        <f>D46*E46*M46*12</f>
        <v>5642.9999999999982</v>
      </c>
      <c r="P46" s="162">
        <f>D46*N46*12</f>
        <v>5642.9999999999982</v>
      </c>
      <c r="Q46" s="75">
        <f t="shared" ref="Q46" si="23">+P46-O46</f>
        <v>0</v>
      </c>
      <c r="S46" s="52"/>
    </row>
    <row r="47" spans="1:19" s="63" customFormat="1">
      <c r="A47" s="140"/>
      <c r="B47" s="49"/>
      <c r="C47" s="129" t="s">
        <v>117</v>
      </c>
      <c r="D47" s="167">
        <v>19</v>
      </c>
      <c r="E47" s="73">
        <v>3.33</v>
      </c>
      <c r="F47" s="72">
        <f t="shared" si="16"/>
        <v>759.24</v>
      </c>
      <c r="G47" s="146">
        <f>References!$B$31</f>
        <v>613</v>
      </c>
      <c r="H47" s="72">
        <f>F47*G47</f>
        <v>465414.12</v>
      </c>
      <c r="I47" s="48">
        <f>$D$121*H47</f>
        <v>311257.25243485457</v>
      </c>
      <c r="J47" s="71">
        <f>(References!$C$49*I47)</f>
        <v>933.7717573045602</v>
      </c>
      <c r="K47" s="71">
        <f>J47/References!$G$52</f>
        <v>951.85704108517859</v>
      </c>
      <c r="L47" s="71">
        <f t="shared" si="15"/>
        <v>1.2536971722843615</v>
      </c>
      <c r="M47" s="141">
        <v>63.88</v>
      </c>
      <c r="N47" s="153">
        <f t="shared" si="18"/>
        <v>65.133697172284357</v>
      </c>
      <c r="O47" s="71">
        <f>D47*E47*M47*12</f>
        <v>48500.251199999999</v>
      </c>
      <c r="P47" s="71">
        <f>D47*E47*N47*12</f>
        <v>49452.108241085181</v>
      </c>
      <c r="Q47" s="75">
        <f t="shared" si="13"/>
        <v>951.85704108518257</v>
      </c>
      <c r="S47" s="52"/>
    </row>
    <row r="48" spans="1:19" s="63" customFormat="1">
      <c r="A48" s="140"/>
      <c r="B48" s="49"/>
      <c r="C48" s="129" t="s">
        <v>118</v>
      </c>
      <c r="D48" s="167"/>
      <c r="E48" s="73"/>
      <c r="F48" s="72">
        <v>1</v>
      </c>
      <c r="G48" s="146">
        <f>References!$B$31</f>
        <v>613</v>
      </c>
      <c r="H48" s="72">
        <f>F48*G48</f>
        <v>613</v>
      </c>
      <c r="I48" s="48">
        <f>$D$121*H48</f>
        <v>409.95897533698775</v>
      </c>
      <c r="J48" s="71">
        <f>(References!$C$49*I48)</f>
        <v>1.2298769260109585</v>
      </c>
      <c r="K48" s="71">
        <f>J48/References!$G$52</f>
        <v>1.2536971722843615</v>
      </c>
      <c r="L48" s="71">
        <f>K48/F48</f>
        <v>1.2536971722843615</v>
      </c>
      <c r="M48" s="141">
        <v>63.88</v>
      </c>
      <c r="N48" s="153">
        <f t="shared" si="18"/>
        <v>65.133697172284357</v>
      </c>
      <c r="O48" s="71"/>
      <c r="P48" s="71"/>
      <c r="Q48" s="75"/>
      <c r="S48" s="52"/>
    </row>
    <row r="49" spans="1:19" s="63" customFormat="1">
      <c r="A49" s="140"/>
      <c r="B49" s="49"/>
      <c r="C49" s="129"/>
      <c r="D49" s="167"/>
      <c r="E49" s="73"/>
      <c r="F49" s="72"/>
      <c r="G49" s="146"/>
      <c r="H49" s="72"/>
      <c r="I49" s="48"/>
      <c r="J49" s="71"/>
      <c r="K49" s="71"/>
      <c r="L49" s="71"/>
      <c r="M49" s="141"/>
      <c r="N49" s="71"/>
      <c r="O49" s="71"/>
      <c r="P49" s="71"/>
      <c r="Q49" s="75">
        <f t="shared" si="13"/>
        <v>0</v>
      </c>
      <c r="S49" s="52"/>
    </row>
    <row r="50" spans="1:19" s="63" customFormat="1">
      <c r="A50" s="140"/>
      <c r="B50" s="49"/>
      <c r="C50" s="150" t="s">
        <v>119</v>
      </c>
      <c r="D50" s="171">
        <v>12</v>
      </c>
      <c r="E50" s="73">
        <v>1</v>
      </c>
      <c r="F50" s="72">
        <f>D50*E50*12</f>
        <v>144</v>
      </c>
      <c r="G50" s="146">
        <f>References!B32</f>
        <v>840</v>
      </c>
      <c r="H50" s="113">
        <f>F50*G50</f>
        <v>120960</v>
      </c>
      <c r="I50" s="48">
        <f>$D$121*H50</f>
        <v>80895.004334032681</v>
      </c>
      <c r="J50" s="71">
        <f>(References!$C$49*I50)</f>
        <v>242.68501300209712</v>
      </c>
      <c r="K50" s="71">
        <f>J50/References!$G$52</f>
        <v>247.38533435483907</v>
      </c>
      <c r="L50" s="71">
        <f>K50/F50</f>
        <v>1.7179537107974936</v>
      </c>
      <c r="M50" s="141">
        <f>128.39-36</f>
        <v>92.389999999999986</v>
      </c>
      <c r="N50" s="153">
        <f>L50+M50</f>
        <v>94.107953710797474</v>
      </c>
      <c r="O50" s="71">
        <f>D50*E50*M50*12</f>
        <v>13304.159999999998</v>
      </c>
      <c r="P50" s="71">
        <f>D50*N50*12</f>
        <v>13551.545334354836</v>
      </c>
      <c r="Q50" s="75">
        <f t="shared" si="13"/>
        <v>247.38533435483805</v>
      </c>
      <c r="S50" s="52"/>
    </row>
    <row r="51" spans="1:19" s="63" customFormat="1">
      <c r="A51" s="173"/>
      <c r="B51" s="49"/>
      <c r="C51" s="150" t="s">
        <v>158</v>
      </c>
      <c r="D51" s="171">
        <v>12</v>
      </c>
      <c r="E51" s="73">
        <v>1</v>
      </c>
      <c r="F51" s="160">
        <f>D51*E51*12</f>
        <v>144</v>
      </c>
      <c r="G51" s="146"/>
      <c r="H51" s="113"/>
      <c r="I51" s="161"/>
      <c r="J51" s="162"/>
      <c r="K51" s="162"/>
      <c r="L51" s="162"/>
      <c r="M51" s="141">
        <f>128.39-92.39</f>
        <v>35.999999999999986</v>
      </c>
      <c r="N51" s="163">
        <f>L51+M51</f>
        <v>35.999999999999986</v>
      </c>
      <c r="O51" s="162">
        <f>D51*E51*M51*12</f>
        <v>5183.9999999999982</v>
      </c>
      <c r="P51" s="162">
        <f>D51*N51*12</f>
        <v>5183.9999999999982</v>
      </c>
      <c r="Q51" s="75">
        <f t="shared" ref="Q51" si="24">+P51-O51</f>
        <v>0</v>
      </c>
      <c r="S51" s="52"/>
    </row>
    <row r="52" spans="1:19" s="63" customFormat="1">
      <c r="A52" s="140"/>
      <c r="B52" s="49"/>
      <c r="C52" s="150" t="s">
        <v>120</v>
      </c>
      <c r="D52" s="171">
        <v>12</v>
      </c>
      <c r="E52" s="73">
        <v>3.33</v>
      </c>
      <c r="F52" s="72">
        <f>D52*E52*12</f>
        <v>479.52</v>
      </c>
      <c r="G52" s="146">
        <f>References!B32</f>
        <v>840</v>
      </c>
      <c r="H52" s="113">
        <f>F52*G52</f>
        <v>402796.79999999999</v>
      </c>
      <c r="I52" s="48">
        <f>$D$121*H52</f>
        <v>269380.36443232885</v>
      </c>
      <c r="J52" s="71">
        <f>(References!$C$49*I52)</f>
        <v>808.14109329698351</v>
      </c>
      <c r="K52" s="71">
        <f>J52/References!$G$52</f>
        <v>823.79316340161415</v>
      </c>
      <c r="L52" s="71">
        <f>K52/F52</f>
        <v>1.7179537107974938</v>
      </c>
      <c r="M52" s="141">
        <v>92.39</v>
      </c>
      <c r="N52" s="153">
        <f>L52+M52</f>
        <v>94.107953710797489</v>
      </c>
      <c r="O52" s="71">
        <f>D52*E52*M52*12</f>
        <v>44302.852800000001</v>
      </c>
      <c r="P52" s="71">
        <f>D52*E52*N52*12</f>
        <v>45126.645963401606</v>
      </c>
      <c r="Q52" s="75">
        <f t="shared" si="13"/>
        <v>823.79316340160585</v>
      </c>
      <c r="S52" s="52"/>
    </row>
    <row r="53" spans="1:19" s="63" customFormat="1">
      <c r="A53" s="140"/>
      <c r="B53" s="49"/>
      <c r="C53" s="150" t="s">
        <v>121</v>
      </c>
      <c r="D53" s="171"/>
      <c r="E53" s="73"/>
      <c r="F53" s="131">
        <v>1</v>
      </c>
      <c r="G53" s="146">
        <f>References!B32</f>
        <v>840</v>
      </c>
      <c r="H53" s="113">
        <f>F53*G53</f>
        <v>840</v>
      </c>
      <c r="I53" s="48">
        <f>$D$121*H53</f>
        <v>561.77086343078247</v>
      </c>
      <c r="J53" s="71">
        <f>(References!$C$49*I53)</f>
        <v>1.6853125902923412</v>
      </c>
      <c r="K53" s="71">
        <f>J53/References!$G$52</f>
        <v>1.7179537107974936</v>
      </c>
      <c r="L53" s="71">
        <f>K53/F53</f>
        <v>1.7179537107974936</v>
      </c>
      <c r="M53" s="141">
        <v>92.39</v>
      </c>
      <c r="N53" s="153">
        <f>L53+M53</f>
        <v>94.107953710797489</v>
      </c>
      <c r="O53" s="71"/>
      <c r="P53" s="71"/>
      <c r="Q53" s="75">
        <f t="shared" si="13"/>
        <v>0</v>
      </c>
      <c r="S53" s="52"/>
    </row>
    <row r="54" spans="1:19" s="63" customFormat="1">
      <c r="A54" s="140"/>
      <c r="B54" s="49"/>
      <c r="C54" s="150"/>
      <c r="D54" s="171"/>
      <c r="E54" s="73"/>
      <c r="F54" s="131"/>
      <c r="G54" s="146"/>
      <c r="H54" s="113"/>
      <c r="I54" s="48"/>
      <c r="J54" s="71"/>
      <c r="K54" s="71"/>
      <c r="L54" s="71"/>
      <c r="M54" s="141"/>
      <c r="N54" s="71"/>
      <c r="O54" s="71"/>
      <c r="P54" s="71"/>
      <c r="Q54" s="75">
        <f t="shared" si="13"/>
        <v>0</v>
      </c>
      <c r="S54" s="52"/>
    </row>
    <row r="55" spans="1:19" s="63" customFormat="1">
      <c r="A55" s="140"/>
      <c r="B55" s="49"/>
      <c r="C55" s="150" t="s">
        <v>112</v>
      </c>
      <c r="D55" s="171">
        <v>2</v>
      </c>
      <c r="E55" s="73">
        <v>1</v>
      </c>
      <c r="F55" s="72">
        <f>D55*E55*12</f>
        <v>24</v>
      </c>
      <c r="G55" s="146">
        <f>References!$B$29</f>
        <v>324</v>
      </c>
      <c r="H55" s="72">
        <f>F55*G55</f>
        <v>7776</v>
      </c>
      <c r="I55" s="48">
        <f>$D$121*H55</f>
        <v>5200.3931357592437</v>
      </c>
      <c r="J55" s="71">
        <f>(References!$C$49*I55)</f>
        <v>15.601179407277673</v>
      </c>
      <c r="K55" s="71">
        <f>J55/References!$G$52</f>
        <v>15.903342922811085</v>
      </c>
      <c r="L55" s="71">
        <f>K55/F55</f>
        <v>0.66263928845046183</v>
      </c>
      <c r="M55" s="141">
        <v>34.74</v>
      </c>
      <c r="N55" s="153">
        <f>L55+M55</f>
        <v>35.402639288450466</v>
      </c>
      <c r="O55" s="71">
        <f>D55*E55*M55*12</f>
        <v>833.76</v>
      </c>
      <c r="P55" s="71">
        <f>D55*N55*12</f>
        <v>849.66334292281113</v>
      </c>
      <c r="Q55" s="75">
        <f t="shared" si="13"/>
        <v>15.903342922811134</v>
      </c>
      <c r="S55" s="52"/>
    </row>
    <row r="56" spans="1:19" s="63" customFormat="1">
      <c r="A56" s="174"/>
      <c r="B56" s="49"/>
      <c r="C56" s="150" t="s">
        <v>156</v>
      </c>
      <c r="D56" s="171">
        <v>25</v>
      </c>
      <c r="E56" s="73">
        <v>1</v>
      </c>
      <c r="F56" s="160">
        <v>24</v>
      </c>
      <c r="G56" s="146"/>
      <c r="H56" s="160"/>
      <c r="I56" s="161"/>
      <c r="J56" s="162"/>
      <c r="K56" s="162"/>
      <c r="L56" s="162"/>
      <c r="M56" s="141">
        <f>48.24-34.74</f>
        <v>13.5</v>
      </c>
      <c r="N56" s="163">
        <v>13.5</v>
      </c>
      <c r="O56" s="162">
        <f>D56*E56*M56*12</f>
        <v>4050</v>
      </c>
      <c r="P56" s="162">
        <f>D56*N56*12</f>
        <v>4050</v>
      </c>
      <c r="Q56" s="75">
        <f t="shared" si="13"/>
        <v>0</v>
      </c>
      <c r="S56" s="52"/>
    </row>
    <row r="57" spans="1:19" s="63" customFormat="1">
      <c r="A57" s="140"/>
      <c r="B57" s="49"/>
      <c r="C57" s="150" t="s">
        <v>145</v>
      </c>
      <c r="D57" s="171">
        <v>2</v>
      </c>
      <c r="E57" s="73">
        <f>3.33+4.33</f>
        <v>7.66</v>
      </c>
      <c r="F57" s="72">
        <f>D57*E57*12</f>
        <v>183.84</v>
      </c>
      <c r="G57" s="146">
        <f>References!$B$29</f>
        <v>324</v>
      </c>
      <c r="H57" s="72">
        <f>F57*G57</f>
        <v>59564.160000000003</v>
      </c>
      <c r="I57" s="48">
        <f>$D$121*H57</f>
        <v>39835.011419915812</v>
      </c>
      <c r="J57" s="71">
        <f>(References!$C$49*I57)</f>
        <v>119.50503425974699</v>
      </c>
      <c r="K57" s="71">
        <f>J57/References!$G$52</f>
        <v>121.81960678873293</v>
      </c>
      <c r="L57" s="71">
        <f>K57/F57</f>
        <v>0.66263928845046194</v>
      </c>
      <c r="M57" s="141">
        <v>34.74</v>
      </c>
      <c r="N57" s="153">
        <f>L57+M57</f>
        <v>35.402639288450466</v>
      </c>
      <c r="O57" s="71">
        <f>D57*E57*M57*12</f>
        <v>6386.6016</v>
      </c>
      <c r="P57" s="71">
        <f>D57*E57*N57*12</f>
        <v>6508.4212067887347</v>
      </c>
      <c r="Q57" s="75">
        <f t="shared" si="13"/>
        <v>121.81960678873475</v>
      </c>
      <c r="S57" s="52"/>
    </row>
    <row r="58" spans="1:19" s="63" customFormat="1">
      <c r="A58" s="140"/>
      <c r="B58" s="49"/>
      <c r="C58" s="129"/>
      <c r="D58" s="167"/>
      <c r="E58" s="73"/>
      <c r="F58" s="130"/>
      <c r="G58" s="145"/>
      <c r="H58" s="113"/>
      <c r="I58" s="48"/>
      <c r="J58" s="71"/>
      <c r="K58" s="71"/>
      <c r="L58" s="71"/>
      <c r="M58" s="71"/>
      <c r="N58" s="71"/>
      <c r="O58" s="71"/>
      <c r="P58" s="71"/>
      <c r="Q58" s="75">
        <f t="shared" si="13"/>
        <v>0</v>
      </c>
      <c r="S58" s="52"/>
    </row>
    <row r="59" spans="1:19" s="63" customFormat="1">
      <c r="A59" s="140"/>
      <c r="B59" s="49"/>
      <c r="C59" s="150" t="s">
        <v>116</v>
      </c>
      <c r="D59" s="171">
        <v>1</v>
      </c>
      <c r="E59" s="73">
        <v>1</v>
      </c>
      <c r="F59" s="72">
        <f>D59*E59*12</f>
        <v>12</v>
      </c>
      <c r="G59" s="146">
        <f>References!$B$31</f>
        <v>613</v>
      </c>
      <c r="H59" s="72">
        <f>F59*G59</f>
        <v>7356</v>
      </c>
      <c r="I59" s="48">
        <f>$D$121*H59</f>
        <v>4919.5077040438528</v>
      </c>
      <c r="J59" s="71">
        <f>(References!$C$49*I59)</f>
        <v>14.758523112131503</v>
      </c>
      <c r="K59" s="71">
        <f>J59/References!$G$52</f>
        <v>15.044366067412337</v>
      </c>
      <c r="L59" s="71">
        <f>K59/F59</f>
        <v>1.2536971722843615</v>
      </c>
      <c r="M59" s="141">
        <v>63.88</v>
      </c>
      <c r="N59" s="163">
        <f>L59+M59</f>
        <v>65.133697172284357</v>
      </c>
      <c r="O59" s="71">
        <f>D59*E59*M59*12</f>
        <v>766.56000000000006</v>
      </c>
      <c r="P59" s="71">
        <f>D59*N59*12</f>
        <v>781.60436606741223</v>
      </c>
      <c r="Q59" s="75">
        <f>+P59-O59</f>
        <v>15.04436606741217</v>
      </c>
      <c r="S59" s="52"/>
    </row>
    <row r="60" spans="1:19" s="63" customFormat="1">
      <c r="A60" s="174"/>
      <c r="B60" s="49"/>
      <c r="C60" s="150" t="s">
        <v>157</v>
      </c>
      <c r="D60" s="171">
        <v>19</v>
      </c>
      <c r="E60" s="73">
        <v>1</v>
      </c>
      <c r="F60" s="160">
        <v>12</v>
      </c>
      <c r="G60" s="146"/>
      <c r="H60" s="160"/>
      <c r="I60" s="161"/>
      <c r="J60" s="162"/>
      <c r="K60" s="162"/>
      <c r="L60" s="162"/>
      <c r="M60" s="141">
        <f>88.63-63.88</f>
        <v>24.749999999999993</v>
      </c>
      <c r="N60" s="163">
        <f t="shared" ref="N60" si="25">L60+M60</f>
        <v>24.749999999999993</v>
      </c>
      <c r="O60" s="162">
        <f>D60*E60*M60*12</f>
        <v>5642.9999999999982</v>
      </c>
      <c r="P60" s="162">
        <f>D60*N60*12</f>
        <v>5642.9999999999982</v>
      </c>
      <c r="Q60" s="75">
        <f t="shared" ref="Q60" si="26">+P60-O60</f>
        <v>0</v>
      </c>
      <c r="S60" s="52"/>
    </row>
    <row r="61" spans="1:19" s="63" customFormat="1">
      <c r="A61" s="140"/>
      <c r="B61" s="49"/>
      <c r="C61" s="129" t="s">
        <v>117</v>
      </c>
      <c r="D61" s="167">
        <v>1</v>
      </c>
      <c r="E61" s="73">
        <v>7.66</v>
      </c>
      <c r="F61" s="72">
        <f>D61*E61*12</f>
        <v>91.92</v>
      </c>
      <c r="G61" s="146">
        <f>References!$B$31</f>
        <v>613</v>
      </c>
      <c r="H61" s="72">
        <f>F61*G61</f>
        <v>56346.96</v>
      </c>
      <c r="I61" s="48">
        <f>$D$121*H61</f>
        <v>37683.42901297591</v>
      </c>
      <c r="J61" s="71">
        <f>(References!$C$49*I61)</f>
        <v>113.05028703892731</v>
      </c>
      <c r="K61" s="71">
        <f>J61/References!$G$52</f>
        <v>115.2398440763785</v>
      </c>
      <c r="L61" s="71">
        <f>K61/F61</f>
        <v>1.2536971722843615</v>
      </c>
      <c r="M61" s="141">
        <v>63.88</v>
      </c>
      <c r="N61" s="153">
        <f>L61+M61</f>
        <v>65.133697172284357</v>
      </c>
      <c r="O61" s="71">
        <f>D61*E61*M61*12</f>
        <v>5871.8496000000005</v>
      </c>
      <c r="P61" s="71">
        <f>D61*E61*N61*12</f>
        <v>5987.0894440763777</v>
      </c>
      <c r="Q61" s="75">
        <f>+P61-O61</f>
        <v>115.23984407637727</v>
      </c>
      <c r="S61" s="52"/>
    </row>
    <row r="62" spans="1:19" s="63" customFormat="1">
      <c r="A62" s="140"/>
      <c r="B62" s="49"/>
      <c r="C62" s="129"/>
      <c r="D62" s="167"/>
      <c r="E62" s="73"/>
      <c r="F62" s="130"/>
      <c r="G62" s="145"/>
      <c r="H62" s="113"/>
      <c r="I62" s="48"/>
      <c r="J62" s="71"/>
      <c r="K62" s="71"/>
      <c r="L62" s="71"/>
      <c r="M62" s="71"/>
      <c r="N62" s="71"/>
      <c r="O62" s="71"/>
      <c r="P62" s="71"/>
      <c r="Q62" s="75"/>
      <c r="S62" s="52"/>
    </row>
    <row r="63" spans="1:19" s="63" customFormat="1">
      <c r="A63" s="140"/>
      <c r="B63" s="49"/>
      <c r="C63" s="150" t="s">
        <v>119</v>
      </c>
      <c r="D63" s="171">
        <v>1</v>
      </c>
      <c r="E63" s="73">
        <v>1</v>
      </c>
      <c r="F63" s="72">
        <f>D63*E63*12</f>
        <v>12</v>
      </c>
      <c r="G63" s="146">
        <f>References!B32</f>
        <v>840</v>
      </c>
      <c r="H63" s="113">
        <f>F63*G63</f>
        <v>10080</v>
      </c>
      <c r="I63" s="48">
        <f>$D$121*H63</f>
        <v>6741.2503611693901</v>
      </c>
      <c r="J63" s="71">
        <f>(References!$C$49*I63)</f>
        <v>20.223751083508095</v>
      </c>
      <c r="K63" s="71">
        <f>J63/References!$G$52</f>
        <v>20.615444529569924</v>
      </c>
      <c r="L63" s="71">
        <f>K63/F63</f>
        <v>1.7179537107974936</v>
      </c>
      <c r="M63" s="141">
        <v>92.39</v>
      </c>
      <c r="N63" s="153">
        <f>L63+M63</f>
        <v>94.107953710797489</v>
      </c>
      <c r="O63" s="71">
        <f>D63*E63*M63*12</f>
        <v>1108.68</v>
      </c>
      <c r="P63" s="71">
        <f>D63*N63*12</f>
        <v>1129.29544452957</v>
      </c>
      <c r="Q63" s="75"/>
      <c r="S63" s="52"/>
    </row>
    <row r="64" spans="1:19" s="63" customFormat="1">
      <c r="A64" s="174"/>
      <c r="B64" s="49"/>
      <c r="C64" s="150" t="s">
        <v>158</v>
      </c>
      <c r="D64" s="171">
        <v>12</v>
      </c>
      <c r="E64" s="73">
        <v>1</v>
      </c>
      <c r="F64" s="160">
        <v>12</v>
      </c>
      <c r="G64" s="146"/>
      <c r="H64" s="113"/>
      <c r="I64" s="161"/>
      <c r="J64" s="162"/>
      <c r="K64" s="162"/>
      <c r="L64" s="162"/>
      <c r="M64" s="141">
        <f>128.39-92.39</f>
        <v>35.999999999999986</v>
      </c>
      <c r="N64" s="163">
        <f>L64+M64</f>
        <v>35.999999999999986</v>
      </c>
      <c r="O64" s="162">
        <f>D64*E64*M64*12</f>
        <v>5183.9999999999982</v>
      </c>
      <c r="P64" s="162">
        <f>D64*N64*12</f>
        <v>5183.9999999999982</v>
      </c>
      <c r="Q64" s="75">
        <f t="shared" ref="Q64" si="27">+P64-O64</f>
        <v>0</v>
      </c>
      <c r="S64" s="52"/>
    </row>
    <row r="65" spans="1:19" s="63" customFormat="1">
      <c r="A65" s="140"/>
      <c r="B65" s="49"/>
      <c r="C65" s="150" t="s">
        <v>146</v>
      </c>
      <c r="D65" s="171">
        <v>1</v>
      </c>
      <c r="E65" s="73">
        <f>3.33+4.33+4.33</f>
        <v>11.99</v>
      </c>
      <c r="F65" s="72">
        <f>D65*E65*12</f>
        <v>143.88</v>
      </c>
      <c r="G65" s="146">
        <f>References!B32</f>
        <v>840</v>
      </c>
      <c r="H65" s="113">
        <f>F65*G65</f>
        <v>120859.2</v>
      </c>
      <c r="I65" s="48">
        <f>$D$121*H65</f>
        <v>80827.591830420992</v>
      </c>
      <c r="J65" s="71">
        <f>(References!$C$49*I65)</f>
        <v>242.48277549126206</v>
      </c>
      <c r="K65" s="71">
        <f>J65/References!$G$52</f>
        <v>247.17917990954339</v>
      </c>
      <c r="L65" s="71">
        <f>K65/F65</f>
        <v>1.7179537107974938</v>
      </c>
      <c r="M65" s="141">
        <v>92.39</v>
      </c>
      <c r="N65" s="153">
        <f>L65+M65</f>
        <v>94.107953710797489</v>
      </c>
      <c r="O65" s="71">
        <f>D65*E65*M65*12</f>
        <v>13293.073200000001</v>
      </c>
      <c r="P65" s="71">
        <f>D65*E65*N65*12</f>
        <v>13540.252379909542</v>
      </c>
      <c r="Q65" s="75"/>
      <c r="S65" s="52"/>
    </row>
    <row r="66" spans="1:19" s="63" customFormat="1">
      <c r="A66" s="140"/>
      <c r="B66" s="49"/>
      <c r="C66" s="129"/>
      <c r="D66" s="167"/>
      <c r="E66" s="73"/>
      <c r="F66" s="130"/>
      <c r="G66" s="145"/>
      <c r="H66" s="113"/>
      <c r="I66" s="48"/>
      <c r="J66" s="71"/>
      <c r="K66" s="71"/>
      <c r="L66" s="71"/>
      <c r="M66" s="71"/>
      <c r="N66" s="71"/>
      <c r="O66" s="71"/>
      <c r="P66" s="71"/>
      <c r="Q66" s="75"/>
      <c r="S66" s="52"/>
    </row>
    <row r="67" spans="1:19" s="63" customFormat="1">
      <c r="A67" s="140"/>
      <c r="B67" s="49"/>
      <c r="C67" s="150" t="s">
        <v>105</v>
      </c>
      <c r="D67" s="123">
        <v>49</v>
      </c>
      <c r="E67" s="73">
        <v>1</v>
      </c>
      <c r="F67" s="72">
        <f>D67*E67*12</f>
        <v>588</v>
      </c>
      <c r="G67" s="146">
        <f>References!B27</f>
        <v>175</v>
      </c>
      <c r="H67" s="72">
        <f>F67*G67</f>
        <v>102900</v>
      </c>
      <c r="I67" s="48">
        <f>$D$121*H67</f>
        <v>68816.930770270861</v>
      </c>
      <c r="J67" s="71">
        <f>(References!$C$49*I67)</f>
        <v>206.45079231081181</v>
      </c>
      <c r="K67" s="71">
        <f>J67/References!$G$52</f>
        <v>210.44932957269299</v>
      </c>
      <c r="L67" s="71">
        <f>K67/F67</f>
        <v>0.35790702308281119</v>
      </c>
      <c r="M67" s="141">
        <v>30</v>
      </c>
      <c r="N67" s="153">
        <f>L67+M67</f>
        <v>30.357907023082809</v>
      </c>
      <c r="O67" s="71">
        <f>D67*E67*M67*12</f>
        <v>17640</v>
      </c>
      <c r="P67" s="71">
        <f>D67*N67*12</f>
        <v>17850.44932957269</v>
      </c>
      <c r="Q67" s="75">
        <f>+P67-O67</f>
        <v>210.44932957268975</v>
      </c>
      <c r="S67" s="52"/>
    </row>
    <row r="68" spans="1:19" s="63" customFormat="1">
      <c r="A68" s="140"/>
      <c r="B68" s="49"/>
      <c r="C68" s="129" t="s">
        <v>147</v>
      </c>
      <c r="D68" s="166">
        <v>49</v>
      </c>
      <c r="E68" s="73">
        <v>1.17</v>
      </c>
      <c r="F68" s="72">
        <f>D68*E68*12</f>
        <v>687.96</v>
      </c>
      <c r="G68" s="146">
        <f>References!B27</f>
        <v>175</v>
      </c>
      <c r="H68" s="72">
        <f>F68*G68</f>
        <v>120393</v>
      </c>
      <c r="I68" s="48">
        <f>$D$121*H68</f>
        <v>80515.809001216912</v>
      </c>
      <c r="J68" s="71">
        <f>(References!$C$49*I68)</f>
        <v>241.54742700364983</v>
      </c>
      <c r="K68" s="71">
        <f>J68/References!$G$52</f>
        <v>246.22571560005079</v>
      </c>
      <c r="L68" s="71">
        <f>K68/F68</f>
        <v>0.35790702308281119</v>
      </c>
      <c r="M68" s="154">
        <v>18.899999999999999</v>
      </c>
      <c r="N68" s="153">
        <f>L68+M68</f>
        <v>19.257907023082808</v>
      </c>
      <c r="O68" s="71">
        <f>D68*E68*M68*12</f>
        <v>13002.443999999998</v>
      </c>
      <c r="P68" s="71">
        <f>D68*E68*N68*12</f>
        <v>13248.669715600048</v>
      </c>
      <c r="Q68" s="75">
        <f>+P68-O68</f>
        <v>246.22571560005053</v>
      </c>
      <c r="S68" s="52"/>
    </row>
    <row r="69" spans="1:19" s="63" customFormat="1">
      <c r="A69" s="140"/>
      <c r="B69" s="49"/>
      <c r="C69" s="129"/>
      <c r="D69" s="167"/>
      <c r="E69" s="73"/>
      <c r="F69" s="130"/>
      <c r="G69" s="145"/>
      <c r="H69" s="113"/>
      <c r="I69" s="48"/>
      <c r="J69" s="71"/>
      <c r="K69" s="71"/>
      <c r="L69" s="71"/>
      <c r="M69" s="71"/>
      <c r="N69" s="71"/>
      <c r="O69" s="71"/>
      <c r="P69" s="71"/>
      <c r="Q69" s="75"/>
      <c r="S69" s="52"/>
    </row>
    <row r="70" spans="1:19" s="63" customFormat="1">
      <c r="A70" s="140"/>
      <c r="B70" s="49"/>
      <c r="C70" s="150" t="s">
        <v>108</v>
      </c>
      <c r="D70" s="171">
        <v>2</v>
      </c>
      <c r="E70" s="73">
        <v>1</v>
      </c>
      <c r="F70" s="72">
        <f>D70*E70*12</f>
        <v>24</v>
      </c>
      <c r="G70" s="146">
        <f>References!$B$28</f>
        <v>250</v>
      </c>
      <c r="H70" s="72">
        <f>F70*G70</f>
        <v>6000</v>
      </c>
      <c r="I70" s="48">
        <f>$D$121*H70</f>
        <v>4012.6490245055893</v>
      </c>
      <c r="J70" s="71">
        <f>(References!$C$49*I70)</f>
        <v>12.037947073516722</v>
      </c>
      <c r="K70" s="71">
        <f>J70/References!$G$52</f>
        <v>12.271097934267811</v>
      </c>
      <c r="L70" s="71">
        <f>K70/F70</f>
        <v>0.51129574726115878</v>
      </c>
      <c r="M70" s="141">
        <v>37.5</v>
      </c>
      <c r="N70" s="153">
        <f>L70+M70</f>
        <v>38.011295747261158</v>
      </c>
      <c r="O70" s="71">
        <f>D70*E70*M70*12</f>
        <v>900</v>
      </c>
      <c r="P70" s="71">
        <f>D70*N70*12</f>
        <v>912.2710979342678</v>
      </c>
      <c r="Q70" s="75">
        <f>+P70-O70</f>
        <v>12.2710979342678</v>
      </c>
      <c r="S70" s="52"/>
    </row>
    <row r="71" spans="1:19" s="63" customFormat="1">
      <c r="A71" s="140"/>
      <c r="B71" s="49"/>
      <c r="C71" s="129" t="s">
        <v>148</v>
      </c>
      <c r="D71" s="167">
        <v>2</v>
      </c>
      <c r="E71" s="73">
        <v>1.17</v>
      </c>
      <c r="F71" s="72">
        <f>D71*E71*12</f>
        <v>28.08</v>
      </c>
      <c r="G71" s="144">
        <f>References!$B$28</f>
        <v>250</v>
      </c>
      <c r="H71" s="72">
        <f>F71*G71</f>
        <v>7020</v>
      </c>
      <c r="I71" s="48">
        <f>$D$121*H71</f>
        <v>4694.7993586715393</v>
      </c>
      <c r="J71" s="71">
        <f>(References!$C$49*I71)</f>
        <v>14.084398076014566</v>
      </c>
      <c r="K71" s="71">
        <f>J71/References!$G$52</f>
        <v>14.357184583093339</v>
      </c>
      <c r="L71" s="71">
        <f>K71/F71</f>
        <v>0.51129574726115878</v>
      </c>
      <c r="M71" s="141">
        <v>26.25</v>
      </c>
      <c r="N71" s="153">
        <f>L71+M71</f>
        <v>26.761295747261158</v>
      </c>
      <c r="O71" s="71">
        <f>D71*E71*M71*12</f>
        <v>737.09999999999991</v>
      </c>
      <c r="P71" s="71">
        <f>D71*E71*N71*12</f>
        <v>751.45718458309329</v>
      </c>
      <c r="Q71" s="75">
        <f>+P71-O71</f>
        <v>14.357184583093385</v>
      </c>
      <c r="S71" s="52"/>
    </row>
    <row r="72" spans="1:19" s="63" customFormat="1">
      <c r="A72" s="140"/>
      <c r="B72" s="49"/>
      <c r="C72" s="129"/>
      <c r="D72" s="167"/>
      <c r="E72" s="73"/>
      <c r="F72" s="130"/>
      <c r="G72" s="145"/>
      <c r="H72" s="113"/>
      <c r="I72" s="48"/>
      <c r="J72" s="71"/>
      <c r="K72" s="71"/>
      <c r="L72" s="71"/>
      <c r="M72" s="71"/>
      <c r="N72" s="153"/>
      <c r="O72" s="71"/>
      <c r="P72" s="71"/>
      <c r="Q72" s="75"/>
      <c r="S72" s="52"/>
    </row>
    <row r="73" spans="1:19" s="63" customFormat="1">
      <c r="A73" s="140"/>
      <c r="B73" s="49"/>
      <c r="C73" s="150" t="s">
        <v>112</v>
      </c>
      <c r="D73" s="171">
        <v>31</v>
      </c>
      <c r="E73" s="73">
        <v>1</v>
      </c>
      <c r="F73" s="72">
        <f>D73*E73*12</f>
        <v>372</v>
      </c>
      <c r="G73" s="146">
        <f>References!$B$29</f>
        <v>324</v>
      </c>
      <c r="H73" s="72">
        <f>F73*G73</f>
        <v>120528</v>
      </c>
      <c r="I73" s="48">
        <f>$D$121*H73</f>
        <v>80606.093604268288</v>
      </c>
      <c r="J73" s="71">
        <f>(References!$C$49*I73)</f>
        <v>241.81828081280395</v>
      </c>
      <c r="K73" s="71">
        <f>J73/References!$G$52</f>
        <v>246.50181530357182</v>
      </c>
      <c r="L73" s="71">
        <f>K73/F73</f>
        <v>0.66263928845046183</v>
      </c>
      <c r="M73" s="141">
        <v>45</v>
      </c>
      <c r="N73" s="153">
        <f>L73+M73</f>
        <v>45.662639288450464</v>
      </c>
      <c r="O73" s="71">
        <f>D73*E73*M73*12</f>
        <v>16740</v>
      </c>
      <c r="P73" s="71">
        <f>D73*N73*12</f>
        <v>16986.501815303571</v>
      </c>
      <c r="Q73" s="75"/>
      <c r="S73" s="52"/>
    </row>
    <row r="74" spans="1:19" s="63" customFormat="1">
      <c r="A74" s="140"/>
      <c r="B74" s="49"/>
      <c r="C74" s="150" t="s">
        <v>149</v>
      </c>
      <c r="D74" s="171">
        <v>31</v>
      </c>
      <c r="E74" s="73">
        <v>1.17</v>
      </c>
      <c r="F74" s="72">
        <f>D74*E74*12</f>
        <v>435.23999999999995</v>
      </c>
      <c r="G74" s="146">
        <f>References!$B$29</f>
        <v>324</v>
      </c>
      <c r="H74" s="72">
        <f>F74*G74</f>
        <v>141017.75999999998</v>
      </c>
      <c r="I74" s="48">
        <f>$D$121*H74</f>
        <v>94309.129516993882</v>
      </c>
      <c r="J74" s="71">
        <f>(References!$C$49*I74)</f>
        <v>282.9273885509806</v>
      </c>
      <c r="K74" s="71">
        <f>J74/References!$G$52</f>
        <v>288.40712390517899</v>
      </c>
      <c r="L74" s="71">
        <f>K74/F74</f>
        <v>0.66263928845046183</v>
      </c>
      <c r="M74" s="141">
        <v>31.5</v>
      </c>
      <c r="N74" s="153">
        <f>L74+M74</f>
        <v>32.162639288450464</v>
      </c>
      <c r="O74" s="71">
        <f>D74*E74*M74*12</f>
        <v>13710.059999999998</v>
      </c>
      <c r="P74" s="71">
        <f>D74*E74*N74*12</f>
        <v>13998.467123905179</v>
      </c>
      <c r="Q74" s="75"/>
      <c r="S74" s="52"/>
    </row>
    <row r="75" spans="1:19" s="63" customFormat="1">
      <c r="A75" s="140"/>
      <c r="B75" s="49"/>
      <c r="C75" s="129"/>
      <c r="D75" s="167"/>
      <c r="E75" s="73"/>
      <c r="F75" s="130"/>
      <c r="G75" s="145"/>
      <c r="H75" s="113"/>
      <c r="I75" s="48"/>
      <c r="J75" s="71"/>
      <c r="K75" s="71"/>
      <c r="L75" s="71"/>
      <c r="M75" s="71"/>
      <c r="N75" s="153"/>
      <c r="O75" s="71"/>
      <c r="P75" s="71"/>
      <c r="Q75" s="75"/>
      <c r="S75" s="52"/>
    </row>
    <row r="76" spans="1:19" s="63" customFormat="1">
      <c r="A76" s="140"/>
      <c r="B76" s="49"/>
      <c r="C76" s="150" t="s">
        <v>116</v>
      </c>
      <c r="D76" s="171">
        <v>6</v>
      </c>
      <c r="E76" s="73">
        <v>1</v>
      </c>
      <c r="F76" s="72">
        <f>D76*E76*12</f>
        <v>72</v>
      </c>
      <c r="G76" s="146">
        <f>References!$B$31</f>
        <v>613</v>
      </c>
      <c r="H76" s="72">
        <f>F76*G76</f>
        <v>44136</v>
      </c>
      <c r="I76" s="48">
        <f>$D$121*H76</f>
        <v>29517.046224263115</v>
      </c>
      <c r="J76" s="71">
        <f>(References!$C$49*I76)</f>
        <v>88.551138672789008</v>
      </c>
      <c r="K76" s="71">
        <f>J76/References!$G$52</f>
        <v>90.266196404474016</v>
      </c>
      <c r="L76" s="71">
        <f>K76/F76</f>
        <v>1.2536971722843613</v>
      </c>
      <c r="M76" s="141">
        <v>82.5</v>
      </c>
      <c r="N76" s="153">
        <f>L76+M76</f>
        <v>83.753697172284362</v>
      </c>
      <c r="O76" s="71">
        <f>D76*E76*M76*12</f>
        <v>5940</v>
      </c>
      <c r="P76" s="71">
        <f>D76*N76*12</f>
        <v>6030.2661964044737</v>
      </c>
      <c r="Q76" s="75">
        <f>+P76-O76</f>
        <v>90.266196404473703</v>
      </c>
      <c r="S76" s="52"/>
    </row>
    <row r="77" spans="1:19" s="63" customFormat="1">
      <c r="A77" s="140"/>
      <c r="B77" s="49"/>
      <c r="C77" s="129" t="s">
        <v>150</v>
      </c>
      <c r="D77" s="167">
        <v>6</v>
      </c>
      <c r="E77" s="73">
        <v>1.17</v>
      </c>
      <c r="F77" s="72">
        <f>D77*E77*12</f>
        <v>84.24</v>
      </c>
      <c r="G77" s="146">
        <f>References!$B$31</f>
        <v>613</v>
      </c>
      <c r="H77" s="72">
        <f>F77*G77</f>
        <v>51639.119999999995</v>
      </c>
      <c r="I77" s="48">
        <f>$D$121*H77</f>
        <v>34534.944082387839</v>
      </c>
      <c r="J77" s="71">
        <f>(References!$C$49*I77)</f>
        <v>103.60483224716313</v>
      </c>
      <c r="K77" s="71">
        <f>J77/References!$G$52</f>
        <v>105.61144979323458</v>
      </c>
      <c r="L77" s="71">
        <f>K77/F77</f>
        <v>1.2536971722843613</v>
      </c>
      <c r="M77" s="141">
        <v>57.75</v>
      </c>
      <c r="N77" s="153">
        <f>L77+M77</f>
        <v>59.003697172284362</v>
      </c>
      <c r="O77" s="71">
        <f>D77*E77*M77*12</f>
        <v>4864.8599999999997</v>
      </c>
      <c r="P77" s="71">
        <f>D77*E77*N77*12</f>
        <v>4970.4714497932346</v>
      </c>
      <c r="Q77" s="75">
        <f>+P77-O77</f>
        <v>105.6114497932349</v>
      </c>
      <c r="S77" s="52"/>
    </row>
    <row r="78" spans="1:19" s="63" customFormat="1">
      <c r="A78" s="140"/>
      <c r="B78" s="49"/>
      <c r="C78" s="129"/>
      <c r="D78" s="167"/>
      <c r="E78" s="73"/>
      <c r="F78" s="130"/>
      <c r="G78" s="145"/>
      <c r="H78" s="113"/>
      <c r="I78" s="48"/>
      <c r="J78" s="71"/>
      <c r="K78" s="71"/>
      <c r="L78" s="71"/>
      <c r="M78" s="71"/>
      <c r="N78" s="153"/>
      <c r="O78" s="71"/>
      <c r="P78" s="71"/>
      <c r="Q78" s="75"/>
      <c r="S78" s="52"/>
    </row>
    <row r="79" spans="1:19" s="63" customFormat="1">
      <c r="A79" s="140"/>
      <c r="B79" s="49"/>
      <c r="C79" s="111" t="s">
        <v>153</v>
      </c>
      <c r="D79" s="167">
        <v>94</v>
      </c>
      <c r="E79" s="73">
        <f>References!$B$9</f>
        <v>1</v>
      </c>
      <c r="F79" s="72">
        <f>E79*12</f>
        <v>12</v>
      </c>
      <c r="G79" s="72">
        <v>125</v>
      </c>
      <c r="H79" s="72">
        <f>F79*G79</f>
        <v>1500</v>
      </c>
      <c r="I79" s="48">
        <f>$D$121*H79</f>
        <v>1003.1622561263973</v>
      </c>
      <c r="J79" s="71">
        <f>(References!$C$49*I79)</f>
        <v>3.0094867683791806</v>
      </c>
      <c r="K79" s="71">
        <f>J79/References!$G$52</f>
        <v>3.0677744835669527</v>
      </c>
      <c r="L79" s="71">
        <f>K79/F79</f>
        <v>0.25564787363057939</v>
      </c>
      <c r="M79" s="71">
        <v>30</v>
      </c>
      <c r="N79" s="153">
        <f>L79+M79</f>
        <v>30.255647873630579</v>
      </c>
      <c r="O79" s="71">
        <f>D79*E79*M79*12</f>
        <v>33840</v>
      </c>
      <c r="P79" s="71">
        <f>D79*E79*N79*12</f>
        <v>34128.370801455298</v>
      </c>
      <c r="Q79" s="75"/>
      <c r="S79" s="52"/>
    </row>
    <row r="80" spans="1:19" s="63" customFormat="1">
      <c r="A80" s="140"/>
      <c r="B80" s="49"/>
      <c r="C80" s="129"/>
      <c r="D80" s="167"/>
      <c r="E80" s="73"/>
      <c r="F80" s="130"/>
      <c r="G80" s="145"/>
      <c r="H80" s="113"/>
      <c r="I80" s="48"/>
      <c r="J80" s="71"/>
      <c r="K80" s="71"/>
      <c r="L80" s="71"/>
      <c r="M80" s="71"/>
      <c r="N80" s="153"/>
      <c r="O80" s="71"/>
      <c r="P80" s="71"/>
      <c r="Q80" s="75"/>
      <c r="S80" s="52"/>
    </row>
    <row r="81" spans="1:19" s="63" customFormat="1">
      <c r="A81" s="140"/>
      <c r="B81" s="49"/>
      <c r="C81" s="129"/>
      <c r="D81" s="167"/>
      <c r="E81" s="73"/>
      <c r="F81" s="130"/>
      <c r="G81" s="145"/>
      <c r="H81" s="113"/>
      <c r="I81" s="48"/>
      <c r="J81" s="71"/>
      <c r="K81" s="71"/>
      <c r="L81" s="71"/>
      <c r="M81" s="71"/>
      <c r="N81" s="153"/>
      <c r="O81" s="71"/>
      <c r="P81" s="71"/>
      <c r="Q81" s="75"/>
      <c r="S81" s="52"/>
    </row>
    <row r="82" spans="1:19" s="63" customFormat="1">
      <c r="A82" s="140"/>
      <c r="B82" s="49"/>
      <c r="C82" s="129"/>
      <c r="D82" s="167"/>
      <c r="E82" s="73"/>
      <c r="F82" s="130"/>
      <c r="G82" s="144"/>
      <c r="H82" s="72"/>
      <c r="I82" s="48"/>
      <c r="J82" s="71"/>
      <c r="K82" s="71"/>
      <c r="L82" s="71"/>
      <c r="M82" s="71"/>
      <c r="N82" s="71"/>
      <c r="O82" s="71"/>
      <c r="P82" s="71"/>
      <c r="Q82" s="75"/>
      <c r="S82" s="52"/>
    </row>
    <row r="83" spans="1:19" s="63" customFormat="1">
      <c r="A83" s="50"/>
      <c r="B83" s="27"/>
      <c r="C83" s="51"/>
      <c r="D83" s="53">
        <f>SUM(D20:D55)</f>
        <v>328</v>
      </c>
      <c r="E83" s="53">
        <f>SUM(E20:E55)</f>
        <v>62.316666666666656</v>
      </c>
      <c r="F83" s="53">
        <f>SUM(F20:F82)</f>
        <v>14828.359999999999</v>
      </c>
      <c r="G83" s="147">
        <f>SUM(G20:G82)</f>
        <v>13252</v>
      </c>
      <c r="H83" s="53">
        <f>SUM(H20:H82)</f>
        <v>2949647.12</v>
      </c>
      <c r="I83" s="53">
        <f>SUM(I20:I82)</f>
        <v>1972649.7731172866</v>
      </c>
      <c r="J83" s="77"/>
      <c r="K83" s="77"/>
      <c r="L83" s="77"/>
      <c r="M83" s="77"/>
      <c r="N83" s="77"/>
      <c r="O83" s="142">
        <f>SUM(O20:O82)</f>
        <v>403637.50439999998</v>
      </c>
      <c r="P83" s="142">
        <f>SUM(P20:P82)</f>
        <v>409630.86635560845</v>
      </c>
      <c r="Q83" s="142">
        <f>SUM(Q20:Q82)</f>
        <v>4902.2875905053515</v>
      </c>
    </row>
    <row r="84" spans="1:19">
      <c r="C84" s="67"/>
      <c r="D84" s="168">
        <f>D19+D83</f>
        <v>1035</v>
      </c>
      <c r="E84" s="68"/>
      <c r="F84" s="108">
        <f>F19+F83</f>
        <v>47566.36</v>
      </c>
      <c r="G84" s="68"/>
      <c r="H84" s="68">
        <f>H19+H83</f>
        <v>4325671.12</v>
      </c>
      <c r="I84" s="68">
        <f>I19+I83</f>
        <v>2892900</v>
      </c>
      <c r="J84" s="71"/>
      <c r="K84" s="79"/>
      <c r="L84" s="79"/>
      <c r="M84" s="79"/>
      <c r="N84" s="79"/>
      <c r="O84" s="79">
        <f>O19+O83</f>
        <v>609320.98439999996</v>
      </c>
      <c r="P84" s="79">
        <f>P19+P83</f>
        <v>617913.31581369461</v>
      </c>
      <c r="Q84" s="79">
        <f>Q19+Q83</f>
        <v>7501.2570485915239</v>
      </c>
    </row>
    <row r="85" spans="1:19">
      <c r="D85" s="169"/>
      <c r="G85" s="148"/>
      <c r="J85" s="59"/>
      <c r="P85" s="64"/>
    </row>
    <row r="86" spans="1:19">
      <c r="D86" s="169"/>
      <c r="G86" s="148"/>
      <c r="J86" s="59"/>
      <c r="P86" s="64"/>
    </row>
    <row r="87" spans="1:19">
      <c r="A87" s="80"/>
      <c r="B87" s="81"/>
      <c r="C87" s="84" t="s">
        <v>91</v>
      </c>
      <c r="D87" s="170"/>
      <c r="E87" s="80"/>
      <c r="F87" s="80"/>
      <c r="G87" s="149"/>
      <c r="H87" s="80"/>
      <c r="I87" s="82"/>
      <c r="J87" s="83"/>
      <c r="K87" s="80"/>
      <c r="L87" s="80"/>
      <c r="M87" s="80"/>
      <c r="N87" s="80"/>
      <c r="O87" s="63"/>
      <c r="P87" s="107"/>
      <c r="Q87" s="63"/>
    </row>
    <row r="88" spans="1:19" s="63" customFormat="1">
      <c r="A88" s="179"/>
      <c r="B88" s="49"/>
      <c r="C88" s="111" t="s">
        <v>151</v>
      </c>
      <c r="D88" s="171">
        <v>0</v>
      </c>
      <c r="E88" s="73">
        <f>References!$B$7</f>
        <v>4.333333333333333</v>
      </c>
      <c r="F88" s="72">
        <f t="shared" ref="F88:F91" si="28">E88*12</f>
        <v>52</v>
      </c>
      <c r="G88" s="72">
        <f>References!B18</f>
        <v>117</v>
      </c>
      <c r="H88" s="72">
        <f t="shared" ref="H88:H91" si="29">F88*G88</f>
        <v>6084</v>
      </c>
      <c r="I88" s="48">
        <f>$D$121*H88</f>
        <v>4068.8261108486677</v>
      </c>
      <c r="J88" s="71">
        <f>(References!$C$49*I88)</f>
        <v>12.206478332545958</v>
      </c>
      <c r="K88" s="71">
        <f>J88/References!$G$52</f>
        <v>12.442893305347562</v>
      </c>
      <c r="L88" s="71">
        <f t="shared" ref="L88:L91" si="30">K88/F88*E88</f>
        <v>1.0369077754456302</v>
      </c>
      <c r="M88" s="96">
        <v>57.53</v>
      </c>
      <c r="N88" s="153">
        <f t="shared" ref="N88:N91" si="31">L88+M88</f>
        <v>58.566907775445628</v>
      </c>
      <c r="O88" s="71"/>
      <c r="P88" s="71"/>
      <c r="Q88" s="71"/>
    </row>
    <row r="89" spans="1:19" s="63" customFormat="1">
      <c r="A89" s="179"/>
      <c r="B89" s="49"/>
      <c r="C89" s="111" t="s">
        <v>152</v>
      </c>
      <c r="D89" s="171">
        <v>0</v>
      </c>
      <c r="E89" s="73">
        <f>References!$B$7</f>
        <v>4.333333333333333</v>
      </c>
      <c r="F89" s="72">
        <f t="shared" si="28"/>
        <v>52</v>
      </c>
      <c r="G89" s="72">
        <f>References!B19</f>
        <v>157</v>
      </c>
      <c r="H89" s="72">
        <f t="shared" si="29"/>
        <v>8164</v>
      </c>
      <c r="I89" s="48">
        <f>$D$121*H89</f>
        <v>5459.8777726772723</v>
      </c>
      <c r="J89" s="71">
        <f>(References!$C$49*I89)</f>
        <v>16.379633318031757</v>
      </c>
      <c r="K89" s="71">
        <f>J89/References!$G$52</f>
        <v>16.696873922560407</v>
      </c>
      <c r="L89" s="71">
        <f t="shared" si="30"/>
        <v>1.3914061602133672</v>
      </c>
      <c r="M89" s="96">
        <v>62.97</v>
      </c>
      <c r="N89" s="153">
        <f>L89+M89</f>
        <v>64.361406160213363</v>
      </c>
      <c r="O89" s="71"/>
      <c r="P89" s="71"/>
      <c r="Q89" s="71"/>
    </row>
    <row r="90" spans="1:19" s="63" customFormat="1">
      <c r="A90" s="179"/>
      <c r="B90" s="49"/>
      <c r="C90" s="111" t="s">
        <v>101</v>
      </c>
      <c r="D90" s="171">
        <v>0</v>
      </c>
      <c r="E90" s="73">
        <f>References!B9</f>
        <v>1</v>
      </c>
      <c r="F90" s="72">
        <f t="shared" si="28"/>
        <v>12</v>
      </c>
      <c r="G90" s="72">
        <f>References!B14</f>
        <v>34</v>
      </c>
      <c r="H90" s="72">
        <f t="shared" si="29"/>
        <v>408</v>
      </c>
      <c r="I90" s="48">
        <f>$D$121*H90</f>
        <v>272.86013366638008</v>
      </c>
      <c r="J90" s="71">
        <f>(References!$C$49*I90)</f>
        <v>0.8185804009991372</v>
      </c>
      <c r="K90" s="71">
        <f>J90/References!$G$52</f>
        <v>0.83443465953021123</v>
      </c>
      <c r="L90" s="71">
        <f t="shared" si="30"/>
        <v>6.9536221627517603E-2</v>
      </c>
      <c r="M90" s="96">
        <v>8.51</v>
      </c>
      <c r="N90" s="153">
        <f t="shared" si="31"/>
        <v>8.5795362216275173</v>
      </c>
      <c r="O90" s="71"/>
      <c r="P90" s="71"/>
      <c r="Q90" s="71"/>
    </row>
    <row r="91" spans="1:19" s="63" customFormat="1">
      <c r="A91" s="179"/>
      <c r="B91" s="49"/>
      <c r="C91" s="111" t="s">
        <v>102</v>
      </c>
      <c r="D91" s="171">
        <v>0</v>
      </c>
      <c r="E91" s="73">
        <f>References!C9</f>
        <v>2</v>
      </c>
      <c r="F91" s="72">
        <f t="shared" si="28"/>
        <v>24</v>
      </c>
      <c r="G91" s="72">
        <f>References!B14</f>
        <v>34</v>
      </c>
      <c r="H91" s="72">
        <f t="shared" si="29"/>
        <v>816</v>
      </c>
      <c r="I91" s="48">
        <f>$D$121*H91</f>
        <v>545.72026733276016</v>
      </c>
      <c r="J91" s="71">
        <f>(References!$C$49*I91)</f>
        <v>1.6371608019982744</v>
      </c>
      <c r="K91" s="71">
        <f>J91/References!$G$52</f>
        <v>1.6688693190604225</v>
      </c>
      <c r="L91" s="71">
        <f t="shared" si="30"/>
        <v>0.13907244325503521</v>
      </c>
      <c r="M91" s="96">
        <f>8.51*2</f>
        <v>17.02</v>
      </c>
      <c r="N91" s="153">
        <f t="shared" si="31"/>
        <v>17.159072443255035</v>
      </c>
      <c r="O91" s="71"/>
      <c r="P91" s="71"/>
      <c r="Q91" s="71"/>
    </row>
    <row r="92" spans="1:19" s="63" customFormat="1">
      <c r="A92" s="174"/>
      <c r="B92" s="49"/>
      <c r="C92" s="111" t="s">
        <v>159</v>
      </c>
      <c r="D92" s="171">
        <v>0</v>
      </c>
      <c r="E92" s="73">
        <v>4.33</v>
      </c>
      <c r="F92" s="160">
        <f t="shared" ref="F92:F95" si="32">E92*12</f>
        <v>51.96</v>
      </c>
      <c r="G92" s="160">
        <f>+References!B17</f>
        <v>97</v>
      </c>
      <c r="H92" s="160">
        <f t="shared" ref="H92:H95" si="33">F92*G92</f>
        <v>5040.12</v>
      </c>
      <c r="I92" s="161">
        <f t="shared" ref="I92:I93" si="34">$D$121*H92</f>
        <v>3370.7054335651851</v>
      </c>
      <c r="J92" s="162">
        <f>(References!$C$49*I92)</f>
        <v>10.112116300695517</v>
      </c>
      <c r="K92" s="162">
        <f>J92/References!$G$52</f>
        <v>10.307967686743646</v>
      </c>
      <c r="L92" s="162">
        <f t="shared" ref="L92:L93" si="35">K92/F92*E92</f>
        <v>0.85899730722863721</v>
      </c>
      <c r="M92" s="96">
        <v>54.2</v>
      </c>
      <c r="N92" s="163">
        <f t="shared" ref="N92:N95" si="36">L92+M92</f>
        <v>55.058997307228637</v>
      </c>
      <c r="O92" s="162"/>
      <c r="P92" s="162"/>
      <c r="Q92" s="162"/>
    </row>
    <row r="93" spans="1:19" s="63" customFormat="1">
      <c r="A93" s="174"/>
      <c r="B93" s="49"/>
      <c r="C93" s="111" t="s">
        <v>160</v>
      </c>
      <c r="D93" s="171">
        <v>0</v>
      </c>
      <c r="E93" s="73">
        <v>4.33</v>
      </c>
      <c r="F93" s="160">
        <f t="shared" si="32"/>
        <v>51.96</v>
      </c>
      <c r="G93" s="160">
        <f>+References!B19</f>
        <v>157</v>
      </c>
      <c r="H93" s="160">
        <f t="shared" si="33"/>
        <v>8157.72</v>
      </c>
      <c r="I93" s="161">
        <f t="shared" si="34"/>
        <v>5455.67786669829</v>
      </c>
      <c r="J93" s="162">
        <f>(References!$C$49*I93)</f>
        <v>16.36703360009481</v>
      </c>
      <c r="K93" s="162">
        <f>J93/References!$G$52</f>
        <v>16.684030173389207</v>
      </c>
      <c r="L93" s="162">
        <f t="shared" si="35"/>
        <v>1.3903358477824339</v>
      </c>
      <c r="M93" s="96">
        <v>65.930000000000007</v>
      </c>
      <c r="N93" s="163">
        <f t="shared" si="36"/>
        <v>67.320335847782445</v>
      </c>
      <c r="O93" s="162"/>
      <c r="P93" s="162"/>
      <c r="Q93" s="162"/>
    </row>
    <row r="94" spans="1:19" s="63" customFormat="1">
      <c r="A94" s="174"/>
      <c r="B94" s="49"/>
      <c r="C94" s="111" t="s">
        <v>165</v>
      </c>
      <c r="D94" s="171">
        <v>0</v>
      </c>
      <c r="E94" s="73">
        <v>1</v>
      </c>
      <c r="F94" s="160">
        <f t="shared" ref="F94" si="37">E94*12</f>
        <v>12</v>
      </c>
      <c r="G94" s="160">
        <f>+References!B20</f>
        <v>40</v>
      </c>
      <c r="H94" s="160">
        <f t="shared" ref="H94" si="38">F94*G94</f>
        <v>480</v>
      </c>
      <c r="I94" s="161">
        <f>$D$121*H94</f>
        <v>321.01192196044718</v>
      </c>
      <c r="J94" s="162">
        <f>(References!$C$49*I94)</f>
        <v>0.96303576588133799</v>
      </c>
      <c r="K94" s="162">
        <f>J94/References!$G$52</f>
        <v>0.98168783474142507</v>
      </c>
      <c r="L94" s="162">
        <f>K94/References!$G$52</f>
        <v>1.0007011567190878</v>
      </c>
      <c r="M94" s="162">
        <v>9.64</v>
      </c>
      <c r="N94" s="163">
        <f t="shared" ref="N94" si="39">L94+M94</f>
        <v>10.640701156719089</v>
      </c>
      <c r="O94" s="162"/>
      <c r="P94" s="162"/>
      <c r="Q94" s="162"/>
    </row>
    <row r="95" spans="1:19" s="63" customFormat="1">
      <c r="A95" s="174"/>
      <c r="B95" s="49"/>
      <c r="C95" s="111" t="s">
        <v>161</v>
      </c>
      <c r="D95" s="171"/>
      <c r="E95" s="73">
        <v>1</v>
      </c>
      <c r="F95" s="160">
        <f t="shared" si="32"/>
        <v>12</v>
      </c>
      <c r="G95" s="160">
        <f>References!B14</f>
        <v>34</v>
      </c>
      <c r="H95" s="160">
        <f t="shared" si="33"/>
        <v>408</v>
      </c>
      <c r="I95" s="161">
        <f>$D$121*H95</f>
        <v>272.86013366638008</v>
      </c>
      <c r="J95" s="162">
        <f>(References!$C$49*I95)</f>
        <v>0.8185804009991372</v>
      </c>
      <c r="K95" s="162">
        <f>J95/References!$G$52</f>
        <v>0.83443465953021123</v>
      </c>
      <c r="L95" s="162">
        <f>K95/References!$G$52</f>
        <v>0.85059598321122454</v>
      </c>
      <c r="M95" s="162">
        <v>15.34</v>
      </c>
      <c r="N95" s="163">
        <f t="shared" si="36"/>
        <v>16.190595983211225</v>
      </c>
      <c r="O95" s="162"/>
      <c r="P95" s="162"/>
      <c r="Q95" s="162"/>
    </row>
    <row r="96" spans="1:19" s="63" customFormat="1">
      <c r="A96" s="140"/>
      <c r="B96" s="49"/>
      <c r="C96" s="143" t="s">
        <v>99</v>
      </c>
      <c r="D96" s="171">
        <v>0</v>
      </c>
      <c r="E96" s="73">
        <f>References!B9</f>
        <v>1</v>
      </c>
      <c r="F96" s="72">
        <f>E96*12</f>
        <v>12</v>
      </c>
      <c r="G96" s="72">
        <f>References!B24</f>
        <v>34</v>
      </c>
      <c r="H96" s="72">
        <f>F96*G96</f>
        <v>408</v>
      </c>
      <c r="I96" s="48">
        <f>$D$121*H96</f>
        <v>272.86013366638008</v>
      </c>
      <c r="J96" s="71">
        <f>(References!$C$49*I96)</f>
        <v>0.8185804009991372</v>
      </c>
      <c r="K96" s="71">
        <f>J96/References!$G$52</f>
        <v>0.83443465953021123</v>
      </c>
      <c r="L96" s="71">
        <f>K96/F96*E96</f>
        <v>6.9536221627517603E-2</v>
      </c>
      <c r="M96" s="96">
        <v>5.34</v>
      </c>
      <c r="N96" s="153">
        <f>L96+M96</f>
        <v>5.4095362216275173</v>
      </c>
      <c r="O96" s="71"/>
      <c r="P96" s="71"/>
      <c r="Q96" s="71"/>
    </row>
    <row r="97" spans="1:17" s="63" customFormat="1">
      <c r="A97" s="140"/>
      <c r="B97" s="49"/>
      <c r="C97" s="114"/>
      <c r="D97" s="171"/>
      <c r="E97" s="73"/>
      <c r="F97" s="72"/>
      <c r="G97" s="72"/>
      <c r="H97" s="72"/>
      <c r="I97" s="48"/>
      <c r="J97" s="71"/>
      <c r="K97" s="71"/>
      <c r="L97" s="71"/>
      <c r="M97" s="96"/>
      <c r="N97" s="71"/>
      <c r="O97" s="71"/>
      <c r="P97" s="71"/>
      <c r="Q97" s="71"/>
    </row>
    <row r="98" spans="1:17" s="63" customFormat="1">
      <c r="A98" s="133"/>
      <c r="B98" s="134"/>
      <c r="C98" s="114"/>
      <c r="D98" s="172"/>
      <c r="E98" s="135"/>
      <c r="F98" s="136"/>
      <c r="G98" s="136"/>
      <c r="H98" s="136"/>
      <c r="I98" s="137"/>
      <c r="J98" s="138"/>
      <c r="K98" s="138"/>
      <c r="L98" s="138"/>
      <c r="M98" s="139"/>
      <c r="N98" s="138"/>
      <c r="O98" s="71"/>
      <c r="P98" s="71"/>
      <c r="Q98" s="71"/>
    </row>
    <row r="99" spans="1:17" s="63" customFormat="1">
      <c r="A99" s="179"/>
      <c r="B99" s="49"/>
      <c r="C99" s="111" t="s">
        <v>103</v>
      </c>
      <c r="D99" s="167">
        <v>0</v>
      </c>
      <c r="E99" s="73">
        <f>References!$B$9</f>
        <v>1</v>
      </c>
      <c r="F99" s="72">
        <f>E99*12</f>
        <v>12</v>
      </c>
      <c r="G99" s="72">
        <f>References!B42</f>
        <v>125</v>
      </c>
      <c r="H99" s="72">
        <f>F99*G99</f>
        <v>1500</v>
      </c>
      <c r="I99" s="48">
        <f>$D$121*H99</f>
        <v>1003.1622561263973</v>
      </c>
      <c r="J99" s="71">
        <f>(References!$C$49*I99)</f>
        <v>3.0094867683791806</v>
      </c>
      <c r="K99" s="71">
        <f>J99/References!$G$52</f>
        <v>3.0677744835669527</v>
      </c>
      <c r="L99" s="71">
        <f>K99/F99</f>
        <v>0.25564787363057939</v>
      </c>
      <c r="M99" s="71">
        <v>23.45</v>
      </c>
      <c r="N99" s="153">
        <f>L99+M99</f>
        <v>23.705647873630578</v>
      </c>
      <c r="O99" s="71"/>
      <c r="P99" s="71"/>
      <c r="Q99" s="71"/>
    </row>
    <row r="100" spans="1:17" s="63" customFormat="1">
      <c r="A100" s="179"/>
      <c r="B100" s="49"/>
      <c r="C100" s="111" t="s">
        <v>104</v>
      </c>
      <c r="D100" s="167">
        <v>0</v>
      </c>
      <c r="E100" s="73">
        <f>References!$B$9</f>
        <v>1</v>
      </c>
      <c r="F100" s="72">
        <f>E100*12</f>
        <v>12</v>
      </c>
      <c r="G100" s="72">
        <f>References!B42</f>
        <v>125</v>
      </c>
      <c r="H100" s="72">
        <f>F100*G100</f>
        <v>1500</v>
      </c>
      <c r="I100" s="48">
        <f>$D$121*H100</f>
        <v>1003.1622561263973</v>
      </c>
      <c r="J100" s="71">
        <f>(References!$C$49*I100)</f>
        <v>3.0094867683791806</v>
      </c>
      <c r="K100" s="71">
        <f>J100/References!$G$52</f>
        <v>3.0677744835669527</v>
      </c>
      <c r="L100" s="71">
        <f>K100/F100</f>
        <v>0.25564787363057939</v>
      </c>
      <c r="M100" s="71">
        <v>23.45</v>
      </c>
      <c r="N100" s="153">
        <f>L100+M100</f>
        <v>23.705647873630578</v>
      </c>
      <c r="O100" s="71"/>
      <c r="P100" s="71"/>
      <c r="Q100" s="71"/>
    </row>
    <row r="101" spans="1:17" s="63" customFormat="1">
      <c r="A101" s="179"/>
      <c r="B101" s="49"/>
      <c r="C101" s="151" t="s">
        <v>107</v>
      </c>
      <c r="D101" s="167">
        <v>0</v>
      </c>
      <c r="E101" s="73">
        <f>References!$B$9</f>
        <v>1</v>
      </c>
      <c r="F101" s="160">
        <f t="shared" ref="F101:F102" si="40">E101*12</f>
        <v>12</v>
      </c>
      <c r="G101" s="160">
        <f>+References!B27</f>
        <v>175</v>
      </c>
      <c r="H101" s="113">
        <f t="shared" ref="H101:H102" si="41">F101*G101</f>
        <v>2100</v>
      </c>
      <c r="I101" s="161">
        <f t="shared" ref="I101:I102" si="42">$D$121*H101</f>
        <v>1404.4271585769563</v>
      </c>
      <c r="J101" s="162">
        <f>(References!$C$49*I101)</f>
        <v>4.2132814757308532</v>
      </c>
      <c r="K101" s="162">
        <f>J101/References!$G$52</f>
        <v>4.2948842769937343</v>
      </c>
      <c r="L101" s="162">
        <f t="shared" ref="L101:L102" si="43">K101/F101</f>
        <v>0.35790702308281119</v>
      </c>
      <c r="M101" s="162">
        <v>20.65</v>
      </c>
      <c r="N101" s="163">
        <f t="shared" ref="N101:N102" si="44">L101+M101</f>
        <v>21.007907023082808</v>
      </c>
      <c r="O101" s="162"/>
      <c r="P101" s="162"/>
      <c r="Q101" s="162"/>
    </row>
    <row r="102" spans="1:17" s="63" customFormat="1">
      <c r="A102" s="179"/>
      <c r="B102" s="49"/>
      <c r="C102" s="151" t="s">
        <v>162</v>
      </c>
      <c r="D102" s="167">
        <v>0</v>
      </c>
      <c r="E102" s="73">
        <f>References!$B$9</f>
        <v>1</v>
      </c>
      <c r="F102" s="160">
        <f t="shared" si="40"/>
        <v>12</v>
      </c>
      <c r="G102" s="160">
        <f>References!B27</f>
        <v>175</v>
      </c>
      <c r="H102" s="113">
        <f t="shared" si="41"/>
        <v>2100</v>
      </c>
      <c r="I102" s="161">
        <f t="shared" si="42"/>
        <v>1404.4271585769563</v>
      </c>
      <c r="J102" s="162">
        <f>(References!$C$49*I102)</f>
        <v>4.2132814757308532</v>
      </c>
      <c r="K102" s="162">
        <f>J102/References!$G$52</f>
        <v>4.2948842769937343</v>
      </c>
      <c r="L102" s="162">
        <f t="shared" si="43"/>
        <v>0.35790702308281119</v>
      </c>
      <c r="M102" s="162">
        <v>42.74</v>
      </c>
      <c r="N102" s="163">
        <f t="shared" si="44"/>
        <v>43.097907023082811</v>
      </c>
      <c r="O102" s="162"/>
      <c r="P102" s="162"/>
      <c r="Q102" s="162"/>
    </row>
    <row r="103" spans="1:17" s="63" customFormat="1">
      <c r="A103" s="179"/>
      <c r="B103" s="49"/>
      <c r="C103" s="151" t="s">
        <v>110</v>
      </c>
      <c r="D103" s="167">
        <v>0</v>
      </c>
      <c r="E103" s="73">
        <f>References!$B$9</f>
        <v>1</v>
      </c>
      <c r="F103" s="72">
        <f t="shared" ref="F103:F106" si="45">E103*12</f>
        <v>12</v>
      </c>
      <c r="G103" s="72">
        <f>References!B28</f>
        <v>250</v>
      </c>
      <c r="H103" s="113">
        <f t="shared" ref="H103:H106" si="46">F103*G103</f>
        <v>3000</v>
      </c>
      <c r="I103" s="48">
        <f t="shared" ref="I103:I110" si="47">$D$121*H103</f>
        <v>2006.3245122527946</v>
      </c>
      <c r="J103" s="71">
        <f>(References!$C$49*I103)</f>
        <v>6.0189735367583612</v>
      </c>
      <c r="K103" s="71">
        <f>J103/References!$G$52</f>
        <v>6.1355489671339054</v>
      </c>
      <c r="L103" s="71">
        <f t="shared" ref="L103:L106" si="48">K103/F103</f>
        <v>0.51129574726115878</v>
      </c>
      <c r="M103" s="71">
        <v>28.75</v>
      </c>
      <c r="N103" s="153">
        <f t="shared" ref="N103:N106" si="49">L103+M103</f>
        <v>29.261295747261158</v>
      </c>
      <c r="O103" s="71"/>
      <c r="P103" s="71"/>
      <c r="Q103" s="71"/>
    </row>
    <row r="104" spans="1:17" s="63" customFormat="1">
      <c r="A104" s="179"/>
      <c r="B104" s="49"/>
      <c r="C104" s="151" t="s">
        <v>111</v>
      </c>
      <c r="D104" s="167">
        <v>0</v>
      </c>
      <c r="E104" s="73">
        <f>References!$B$9</f>
        <v>1</v>
      </c>
      <c r="F104" s="72">
        <f t="shared" si="45"/>
        <v>12</v>
      </c>
      <c r="G104" s="72">
        <f>References!B28</f>
        <v>250</v>
      </c>
      <c r="H104" s="113">
        <f t="shared" si="46"/>
        <v>3000</v>
      </c>
      <c r="I104" s="48">
        <f t="shared" si="47"/>
        <v>2006.3245122527946</v>
      </c>
      <c r="J104" s="71">
        <f>(References!$C$49*I104)</f>
        <v>6.0189735367583612</v>
      </c>
      <c r="K104" s="71">
        <f>J104/References!$G$52</f>
        <v>6.1355489671339054</v>
      </c>
      <c r="L104" s="71">
        <f t="shared" si="48"/>
        <v>0.51129574726115878</v>
      </c>
      <c r="M104" s="71">
        <v>59.72</v>
      </c>
      <c r="N104" s="153">
        <f t="shared" si="49"/>
        <v>60.231295747261157</v>
      </c>
      <c r="O104" s="71"/>
      <c r="P104" s="71"/>
      <c r="Q104" s="71"/>
    </row>
    <row r="105" spans="1:17" s="63" customFormat="1">
      <c r="A105" s="179"/>
      <c r="B105" s="49"/>
      <c r="C105" s="46" t="s">
        <v>114</v>
      </c>
      <c r="D105" s="167">
        <v>0</v>
      </c>
      <c r="E105" s="73">
        <f>References!$B$9</f>
        <v>1</v>
      </c>
      <c r="F105" s="72">
        <f t="shared" si="45"/>
        <v>12</v>
      </c>
      <c r="G105" s="72">
        <f>References!B29</f>
        <v>324</v>
      </c>
      <c r="H105" s="113">
        <f t="shared" si="46"/>
        <v>3888</v>
      </c>
      <c r="I105" s="48">
        <f t="shared" si="47"/>
        <v>2600.1965678796219</v>
      </c>
      <c r="J105" s="71">
        <f>(References!$C$49*I105)</f>
        <v>7.8005897036388365</v>
      </c>
      <c r="K105" s="71">
        <f>J105/References!$G$52</f>
        <v>7.9516714614055424</v>
      </c>
      <c r="L105" s="71">
        <f t="shared" si="48"/>
        <v>0.66263928845046183</v>
      </c>
      <c r="M105" s="71">
        <v>34.74</v>
      </c>
      <c r="N105" s="153">
        <f t="shared" si="49"/>
        <v>35.402639288450466</v>
      </c>
      <c r="O105" s="71"/>
      <c r="P105" s="71"/>
      <c r="Q105" s="71"/>
    </row>
    <row r="106" spans="1:17" s="63" customFormat="1">
      <c r="A106" s="179"/>
      <c r="B106" s="49"/>
      <c r="C106" s="46" t="s">
        <v>115</v>
      </c>
      <c r="D106" s="167">
        <v>0</v>
      </c>
      <c r="E106" s="73">
        <f>References!$B$9</f>
        <v>1</v>
      </c>
      <c r="F106" s="72">
        <f t="shared" si="45"/>
        <v>12</v>
      </c>
      <c r="G106" s="72">
        <f>References!B29</f>
        <v>324</v>
      </c>
      <c r="H106" s="113">
        <f t="shared" si="46"/>
        <v>3888</v>
      </c>
      <c r="I106" s="48">
        <f t="shared" si="47"/>
        <v>2600.1965678796219</v>
      </c>
      <c r="J106" s="71">
        <f>(References!$C$49*I106)</f>
        <v>7.8005897036388365</v>
      </c>
      <c r="K106" s="71">
        <f>J106/References!$G$52</f>
        <v>7.9516714614055424</v>
      </c>
      <c r="L106" s="71">
        <f t="shared" si="48"/>
        <v>0.66263928845046183</v>
      </c>
      <c r="M106" s="71">
        <v>66.19</v>
      </c>
      <c r="N106" s="153">
        <f t="shared" si="49"/>
        <v>66.852639288450462</v>
      </c>
      <c r="O106" s="71"/>
      <c r="P106" s="71"/>
      <c r="Q106" s="71"/>
    </row>
    <row r="107" spans="1:17" s="63" customFormat="1">
      <c r="A107" s="179"/>
      <c r="B107" s="49"/>
      <c r="C107" s="46" t="s">
        <v>118</v>
      </c>
      <c r="D107" s="167">
        <v>0</v>
      </c>
      <c r="E107" s="73">
        <f>References!$B$9</f>
        <v>1</v>
      </c>
      <c r="F107" s="160">
        <f t="shared" ref="F107:F108" si="50">E107*12</f>
        <v>12</v>
      </c>
      <c r="G107" s="160">
        <f>+References!B31</f>
        <v>613</v>
      </c>
      <c r="H107" s="113">
        <f t="shared" ref="H107:H108" si="51">F107*G107</f>
        <v>7356</v>
      </c>
      <c r="I107" s="161">
        <f t="shared" si="47"/>
        <v>4919.5077040438528</v>
      </c>
      <c r="J107" s="162">
        <f>(References!$C$49*I107)</f>
        <v>14.758523112131503</v>
      </c>
      <c r="K107" s="162">
        <f>J107/References!$G$52</f>
        <v>15.044366067412337</v>
      </c>
      <c r="L107" s="162">
        <f t="shared" ref="L107:L108" si="52">K107/F107</f>
        <v>1.2536971722843615</v>
      </c>
      <c r="M107" s="162">
        <v>63.88</v>
      </c>
      <c r="N107" s="163">
        <f t="shared" ref="N107:N108" si="53">L107+M107</f>
        <v>65.133697172284357</v>
      </c>
      <c r="O107" s="71"/>
      <c r="P107" s="71"/>
      <c r="Q107" s="71"/>
    </row>
    <row r="108" spans="1:17" s="63" customFormat="1">
      <c r="A108" s="140"/>
      <c r="B108" s="49"/>
      <c r="C108" s="46" t="s">
        <v>163</v>
      </c>
      <c r="D108" s="167">
        <v>0</v>
      </c>
      <c r="E108" s="73">
        <f>References!$B$9</f>
        <v>1</v>
      </c>
      <c r="F108" s="160">
        <f t="shared" si="50"/>
        <v>12</v>
      </c>
      <c r="G108" s="160">
        <f>References!B31</f>
        <v>613</v>
      </c>
      <c r="H108" s="113">
        <f t="shared" si="51"/>
        <v>7356</v>
      </c>
      <c r="I108" s="161">
        <f t="shared" si="47"/>
        <v>4919.5077040438528</v>
      </c>
      <c r="J108" s="162">
        <f>(References!$C$49*I108)</f>
        <v>14.758523112131503</v>
      </c>
      <c r="K108" s="162">
        <f>J108/References!$G$52</f>
        <v>15.044366067412337</v>
      </c>
      <c r="L108" s="162">
        <f t="shared" si="52"/>
        <v>1.2536971722843615</v>
      </c>
      <c r="M108" s="162">
        <v>98.1</v>
      </c>
      <c r="N108" s="163">
        <f t="shared" si="53"/>
        <v>99.353697172284356</v>
      </c>
      <c r="O108" s="71"/>
      <c r="P108" s="71"/>
      <c r="Q108" s="71"/>
    </row>
    <row r="109" spans="1:17" s="63" customFormat="1">
      <c r="A109" s="140"/>
      <c r="B109" s="49"/>
      <c r="C109" s="46" t="s">
        <v>121</v>
      </c>
      <c r="D109" s="167">
        <v>0</v>
      </c>
      <c r="E109" s="73">
        <f>References!$B$9</f>
        <v>1</v>
      </c>
      <c r="F109" s="160">
        <f t="shared" ref="F109:F110" si="54">E109*12</f>
        <v>12</v>
      </c>
      <c r="G109" s="160">
        <f>+References!B32</f>
        <v>840</v>
      </c>
      <c r="H109" s="113">
        <f t="shared" ref="H109:H110" si="55">F109*G109</f>
        <v>10080</v>
      </c>
      <c r="I109" s="161">
        <f t="shared" si="47"/>
        <v>6741.2503611693901</v>
      </c>
      <c r="J109" s="162">
        <f>(References!$C$49*I109)</f>
        <v>20.223751083508095</v>
      </c>
      <c r="K109" s="162">
        <f>J109/References!$G$52</f>
        <v>20.615444529569924</v>
      </c>
      <c r="L109" s="162">
        <f t="shared" ref="L109:L110" si="56">K109/F109</f>
        <v>1.7179537107974936</v>
      </c>
      <c r="M109" s="162">
        <v>92.39</v>
      </c>
      <c r="N109" s="163">
        <f t="shared" ref="N109:N110" si="57">L109+M109</f>
        <v>94.107953710797489</v>
      </c>
      <c r="O109" s="71"/>
      <c r="P109" s="71"/>
      <c r="Q109" s="71"/>
    </row>
    <row r="110" spans="1:17" s="63" customFormat="1">
      <c r="A110" s="140"/>
      <c r="B110" s="49"/>
      <c r="C110" s="46" t="s">
        <v>164</v>
      </c>
      <c r="D110" s="167">
        <v>0</v>
      </c>
      <c r="E110" s="73">
        <f>References!$B$9</f>
        <v>1</v>
      </c>
      <c r="F110" s="160">
        <f t="shared" si="54"/>
        <v>12</v>
      </c>
      <c r="G110" s="160">
        <f>References!B32</f>
        <v>840</v>
      </c>
      <c r="H110" s="113">
        <f t="shared" si="55"/>
        <v>10080</v>
      </c>
      <c r="I110" s="161">
        <f t="shared" si="47"/>
        <v>6741.2503611693901</v>
      </c>
      <c r="J110" s="162">
        <f>(References!$C$49*I110)</f>
        <v>20.223751083508095</v>
      </c>
      <c r="K110" s="162">
        <f>J110/References!$G$52</f>
        <v>20.615444529569924</v>
      </c>
      <c r="L110" s="162">
        <f t="shared" si="56"/>
        <v>1.7179537107974936</v>
      </c>
      <c r="M110" s="162">
        <v>146.41999999999999</v>
      </c>
      <c r="N110" s="163">
        <f t="shared" si="57"/>
        <v>148.13795371079749</v>
      </c>
      <c r="O110" s="71"/>
      <c r="P110" s="71"/>
      <c r="Q110" s="71"/>
    </row>
    <row r="111" spans="1:17" s="63" customFormat="1">
      <c r="A111" s="140"/>
      <c r="B111" s="49"/>
      <c r="C111" s="132"/>
      <c r="D111" s="60"/>
      <c r="E111" s="73"/>
      <c r="F111" s="72"/>
      <c r="G111" s="72"/>
      <c r="H111" s="113"/>
      <c r="I111" s="48"/>
      <c r="J111" s="71"/>
      <c r="K111" s="71"/>
      <c r="L111" s="71"/>
      <c r="M111" s="71"/>
      <c r="N111" s="71"/>
      <c r="O111" s="71"/>
      <c r="P111" s="71"/>
      <c r="Q111" s="71"/>
    </row>
    <row r="112" spans="1:17" s="63" customFormat="1">
      <c r="A112" s="120"/>
      <c r="B112" s="112"/>
      <c r="C112" s="114"/>
      <c r="D112" s="14"/>
      <c r="E112" s="109"/>
      <c r="F112" s="85"/>
      <c r="G112" s="85"/>
      <c r="H112" s="85"/>
      <c r="I112" s="110"/>
      <c r="J112" s="95"/>
      <c r="K112" s="95"/>
      <c r="L112" s="95"/>
      <c r="M112" s="95"/>
      <c r="N112" s="95"/>
      <c r="O112" s="71"/>
      <c r="P112" s="71"/>
      <c r="Q112" s="71"/>
    </row>
    <row r="113" spans="1:16">
      <c r="A113" s="66"/>
      <c r="C113" s="91"/>
      <c r="D113" s="40"/>
      <c r="E113" s="33"/>
      <c r="F113" s="60"/>
      <c r="G113" s="72"/>
      <c r="H113" s="60"/>
      <c r="J113" s="71"/>
      <c r="K113" s="96"/>
      <c r="L113" s="96"/>
      <c r="M113" s="96"/>
      <c r="N113" s="96"/>
      <c r="P113" s="64"/>
    </row>
    <row r="114" spans="1:16">
      <c r="A114" s="66"/>
      <c r="C114" s="69"/>
      <c r="P114" s="64"/>
    </row>
    <row r="115" spans="1:16">
      <c r="A115" s="66"/>
      <c r="C115" s="69"/>
      <c r="P115" s="64"/>
    </row>
    <row r="116" spans="1:16">
      <c r="A116" s="66"/>
      <c r="C116" s="178" t="s">
        <v>86</v>
      </c>
      <c r="D116" s="178"/>
      <c r="E116" s="90"/>
      <c r="F116" s="90"/>
      <c r="H116" s="94" t="s">
        <v>94</v>
      </c>
    </row>
    <row r="117" spans="1:16">
      <c r="A117" s="66"/>
      <c r="D117" s="58" t="s">
        <v>16</v>
      </c>
      <c r="E117" s="39"/>
      <c r="F117" s="39"/>
      <c r="H117" s="92" t="s">
        <v>100</v>
      </c>
      <c r="J117" s="43"/>
      <c r="O117" s="62"/>
    </row>
    <row r="118" spans="1:16">
      <c r="A118" s="66"/>
      <c r="C118" s="61" t="s">
        <v>32</v>
      </c>
      <c r="D118" s="70">
        <v>1446.45</v>
      </c>
      <c r="E118" s="60"/>
      <c r="F118" s="60"/>
      <c r="G118" s="47"/>
      <c r="H118" s="93" t="s">
        <v>95</v>
      </c>
      <c r="J118" s="43"/>
      <c r="O118" s="62"/>
    </row>
    <row r="119" spans="1:16">
      <c r="A119" s="66"/>
      <c r="C119" s="61" t="s">
        <v>33</v>
      </c>
      <c r="D119" s="38">
        <f>D118*2000</f>
        <v>2892900</v>
      </c>
      <c r="E119" s="38"/>
      <c r="F119" s="38"/>
      <c r="G119" s="38"/>
      <c r="H119" s="118" t="s">
        <v>96</v>
      </c>
      <c r="J119" s="43"/>
    </row>
    <row r="120" spans="1:16">
      <c r="A120" s="66"/>
      <c r="C120" s="61" t="s">
        <v>4</v>
      </c>
      <c r="D120" s="38">
        <f>F19+F83</f>
        <v>47566.36</v>
      </c>
      <c r="E120" s="60"/>
      <c r="F120" s="60"/>
      <c r="G120" s="60"/>
      <c r="H120" s="119" t="s">
        <v>97</v>
      </c>
      <c r="J120" s="43"/>
      <c r="O120" s="62"/>
    </row>
    <row r="121" spans="1:16">
      <c r="C121" s="44" t="s">
        <v>11</v>
      </c>
      <c r="D121" s="37">
        <f>D119/$H$84</f>
        <v>0.66877483741759824</v>
      </c>
      <c r="E121" s="37"/>
      <c r="F121" s="37"/>
      <c r="G121" s="37"/>
      <c r="H121" s="32"/>
      <c r="J121" s="43"/>
      <c r="M121" s="42"/>
      <c r="N121" s="42"/>
      <c r="O121" s="41"/>
    </row>
    <row r="122" spans="1:16">
      <c r="G122" s="46"/>
      <c r="H122" s="34"/>
      <c r="J122" s="43"/>
      <c r="M122" s="45"/>
      <c r="N122" s="31"/>
      <c r="O122" s="64"/>
    </row>
    <row r="123" spans="1:16">
      <c r="D123" s="36"/>
      <c r="E123" s="35"/>
      <c r="G123" s="46"/>
      <c r="H123" s="34"/>
      <c r="J123" s="43"/>
      <c r="M123" s="45"/>
      <c r="N123" s="31"/>
      <c r="O123" s="64"/>
    </row>
    <row r="124" spans="1:16">
      <c r="D124" s="36"/>
      <c r="E124" s="35"/>
      <c r="G124" s="46"/>
      <c r="H124" s="34"/>
      <c r="J124" s="43"/>
      <c r="M124" s="45"/>
      <c r="N124" s="31"/>
      <c r="O124" s="64"/>
    </row>
    <row r="125" spans="1:16">
      <c r="D125" s="61"/>
      <c r="I125" s="61"/>
    </row>
    <row r="126" spans="1:16">
      <c r="D126" s="61"/>
      <c r="E126" s="43"/>
      <c r="I126" s="61"/>
    </row>
    <row r="127" spans="1:16">
      <c r="D127" s="61"/>
      <c r="I127" s="61"/>
    </row>
    <row r="128" spans="1:16">
      <c r="D128" s="61"/>
      <c r="I128" s="61"/>
    </row>
    <row r="129" spans="4:4">
      <c r="D129" s="61"/>
    </row>
  </sheetData>
  <mergeCells count="5">
    <mergeCell ref="C116:D116"/>
    <mergeCell ref="A88:A91"/>
    <mergeCell ref="A2:A18"/>
    <mergeCell ref="A99:A107"/>
    <mergeCell ref="A20:A44"/>
  </mergeCells>
  <phoneticPr fontId="0" type="noConversion"/>
  <pageMargins left="0.25" right="0.25" top="0.75" bottom="0.75" header="0.44" footer="0.42"/>
  <pageSetup scale="50" fitToHeight="0" orientation="landscape" horizontalDpi="4294967293" r:id="rId1"/>
  <headerFooter>
    <oddHeader>&amp;C&amp;"-,Bold"&amp;12Excess Disposal, Inc.&amp;"-,Regular"
Disposal Fee Staff Calculations</oddHeader>
    <oddFooter>&amp;L&amp;F - &amp;A&amp;C&amp;D&amp;R&amp;P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FFD1A3CB2089499B7AA797CD16B7CB" ma:contentTypeVersion="104" ma:contentTypeDescription="" ma:contentTypeScope="" ma:versionID="8ee832567ac379cb9aec6bd9935f4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2017-01-12T08:00:00+00:00</OpenedDate>
    <Date1 xmlns="dc463f71-b30c-4ab2-9473-d307f9d35888">2017-01-12T08:00:00+00:00</Date1>
    <IsDocumentOrder xmlns="dc463f71-b30c-4ab2-9473-d307f9d35888" xsi:nil="true"/>
    <IsHighlyConfidential xmlns="dc463f71-b30c-4ab2-9473-d307f9d35888">false</IsHighlyConfidential>
    <CaseCompanyNames xmlns="dc463f71-b30c-4ab2-9473-d307f9d35888">Excess Disposal, Inc.</CaseCompanyNames>
    <Nickname xmlns="http://schemas.microsoft.com/sharepoint/v3" xsi:nil="true"/>
    <DocketNumber xmlns="dc463f71-b30c-4ab2-9473-d307f9d35888">170030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66F6E70-C799-4AE4-A6D1-0772D3534DC3}"/>
</file>

<file path=customXml/itemProps2.xml><?xml version="1.0" encoding="utf-8"?>
<ds:datastoreItem xmlns:ds="http://schemas.openxmlformats.org/officeDocument/2006/customXml" ds:itemID="{48C87FB0-A6B4-4B02-878C-68BF41435482}"/>
</file>

<file path=customXml/itemProps3.xml><?xml version="1.0" encoding="utf-8"?>
<ds:datastoreItem xmlns:ds="http://schemas.openxmlformats.org/officeDocument/2006/customXml" ds:itemID="{83492DC1-1670-430A-BFB1-A8E5F13C105D}"/>
</file>

<file path=customXml/itemProps4.xml><?xml version="1.0" encoding="utf-8"?>
<ds:datastoreItem xmlns:ds="http://schemas.openxmlformats.org/officeDocument/2006/customXml" ds:itemID="{5724ACE1-9886-4887-BADF-6F9565AED2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References</vt:lpstr>
      <vt:lpstr>Calculations</vt:lpstr>
      <vt:lpstr>Calculations!Print_Area</vt:lpstr>
      <vt:lpstr>Calculations!Print_Titles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Weldon</cp:lastModifiedBy>
  <cp:lastPrinted>2017-01-12T23:19:04Z</cp:lastPrinted>
  <dcterms:created xsi:type="dcterms:W3CDTF">2013-10-29T22:33:54Z</dcterms:created>
  <dcterms:modified xsi:type="dcterms:W3CDTF">2017-01-12T23:19:15Z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0x0101006E56B4D1795A2E4DB2F0B01679ED314A003FFFD1A3CB2089499B7AA797CD16B7CB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