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2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custom.xml" ContentType="application/vnd.openxmlformats-officedocument.custom-properties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7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externalLinks/externalLink11.xml" ContentType="application/vnd.openxmlformats-officedocument.spreadsheetml.externalLink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9320" windowHeight="10920" tabRatio="782"/>
  </bookViews>
  <sheets>
    <sheet name="References" sheetId="5" r:id="rId1"/>
    <sheet name="DF Calc (Mason Co.)" sheetId="6" r:id="rId2"/>
    <sheet name="DF Calc (Kitsap Co.)" sheetId="11" r:id="rId3"/>
    <sheet name="Prop. Rates" sheetId="9" r:id="rId4"/>
    <sheet name="Co Cust Cnt" sheetId="1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CYA1">[1]Hidden!$N$11</definedName>
    <definedName name="__CYA10">[1]Hidden!$E$11</definedName>
    <definedName name="__CYA11">[1]Hidden!$P$11</definedName>
    <definedName name="__CYA2">[1]Hidden!$M$11</definedName>
    <definedName name="__CYA3">[1]Hidden!$L$11</definedName>
    <definedName name="__CYA4">[1]Hidden!$K$11</definedName>
    <definedName name="__CYA5">[1]Hidden!$J$11</definedName>
    <definedName name="__CYA6">[1]Hidden!$I$11</definedName>
    <definedName name="__CYA7">[1]Hidden!$H$11</definedName>
    <definedName name="__CYA8">[1]Hidden!$G$11</definedName>
    <definedName name="__CYA9">[1]Hidden!$F$11</definedName>
    <definedName name="__LYA12">[1]Hidden!$O$11</definedName>
    <definedName name="_ACT1" localSheetId="2">[2]Hidden!#REF!</definedName>
    <definedName name="_ACT1">[2]Hidden!#REF!</definedName>
    <definedName name="_ACT2" localSheetId="2">[2]Hidden!#REF!</definedName>
    <definedName name="_ACT2">[2]Hidden!#REF!</definedName>
    <definedName name="_ACT3" localSheetId="2">[2]Hidden!#REF!</definedName>
    <definedName name="_ACT3">[2]Hidden!#REF!</definedName>
    <definedName name="_CYA1">[1]Hidden!$N$11</definedName>
    <definedName name="_CYA10">[1]Hidden!$E$11</definedName>
    <definedName name="_CYA11">[1]Hidden!$P$11</definedName>
    <definedName name="_CYA2">[1]Hidden!$M$11</definedName>
    <definedName name="_CYA3">[1]Hidden!$L$11</definedName>
    <definedName name="_CYA4">[1]Hidden!$K$11</definedName>
    <definedName name="_CYA5">[1]Hidden!$J$11</definedName>
    <definedName name="_CYA6">[1]Hidden!$I$11</definedName>
    <definedName name="_CYA7">[1]Hidden!$H$11</definedName>
    <definedName name="_CYA8">[1]Hidden!$G$11</definedName>
    <definedName name="_CYA9">[1]Hidden!$F$11</definedName>
    <definedName name="_LYA12">[1]Hidden!$O$11</definedName>
    <definedName name="ACCT" localSheetId="4">[2]Hidden!#REF!</definedName>
    <definedName name="ACCT">[1]Hidden!$D$11</definedName>
    <definedName name="ACCT.ConsolSum">[1]Hidden!$Q$11</definedName>
    <definedName name="ACT_CUR" localSheetId="2">[2]Hidden!#REF!</definedName>
    <definedName name="ACT_CUR">[2]Hidden!#REF!</definedName>
    <definedName name="ACT_YTD" localSheetId="2">[2]Hidden!#REF!</definedName>
    <definedName name="ACT_YTD">[2]Hidden!#REF!</definedName>
    <definedName name="AmountCount" localSheetId="2">#REF!</definedName>
    <definedName name="AmountCount">#REF!</definedName>
    <definedName name="AmountTotal" localSheetId="2">#REF!</definedName>
    <definedName name="AmountTotal">#REF!</definedName>
    <definedName name="BookRev">'[3]Pacific Regulated - Price Out'!$F$50</definedName>
    <definedName name="BookRev_com">'[3]Pacific Regulated - Price Out'!$F$214</definedName>
    <definedName name="BookRev_mfr">'[3]Pacific Regulated - Price Out'!$F$222</definedName>
    <definedName name="BookRev_ro">'[3]Pacific Regulated - Price Out'!$F$282</definedName>
    <definedName name="BookRev_rr">'[3]Pacific Regulated - Price Out'!$F$59</definedName>
    <definedName name="BookRev_yw">'[3]Pacific Regulated - Price Out'!$F$70</definedName>
    <definedName name="BREMAIR_COST_of_SERVICE_STUDY" localSheetId="4">#REF!</definedName>
    <definedName name="BREMAIR_COST_of_SERVICE_STUDY" localSheetId="2">#REF!</definedName>
    <definedName name="BREMAIR_COST_of_SERVICE_STUDY">#REF!</definedName>
    <definedName name="BUD_CUR" localSheetId="2">[2]Hidden!#REF!</definedName>
    <definedName name="BUD_CUR">[2]Hidden!#REF!</definedName>
    <definedName name="BUD_YTD" localSheetId="2">[2]Hidden!#REF!</definedName>
    <definedName name="BUD_YTD">[2]Hidden!#REF!</definedName>
    <definedName name="CalRecyTons">'[4]Recycl Tons, Commodity Value'!$L$23</definedName>
    <definedName name="CheckTotals" localSheetId="4">#REF!</definedName>
    <definedName name="CheckTotals" localSheetId="2">#REF!</definedName>
    <definedName name="CheckTotals">#REF!</definedName>
    <definedName name="colgroup">[1]Orientation!$G$6</definedName>
    <definedName name="colsegment">[1]Orientation!$F$6</definedName>
    <definedName name="CRCTable" localSheetId="4">#REF!</definedName>
    <definedName name="CRCTable" localSheetId="2">#REF!</definedName>
    <definedName name="CRCTable">#REF!</definedName>
    <definedName name="CRCTableOLD" localSheetId="4">#REF!</definedName>
    <definedName name="CRCTableOLD" localSheetId="2">#REF!</definedName>
    <definedName name="CRCTableOLD">#REF!</definedName>
    <definedName name="CriteriaType">[5]ControlPanel!$Z$2:$Z$5</definedName>
    <definedName name="Cutomers" localSheetId="2">#REF!</definedName>
    <definedName name="Cutomers">#REF!</definedName>
    <definedName name="_xlnm.Database" localSheetId="4">#REF!</definedName>
    <definedName name="_xlnm.Database" localSheetId="2">#REF!</definedName>
    <definedName name="_xlnm.Database">#REF!</definedName>
    <definedName name="Database1" localSheetId="4">#REF!</definedName>
    <definedName name="Database1" localSheetId="2">#REF!</definedName>
    <definedName name="Database1">#REF!</definedName>
    <definedName name="DEPT" localSheetId="2">[2]Hidden!#REF!</definedName>
    <definedName name="DEPT">[2]Hidden!#REF!</definedName>
    <definedName name="District" localSheetId="2">'[6]Vashon BS'!#REF!</definedName>
    <definedName name="District">'[6]Vashon BS'!#REF!</definedName>
    <definedName name="DistrictNum" localSheetId="4">#REF!</definedName>
    <definedName name="DistrictNum" localSheetId="2">#REF!</definedName>
    <definedName name="DistrictNum">#REF!</definedName>
    <definedName name="drlFilter">[1]Settings!$D$27</definedName>
    <definedName name="End" localSheetId="4">#REF!</definedName>
    <definedName name="End" localSheetId="2">#REF!</definedName>
    <definedName name="End">#REF!</definedName>
    <definedName name="ExcludeIC" localSheetId="2">'[6]Vashon BS'!#REF!</definedName>
    <definedName name="ExcludeIC">'[6]Vashon BS'!#REF!</definedName>
    <definedName name="FBTable" localSheetId="4">#REF!</definedName>
    <definedName name="FBTable" localSheetId="2">#REF!</definedName>
    <definedName name="FBTable">#REF!</definedName>
    <definedName name="FBTableOld" localSheetId="4">#REF!</definedName>
    <definedName name="FBTableOld" localSheetId="2">#REF!</definedName>
    <definedName name="FBTableOld">#REF!</definedName>
    <definedName name="filter">[1]Settings!$B$14:$H$25</definedName>
    <definedName name="GLMappingStart" localSheetId="2">#REF!</definedName>
    <definedName name="GLMappingStart">#REF!</definedName>
    <definedName name="IncomeStmnt" localSheetId="2">#REF!</definedName>
    <definedName name="IncomeStmnt">#REF!</definedName>
    <definedName name="INPUT" localSheetId="4">#REF!</definedName>
    <definedName name="INPUT" localSheetId="2">#REF!</definedName>
    <definedName name="INPUT">#REF!</definedName>
    <definedName name="Insurance" localSheetId="2">#REF!</definedName>
    <definedName name="Insurance">#REF!</definedName>
    <definedName name="JEDetail" localSheetId="2">#REF!</definedName>
    <definedName name="JEDetail">#REF!</definedName>
    <definedName name="JEType" localSheetId="2">#REF!</definedName>
    <definedName name="JEType">#REF!</definedName>
    <definedName name="lblBillAreaStatus" localSheetId="2">#REF!</definedName>
    <definedName name="lblBillAreaStatus">#REF!</definedName>
    <definedName name="lblBillCycleStatus" localSheetId="2">#REF!</definedName>
    <definedName name="lblBillCycleStatus">#REF!</definedName>
    <definedName name="lblCategoryStatus" localSheetId="2">#REF!</definedName>
    <definedName name="lblCategoryStatus">#REF!</definedName>
    <definedName name="lblCompanyStatus" localSheetId="2">#REF!</definedName>
    <definedName name="lblCompanyStatus">#REF!</definedName>
    <definedName name="lblDatabaseStatus" localSheetId="2">#REF!</definedName>
    <definedName name="lblDatabaseStatus">#REF!</definedName>
    <definedName name="lblPullStatus" localSheetId="2">#REF!</definedName>
    <definedName name="lblPullStatus">#REF!</definedName>
    <definedName name="lllllllllllllllllllll" localSheetId="2">#REF!</definedName>
    <definedName name="lllllllllllllllllllll">#REF!</definedName>
    <definedName name="MainDataEnd" localSheetId="2">#REF!</definedName>
    <definedName name="MainDataEnd">#REF!</definedName>
    <definedName name="MainDataStart" localSheetId="2">#REF!</definedName>
    <definedName name="MainDataStart">#REF!</definedName>
    <definedName name="MapKeyStart" localSheetId="2">#REF!</definedName>
    <definedName name="MapKeyStart">#REF!</definedName>
    <definedName name="master_def" localSheetId="4">#REF!</definedName>
    <definedName name="master_def" localSheetId="2">#REF!</definedName>
    <definedName name="master_def">#REF!</definedName>
    <definedName name="MemoAttachment" localSheetId="4">#REF!</definedName>
    <definedName name="MemoAttachment" localSheetId="2">#REF!</definedName>
    <definedName name="MemoAttachment">#REF!</definedName>
    <definedName name="MetaSet">[1]Orientation!$C$22</definedName>
    <definedName name="NewOnlyOrg">#N/A</definedName>
    <definedName name="NOTES" localSheetId="4">#REF!</definedName>
    <definedName name="NOTES" localSheetId="2">#REF!</definedName>
    <definedName name="NOTES">#REF!</definedName>
    <definedName name="NR" localSheetId="4">#REF!</definedName>
    <definedName name="NR" localSheetId="2">#REF!</definedName>
    <definedName name="NR">#REF!</definedName>
    <definedName name="OfficerSalary">#N/A</definedName>
    <definedName name="OffsetAcctBil">[7]JEexport!$L$10</definedName>
    <definedName name="OffsetAcctPmt">[7]JEexport!$L$9</definedName>
    <definedName name="Org11_13">#N/A</definedName>
    <definedName name="Org7_10">#N/A</definedName>
    <definedName name="p" localSheetId="2">#REF!</definedName>
    <definedName name="p">#REF!</definedName>
    <definedName name="PAGE_1" localSheetId="4">#REF!</definedName>
    <definedName name="PAGE_1" localSheetId="2">#REF!</definedName>
    <definedName name="PAGE_1">#REF!</definedName>
    <definedName name="pBatchID" localSheetId="2">#REF!</definedName>
    <definedName name="pBatchID">#REF!</definedName>
    <definedName name="pBillArea" localSheetId="2">#REF!</definedName>
    <definedName name="pBillArea">#REF!</definedName>
    <definedName name="pBillCycle" localSheetId="2">#REF!</definedName>
    <definedName name="pBillCycle">#REF!</definedName>
    <definedName name="pCategory" localSheetId="2">#REF!</definedName>
    <definedName name="pCategory">#REF!</definedName>
    <definedName name="pCompany" localSheetId="2">#REF!</definedName>
    <definedName name="pCompany">#REF!</definedName>
    <definedName name="pCustomerNumber" localSheetId="2">#REF!</definedName>
    <definedName name="pCustomerNumber">#REF!</definedName>
    <definedName name="pDatabase" localSheetId="2">#REF!</definedName>
    <definedName name="pDatabase">#REF!</definedName>
    <definedName name="pEndPostDate" localSheetId="2">#REF!</definedName>
    <definedName name="pEndPostDate">#REF!</definedName>
    <definedName name="Period" localSheetId="2">#REF!</definedName>
    <definedName name="Period">#REF!</definedName>
    <definedName name="pMonth" localSheetId="2">#REF!</definedName>
    <definedName name="pMonth">#REF!</definedName>
    <definedName name="pOnlyShowLastTranx" localSheetId="2">#REF!</definedName>
    <definedName name="pOnlyShowLastTranx">#REF!</definedName>
    <definedName name="primtbl">[1]Orientation!$C$23</definedName>
    <definedName name="_xlnm.Print_Area" localSheetId="4">'Co Cust Cnt'!$A$1:$D$85</definedName>
    <definedName name="_xlnm.Print_Area" localSheetId="2">#REF!</definedName>
    <definedName name="_xlnm.Print_Area" localSheetId="1">'DF Calc (Mason Co.)'!$A$1:$S$94</definedName>
    <definedName name="_xlnm.Print_Area">#REF!</definedName>
    <definedName name="Print_Area_MI" localSheetId="4">#REF!</definedName>
    <definedName name="Print_Area_MI" localSheetId="2">#REF!</definedName>
    <definedName name="Print_Area_MI">#REF!</definedName>
    <definedName name="Print_Area1" localSheetId="4">#REF!</definedName>
    <definedName name="Print_Area1" localSheetId="2">#REF!</definedName>
    <definedName name="Print_Area1">#REF!</definedName>
    <definedName name="Print_Area2" localSheetId="4">#REF!</definedName>
    <definedName name="Print_Area2" localSheetId="2">#REF!</definedName>
    <definedName name="Print_Area2">#REF!</definedName>
    <definedName name="Print_Area3" localSheetId="4">#REF!</definedName>
    <definedName name="Print_Area3" localSheetId="2">#REF!</definedName>
    <definedName name="Print_Area3">#REF!</definedName>
    <definedName name="Print_Area5" localSheetId="4">#REF!</definedName>
    <definedName name="Print_Area5" localSheetId="2">#REF!</definedName>
    <definedName name="Print_Area5">#REF!</definedName>
    <definedName name="_xlnm.Print_Titles" localSheetId="4">'Co Cust Cnt'!$A:$A,'Co Cust Cnt'!$5:$5</definedName>
    <definedName name="_xlnm.Print_Titles" localSheetId="1">'DF Calc (Mason Co.)'!$5:$5</definedName>
    <definedName name="Print1" localSheetId="4">#REF!</definedName>
    <definedName name="Print1" localSheetId="2">#REF!</definedName>
    <definedName name="Print1">#REF!</definedName>
    <definedName name="Print2" localSheetId="4">#REF!</definedName>
    <definedName name="Print2" localSheetId="2">#REF!</definedName>
    <definedName name="Print2">#REF!</definedName>
    <definedName name="Print5" localSheetId="4">#REF!</definedName>
    <definedName name="Print5" localSheetId="2">#REF!</definedName>
    <definedName name="Print5">#REF!</definedName>
    <definedName name="ProRev">'[3]Pacific Regulated - Price Out'!$M$49</definedName>
    <definedName name="ProRev_com">'[3]Pacific Regulated - Price Out'!$M$213</definedName>
    <definedName name="ProRev_mfr">'[3]Pacific Regulated - Price Out'!$M$221</definedName>
    <definedName name="ProRev_ro">'[3]Pacific Regulated - Price Out'!$M$281</definedName>
    <definedName name="ProRev_rr">'[3]Pacific Regulated - Price Out'!$M$58</definedName>
    <definedName name="ProRev_yw">'[3]Pacific Regulated - Price Out'!$M$69</definedName>
    <definedName name="pServer" localSheetId="2">#REF!</definedName>
    <definedName name="pServer">#REF!</definedName>
    <definedName name="pServiceCode" localSheetId="2">#REF!</definedName>
    <definedName name="pServiceCode">#REF!</definedName>
    <definedName name="pShowAllUnposted" localSheetId="2">#REF!</definedName>
    <definedName name="pShowAllUnposted">#REF!</definedName>
    <definedName name="pShowCustomerDetail" localSheetId="2">#REF!</definedName>
    <definedName name="pShowCustomerDetail">#REF!</definedName>
    <definedName name="pSortOption" localSheetId="2">#REF!</definedName>
    <definedName name="pSortOption">#REF!</definedName>
    <definedName name="pStartPostDate" localSheetId="2">#REF!</definedName>
    <definedName name="pStartPostDate">#REF!</definedName>
    <definedName name="pTransType" localSheetId="2">#REF!</definedName>
    <definedName name="pTransType">#REF!</definedName>
    <definedName name="RCW_81.04.080">#N/A</definedName>
    <definedName name="RecyDisposal">#N/A</definedName>
    <definedName name="RelatedSalary">#N/A</definedName>
    <definedName name="report_type">[1]Orientation!$C$24</definedName>
    <definedName name="ReportNames" localSheetId="4">[5]ControlPanel!$X$2:$X$8</definedName>
    <definedName name="ReportNames">[8]ControlPanel!$S$2:$S$16</definedName>
    <definedName name="ReportVersion">[1]Settings!$D$5</definedName>
    <definedName name="RetainedEarnings" localSheetId="2">#REF!</definedName>
    <definedName name="RetainedEarnings">#REF!</definedName>
    <definedName name="RevCust" localSheetId="4">[9]RevenuesCust!#REF!</definedName>
    <definedName name="RevCust" localSheetId="2">[9]RevenuesCust!#REF!</definedName>
    <definedName name="RevCust">[9]RevenuesCust!#REF!</definedName>
    <definedName name="rngCreateLog">[1]Delivery!$B$12</definedName>
    <definedName name="rngFilePassword">[1]Delivery!$B$6</definedName>
    <definedName name="rngSourceTab">[1]Delivery!$E$8</definedName>
    <definedName name="rowgroup">[1]Orientation!$C$17</definedName>
    <definedName name="rowsegment">[1]Orientation!$B$17</definedName>
    <definedName name="Sequential_Group">[1]Settings!$J$6</definedName>
    <definedName name="Sequential_Segment">[1]Settings!$I$6</definedName>
    <definedName name="Sequential_sort">[1]Settings!$I$10:$J$11</definedName>
    <definedName name="sortcol" localSheetId="4">#REF!</definedName>
    <definedName name="sortcol" localSheetId="2">#REF!</definedName>
    <definedName name="sortcol">#REF!</definedName>
    <definedName name="sSRCDate" localSheetId="2">'[10]Feb''12 FAR Data'!#REF!</definedName>
    <definedName name="sSRCDate">'[10]Feb''12 FAR Data'!#REF!</definedName>
    <definedName name="Supplemental_filter">[1]Settings!$C$31</definedName>
    <definedName name="SWDisposal">#N/A</definedName>
    <definedName name="System">[11]BS_Close!$V$8</definedName>
    <definedName name="TemplateEnd" localSheetId="2">#REF!</definedName>
    <definedName name="TemplateEnd">#REF!</definedName>
    <definedName name="TemplateStart" localSheetId="2">#REF!</definedName>
    <definedName name="TemplateStart">#REF!</definedName>
    <definedName name="TheTable" localSheetId="4">#REF!</definedName>
    <definedName name="TheTable" localSheetId="2">#REF!</definedName>
    <definedName name="TheTable">#REF!</definedName>
    <definedName name="TheTableOLD" localSheetId="4">#REF!</definedName>
    <definedName name="TheTableOLD" localSheetId="2">#REF!</definedName>
    <definedName name="TheTableOLD">#REF!</definedName>
    <definedName name="timeseries">[1]Orientation!$B$6:$C$13</definedName>
    <definedName name="Total_Comm">'[4]Tariff Rate Sheet'!$L$214</definedName>
    <definedName name="Total_DB">'[4]Tariff Rate Sheet'!$L$278</definedName>
    <definedName name="Total_Resi">'[4]Tariff Rate Sheet'!$L$107</definedName>
    <definedName name="Transactions" localSheetId="2">#REF!</definedName>
    <definedName name="Transactions">#REF!</definedName>
    <definedName name="WTable" localSheetId="4">#REF!</definedName>
    <definedName name="WTable" localSheetId="2">#REF!</definedName>
    <definedName name="WTable">#REF!</definedName>
    <definedName name="WTableOld" localSheetId="4">#REF!</definedName>
    <definedName name="WTableOld" localSheetId="2">#REF!</definedName>
    <definedName name="WTableOld">#REF!</definedName>
    <definedName name="ww" localSheetId="2">#REF!</definedName>
    <definedName name="ww">#REF!</definedName>
    <definedName name="xperiod">[1]Orientation!$G$15</definedName>
    <definedName name="xtabin" localSheetId="2">[2]Hidden!#REF!</definedName>
    <definedName name="xtabin">[2]Hidden!#REF!</definedName>
    <definedName name="xx" localSheetId="4">#REF!</definedName>
    <definedName name="xx" localSheetId="2">#REF!</definedName>
    <definedName name="xx">#REF!</definedName>
    <definedName name="xxx" localSheetId="4">#REF!</definedName>
    <definedName name="xxx" localSheetId="2">#REF!</definedName>
    <definedName name="xxx">#REF!</definedName>
    <definedName name="xxxx" localSheetId="4">#REF!</definedName>
    <definedName name="xxxx" localSheetId="2">#REF!</definedName>
    <definedName name="xxxx">#REF!</definedName>
    <definedName name="YearMonth" localSheetId="2">'[6]Vashon BS'!#REF!</definedName>
    <definedName name="YearMonth">'[6]Vashon BS'!#REF!</definedName>
    <definedName name="YWMedWasteDisp">#N/A</definedName>
  </definedNames>
  <calcPr calcId="145621" concurrentManualCount="4"/>
  <fileRecoveryPr repairLoad="1"/>
</workbook>
</file>

<file path=xl/calcChain.xml><?xml version="1.0" encoding="utf-8"?>
<calcChain xmlns="http://schemas.openxmlformats.org/spreadsheetml/2006/main">
  <c r="L83" i="11" l="1"/>
  <c r="L80" i="11"/>
  <c r="L67" i="11"/>
  <c r="L55" i="11"/>
  <c r="L32" i="11"/>
  <c r="L26" i="11"/>
  <c r="A1" i="11"/>
  <c r="L82" i="6"/>
  <c r="L83" i="6"/>
  <c r="L84" i="6"/>
  <c r="L81" i="6"/>
  <c r="H81" i="6"/>
  <c r="K81" i="6"/>
  <c r="L78" i="6"/>
  <c r="J6" i="6"/>
  <c r="A1" i="6"/>
  <c r="D83" i="1" l="1"/>
  <c r="D82" i="1"/>
  <c r="D81" i="1"/>
  <c r="D80" i="1"/>
  <c r="D79" i="1"/>
  <c r="D78" i="1"/>
  <c r="D77" i="1"/>
  <c r="D76" i="1"/>
  <c r="D75" i="1"/>
  <c r="D74" i="1"/>
  <c r="D73" i="1"/>
  <c r="D72" i="1"/>
  <c r="D71" i="1"/>
  <c r="D68" i="1"/>
  <c r="C68" i="1"/>
  <c r="D66" i="1"/>
  <c r="D65" i="1"/>
  <c r="D63" i="1"/>
  <c r="D62" i="1"/>
  <c r="D60" i="1"/>
  <c r="D56" i="1"/>
  <c r="B56" i="1"/>
  <c r="D54" i="1"/>
  <c r="C54" i="1"/>
  <c r="D53" i="1"/>
  <c r="C53" i="1"/>
  <c r="D52" i="1"/>
  <c r="C52" i="1"/>
  <c r="D50" i="1"/>
  <c r="C50" i="1"/>
  <c r="B50" i="1"/>
  <c r="D49" i="1"/>
  <c r="C49" i="1"/>
  <c r="D48" i="1"/>
  <c r="C48" i="1"/>
  <c r="D46" i="1"/>
  <c r="C46" i="1"/>
  <c r="D43" i="1"/>
  <c r="B43" i="1"/>
  <c r="D42" i="1"/>
  <c r="C42" i="1"/>
  <c r="D41" i="1"/>
  <c r="C41" i="1"/>
  <c r="D40" i="1"/>
  <c r="C40" i="1"/>
  <c r="D38" i="1"/>
  <c r="C38" i="1"/>
  <c r="D37" i="1"/>
  <c r="C37" i="1"/>
  <c r="D36" i="1"/>
  <c r="C36" i="1"/>
  <c r="D35" i="1"/>
  <c r="C35" i="1"/>
  <c r="D34" i="1"/>
  <c r="C34" i="1"/>
  <c r="D32" i="1"/>
  <c r="C32" i="1"/>
  <c r="D31" i="1"/>
  <c r="C31" i="1"/>
  <c r="D30" i="1"/>
  <c r="C30" i="1"/>
  <c r="D29" i="1"/>
  <c r="C29" i="1"/>
  <c r="D28" i="1"/>
  <c r="C28" i="1"/>
  <c r="D26" i="1"/>
  <c r="C26" i="1"/>
  <c r="D25" i="1"/>
  <c r="C25" i="1"/>
  <c r="D24" i="1"/>
  <c r="C24" i="1"/>
  <c r="D23" i="1"/>
  <c r="C23" i="1"/>
  <c r="D22" i="1"/>
  <c r="C22" i="1"/>
  <c r="D21" i="1"/>
  <c r="C21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B110" i="9"/>
  <c r="B109" i="9"/>
  <c r="C92" i="11"/>
  <c r="C93" i="11" s="1"/>
  <c r="M86" i="11"/>
  <c r="G86" i="11"/>
  <c r="E86" i="11"/>
  <c r="F86" i="11" s="1"/>
  <c r="M85" i="11"/>
  <c r="G85" i="11"/>
  <c r="E85" i="11"/>
  <c r="F85" i="11" s="1"/>
  <c r="H85" i="11" s="1"/>
  <c r="M84" i="11"/>
  <c r="G84" i="11"/>
  <c r="E84" i="11"/>
  <c r="F84" i="11" s="1"/>
  <c r="H84" i="11" s="1"/>
  <c r="M83" i="11"/>
  <c r="G83" i="11"/>
  <c r="E83" i="11"/>
  <c r="F83" i="11" s="1"/>
  <c r="M82" i="11"/>
  <c r="G82" i="11"/>
  <c r="E82" i="11"/>
  <c r="F82" i="11" s="1"/>
  <c r="M81" i="11"/>
  <c r="G81" i="11"/>
  <c r="E81" i="11"/>
  <c r="F81" i="11" s="1"/>
  <c r="H81" i="11" s="1"/>
  <c r="M80" i="11"/>
  <c r="G80" i="11"/>
  <c r="E80" i="11"/>
  <c r="F80" i="11" s="1"/>
  <c r="H80" i="11" s="1"/>
  <c r="M79" i="11"/>
  <c r="E79" i="11"/>
  <c r="F79" i="11" s="1"/>
  <c r="M78" i="11"/>
  <c r="G78" i="11"/>
  <c r="E78" i="11"/>
  <c r="F78" i="11" s="1"/>
  <c r="H78" i="11" s="1"/>
  <c r="M77" i="11"/>
  <c r="G77" i="11"/>
  <c r="E77" i="11"/>
  <c r="F77" i="11" s="1"/>
  <c r="H77" i="11" s="1"/>
  <c r="M76" i="11"/>
  <c r="G76" i="11"/>
  <c r="E76" i="11"/>
  <c r="F76" i="11" s="1"/>
  <c r="H76" i="11" s="1"/>
  <c r="M75" i="11"/>
  <c r="G75" i="11"/>
  <c r="E75" i="11"/>
  <c r="F75" i="11" s="1"/>
  <c r="H75" i="11" s="1"/>
  <c r="M74" i="11"/>
  <c r="G74" i="11"/>
  <c r="E74" i="11"/>
  <c r="F74" i="11" s="1"/>
  <c r="H74" i="11" s="1"/>
  <c r="M73" i="11"/>
  <c r="G73" i="11"/>
  <c r="E73" i="11"/>
  <c r="F73" i="11" s="1"/>
  <c r="H73" i="11" s="1"/>
  <c r="M72" i="11"/>
  <c r="G72" i="11"/>
  <c r="E72" i="11"/>
  <c r="F72" i="11" s="1"/>
  <c r="H72" i="11" s="1"/>
  <c r="M71" i="11"/>
  <c r="G71" i="11"/>
  <c r="E71" i="11"/>
  <c r="F71" i="11" s="1"/>
  <c r="H71" i="11" s="1"/>
  <c r="M70" i="11"/>
  <c r="G70" i="11"/>
  <c r="E70" i="11"/>
  <c r="F70" i="11" s="1"/>
  <c r="H70" i="11" s="1"/>
  <c r="M69" i="11"/>
  <c r="G69" i="11"/>
  <c r="E69" i="11"/>
  <c r="F69" i="11" s="1"/>
  <c r="H69" i="11" s="1"/>
  <c r="M68" i="11"/>
  <c r="G68" i="11"/>
  <c r="G79" i="11" s="1"/>
  <c r="E68" i="11"/>
  <c r="F68" i="11" s="1"/>
  <c r="H68" i="11" s="1"/>
  <c r="M67" i="11"/>
  <c r="G67" i="11"/>
  <c r="E67" i="11"/>
  <c r="F67" i="11" s="1"/>
  <c r="H67" i="11" s="1"/>
  <c r="M65" i="11"/>
  <c r="G65" i="11"/>
  <c r="E65" i="11"/>
  <c r="F65" i="11" s="1"/>
  <c r="H65" i="11" s="1"/>
  <c r="M64" i="11"/>
  <c r="G64" i="11"/>
  <c r="E64" i="11"/>
  <c r="F64" i="11" s="1"/>
  <c r="H64" i="11" s="1"/>
  <c r="M63" i="11"/>
  <c r="G63" i="11"/>
  <c r="E63" i="11"/>
  <c r="F63" i="11" s="1"/>
  <c r="H63" i="11" s="1"/>
  <c r="M62" i="11"/>
  <c r="G62" i="11"/>
  <c r="E62" i="11"/>
  <c r="F62" i="11" s="1"/>
  <c r="H62" i="11" s="1"/>
  <c r="M61" i="11"/>
  <c r="G61" i="11"/>
  <c r="E61" i="11"/>
  <c r="F61" i="11" s="1"/>
  <c r="H61" i="11" s="1"/>
  <c r="M60" i="11"/>
  <c r="G60" i="11"/>
  <c r="E60" i="11"/>
  <c r="F60" i="11" s="1"/>
  <c r="M59" i="11"/>
  <c r="G59" i="11"/>
  <c r="E59" i="11"/>
  <c r="F59" i="11" s="1"/>
  <c r="M57" i="11"/>
  <c r="G57" i="11"/>
  <c r="E57" i="11"/>
  <c r="F57" i="11" s="1"/>
  <c r="H57" i="11" s="1"/>
  <c r="M56" i="11"/>
  <c r="G56" i="11"/>
  <c r="E56" i="11"/>
  <c r="F56" i="11" s="1"/>
  <c r="M55" i="11"/>
  <c r="G55" i="11"/>
  <c r="E55" i="11"/>
  <c r="F55" i="11" s="1"/>
  <c r="M54" i="11"/>
  <c r="G54" i="11"/>
  <c r="E54" i="11"/>
  <c r="F54" i="11" s="1"/>
  <c r="H54" i="11" s="1"/>
  <c r="D50" i="11"/>
  <c r="D49" i="11"/>
  <c r="M47" i="11"/>
  <c r="G47" i="11"/>
  <c r="E47" i="11"/>
  <c r="F47" i="11" s="1"/>
  <c r="M46" i="11"/>
  <c r="G46" i="11"/>
  <c r="E46" i="11"/>
  <c r="F46" i="11" s="1"/>
  <c r="M45" i="11"/>
  <c r="G45" i="11"/>
  <c r="E45" i="11"/>
  <c r="F45" i="11" s="1"/>
  <c r="M44" i="11"/>
  <c r="G44" i="11"/>
  <c r="E44" i="11"/>
  <c r="F44" i="11" s="1"/>
  <c r="M43" i="11"/>
  <c r="G43" i="11"/>
  <c r="E43" i="11"/>
  <c r="F43" i="11" s="1"/>
  <c r="M42" i="11"/>
  <c r="G42" i="11"/>
  <c r="E42" i="11"/>
  <c r="F42" i="11" s="1"/>
  <c r="D41" i="11"/>
  <c r="M39" i="11"/>
  <c r="G39" i="11"/>
  <c r="E39" i="11"/>
  <c r="F39" i="11" s="1"/>
  <c r="M38" i="11"/>
  <c r="G38" i="11"/>
  <c r="E38" i="11"/>
  <c r="F38" i="11" s="1"/>
  <c r="M36" i="11"/>
  <c r="P36" i="11" s="1"/>
  <c r="G36" i="11"/>
  <c r="H36" i="11" s="1"/>
  <c r="E36" i="11"/>
  <c r="M35" i="11"/>
  <c r="P35" i="11" s="1"/>
  <c r="H35" i="11"/>
  <c r="G35" i="11"/>
  <c r="E35" i="11"/>
  <c r="M34" i="11"/>
  <c r="G34" i="11"/>
  <c r="E34" i="11"/>
  <c r="F34" i="11" s="1"/>
  <c r="M33" i="11"/>
  <c r="G33" i="11"/>
  <c r="E33" i="11"/>
  <c r="F33" i="11" s="1"/>
  <c r="M32" i="11"/>
  <c r="G32" i="11"/>
  <c r="E32" i="11"/>
  <c r="F32" i="11" s="1"/>
  <c r="P30" i="11"/>
  <c r="M30" i="11"/>
  <c r="G30" i="11"/>
  <c r="E30" i="11"/>
  <c r="F30" i="11" s="1"/>
  <c r="H30" i="11" s="1"/>
  <c r="P29" i="11"/>
  <c r="M29" i="11"/>
  <c r="G29" i="11"/>
  <c r="E29" i="11"/>
  <c r="F29" i="11" s="1"/>
  <c r="H29" i="11" s="1"/>
  <c r="M28" i="11"/>
  <c r="P28" i="11" s="1"/>
  <c r="G28" i="11"/>
  <c r="H28" i="11" s="1"/>
  <c r="E28" i="11"/>
  <c r="M27" i="11"/>
  <c r="P27" i="11" s="1"/>
  <c r="G27" i="11"/>
  <c r="F27" i="11"/>
  <c r="E27" i="11"/>
  <c r="M26" i="11"/>
  <c r="P26" i="11" s="1"/>
  <c r="G26" i="11"/>
  <c r="E26" i="11"/>
  <c r="F26" i="11" s="1"/>
  <c r="M24" i="11"/>
  <c r="P24" i="11" s="1"/>
  <c r="G24" i="11"/>
  <c r="E24" i="11"/>
  <c r="F24" i="11" s="1"/>
  <c r="P23" i="11"/>
  <c r="M23" i="11"/>
  <c r="G23" i="11"/>
  <c r="E23" i="11"/>
  <c r="F23" i="11" s="1"/>
  <c r="P22" i="11"/>
  <c r="M22" i="11"/>
  <c r="G22" i="11"/>
  <c r="E22" i="11"/>
  <c r="F22" i="11" s="1"/>
  <c r="P21" i="11"/>
  <c r="M21" i="11"/>
  <c r="G21" i="11"/>
  <c r="E21" i="11"/>
  <c r="F21" i="11" s="1"/>
  <c r="M19" i="11"/>
  <c r="P19" i="11" s="1"/>
  <c r="E19" i="11"/>
  <c r="F19" i="11" s="1"/>
  <c r="M18" i="11"/>
  <c r="P18" i="11" s="1"/>
  <c r="G18" i="11"/>
  <c r="E18" i="11"/>
  <c r="F18" i="11" s="1"/>
  <c r="M16" i="11"/>
  <c r="P16" i="11" s="1"/>
  <c r="G16" i="11"/>
  <c r="E16" i="11"/>
  <c r="F16" i="11" s="1"/>
  <c r="M15" i="11"/>
  <c r="P15" i="11" s="1"/>
  <c r="G15" i="11"/>
  <c r="F15" i="11"/>
  <c r="E15" i="11"/>
  <c r="M14" i="11"/>
  <c r="P14" i="11" s="1"/>
  <c r="G14" i="11"/>
  <c r="E14" i="11"/>
  <c r="F14" i="11" s="1"/>
  <c r="M13" i="11"/>
  <c r="P13" i="11" s="1"/>
  <c r="G13" i="11"/>
  <c r="E13" i="11"/>
  <c r="F13" i="11" s="1"/>
  <c r="H13" i="11" s="1"/>
  <c r="E11" i="11"/>
  <c r="F11" i="11" s="1"/>
  <c r="P10" i="11"/>
  <c r="M10" i="11"/>
  <c r="M11" i="11" s="1"/>
  <c r="P11" i="11" s="1"/>
  <c r="G10" i="11"/>
  <c r="G11" i="11" s="1"/>
  <c r="E10" i="11"/>
  <c r="F10" i="11" s="1"/>
  <c r="H10" i="11" s="1"/>
  <c r="M9" i="11"/>
  <c r="P9" i="11" s="1"/>
  <c r="G9" i="11"/>
  <c r="E9" i="11"/>
  <c r="F9" i="11" s="1"/>
  <c r="H9" i="11" s="1"/>
  <c r="M8" i="11"/>
  <c r="P8" i="11" s="1"/>
  <c r="G8" i="11"/>
  <c r="G19" i="11" s="1"/>
  <c r="E8" i="11"/>
  <c r="F8" i="11" s="1"/>
  <c r="H8" i="11" s="1"/>
  <c r="M7" i="11"/>
  <c r="P7" i="11" s="1"/>
  <c r="G7" i="11"/>
  <c r="E7" i="11"/>
  <c r="F7" i="11" s="1"/>
  <c r="H7" i="11" s="1"/>
  <c r="M6" i="11"/>
  <c r="P6" i="11" s="1"/>
  <c r="G6" i="11"/>
  <c r="F6" i="11"/>
  <c r="E6" i="11"/>
  <c r="C90" i="6"/>
  <c r="C91" i="6" s="1"/>
  <c r="M84" i="6"/>
  <c r="G84" i="6"/>
  <c r="E84" i="6"/>
  <c r="F84" i="6" s="1"/>
  <c r="H84" i="6" s="1"/>
  <c r="M83" i="6"/>
  <c r="G83" i="6"/>
  <c r="E83" i="6"/>
  <c r="F83" i="6" s="1"/>
  <c r="M82" i="6"/>
  <c r="G82" i="6"/>
  <c r="E82" i="6"/>
  <c r="F82" i="6" s="1"/>
  <c r="M81" i="6"/>
  <c r="G81" i="6"/>
  <c r="E81" i="6"/>
  <c r="F81" i="6" s="1"/>
  <c r="M80" i="6"/>
  <c r="G80" i="6"/>
  <c r="E80" i="6"/>
  <c r="F80" i="6" s="1"/>
  <c r="H80" i="6" s="1"/>
  <c r="M79" i="6"/>
  <c r="G79" i="6"/>
  <c r="E79" i="6"/>
  <c r="F79" i="6" s="1"/>
  <c r="M78" i="6"/>
  <c r="G78" i="6"/>
  <c r="E78" i="6"/>
  <c r="F78" i="6" s="1"/>
  <c r="H78" i="6" s="1"/>
  <c r="M77" i="6"/>
  <c r="G77" i="6"/>
  <c r="E77" i="6"/>
  <c r="F77" i="6" s="1"/>
  <c r="H77" i="6" s="1"/>
  <c r="M76" i="6"/>
  <c r="G76" i="6"/>
  <c r="E76" i="6"/>
  <c r="F76" i="6" s="1"/>
  <c r="M75" i="6"/>
  <c r="G75" i="6"/>
  <c r="E75" i="6"/>
  <c r="F75" i="6" s="1"/>
  <c r="M74" i="6"/>
  <c r="G74" i="6"/>
  <c r="E74" i="6"/>
  <c r="F74" i="6" s="1"/>
  <c r="M73" i="6"/>
  <c r="G73" i="6"/>
  <c r="E73" i="6"/>
  <c r="F73" i="6" s="1"/>
  <c r="H73" i="6" s="1"/>
  <c r="M72" i="6"/>
  <c r="G72" i="6"/>
  <c r="E72" i="6"/>
  <c r="F72" i="6" s="1"/>
  <c r="H72" i="6" s="1"/>
  <c r="M71" i="6"/>
  <c r="E71" i="6"/>
  <c r="F71" i="6" s="1"/>
  <c r="H71" i="6" s="1"/>
  <c r="M70" i="6"/>
  <c r="G70" i="6"/>
  <c r="E70" i="6"/>
  <c r="F70" i="6" s="1"/>
  <c r="M69" i="6"/>
  <c r="G69" i="6"/>
  <c r="E69" i="6"/>
  <c r="F69" i="6" s="1"/>
  <c r="M68" i="6"/>
  <c r="G68" i="6"/>
  <c r="E68" i="6"/>
  <c r="F68" i="6" s="1"/>
  <c r="H68" i="6" s="1"/>
  <c r="M67" i="6"/>
  <c r="G67" i="6"/>
  <c r="E67" i="6"/>
  <c r="F67" i="6" s="1"/>
  <c r="H67" i="6" s="1"/>
  <c r="M66" i="6"/>
  <c r="G66" i="6"/>
  <c r="E66" i="6"/>
  <c r="F66" i="6" s="1"/>
  <c r="H66" i="6" s="1"/>
  <c r="M64" i="6"/>
  <c r="G64" i="6"/>
  <c r="E64" i="6"/>
  <c r="F64" i="6" s="1"/>
  <c r="H64" i="6" s="1"/>
  <c r="M63" i="6"/>
  <c r="G63" i="6"/>
  <c r="E63" i="6"/>
  <c r="F63" i="6" s="1"/>
  <c r="M62" i="6"/>
  <c r="G62" i="6"/>
  <c r="E62" i="6"/>
  <c r="F62" i="6" s="1"/>
  <c r="H62" i="6" s="1"/>
  <c r="S61" i="6"/>
  <c r="R61" i="6"/>
  <c r="M61" i="6"/>
  <c r="G61" i="6"/>
  <c r="E61" i="6"/>
  <c r="F61" i="6" s="1"/>
  <c r="H61" i="6" s="1"/>
  <c r="M60" i="6"/>
  <c r="G60" i="6"/>
  <c r="E60" i="6"/>
  <c r="F60" i="6" s="1"/>
  <c r="H60" i="6" s="1"/>
  <c r="M59" i="6"/>
  <c r="G59" i="6"/>
  <c r="E59" i="6"/>
  <c r="F59" i="6" s="1"/>
  <c r="H59" i="6" s="1"/>
  <c r="M58" i="6"/>
  <c r="G58" i="6"/>
  <c r="E58" i="6"/>
  <c r="F58" i="6" s="1"/>
  <c r="H58" i="6" s="1"/>
  <c r="M57" i="6"/>
  <c r="G57" i="6"/>
  <c r="E57" i="6"/>
  <c r="F57" i="6" s="1"/>
  <c r="H57" i="6" s="1"/>
  <c r="M56" i="6"/>
  <c r="G56" i="6"/>
  <c r="E56" i="6"/>
  <c r="F56" i="6" s="1"/>
  <c r="H56" i="6" s="1"/>
  <c r="D52" i="6"/>
  <c r="D51" i="6"/>
  <c r="M49" i="6"/>
  <c r="G49" i="6"/>
  <c r="E49" i="6"/>
  <c r="F49" i="6" s="1"/>
  <c r="M48" i="6"/>
  <c r="G48" i="6"/>
  <c r="E48" i="6"/>
  <c r="F48" i="6" s="1"/>
  <c r="M47" i="6"/>
  <c r="G47" i="6"/>
  <c r="E47" i="6"/>
  <c r="F47" i="6" s="1"/>
  <c r="M46" i="6"/>
  <c r="G46" i="6"/>
  <c r="E46" i="6"/>
  <c r="F46" i="6" s="1"/>
  <c r="D46" i="6"/>
  <c r="M45" i="6"/>
  <c r="G45" i="6"/>
  <c r="E45" i="6"/>
  <c r="F45" i="6" s="1"/>
  <c r="P45" i="6" s="1"/>
  <c r="M44" i="6"/>
  <c r="G44" i="6"/>
  <c r="E44" i="6"/>
  <c r="F44" i="6" s="1"/>
  <c r="M43" i="6"/>
  <c r="G43" i="6"/>
  <c r="E43" i="6"/>
  <c r="F43" i="6" s="1"/>
  <c r="D42" i="6"/>
  <c r="M40" i="6"/>
  <c r="G40" i="6"/>
  <c r="E40" i="6"/>
  <c r="F40" i="6" s="1"/>
  <c r="P40" i="6" s="1"/>
  <c r="M39" i="6"/>
  <c r="G39" i="6"/>
  <c r="E39" i="6"/>
  <c r="F39" i="6" s="1"/>
  <c r="M38" i="6"/>
  <c r="G38" i="6"/>
  <c r="E38" i="6"/>
  <c r="F38" i="6" s="1"/>
  <c r="M37" i="6"/>
  <c r="G37" i="6"/>
  <c r="E37" i="6"/>
  <c r="F37" i="6" s="1"/>
  <c r="M36" i="6"/>
  <c r="G36" i="6"/>
  <c r="F36" i="6"/>
  <c r="E36" i="6"/>
  <c r="M35" i="6"/>
  <c r="G35" i="6"/>
  <c r="E35" i="6"/>
  <c r="F35" i="6" s="1"/>
  <c r="M34" i="6"/>
  <c r="G34" i="6"/>
  <c r="E34" i="6"/>
  <c r="F34" i="6" s="1"/>
  <c r="P32" i="6"/>
  <c r="M32" i="6"/>
  <c r="G32" i="6"/>
  <c r="E32" i="6"/>
  <c r="F32" i="6" s="1"/>
  <c r="H32" i="6" s="1"/>
  <c r="P31" i="6"/>
  <c r="M31" i="6"/>
  <c r="G31" i="6"/>
  <c r="E31" i="6"/>
  <c r="F31" i="6" s="1"/>
  <c r="H31" i="6" s="1"/>
  <c r="M30" i="6"/>
  <c r="P30" i="6" s="1"/>
  <c r="G30" i="6"/>
  <c r="E30" i="6"/>
  <c r="F30" i="6" s="1"/>
  <c r="M29" i="6"/>
  <c r="P29" i="6" s="1"/>
  <c r="G29" i="6"/>
  <c r="E29" i="6"/>
  <c r="F29" i="6" s="1"/>
  <c r="M28" i="6"/>
  <c r="P28" i="6" s="1"/>
  <c r="G28" i="6"/>
  <c r="E28" i="6"/>
  <c r="F28" i="6" s="1"/>
  <c r="M26" i="6"/>
  <c r="P26" i="6" s="1"/>
  <c r="G26" i="6"/>
  <c r="E26" i="6"/>
  <c r="F26" i="6" s="1"/>
  <c r="M25" i="6"/>
  <c r="P25" i="6" s="1"/>
  <c r="G25" i="6"/>
  <c r="F25" i="6"/>
  <c r="E25" i="6"/>
  <c r="P24" i="6"/>
  <c r="M24" i="6"/>
  <c r="G24" i="6"/>
  <c r="E24" i="6"/>
  <c r="F24" i="6" s="1"/>
  <c r="P23" i="6"/>
  <c r="M23" i="6"/>
  <c r="G23" i="6"/>
  <c r="E23" i="6"/>
  <c r="F23" i="6" s="1"/>
  <c r="H23" i="6" s="1"/>
  <c r="P22" i="6"/>
  <c r="M22" i="6"/>
  <c r="E22" i="6"/>
  <c r="F22" i="6" s="1"/>
  <c r="M21" i="6"/>
  <c r="P21" i="6" s="1"/>
  <c r="G21" i="6"/>
  <c r="E21" i="6"/>
  <c r="F21" i="6" s="1"/>
  <c r="H21" i="6" s="1"/>
  <c r="M19" i="6"/>
  <c r="P19" i="6" s="1"/>
  <c r="G19" i="6"/>
  <c r="E19" i="6"/>
  <c r="F19" i="6" s="1"/>
  <c r="H19" i="6" s="1"/>
  <c r="M18" i="6"/>
  <c r="P18" i="6" s="1"/>
  <c r="G18" i="6"/>
  <c r="F18" i="6"/>
  <c r="E18" i="6"/>
  <c r="M17" i="6"/>
  <c r="P17" i="6" s="1"/>
  <c r="G17" i="6"/>
  <c r="E17" i="6"/>
  <c r="F17" i="6" s="1"/>
  <c r="M16" i="6"/>
  <c r="P16" i="6" s="1"/>
  <c r="G16" i="6"/>
  <c r="E16" i="6"/>
  <c r="F16" i="6" s="1"/>
  <c r="E14" i="6"/>
  <c r="F14" i="6" s="1"/>
  <c r="M13" i="6"/>
  <c r="M14" i="6" s="1"/>
  <c r="P14" i="6" s="1"/>
  <c r="G13" i="6"/>
  <c r="G14" i="6" s="1"/>
  <c r="F13" i="6"/>
  <c r="H13" i="6" s="1"/>
  <c r="E13" i="6"/>
  <c r="M12" i="6"/>
  <c r="P12" i="6" s="1"/>
  <c r="G12" i="6"/>
  <c r="E12" i="6"/>
  <c r="F12" i="6" s="1"/>
  <c r="M11" i="6"/>
  <c r="P11" i="6" s="1"/>
  <c r="G11" i="6"/>
  <c r="E11" i="6"/>
  <c r="F11" i="6" s="1"/>
  <c r="M10" i="6"/>
  <c r="P10" i="6" s="1"/>
  <c r="G10" i="6"/>
  <c r="E10" i="6"/>
  <c r="F10" i="6" s="1"/>
  <c r="M9" i="6"/>
  <c r="P9" i="6" s="1"/>
  <c r="G9" i="6"/>
  <c r="E9" i="6"/>
  <c r="F9" i="6" s="1"/>
  <c r="H9" i="6" s="1"/>
  <c r="M8" i="6"/>
  <c r="P8" i="6" s="1"/>
  <c r="G8" i="6"/>
  <c r="G22" i="6" s="1"/>
  <c r="E8" i="6"/>
  <c r="F8" i="6" s="1"/>
  <c r="H8" i="6" s="1"/>
  <c r="M7" i="6"/>
  <c r="P7" i="6" s="1"/>
  <c r="G7" i="6"/>
  <c r="F7" i="6"/>
  <c r="H7" i="6" s="1"/>
  <c r="E7" i="6"/>
  <c r="P6" i="6"/>
  <c r="M6" i="6"/>
  <c r="G6" i="6"/>
  <c r="E6" i="6"/>
  <c r="F6" i="6" s="1"/>
  <c r="G78" i="5"/>
  <c r="G76" i="5"/>
  <c r="G74" i="5"/>
  <c r="G73" i="5"/>
  <c r="D72" i="5"/>
  <c r="S59" i="11" s="1"/>
  <c r="B72" i="5"/>
  <c r="B76" i="5" s="1"/>
  <c r="B77" i="5" s="1"/>
  <c r="B79" i="5" s="1"/>
  <c r="C71" i="5"/>
  <c r="C72" i="5" s="1"/>
  <c r="C70" i="5"/>
  <c r="B60" i="5"/>
  <c r="B58" i="5"/>
  <c r="B57" i="5"/>
  <c r="G56" i="5"/>
  <c r="G54" i="5"/>
  <c r="D53" i="5"/>
  <c r="C53" i="5"/>
  <c r="B53" i="5"/>
  <c r="G52" i="5"/>
  <c r="C52" i="5"/>
  <c r="G51" i="5"/>
  <c r="C51" i="5"/>
  <c r="H12" i="5"/>
  <c r="G12" i="5"/>
  <c r="F12" i="5"/>
  <c r="E12" i="5"/>
  <c r="D12" i="5"/>
  <c r="C12" i="5"/>
  <c r="B12" i="5"/>
  <c r="H11" i="5"/>
  <c r="G11" i="5"/>
  <c r="F11" i="5"/>
  <c r="E11" i="5"/>
  <c r="D11" i="5"/>
  <c r="C11" i="5"/>
  <c r="B11" i="5"/>
  <c r="H10" i="5"/>
  <c r="G10" i="5"/>
  <c r="F10" i="5"/>
  <c r="E10" i="5"/>
  <c r="D10" i="5"/>
  <c r="C10" i="5"/>
  <c r="B10" i="5"/>
  <c r="H9" i="5"/>
  <c r="G9" i="5"/>
  <c r="F9" i="5"/>
  <c r="E9" i="5"/>
  <c r="D9" i="5"/>
  <c r="C9" i="5"/>
  <c r="B9" i="5"/>
  <c r="H8" i="5"/>
  <c r="G8" i="5"/>
  <c r="F8" i="5"/>
  <c r="E8" i="5"/>
  <c r="D8" i="5"/>
  <c r="C8" i="5"/>
  <c r="B8" i="5"/>
  <c r="H7" i="5"/>
  <c r="G7" i="5"/>
  <c r="F7" i="5"/>
  <c r="E7" i="5"/>
  <c r="D7" i="5"/>
  <c r="C7" i="5"/>
  <c r="B7" i="5"/>
  <c r="H6" i="5"/>
  <c r="G6" i="5"/>
  <c r="F6" i="5"/>
  <c r="E6" i="5"/>
  <c r="D6" i="5"/>
  <c r="C6" i="5"/>
  <c r="B6" i="5"/>
  <c r="H59" i="11" l="1"/>
  <c r="H42" i="11"/>
  <c r="H55" i="11"/>
  <c r="H82" i="11"/>
  <c r="H86" i="11"/>
  <c r="P13" i="6"/>
  <c r="H16" i="6"/>
  <c r="P46" i="6"/>
  <c r="H79" i="6"/>
  <c r="H69" i="6"/>
  <c r="H82" i="6"/>
  <c r="H18" i="6"/>
  <c r="H76" i="6"/>
  <c r="R59" i="11"/>
  <c r="H10" i="6"/>
  <c r="H17" i="6"/>
  <c r="H24" i="6"/>
  <c r="H70" i="6"/>
  <c r="H11" i="11"/>
  <c r="H14" i="11"/>
  <c r="H21" i="11"/>
  <c r="H11" i="6"/>
  <c r="H12" i="6"/>
  <c r="H25" i="6"/>
  <c r="H26" i="6"/>
  <c r="H28" i="6"/>
  <c r="H29" i="6"/>
  <c r="H30" i="6"/>
  <c r="H63" i="6"/>
  <c r="H75" i="6"/>
  <c r="H83" i="6"/>
  <c r="H15" i="11"/>
  <c r="H16" i="11"/>
  <c r="H18" i="11"/>
  <c r="H19" i="11"/>
  <c r="H22" i="11"/>
  <c r="H23" i="11"/>
  <c r="H24" i="11"/>
  <c r="H26" i="11"/>
  <c r="H56" i="11"/>
  <c r="H60" i="11"/>
  <c r="H27" i="11"/>
  <c r="H14" i="6"/>
  <c r="H74" i="6"/>
  <c r="F42" i="6"/>
  <c r="H6" i="6"/>
  <c r="H22" i="6"/>
  <c r="P38" i="6"/>
  <c r="H38" i="6"/>
  <c r="P36" i="6"/>
  <c r="H36" i="6"/>
  <c r="P49" i="6"/>
  <c r="H49" i="6"/>
  <c r="P34" i="6"/>
  <c r="P44" i="6"/>
  <c r="H44" i="6"/>
  <c r="P48" i="6"/>
  <c r="H48" i="6"/>
  <c r="H34" i="6"/>
  <c r="P35" i="6"/>
  <c r="H35" i="6"/>
  <c r="P39" i="6"/>
  <c r="H39" i="6"/>
  <c r="F51" i="6"/>
  <c r="P43" i="6"/>
  <c r="H43" i="6"/>
  <c r="P32" i="11"/>
  <c r="H32" i="11"/>
  <c r="H37" i="6"/>
  <c r="P37" i="6"/>
  <c r="H47" i="6"/>
  <c r="P47" i="6"/>
  <c r="H34" i="11"/>
  <c r="P34" i="11"/>
  <c r="H40" i="6"/>
  <c r="H45" i="6"/>
  <c r="H46" i="6"/>
  <c r="P33" i="11"/>
  <c r="H33" i="11"/>
  <c r="P44" i="11"/>
  <c r="H44" i="11"/>
  <c r="F41" i="11"/>
  <c r="P39" i="11"/>
  <c r="H39" i="11"/>
  <c r="P43" i="11"/>
  <c r="H43" i="11"/>
  <c r="P38" i="11"/>
  <c r="H38" i="11"/>
  <c r="P47" i="11"/>
  <c r="H47" i="11"/>
  <c r="H6" i="11"/>
  <c r="P45" i="11"/>
  <c r="H45" i="11"/>
  <c r="P42" i="11"/>
  <c r="H46" i="11"/>
  <c r="P46" i="11"/>
  <c r="F49" i="11"/>
  <c r="H79" i="11"/>
  <c r="H83" i="11"/>
  <c r="H49" i="11" l="1"/>
  <c r="H51" i="6"/>
  <c r="P41" i="11"/>
  <c r="P51" i="6"/>
  <c r="P42" i="6"/>
  <c r="P52" i="6" s="1"/>
  <c r="H42" i="6"/>
  <c r="H52" i="6" s="1"/>
  <c r="C93" i="6" s="1"/>
  <c r="H41" i="11"/>
  <c r="H50" i="11" s="1"/>
  <c r="C95" i="11" s="1"/>
  <c r="P49" i="11"/>
  <c r="F50" i="11"/>
  <c r="C94" i="11" s="1"/>
  <c r="F52" i="6"/>
  <c r="C92" i="6" s="1"/>
  <c r="P50" i="11" l="1"/>
  <c r="I83" i="11"/>
  <c r="J83" i="11" s="1"/>
  <c r="K83" i="11" s="1"/>
  <c r="I79" i="11"/>
  <c r="J79" i="11" s="1"/>
  <c r="K79" i="11" s="1"/>
  <c r="L79" i="11" s="1"/>
  <c r="I84" i="11"/>
  <c r="J84" i="11" s="1"/>
  <c r="K84" i="11" s="1"/>
  <c r="L84" i="11" s="1"/>
  <c r="I80" i="11"/>
  <c r="J80" i="11" s="1"/>
  <c r="K80" i="11" s="1"/>
  <c r="I76" i="11"/>
  <c r="J76" i="11" s="1"/>
  <c r="K76" i="11" s="1"/>
  <c r="L76" i="11" s="1"/>
  <c r="I85" i="11"/>
  <c r="J85" i="11" s="1"/>
  <c r="K85" i="11" s="1"/>
  <c r="L85" i="11" s="1"/>
  <c r="I86" i="11"/>
  <c r="J86" i="11" s="1"/>
  <c r="K86" i="11" s="1"/>
  <c r="L86" i="11" s="1"/>
  <c r="I82" i="11"/>
  <c r="J82" i="11" s="1"/>
  <c r="K82" i="11" s="1"/>
  <c r="L82" i="11" s="1"/>
  <c r="I78" i="11"/>
  <c r="J78" i="11" s="1"/>
  <c r="K78" i="11" s="1"/>
  <c r="L78" i="11" s="1"/>
  <c r="I81" i="11"/>
  <c r="J81" i="11" s="1"/>
  <c r="K81" i="11" s="1"/>
  <c r="L81" i="11" s="1"/>
  <c r="I74" i="11"/>
  <c r="J74" i="11" s="1"/>
  <c r="K74" i="11" s="1"/>
  <c r="L74" i="11" s="1"/>
  <c r="I70" i="11"/>
  <c r="J70" i="11" s="1"/>
  <c r="K70" i="11" s="1"/>
  <c r="L70" i="11" s="1"/>
  <c r="I65" i="11"/>
  <c r="J65" i="11" s="1"/>
  <c r="K65" i="11" s="1"/>
  <c r="L65" i="11" s="1"/>
  <c r="I61" i="11"/>
  <c r="J61" i="11" s="1"/>
  <c r="K61" i="11" s="1"/>
  <c r="L61" i="11" s="1"/>
  <c r="I59" i="11"/>
  <c r="J59" i="11" s="1"/>
  <c r="K59" i="11" s="1"/>
  <c r="L59" i="11" s="1"/>
  <c r="I46" i="11"/>
  <c r="J46" i="11" s="1"/>
  <c r="K46" i="11" s="1"/>
  <c r="L46" i="11" s="1"/>
  <c r="N46" i="11" s="1"/>
  <c r="I42" i="11"/>
  <c r="I36" i="11"/>
  <c r="J36" i="11" s="1"/>
  <c r="K36" i="11" s="1"/>
  <c r="L36" i="11" s="1"/>
  <c r="I34" i="11"/>
  <c r="J34" i="11" s="1"/>
  <c r="K34" i="11" s="1"/>
  <c r="L34" i="11" s="1"/>
  <c r="I77" i="11"/>
  <c r="J77" i="11" s="1"/>
  <c r="K77" i="11" s="1"/>
  <c r="L77" i="11" s="1"/>
  <c r="I75" i="11"/>
  <c r="J75" i="11" s="1"/>
  <c r="K75" i="11" s="1"/>
  <c r="L75" i="11" s="1"/>
  <c r="I71" i="11"/>
  <c r="J71" i="11" s="1"/>
  <c r="K71" i="11" s="1"/>
  <c r="L71" i="11" s="1"/>
  <c r="I67" i="11"/>
  <c r="J67" i="11" s="1"/>
  <c r="K67" i="11" s="1"/>
  <c r="N67" i="11" s="1"/>
  <c r="I62" i="11"/>
  <c r="J62" i="11" s="1"/>
  <c r="K62" i="11" s="1"/>
  <c r="L62" i="11" s="1"/>
  <c r="I55" i="11"/>
  <c r="J55" i="11" s="1"/>
  <c r="K55" i="11" s="1"/>
  <c r="I47" i="11"/>
  <c r="J47" i="11" s="1"/>
  <c r="K47" i="11" s="1"/>
  <c r="L47" i="11" s="1"/>
  <c r="N47" i="11" s="1"/>
  <c r="I43" i="11"/>
  <c r="J43" i="11" s="1"/>
  <c r="K43" i="11" s="1"/>
  <c r="L43" i="11" s="1"/>
  <c r="I38" i="11"/>
  <c r="J38" i="11" s="1"/>
  <c r="K38" i="11" s="1"/>
  <c r="L38" i="11" s="1"/>
  <c r="I72" i="11"/>
  <c r="J72" i="11" s="1"/>
  <c r="K72" i="11" s="1"/>
  <c r="L72" i="11" s="1"/>
  <c r="I68" i="11"/>
  <c r="J68" i="11" s="1"/>
  <c r="K68" i="11" s="1"/>
  <c r="L68" i="11" s="1"/>
  <c r="I63" i="11"/>
  <c r="J63" i="11" s="1"/>
  <c r="K63" i="11" s="1"/>
  <c r="L63" i="11" s="1"/>
  <c r="I56" i="11"/>
  <c r="J56" i="11" s="1"/>
  <c r="K56" i="11" s="1"/>
  <c r="L56" i="11" s="1"/>
  <c r="I54" i="11"/>
  <c r="J54" i="11" s="1"/>
  <c r="K54" i="11" s="1"/>
  <c r="L54" i="11" s="1"/>
  <c r="I44" i="11"/>
  <c r="J44" i="11" s="1"/>
  <c r="K44" i="11" s="1"/>
  <c r="L44" i="11" s="1"/>
  <c r="I39" i="11"/>
  <c r="J39" i="11" s="1"/>
  <c r="K39" i="11" s="1"/>
  <c r="L39" i="11" s="1"/>
  <c r="I35" i="11"/>
  <c r="J35" i="11" s="1"/>
  <c r="K35" i="11" s="1"/>
  <c r="L35" i="11" s="1"/>
  <c r="I73" i="11"/>
  <c r="J73" i="11" s="1"/>
  <c r="K73" i="11" s="1"/>
  <c r="L73" i="11" s="1"/>
  <c r="I69" i="11"/>
  <c r="J69" i="11" s="1"/>
  <c r="K69" i="11" s="1"/>
  <c r="L69" i="11" s="1"/>
  <c r="I64" i="11"/>
  <c r="J64" i="11" s="1"/>
  <c r="K64" i="11" s="1"/>
  <c r="L64" i="11" s="1"/>
  <c r="I60" i="11"/>
  <c r="J60" i="11" s="1"/>
  <c r="K60" i="11" s="1"/>
  <c r="L60" i="11" s="1"/>
  <c r="I57" i="11"/>
  <c r="J57" i="11" s="1"/>
  <c r="K57" i="11" s="1"/>
  <c r="L57" i="11" s="1"/>
  <c r="I45" i="11"/>
  <c r="J45" i="11" s="1"/>
  <c r="K45" i="11" s="1"/>
  <c r="L45" i="11" s="1"/>
  <c r="I30" i="11"/>
  <c r="J30" i="11" s="1"/>
  <c r="K30" i="11" s="1"/>
  <c r="L30" i="11" s="1"/>
  <c r="I27" i="11"/>
  <c r="J27" i="11" s="1"/>
  <c r="K27" i="11" s="1"/>
  <c r="L27" i="11" s="1"/>
  <c r="I22" i="11"/>
  <c r="J22" i="11" s="1"/>
  <c r="K22" i="11" s="1"/>
  <c r="L22" i="11" s="1"/>
  <c r="I16" i="11"/>
  <c r="J16" i="11" s="1"/>
  <c r="K16" i="11" s="1"/>
  <c r="L16" i="11" s="1"/>
  <c r="I11" i="11"/>
  <c r="J11" i="11" s="1"/>
  <c r="K11" i="11" s="1"/>
  <c r="L11" i="11" s="1"/>
  <c r="N11" i="11" s="1"/>
  <c r="S11" i="11" s="1"/>
  <c r="I7" i="11"/>
  <c r="J7" i="11" s="1"/>
  <c r="K7" i="11" s="1"/>
  <c r="L7" i="11" s="1"/>
  <c r="I32" i="11"/>
  <c r="J32" i="11" s="1"/>
  <c r="K32" i="11" s="1"/>
  <c r="N32" i="11" s="1"/>
  <c r="S32" i="11" s="1"/>
  <c r="I23" i="11"/>
  <c r="J23" i="11" s="1"/>
  <c r="K23" i="11" s="1"/>
  <c r="L23" i="11" s="1"/>
  <c r="I18" i="11"/>
  <c r="J18" i="11" s="1"/>
  <c r="K18" i="11" s="1"/>
  <c r="L18" i="11" s="1"/>
  <c r="I13" i="11"/>
  <c r="J13" i="11" s="1"/>
  <c r="K13" i="11" s="1"/>
  <c r="L13" i="11" s="1"/>
  <c r="I8" i="11"/>
  <c r="J8" i="11" s="1"/>
  <c r="K8" i="11" s="1"/>
  <c r="L8" i="11" s="1"/>
  <c r="I33" i="11"/>
  <c r="J33" i="11" s="1"/>
  <c r="K33" i="11" s="1"/>
  <c r="L33" i="11" s="1"/>
  <c r="I28" i="11"/>
  <c r="J28" i="11" s="1"/>
  <c r="K28" i="11" s="1"/>
  <c r="L28" i="11" s="1"/>
  <c r="I24" i="11"/>
  <c r="J24" i="11" s="1"/>
  <c r="K24" i="11" s="1"/>
  <c r="L24" i="11" s="1"/>
  <c r="I19" i="11"/>
  <c r="J19" i="11" s="1"/>
  <c r="K19" i="11" s="1"/>
  <c r="L19" i="11" s="1"/>
  <c r="I14" i="11"/>
  <c r="J14" i="11" s="1"/>
  <c r="K14" i="11" s="1"/>
  <c r="L14" i="11" s="1"/>
  <c r="I9" i="11"/>
  <c r="J9" i="11" s="1"/>
  <c r="K9" i="11" s="1"/>
  <c r="L9" i="11" s="1"/>
  <c r="I29" i="11"/>
  <c r="J29" i="11" s="1"/>
  <c r="K29" i="11" s="1"/>
  <c r="L29" i="11" s="1"/>
  <c r="I26" i="11"/>
  <c r="J26" i="11" s="1"/>
  <c r="K26" i="11" s="1"/>
  <c r="I21" i="11"/>
  <c r="J21" i="11" s="1"/>
  <c r="K21" i="11" s="1"/>
  <c r="L21" i="11" s="1"/>
  <c r="I15" i="11"/>
  <c r="J15" i="11" s="1"/>
  <c r="K15" i="11" s="1"/>
  <c r="L15" i="11" s="1"/>
  <c r="I10" i="11"/>
  <c r="J10" i="11" s="1"/>
  <c r="K10" i="11" s="1"/>
  <c r="L10" i="11" s="1"/>
  <c r="I6" i="11"/>
  <c r="I82" i="6"/>
  <c r="J82" i="6" s="1"/>
  <c r="K82" i="6" s="1"/>
  <c r="I78" i="6"/>
  <c r="J78" i="6" s="1"/>
  <c r="K78" i="6" s="1"/>
  <c r="I74" i="6"/>
  <c r="J74" i="6" s="1"/>
  <c r="K74" i="6" s="1"/>
  <c r="L74" i="6" s="1"/>
  <c r="I83" i="6"/>
  <c r="J83" i="6" s="1"/>
  <c r="K83" i="6" s="1"/>
  <c r="I79" i="6"/>
  <c r="J79" i="6" s="1"/>
  <c r="K79" i="6" s="1"/>
  <c r="L79" i="6" s="1"/>
  <c r="I75" i="6"/>
  <c r="J75" i="6" s="1"/>
  <c r="K75" i="6" s="1"/>
  <c r="L75" i="6" s="1"/>
  <c r="I84" i="6"/>
  <c r="J84" i="6" s="1"/>
  <c r="K84" i="6" s="1"/>
  <c r="I80" i="6"/>
  <c r="J80" i="6" s="1"/>
  <c r="K80" i="6" s="1"/>
  <c r="L80" i="6" s="1"/>
  <c r="I76" i="6"/>
  <c r="J76" i="6" s="1"/>
  <c r="K76" i="6" s="1"/>
  <c r="L76" i="6" s="1"/>
  <c r="I81" i="6"/>
  <c r="J81" i="6" s="1"/>
  <c r="I77" i="6"/>
  <c r="J77" i="6" s="1"/>
  <c r="K77" i="6" s="1"/>
  <c r="L77" i="6" s="1"/>
  <c r="I73" i="6"/>
  <c r="J73" i="6" s="1"/>
  <c r="K73" i="6" s="1"/>
  <c r="L73" i="6" s="1"/>
  <c r="I69" i="6"/>
  <c r="J69" i="6" s="1"/>
  <c r="K69" i="6" s="1"/>
  <c r="L69" i="6" s="1"/>
  <c r="I72" i="6"/>
  <c r="J72" i="6" s="1"/>
  <c r="K72" i="6" s="1"/>
  <c r="L72" i="6" s="1"/>
  <c r="I71" i="6"/>
  <c r="J71" i="6" s="1"/>
  <c r="K71" i="6" s="1"/>
  <c r="L71" i="6" s="1"/>
  <c r="I67" i="6"/>
  <c r="J67" i="6" s="1"/>
  <c r="K67" i="6" s="1"/>
  <c r="L67" i="6" s="1"/>
  <c r="I62" i="6"/>
  <c r="J62" i="6" s="1"/>
  <c r="K62" i="6" s="1"/>
  <c r="L62" i="6" s="1"/>
  <c r="I60" i="6"/>
  <c r="J60" i="6" s="1"/>
  <c r="K60" i="6" s="1"/>
  <c r="L60" i="6" s="1"/>
  <c r="I47" i="6"/>
  <c r="J47" i="6" s="1"/>
  <c r="K47" i="6" s="1"/>
  <c r="L47" i="6" s="1"/>
  <c r="N47" i="6" s="1"/>
  <c r="S47" i="6" s="1"/>
  <c r="I37" i="6"/>
  <c r="J37" i="6" s="1"/>
  <c r="K37" i="6" s="1"/>
  <c r="L37" i="6" s="1"/>
  <c r="I32" i="6"/>
  <c r="J32" i="6" s="1"/>
  <c r="K32" i="6" s="1"/>
  <c r="L32" i="6" s="1"/>
  <c r="N32" i="6" s="1"/>
  <c r="S32" i="6" s="1"/>
  <c r="I70" i="6"/>
  <c r="J70" i="6" s="1"/>
  <c r="K70" i="6" s="1"/>
  <c r="L70" i="6" s="1"/>
  <c r="I68" i="6"/>
  <c r="J68" i="6" s="1"/>
  <c r="K68" i="6" s="1"/>
  <c r="L68" i="6" s="1"/>
  <c r="I63" i="6"/>
  <c r="J63" i="6" s="1"/>
  <c r="K63" i="6" s="1"/>
  <c r="L63" i="6" s="1"/>
  <c r="I61" i="6"/>
  <c r="J61" i="6" s="1"/>
  <c r="K61" i="6" s="1"/>
  <c r="L61" i="6" s="1"/>
  <c r="I48" i="6"/>
  <c r="J48" i="6" s="1"/>
  <c r="K48" i="6" s="1"/>
  <c r="L48" i="6" s="1"/>
  <c r="N48" i="6" s="1"/>
  <c r="S48" i="6" s="1"/>
  <c r="I43" i="6"/>
  <c r="I38" i="6"/>
  <c r="J38" i="6" s="1"/>
  <c r="K38" i="6" s="1"/>
  <c r="L38" i="6" s="1"/>
  <c r="I34" i="6"/>
  <c r="J34" i="6" s="1"/>
  <c r="K34" i="6" s="1"/>
  <c r="L34" i="6" s="1"/>
  <c r="N34" i="6" s="1"/>
  <c r="S34" i="6" s="1"/>
  <c r="I64" i="6"/>
  <c r="J64" i="6" s="1"/>
  <c r="K64" i="6" s="1"/>
  <c r="L64" i="6" s="1"/>
  <c r="I58" i="6"/>
  <c r="J58" i="6" s="1"/>
  <c r="K58" i="6" s="1"/>
  <c r="L58" i="6" s="1"/>
  <c r="N58" i="6" s="1"/>
  <c r="I57" i="6"/>
  <c r="J57" i="6" s="1"/>
  <c r="K57" i="6" s="1"/>
  <c r="L57" i="6" s="1"/>
  <c r="I49" i="6"/>
  <c r="J49" i="6" s="1"/>
  <c r="K49" i="6" s="1"/>
  <c r="L49" i="6" s="1"/>
  <c r="N49" i="6" s="1"/>
  <c r="S49" i="6" s="1"/>
  <c r="I44" i="6"/>
  <c r="J44" i="6" s="1"/>
  <c r="K44" i="6" s="1"/>
  <c r="L44" i="6" s="1"/>
  <c r="I39" i="6"/>
  <c r="J39" i="6" s="1"/>
  <c r="K39" i="6" s="1"/>
  <c r="L39" i="6" s="1"/>
  <c r="I66" i="6"/>
  <c r="J66" i="6" s="1"/>
  <c r="K66" i="6" s="1"/>
  <c r="L66" i="6" s="1"/>
  <c r="I59" i="6"/>
  <c r="J59" i="6" s="1"/>
  <c r="K59" i="6" s="1"/>
  <c r="L59" i="6" s="1"/>
  <c r="I56" i="6"/>
  <c r="J56" i="6" s="1"/>
  <c r="K56" i="6" s="1"/>
  <c r="L56" i="6" s="1"/>
  <c r="I46" i="6"/>
  <c r="J46" i="6" s="1"/>
  <c r="K46" i="6" s="1"/>
  <c r="L46" i="6" s="1"/>
  <c r="I45" i="6"/>
  <c r="J45" i="6" s="1"/>
  <c r="K45" i="6" s="1"/>
  <c r="L45" i="6" s="1"/>
  <c r="I40" i="6"/>
  <c r="J40" i="6" s="1"/>
  <c r="K40" i="6" s="1"/>
  <c r="L40" i="6" s="1"/>
  <c r="N40" i="6" s="1"/>
  <c r="S40" i="6" s="1"/>
  <c r="I36" i="6"/>
  <c r="J36" i="6" s="1"/>
  <c r="K36" i="6" s="1"/>
  <c r="L36" i="6" s="1"/>
  <c r="I31" i="6"/>
  <c r="J31" i="6" s="1"/>
  <c r="K31" i="6" s="1"/>
  <c r="L31" i="6" s="1"/>
  <c r="N31" i="6" s="1"/>
  <c r="S31" i="6" s="1"/>
  <c r="I25" i="6"/>
  <c r="J25" i="6" s="1"/>
  <c r="K25" i="6" s="1"/>
  <c r="L25" i="6" s="1"/>
  <c r="I21" i="6"/>
  <c r="J21" i="6" s="1"/>
  <c r="K21" i="6" s="1"/>
  <c r="L21" i="6" s="1"/>
  <c r="I16" i="6"/>
  <c r="J16" i="6" s="1"/>
  <c r="K16" i="6" s="1"/>
  <c r="L16" i="6" s="1"/>
  <c r="I11" i="6"/>
  <c r="J11" i="6" s="1"/>
  <c r="K11" i="6" s="1"/>
  <c r="L11" i="6" s="1"/>
  <c r="I7" i="6"/>
  <c r="J7" i="6" s="1"/>
  <c r="K7" i="6" s="1"/>
  <c r="L7" i="6" s="1"/>
  <c r="I26" i="6"/>
  <c r="J26" i="6" s="1"/>
  <c r="K26" i="6" s="1"/>
  <c r="L26" i="6" s="1"/>
  <c r="I22" i="6"/>
  <c r="J22" i="6" s="1"/>
  <c r="K22" i="6" s="1"/>
  <c r="L22" i="6" s="1"/>
  <c r="I17" i="6"/>
  <c r="J17" i="6" s="1"/>
  <c r="K17" i="6" s="1"/>
  <c r="L17" i="6" s="1"/>
  <c r="I12" i="6"/>
  <c r="J12" i="6" s="1"/>
  <c r="K12" i="6" s="1"/>
  <c r="L12" i="6" s="1"/>
  <c r="I8" i="6"/>
  <c r="J8" i="6" s="1"/>
  <c r="K8" i="6" s="1"/>
  <c r="L8" i="6" s="1"/>
  <c r="I35" i="6"/>
  <c r="J35" i="6" s="1"/>
  <c r="K35" i="6" s="1"/>
  <c r="L35" i="6" s="1"/>
  <c r="I23" i="6"/>
  <c r="J23" i="6" s="1"/>
  <c r="K23" i="6" s="1"/>
  <c r="L23" i="6" s="1"/>
  <c r="I18" i="6"/>
  <c r="J18" i="6" s="1"/>
  <c r="K18" i="6" s="1"/>
  <c r="L18" i="6" s="1"/>
  <c r="I13" i="6"/>
  <c r="J13" i="6" s="1"/>
  <c r="K13" i="6" s="1"/>
  <c r="L13" i="6" s="1"/>
  <c r="I9" i="6"/>
  <c r="J9" i="6" s="1"/>
  <c r="K9" i="6" s="1"/>
  <c r="L9" i="6" s="1"/>
  <c r="I30" i="6"/>
  <c r="J30" i="6" s="1"/>
  <c r="K30" i="6" s="1"/>
  <c r="L30" i="6" s="1"/>
  <c r="N30" i="6" s="1"/>
  <c r="S30" i="6" s="1"/>
  <c r="I29" i="6"/>
  <c r="J29" i="6" s="1"/>
  <c r="K29" i="6" s="1"/>
  <c r="L29" i="6" s="1"/>
  <c r="N29" i="6" s="1"/>
  <c r="S29" i="6" s="1"/>
  <c r="I28" i="6"/>
  <c r="J28" i="6" s="1"/>
  <c r="K28" i="6" s="1"/>
  <c r="L28" i="6" s="1"/>
  <c r="I24" i="6"/>
  <c r="J24" i="6" s="1"/>
  <c r="K24" i="6" s="1"/>
  <c r="L24" i="6" s="1"/>
  <c r="I19" i="6"/>
  <c r="J19" i="6" s="1"/>
  <c r="K19" i="6" s="1"/>
  <c r="L19" i="6" s="1"/>
  <c r="I14" i="6"/>
  <c r="J14" i="6" s="1"/>
  <c r="K14" i="6" s="1"/>
  <c r="I10" i="6"/>
  <c r="J10" i="6" s="1"/>
  <c r="K10" i="6" s="1"/>
  <c r="L10" i="6" s="1"/>
  <c r="I6" i="6"/>
  <c r="I42" i="6" l="1"/>
  <c r="K6" i="6"/>
  <c r="L6" i="6" s="1"/>
  <c r="C32" i="9"/>
  <c r="D32" i="9" s="1"/>
  <c r="O24" i="6" s="1"/>
  <c r="Q24" i="6" s="1"/>
  <c r="R24" i="6" s="1"/>
  <c r="N24" i="6"/>
  <c r="S24" i="6" s="1"/>
  <c r="C16" i="9"/>
  <c r="D16" i="9" s="1"/>
  <c r="O9" i="6" s="1"/>
  <c r="Q9" i="6" s="1"/>
  <c r="R9" i="6" s="1"/>
  <c r="N9" i="6"/>
  <c r="S9" i="6" s="1"/>
  <c r="C71" i="9"/>
  <c r="D71" i="9" s="1"/>
  <c r="O35" i="6" s="1"/>
  <c r="Q35" i="6" s="1"/>
  <c r="R35" i="6" s="1"/>
  <c r="C35" i="9"/>
  <c r="D35" i="9" s="1"/>
  <c r="O29" i="6" s="1"/>
  <c r="Q29" i="6" s="1"/>
  <c r="R29" i="6" s="1"/>
  <c r="N35" i="6"/>
  <c r="S35" i="6" s="1"/>
  <c r="C22" i="9"/>
  <c r="D22" i="9" s="1"/>
  <c r="O22" i="6" s="1"/>
  <c r="Q22" i="6" s="1"/>
  <c r="R22" i="6" s="1"/>
  <c r="N22" i="6"/>
  <c r="S22" i="6" s="1"/>
  <c r="C27" i="9"/>
  <c r="D27" i="9" s="1"/>
  <c r="O16" i="6" s="1"/>
  <c r="Q16" i="6" s="1"/>
  <c r="R16" i="6" s="1"/>
  <c r="N16" i="6"/>
  <c r="S16" i="6" s="1"/>
  <c r="C36" i="9"/>
  <c r="D36" i="9" s="1"/>
  <c r="O30" i="6" s="1"/>
  <c r="Q30" i="6" s="1"/>
  <c r="R30" i="6" s="1"/>
  <c r="C72" i="9"/>
  <c r="D72" i="9" s="1"/>
  <c r="O36" i="6" s="1"/>
  <c r="Q36" i="6" s="1"/>
  <c r="R36" i="6" s="1"/>
  <c r="N36" i="6"/>
  <c r="S36" i="6" s="1"/>
  <c r="C8" i="9"/>
  <c r="D8" i="9" s="1"/>
  <c r="O56" i="6" s="1"/>
  <c r="N56" i="6"/>
  <c r="C124" i="9"/>
  <c r="D124" i="9" s="1"/>
  <c r="N44" i="6"/>
  <c r="S44" i="6" s="1"/>
  <c r="C97" i="9"/>
  <c r="D97" i="9" s="1"/>
  <c r="O64" i="6" s="1"/>
  <c r="N64" i="6"/>
  <c r="C140" i="9"/>
  <c r="D140" i="9" s="1"/>
  <c r="O70" i="6" s="1"/>
  <c r="N70" i="6"/>
  <c r="C91" i="9"/>
  <c r="D91" i="9" s="1"/>
  <c r="O60" i="6" s="1"/>
  <c r="N60" i="6"/>
  <c r="C144" i="9"/>
  <c r="D144" i="9" s="1"/>
  <c r="O72" i="6" s="1"/>
  <c r="N72" i="6"/>
  <c r="C154" i="9"/>
  <c r="D154" i="9" s="1"/>
  <c r="O81" i="6" s="1"/>
  <c r="N81" i="6"/>
  <c r="C147" i="9"/>
  <c r="D147" i="9" s="1"/>
  <c r="O75" i="6" s="1"/>
  <c r="N75" i="6"/>
  <c r="C150" i="9"/>
  <c r="D150" i="9" s="1"/>
  <c r="O78" i="6" s="1"/>
  <c r="N78" i="6"/>
  <c r="C56" i="9"/>
  <c r="D56" i="9" s="1"/>
  <c r="O15" i="11" s="1"/>
  <c r="Q15" i="11" s="1"/>
  <c r="R15" i="11" s="1"/>
  <c r="N15" i="11"/>
  <c r="S15" i="11" s="1"/>
  <c r="C43" i="9"/>
  <c r="D43" i="9" s="1"/>
  <c r="O9" i="11" s="1"/>
  <c r="Q9" i="11" s="1"/>
  <c r="R9" i="11" s="1"/>
  <c r="N9" i="11"/>
  <c r="S9" i="11" s="1"/>
  <c r="C63" i="9"/>
  <c r="D63" i="9" s="1"/>
  <c r="O28" i="11" s="1"/>
  <c r="Q28" i="11" s="1"/>
  <c r="R28" i="11" s="1"/>
  <c r="N28" i="11"/>
  <c r="S28" i="11" s="1"/>
  <c r="C48" i="9"/>
  <c r="D48" i="9" s="1"/>
  <c r="O18" i="11" s="1"/>
  <c r="Q18" i="11" s="1"/>
  <c r="R18" i="11" s="1"/>
  <c r="N18" i="11"/>
  <c r="S18" i="11" s="1"/>
  <c r="C65" i="9"/>
  <c r="D65" i="9" s="1"/>
  <c r="O30" i="11" s="1"/>
  <c r="Q30" i="11" s="1"/>
  <c r="R30" i="11" s="1"/>
  <c r="N30" i="11"/>
  <c r="S30" i="11" s="1"/>
  <c r="C110" i="9"/>
  <c r="D110" i="9" s="1"/>
  <c r="O64" i="11" s="1"/>
  <c r="N64" i="11"/>
  <c r="C78" i="9"/>
  <c r="D78" i="9" s="1"/>
  <c r="N39" i="11"/>
  <c r="S39" i="11" s="1"/>
  <c r="C109" i="9"/>
  <c r="D109" i="9" s="1"/>
  <c r="O63" i="11" s="1"/>
  <c r="N63" i="11"/>
  <c r="C131" i="9"/>
  <c r="D131" i="9" s="1"/>
  <c r="O43" i="11" s="1"/>
  <c r="Q43" i="11" s="1"/>
  <c r="R43" i="11" s="1"/>
  <c r="N43" i="11"/>
  <c r="S43" i="11" s="1"/>
  <c r="C81" i="9"/>
  <c r="D81" i="9" s="1"/>
  <c r="O34" i="11" s="1"/>
  <c r="Q34" i="11" s="1"/>
  <c r="R34" i="11" s="1"/>
  <c r="N34" i="11"/>
  <c r="S34" i="11" s="1"/>
  <c r="C100" i="9"/>
  <c r="N59" i="11"/>
  <c r="C168" i="9"/>
  <c r="D168" i="9" s="1"/>
  <c r="O74" i="11" s="1"/>
  <c r="N74" i="11"/>
  <c r="C181" i="9"/>
  <c r="D181" i="9" s="1"/>
  <c r="O86" i="11" s="1"/>
  <c r="N86" i="11"/>
  <c r="C179" i="9"/>
  <c r="D179" i="9" s="1"/>
  <c r="O84" i="11" s="1"/>
  <c r="N84" i="11"/>
  <c r="C17" i="9"/>
  <c r="D17" i="9" s="1"/>
  <c r="O10" i="6" s="1"/>
  <c r="Q10" i="6" s="1"/>
  <c r="R10" i="6" s="1"/>
  <c r="N10" i="6"/>
  <c r="S10" i="6" s="1"/>
  <c r="C15" i="9"/>
  <c r="D15" i="9" s="1"/>
  <c r="O8" i="6" s="1"/>
  <c r="Q8" i="6" s="1"/>
  <c r="R8" i="6" s="1"/>
  <c r="N8" i="6"/>
  <c r="S8" i="6" s="1"/>
  <c r="C34" i="9"/>
  <c r="D34" i="9" s="1"/>
  <c r="O26" i="6" s="1"/>
  <c r="Q26" i="6" s="1"/>
  <c r="R26" i="6" s="1"/>
  <c r="N26" i="6"/>
  <c r="S26" i="6" s="1"/>
  <c r="C31" i="9"/>
  <c r="D31" i="9" s="1"/>
  <c r="O23" i="6" s="1"/>
  <c r="N21" i="6"/>
  <c r="C90" i="9"/>
  <c r="D90" i="9" s="1"/>
  <c r="O59" i="6" s="1"/>
  <c r="N59" i="6"/>
  <c r="C94" i="9"/>
  <c r="D94" i="9" s="1"/>
  <c r="O61" i="6" s="1"/>
  <c r="N61" i="6"/>
  <c r="C95" i="9"/>
  <c r="D95" i="9" s="1"/>
  <c r="O62" i="6" s="1"/>
  <c r="N62" i="6"/>
  <c r="C139" i="9"/>
  <c r="D139" i="9" s="1"/>
  <c r="O69" i="6" s="1"/>
  <c r="N69" i="6"/>
  <c r="C127" i="9"/>
  <c r="D127" i="9" s="1"/>
  <c r="C114" i="9"/>
  <c r="N76" i="6"/>
  <c r="C151" i="9"/>
  <c r="D151" i="9" s="1"/>
  <c r="O79" i="6" s="1"/>
  <c r="N79" i="6"/>
  <c r="C155" i="9"/>
  <c r="D155" i="9" s="1"/>
  <c r="O82" i="6" s="1"/>
  <c r="N82" i="6"/>
  <c r="C58" i="9"/>
  <c r="D58" i="9" s="1"/>
  <c r="O21" i="11" s="1"/>
  <c r="Q21" i="11" s="1"/>
  <c r="R21" i="11" s="1"/>
  <c r="N21" i="11"/>
  <c r="S21" i="11" s="1"/>
  <c r="C55" i="9"/>
  <c r="D55" i="9" s="1"/>
  <c r="O14" i="11" s="1"/>
  <c r="Q14" i="11" s="1"/>
  <c r="R14" i="11" s="1"/>
  <c r="N14" i="11"/>
  <c r="S14" i="11" s="1"/>
  <c r="C80" i="9"/>
  <c r="D80" i="9" s="1"/>
  <c r="O33" i="11" s="1"/>
  <c r="Q33" i="11" s="1"/>
  <c r="R33" i="11" s="1"/>
  <c r="N33" i="11"/>
  <c r="S33" i="11" s="1"/>
  <c r="C60" i="9"/>
  <c r="D60" i="9" s="1"/>
  <c r="O23" i="11" s="1"/>
  <c r="Q23" i="11" s="1"/>
  <c r="R23" i="11" s="1"/>
  <c r="N23" i="11"/>
  <c r="S23" i="11" s="1"/>
  <c r="C57" i="9"/>
  <c r="D57" i="9" s="1"/>
  <c r="O16" i="11" s="1"/>
  <c r="Q16" i="11" s="1"/>
  <c r="R16" i="11" s="1"/>
  <c r="N16" i="11"/>
  <c r="S16" i="11" s="1"/>
  <c r="C130" i="9"/>
  <c r="D130" i="9" s="1"/>
  <c r="O67" i="11" s="1"/>
  <c r="N45" i="11"/>
  <c r="C161" i="9"/>
  <c r="D161" i="9" s="1"/>
  <c r="O69" i="11" s="1"/>
  <c r="N69" i="11"/>
  <c r="C132" i="9"/>
  <c r="D132" i="9" s="1"/>
  <c r="O44" i="11" s="1"/>
  <c r="Q44" i="11" s="1"/>
  <c r="R44" i="11" s="1"/>
  <c r="N44" i="11"/>
  <c r="S44" i="11" s="1"/>
  <c r="C160" i="9"/>
  <c r="D160" i="9" s="1"/>
  <c r="O68" i="11" s="1"/>
  <c r="N68" i="11"/>
  <c r="S47" i="11"/>
  <c r="O47" i="11"/>
  <c r="Q47" i="11" s="1"/>
  <c r="R47" i="11" s="1"/>
  <c r="C163" i="9"/>
  <c r="D163" i="9" s="1"/>
  <c r="O71" i="11" s="1"/>
  <c r="N71" i="11"/>
  <c r="C83" i="9"/>
  <c r="D83" i="9" s="1"/>
  <c r="O36" i="11" s="1"/>
  <c r="Q36" i="11" s="1"/>
  <c r="R36" i="11" s="1"/>
  <c r="N36" i="11"/>
  <c r="S36" i="11" s="1"/>
  <c r="C105" i="9"/>
  <c r="D105" i="9" s="1"/>
  <c r="O61" i="11" s="1"/>
  <c r="N61" i="11"/>
  <c r="N81" i="11"/>
  <c r="C175" i="9"/>
  <c r="D175" i="9" s="1"/>
  <c r="O81" i="11" s="1"/>
  <c r="N85" i="11"/>
  <c r="C180" i="9"/>
  <c r="D180" i="9" s="1"/>
  <c r="O85" i="11" s="1"/>
  <c r="C173" i="9"/>
  <c r="D173" i="9" s="1"/>
  <c r="N79" i="11"/>
  <c r="C69" i="9"/>
  <c r="D69" i="9" s="1"/>
  <c r="O34" i="6" s="1"/>
  <c r="Q34" i="6" s="1"/>
  <c r="R34" i="6" s="1"/>
  <c r="C23" i="9"/>
  <c r="D23" i="9" s="1"/>
  <c r="O28" i="6" s="1"/>
  <c r="Q28" i="6" s="1"/>
  <c r="R28" i="6" s="1"/>
  <c r="N28" i="6"/>
  <c r="S28" i="6" s="1"/>
  <c r="C19" i="9"/>
  <c r="D19" i="9" s="1"/>
  <c r="O12" i="6" s="1"/>
  <c r="Q12" i="6" s="1"/>
  <c r="R12" i="6" s="1"/>
  <c r="N12" i="6"/>
  <c r="S12" i="6" s="1"/>
  <c r="C14" i="9"/>
  <c r="D14" i="9" s="1"/>
  <c r="O7" i="6" s="1"/>
  <c r="Q7" i="6" s="1"/>
  <c r="R7" i="6" s="1"/>
  <c r="N7" i="6"/>
  <c r="S7" i="6" s="1"/>
  <c r="C33" i="9"/>
  <c r="D33" i="9" s="1"/>
  <c r="O25" i="6" s="1"/>
  <c r="Q25" i="6" s="1"/>
  <c r="R25" i="6" s="1"/>
  <c r="N25" i="6"/>
  <c r="S25" i="6" s="1"/>
  <c r="C125" i="9"/>
  <c r="D125" i="9" s="1"/>
  <c r="N45" i="6"/>
  <c r="S45" i="6" s="1"/>
  <c r="C136" i="9"/>
  <c r="D136" i="9" s="1"/>
  <c r="O66" i="6" s="1"/>
  <c r="N66" i="6"/>
  <c r="C86" i="9"/>
  <c r="N57" i="6"/>
  <c r="C38" i="9"/>
  <c r="D38" i="9" s="1"/>
  <c r="O32" i="6" s="1"/>
  <c r="Q32" i="6" s="1"/>
  <c r="R32" i="6" s="1"/>
  <c r="C74" i="9"/>
  <c r="D74" i="9" s="1"/>
  <c r="O38" i="6" s="1"/>
  <c r="Q38" i="6" s="1"/>
  <c r="R38" i="6" s="1"/>
  <c r="N38" i="6"/>
  <c r="S38" i="6" s="1"/>
  <c r="C96" i="9"/>
  <c r="D96" i="9" s="1"/>
  <c r="O63" i="6" s="1"/>
  <c r="N63" i="6"/>
  <c r="C73" i="9"/>
  <c r="D73" i="9" s="1"/>
  <c r="O37" i="6" s="1"/>
  <c r="Q37" i="6" s="1"/>
  <c r="R37" i="6" s="1"/>
  <c r="C37" i="9"/>
  <c r="D37" i="9" s="1"/>
  <c r="O31" i="6" s="1"/>
  <c r="Q31" i="6" s="1"/>
  <c r="R31" i="6" s="1"/>
  <c r="N37" i="6"/>
  <c r="S37" i="6" s="1"/>
  <c r="C137" i="9"/>
  <c r="D137" i="9" s="1"/>
  <c r="O67" i="6" s="1"/>
  <c r="N67" i="6"/>
  <c r="C145" i="9"/>
  <c r="D145" i="9" s="1"/>
  <c r="O73" i="6" s="1"/>
  <c r="N73" i="6"/>
  <c r="C152" i="9"/>
  <c r="D152" i="9" s="1"/>
  <c r="O80" i="6" s="1"/>
  <c r="N80" i="6"/>
  <c r="C156" i="9"/>
  <c r="D156" i="9" s="1"/>
  <c r="O83" i="6" s="1"/>
  <c r="N83" i="6"/>
  <c r="I41" i="11"/>
  <c r="J6" i="11"/>
  <c r="K6" i="11" s="1"/>
  <c r="L6" i="11" s="1"/>
  <c r="C50" i="9"/>
  <c r="D50" i="9" s="1"/>
  <c r="O26" i="11" s="1"/>
  <c r="Q26" i="11" s="1"/>
  <c r="R26" i="11" s="1"/>
  <c r="N26" i="11"/>
  <c r="S26" i="11" s="1"/>
  <c r="C49" i="9"/>
  <c r="D49" i="9" s="1"/>
  <c r="O19" i="11" s="1"/>
  <c r="Q19" i="11" s="1"/>
  <c r="R19" i="11" s="1"/>
  <c r="N19" i="11"/>
  <c r="S19" i="11" s="1"/>
  <c r="C42" i="9"/>
  <c r="D42" i="9" s="1"/>
  <c r="O8" i="11" s="1"/>
  <c r="Q8" i="11" s="1"/>
  <c r="R8" i="11" s="1"/>
  <c r="N8" i="11"/>
  <c r="S8" i="11" s="1"/>
  <c r="C59" i="9"/>
  <c r="D59" i="9" s="1"/>
  <c r="O22" i="11" s="1"/>
  <c r="Q22" i="11" s="1"/>
  <c r="R22" i="11" s="1"/>
  <c r="N22" i="11"/>
  <c r="S22" i="11" s="1"/>
  <c r="C46" i="9"/>
  <c r="D46" i="9" s="1"/>
  <c r="O57" i="11" s="1"/>
  <c r="N57" i="11"/>
  <c r="C167" i="9"/>
  <c r="D167" i="9" s="1"/>
  <c r="O73" i="11" s="1"/>
  <c r="N73" i="11"/>
  <c r="C11" i="9"/>
  <c r="D11" i="9" s="1"/>
  <c r="O54" i="11" s="1"/>
  <c r="N54" i="11"/>
  <c r="C164" i="9"/>
  <c r="D164" i="9" s="1"/>
  <c r="O72" i="11" s="1"/>
  <c r="N72" i="11"/>
  <c r="C44" i="9"/>
  <c r="D44" i="9" s="1"/>
  <c r="O55" i="11" s="1"/>
  <c r="N55" i="11"/>
  <c r="C169" i="9"/>
  <c r="D169" i="9" s="1"/>
  <c r="O75" i="11" s="1"/>
  <c r="N75" i="11"/>
  <c r="I49" i="11"/>
  <c r="J42" i="11"/>
  <c r="K42" i="11" s="1"/>
  <c r="L42" i="11" s="1"/>
  <c r="N42" i="11" s="1"/>
  <c r="S42" i="11" s="1"/>
  <c r="C111" i="9"/>
  <c r="D111" i="9" s="1"/>
  <c r="O65" i="11" s="1"/>
  <c r="N65" i="11"/>
  <c r="C133" i="9"/>
  <c r="D133" i="9" s="1"/>
  <c r="C118" i="9"/>
  <c r="N78" i="11"/>
  <c r="C170" i="9"/>
  <c r="D170" i="9" s="1"/>
  <c r="O76" i="11" s="1"/>
  <c r="N76" i="11"/>
  <c r="C178" i="9"/>
  <c r="D178" i="9" s="1"/>
  <c r="O83" i="11" s="1"/>
  <c r="N83" i="11"/>
  <c r="C20" i="9"/>
  <c r="D20" i="9" s="1"/>
  <c r="O13" i="6" s="1"/>
  <c r="L14" i="6"/>
  <c r="N14" i="6" s="1"/>
  <c r="S14" i="6" s="1"/>
  <c r="N13" i="6"/>
  <c r="S13" i="6" s="1"/>
  <c r="C29" i="9"/>
  <c r="D29" i="9" s="1"/>
  <c r="O18" i="6" s="1"/>
  <c r="Q18" i="6" s="1"/>
  <c r="R18" i="6" s="1"/>
  <c r="N18" i="6"/>
  <c r="S18" i="6" s="1"/>
  <c r="C30" i="9"/>
  <c r="D30" i="9" s="1"/>
  <c r="O19" i="6" s="1"/>
  <c r="Q19" i="6" s="1"/>
  <c r="R19" i="6" s="1"/>
  <c r="N19" i="6"/>
  <c r="S19" i="6" s="1"/>
  <c r="C21" i="9"/>
  <c r="D21" i="9" s="1"/>
  <c r="O21" i="6" s="1"/>
  <c r="N23" i="6"/>
  <c r="C28" i="9"/>
  <c r="D28" i="9" s="1"/>
  <c r="O17" i="6" s="1"/>
  <c r="Q17" i="6" s="1"/>
  <c r="R17" i="6" s="1"/>
  <c r="N17" i="6"/>
  <c r="S17" i="6" s="1"/>
  <c r="C18" i="9"/>
  <c r="D18" i="9" s="1"/>
  <c r="O11" i="6" s="1"/>
  <c r="Q11" i="6" s="1"/>
  <c r="R11" i="6" s="1"/>
  <c r="N11" i="6"/>
  <c r="S11" i="6" s="1"/>
  <c r="C126" i="9"/>
  <c r="D126" i="9" s="1"/>
  <c r="N46" i="6"/>
  <c r="S46" i="6" s="1"/>
  <c r="C68" i="9"/>
  <c r="D68" i="9" s="1"/>
  <c r="N39" i="6"/>
  <c r="S39" i="6" s="1"/>
  <c r="I51" i="6"/>
  <c r="J43" i="6"/>
  <c r="K43" i="6" s="1"/>
  <c r="L43" i="6" s="1"/>
  <c r="N43" i="6" s="1"/>
  <c r="S43" i="6" s="1"/>
  <c r="C138" i="9"/>
  <c r="D138" i="9" s="1"/>
  <c r="O68" i="6" s="1"/>
  <c r="N68" i="6"/>
  <c r="C143" i="9"/>
  <c r="D143" i="9" s="1"/>
  <c r="O71" i="6" s="1"/>
  <c r="N71" i="6"/>
  <c r="C149" i="9"/>
  <c r="D149" i="9" s="1"/>
  <c r="N77" i="6"/>
  <c r="C157" i="9"/>
  <c r="D157" i="9" s="1"/>
  <c r="O84" i="6" s="1"/>
  <c r="N84" i="6"/>
  <c r="C146" i="9"/>
  <c r="D146" i="9" s="1"/>
  <c r="O74" i="6" s="1"/>
  <c r="N74" i="6"/>
  <c r="C47" i="9"/>
  <c r="D47" i="9" s="1"/>
  <c r="O10" i="11" s="1"/>
  <c r="N10" i="11"/>
  <c r="S10" i="11" s="1"/>
  <c r="C64" i="9"/>
  <c r="D64" i="9" s="1"/>
  <c r="O29" i="11" s="1"/>
  <c r="Q29" i="11" s="1"/>
  <c r="R29" i="11" s="1"/>
  <c r="N29" i="11"/>
  <c r="S29" i="11" s="1"/>
  <c r="C61" i="9"/>
  <c r="D61" i="9" s="1"/>
  <c r="O24" i="11" s="1"/>
  <c r="Q24" i="11" s="1"/>
  <c r="R24" i="11" s="1"/>
  <c r="N24" i="11"/>
  <c r="S24" i="11" s="1"/>
  <c r="C54" i="9"/>
  <c r="D54" i="9" s="1"/>
  <c r="O13" i="11" s="1"/>
  <c r="Q13" i="11" s="1"/>
  <c r="R13" i="11" s="1"/>
  <c r="N13" i="11"/>
  <c r="S13" i="11" s="1"/>
  <c r="C41" i="9"/>
  <c r="D41" i="9" s="1"/>
  <c r="O7" i="11" s="1"/>
  <c r="Q7" i="11" s="1"/>
  <c r="R7" i="11" s="1"/>
  <c r="N7" i="11"/>
  <c r="S7" i="11" s="1"/>
  <c r="C62" i="9"/>
  <c r="D62" i="9" s="1"/>
  <c r="O27" i="11" s="1"/>
  <c r="Q27" i="11" s="1"/>
  <c r="R27" i="11" s="1"/>
  <c r="N27" i="11"/>
  <c r="S27" i="11" s="1"/>
  <c r="C104" i="9"/>
  <c r="D104" i="9" s="1"/>
  <c r="O60" i="11" s="1"/>
  <c r="N60" i="11"/>
  <c r="C82" i="9"/>
  <c r="D82" i="9" s="1"/>
  <c r="O35" i="11" s="1"/>
  <c r="Q35" i="11" s="1"/>
  <c r="R35" i="11" s="1"/>
  <c r="N35" i="11"/>
  <c r="S35" i="11" s="1"/>
  <c r="C45" i="9"/>
  <c r="D45" i="9" s="1"/>
  <c r="O56" i="11" s="1"/>
  <c r="N56" i="11"/>
  <c r="C77" i="9"/>
  <c r="D77" i="9" s="1"/>
  <c r="O38" i="11" s="1"/>
  <c r="Q38" i="11" s="1"/>
  <c r="R38" i="11" s="1"/>
  <c r="N38" i="11"/>
  <c r="S38" i="11" s="1"/>
  <c r="C108" i="9"/>
  <c r="D108" i="9" s="1"/>
  <c r="O62" i="11" s="1"/>
  <c r="N62" i="11"/>
  <c r="C171" i="9"/>
  <c r="D171" i="9" s="1"/>
  <c r="O77" i="11" s="1"/>
  <c r="N77" i="11"/>
  <c r="S46" i="11"/>
  <c r="O46" i="11"/>
  <c r="Q46" i="11" s="1"/>
  <c r="R46" i="11" s="1"/>
  <c r="C162" i="9"/>
  <c r="D162" i="9" s="1"/>
  <c r="O70" i="11" s="1"/>
  <c r="N70" i="11"/>
  <c r="C176" i="9"/>
  <c r="D176" i="9" s="1"/>
  <c r="O82" i="11" s="1"/>
  <c r="N82" i="11"/>
  <c r="C174" i="9"/>
  <c r="D174" i="9" s="1"/>
  <c r="O80" i="11" s="1"/>
  <c r="N80" i="11"/>
  <c r="C119" i="9" l="1"/>
  <c r="D119" i="9" s="1"/>
  <c r="D118" i="9"/>
  <c r="O79" i="11"/>
  <c r="O42" i="11"/>
  <c r="Q42" i="11" s="1"/>
  <c r="C115" i="9"/>
  <c r="D115" i="9" s="1"/>
  <c r="D114" i="9"/>
  <c r="O11" i="11"/>
  <c r="Q11" i="11" s="1"/>
  <c r="R11" i="11" s="1"/>
  <c r="Q10" i="11"/>
  <c r="R10" i="11" s="1"/>
  <c r="O49" i="6"/>
  <c r="Q49" i="6" s="1"/>
  <c r="R49" i="6" s="1"/>
  <c r="O46" i="6"/>
  <c r="Q46" i="6" s="1"/>
  <c r="R46" i="6" s="1"/>
  <c r="C87" i="9"/>
  <c r="D87" i="9" s="1"/>
  <c r="O58" i="6" s="1"/>
  <c r="D86" i="9"/>
  <c r="O57" i="6" s="1"/>
  <c r="O45" i="6"/>
  <c r="Q45" i="6" s="1"/>
  <c r="R45" i="6" s="1"/>
  <c r="O48" i="6"/>
  <c r="Q48" i="6" s="1"/>
  <c r="R48" i="6" s="1"/>
  <c r="O78" i="11"/>
  <c r="O76" i="6"/>
  <c r="C101" i="9"/>
  <c r="D101" i="9" s="1"/>
  <c r="D100" i="9"/>
  <c r="O59" i="11" s="1"/>
  <c r="O39" i="11"/>
  <c r="Q39" i="11" s="1"/>
  <c r="R39" i="11" s="1"/>
  <c r="O32" i="11"/>
  <c r="Q32" i="11" s="1"/>
  <c r="R32" i="11" s="1"/>
  <c r="O44" i="6"/>
  <c r="Q44" i="6" s="1"/>
  <c r="R44" i="6" s="1"/>
  <c r="O47" i="6"/>
  <c r="Q47" i="6" s="1"/>
  <c r="R47" i="6" s="1"/>
  <c r="S23" i="6"/>
  <c r="Q23" i="6"/>
  <c r="R23" i="6" s="1"/>
  <c r="O14" i="6"/>
  <c r="Q14" i="6" s="1"/>
  <c r="R14" i="6" s="1"/>
  <c r="Q13" i="6"/>
  <c r="R13" i="6" s="1"/>
  <c r="C51" i="9"/>
  <c r="D51" i="9" s="1"/>
  <c r="O6" i="11" s="1"/>
  <c r="Q6" i="11" s="1"/>
  <c r="N6" i="11"/>
  <c r="S6" i="11" s="1"/>
  <c r="Q21" i="6"/>
  <c r="R21" i="6" s="1"/>
  <c r="S21" i="6"/>
  <c r="C24" i="9"/>
  <c r="D24" i="9" s="1"/>
  <c r="O6" i="6" s="1"/>
  <c r="Q6" i="6" s="1"/>
  <c r="N6" i="6"/>
  <c r="S6" i="6" s="1"/>
  <c r="O77" i="6"/>
  <c r="O43" i="6"/>
  <c r="Q43" i="6" s="1"/>
  <c r="O39" i="6"/>
  <c r="Q39" i="6" s="1"/>
  <c r="R39" i="6" s="1"/>
  <c r="O40" i="6"/>
  <c r="Q40" i="6" s="1"/>
  <c r="R40" i="6" s="1"/>
  <c r="I50" i="11"/>
  <c r="S45" i="11"/>
  <c r="O45" i="11"/>
  <c r="Q45" i="11" s="1"/>
  <c r="R45" i="11" s="1"/>
  <c r="I52" i="6"/>
  <c r="Q49" i="11" l="1"/>
  <c r="R42" i="11"/>
  <c r="R49" i="11" s="1"/>
  <c r="Q42" i="6"/>
  <c r="R6" i="6"/>
  <c r="R42" i="6" s="1"/>
  <c r="Q41" i="11"/>
  <c r="Q50" i="11" s="1"/>
  <c r="R6" i="11"/>
  <c r="R41" i="11" s="1"/>
  <c r="R43" i="6"/>
  <c r="R51" i="6" s="1"/>
  <c r="Q51" i="6"/>
  <c r="R56" i="6" l="1"/>
  <c r="S56" i="6"/>
  <c r="S55" i="6"/>
  <c r="R55" i="6"/>
  <c r="R57" i="6" s="1"/>
  <c r="R52" i="6"/>
  <c r="B64" i="5" s="1"/>
  <c r="B65" i="5" s="1"/>
  <c r="S54" i="11"/>
  <c r="R54" i="11"/>
  <c r="Q52" i="6"/>
  <c r="R53" i="11"/>
  <c r="R50" i="11"/>
  <c r="B83" i="5" s="1"/>
  <c r="B84" i="5" s="1"/>
  <c r="S53" i="11"/>
</calcChain>
</file>

<file path=xl/comments1.xml><?xml version="1.0" encoding="utf-8"?>
<comments xmlns="http://schemas.openxmlformats.org/spreadsheetml/2006/main">
  <authors>
    <author>WCNX</author>
  </authors>
  <commentList>
    <comment ref="B5" authorId="0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From the Cost of Service in TG-121791 (last general rate filing).
</t>
        </r>
      </text>
    </comment>
  </commentList>
</comments>
</file>

<file path=xl/sharedStrings.xml><?xml version="1.0" encoding="utf-8"?>
<sst xmlns="http://schemas.openxmlformats.org/spreadsheetml/2006/main" count="603" uniqueCount="285">
  <si>
    <t>Mason County Garbage</t>
  </si>
  <si>
    <t xml:space="preserve"> </t>
  </si>
  <si>
    <t>RESIDENTIAL - Mason</t>
  </si>
  <si>
    <t>1-20 gal Mini Can Wkly</t>
  </si>
  <si>
    <t>1-32 gal Can Wkly</t>
  </si>
  <si>
    <t>2-32 g Can Wkly</t>
  </si>
  <si>
    <t>3-32 g Can Wkly</t>
  </si>
  <si>
    <t>4-32 g Can Wkly</t>
  </si>
  <si>
    <t>5-32 g Can Wkly</t>
  </si>
  <si>
    <t>6-32 g Can Wkly</t>
  </si>
  <si>
    <t>1-35 gal Cart Wkly</t>
  </si>
  <si>
    <t>1-45 gal Cart Wkly</t>
  </si>
  <si>
    <t>2-45 gal Cart Wkly</t>
  </si>
  <si>
    <t>1-48 gal Cart Wkly</t>
  </si>
  <si>
    <t>1-64 gal Cart Wkly</t>
  </si>
  <si>
    <t>1-96 gal Cart Wkly</t>
  </si>
  <si>
    <t>1-32 gal Can EOW</t>
  </si>
  <si>
    <t>2-32 g Can EOW</t>
  </si>
  <si>
    <t>1-35 gal Cart EOW</t>
  </si>
  <si>
    <t>1-48 gal Cart EOW</t>
  </si>
  <si>
    <t>1-64 gal Cart EOW</t>
  </si>
  <si>
    <t>1-96 gal Cart EOW</t>
  </si>
  <si>
    <t>1-32 gal Can Monthly</t>
  </si>
  <si>
    <t>1-35 gal Cart Monthly</t>
  </si>
  <si>
    <t>1-48 gal Cart Monthly</t>
  </si>
  <si>
    <t>1-64 gal Cart Monthly</t>
  </si>
  <si>
    <t>1-96 gal Cart Monthly</t>
  </si>
  <si>
    <t>1-32 gal Can On Call Svc</t>
  </si>
  <si>
    <t>1-35 gal Cart On Call Svc</t>
  </si>
  <si>
    <t>1-48 gal Cart On Call Svc</t>
  </si>
  <si>
    <t>1-64 gal Cart On Call Svc</t>
  </si>
  <si>
    <t>1-96 gal Cart On Call Svc</t>
  </si>
  <si>
    <t>Oversized Cans</t>
  </si>
  <si>
    <t>Extra Can, Bag, Box etc</t>
  </si>
  <si>
    <t>Extra Pickup</t>
  </si>
  <si>
    <t>Sub Total</t>
  </si>
  <si>
    <t>Total</t>
  </si>
  <si>
    <t>COMMERCIAL - Mason</t>
  </si>
  <si>
    <t>Extra Can</t>
  </si>
  <si>
    <t>1 Yard Wkly</t>
  </si>
  <si>
    <t>1.50 Yard Wkly</t>
  </si>
  <si>
    <t>2 Yard Wkly</t>
  </si>
  <si>
    <t>1 Yard EOW</t>
  </si>
  <si>
    <t>1.50 Yard EOW</t>
  </si>
  <si>
    <t>2 Yard EOW</t>
  </si>
  <si>
    <t>Extra Yardage</t>
  </si>
  <si>
    <t>Monthly Factor</t>
  </si>
  <si>
    <t>Pickups:</t>
  </si>
  <si>
    <t>1 unit</t>
  </si>
  <si>
    <t>2 units</t>
  </si>
  <si>
    <t>3 units</t>
  </si>
  <si>
    <t>4 units</t>
  </si>
  <si>
    <t>5 units</t>
  </si>
  <si>
    <t>6 units</t>
  </si>
  <si>
    <t>7 unit</t>
  </si>
  <si>
    <t>5 Times per Week</t>
  </si>
  <si>
    <t>4 Times per Week</t>
  </si>
  <si>
    <t>3 Times per Week</t>
  </si>
  <si>
    <t>2 Times per Week</t>
  </si>
  <si>
    <t>Weekly Pickup (WG)</t>
  </si>
  <si>
    <t>Every Other Week (EOWG)</t>
  </si>
  <si>
    <t>Monthly (MG)</t>
  </si>
  <si>
    <t>Meeks Weights</t>
  </si>
  <si>
    <t>Res'l</t>
  </si>
  <si>
    <t>Pounds per Pickup</t>
  </si>
  <si>
    <t>20 gal minican</t>
  </si>
  <si>
    <t>1 can</t>
  </si>
  <si>
    <t>2 cans</t>
  </si>
  <si>
    <t>3 cans</t>
  </si>
  <si>
    <t>Lbs. per ton</t>
  </si>
  <si>
    <t>4 cans</t>
  </si>
  <si>
    <t>Yds. Per ton</t>
  </si>
  <si>
    <t>n/a</t>
  </si>
  <si>
    <t>5 cans</t>
  </si>
  <si>
    <t>6 cans</t>
  </si>
  <si>
    <t>Once a month</t>
  </si>
  <si>
    <t>Extras</t>
  </si>
  <si>
    <t>Com'l</t>
  </si>
  <si>
    <t>Cans</t>
  </si>
  <si>
    <t>1 yd container</t>
  </si>
  <si>
    <t>1.5 yd container</t>
  </si>
  <si>
    <t>*</t>
  </si>
  <si>
    <t>2 yd container</t>
  </si>
  <si>
    <t>3 yd container</t>
  </si>
  <si>
    <t>4 yd container</t>
  </si>
  <si>
    <t>6 yd container</t>
  </si>
  <si>
    <t>8 yd container</t>
  </si>
  <si>
    <t>1 yd packer/compactor</t>
  </si>
  <si>
    <t>1.5 yd packer/compactor</t>
  </si>
  <si>
    <t>2 yd packer/compactor</t>
  </si>
  <si>
    <t>3 yd packer/compactor</t>
  </si>
  <si>
    <t>4 yd packer/compactor</t>
  </si>
  <si>
    <t>5 yd packer/compactor</t>
  </si>
  <si>
    <t>6 yd packer/compactor</t>
  </si>
  <si>
    <t>8 yd packer/compactor</t>
  </si>
  <si>
    <t>Yards</t>
  </si>
  <si>
    <t>* not on meeks - calculated by staff</t>
  </si>
  <si>
    <t>Per Ton</t>
  </si>
  <si>
    <t>Per Pound</t>
  </si>
  <si>
    <t>Gross Up Factors</t>
  </si>
  <si>
    <t xml:space="preserve">Current Rate </t>
  </si>
  <si>
    <t>B&amp;O tax</t>
  </si>
  <si>
    <t>New Rate per ton</t>
  </si>
  <si>
    <t>WUTC fees</t>
  </si>
  <si>
    <t>Bad Debts</t>
  </si>
  <si>
    <t>Increase per ton</t>
  </si>
  <si>
    <t>Factor</t>
  </si>
  <si>
    <t>Grossed Up Increase per ton</t>
  </si>
  <si>
    <t>Tons Collected</t>
  </si>
  <si>
    <t>Annual Pick-Up's</t>
  </si>
  <si>
    <t>Mason County</t>
  </si>
  <si>
    <t>Tariff Rate Increase</t>
  </si>
  <si>
    <t>Residential Cans:</t>
  </si>
  <si>
    <t>Over-weight cans</t>
  </si>
  <si>
    <t>Item 100, pg 21</t>
  </si>
  <si>
    <t xml:space="preserve"> 1 can</t>
  </si>
  <si>
    <t xml:space="preserve"> 2 can</t>
  </si>
  <si>
    <t xml:space="preserve"> 3 can</t>
  </si>
  <si>
    <t xml:space="preserve"> 4 can</t>
  </si>
  <si>
    <t xml:space="preserve"> 5 can</t>
  </si>
  <si>
    <t xml:space="preserve"> 6 can</t>
  </si>
  <si>
    <t xml:space="preserve"> 45-gallon can</t>
  </si>
  <si>
    <t xml:space="preserve"> 1 can every-other-week</t>
  </si>
  <si>
    <t xml:space="preserve"> 2 can every-other-week</t>
  </si>
  <si>
    <t xml:space="preserve"> 1 can once-per-month</t>
  </si>
  <si>
    <t xml:space="preserve"> Mini</t>
  </si>
  <si>
    <t>Automated Service:</t>
  </si>
  <si>
    <t xml:space="preserve"> 35-gallon tote</t>
  </si>
  <si>
    <t xml:space="preserve"> 48-gallon tote</t>
  </si>
  <si>
    <t xml:space="preserve"> 64-gallon tote</t>
  </si>
  <si>
    <t xml:space="preserve"> 96-gallon tote</t>
  </si>
  <si>
    <t xml:space="preserve"> 35-gal tote every-other-week</t>
  </si>
  <si>
    <t xml:space="preserve"> 48-gal tote every-other-week</t>
  </si>
  <si>
    <t xml:space="preserve"> 64-gal tote every-other-week</t>
  </si>
  <si>
    <t xml:space="preserve"> 96-gal tote every-other-week</t>
  </si>
  <si>
    <t xml:space="preserve"> 35-gal tote once-per-month</t>
  </si>
  <si>
    <t xml:space="preserve"> 48-gal tote once-per-month</t>
  </si>
  <si>
    <t xml:space="preserve"> 64-gal tote once-per-month</t>
  </si>
  <si>
    <t xml:space="preserve"> 96-gal tote once-per-month</t>
  </si>
  <si>
    <t>Item 100, pg 22</t>
  </si>
  <si>
    <t xml:space="preserve"> Occasional extra unit (All Sizes)</t>
  </si>
  <si>
    <t>32 gal can on call</t>
  </si>
  <si>
    <t xml:space="preserve"> 35-gal tote on call</t>
  </si>
  <si>
    <t xml:space="preserve"> 48-gal tote on call</t>
  </si>
  <si>
    <t xml:space="preserve"> 64-gal tote on call</t>
  </si>
  <si>
    <t xml:space="preserve"> 96-gal tote on call</t>
  </si>
  <si>
    <t>Item 120, pg 28</t>
  </si>
  <si>
    <t>Drum</t>
  </si>
  <si>
    <t>Special PU</t>
  </si>
  <si>
    <t>Item 130, pg 28</t>
  </si>
  <si>
    <t>Litter Toter, per pu</t>
  </si>
  <si>
    <t>Litter Toter, per month</t>
  </si>
  <si>
    <t>Item 150, pg 28</t>
  </si>
  <si>
    <t>Bulky</t>
  </si>
  <si>
    <t>Loose</t>
  </si>
  <si>
    <t>Additional yard</t>
  </si>
  <si>
    <t>Minimum</t>
  </si>
  <si>
    <t>Item 207, pg 32</t>
  </si>
  <si>
    <t>All container per yard</t>
  </si>
  <si>
    <t>All Drop boxes per yard</t>
  </si>
  <si>
    <t>Item 240, pg 35</t>
  </si>
  <si>
    <t>1 yard</t>
  </si>
  <si>
    <t>1.5 yard</t>
  </si>
  <si>
    <t>2 yard</t>
  </si>
  <si>
    <t>Item 245, pg 36</t>
  </si>
  <si>
    <t xml:space="preserve"> 35-gal cart </t>
  </si>
  <si>
    <t xml:space="preserve"> 48-gal cart </t>
  </si>
  <si>
    <t xml:space="preserve"> 64-gal cart</t>
  </si>
  <si>
    <t xml:space="preserve"> 96-gal cart</t>
  </si>
  <si>
    <t>Mason</t>
  </si>
  <si>
    <t>Pickup Frequency</t>
  </si>
  <si>
    <t>TOTAL Mason</t>
  </si>
  <si>
    <t>No. of Customers from TG-121791</t>
  </si>
  <si>
    <t>NO CUSTOMERS - Mason</t>
  </si>
  <si>
    <t>Oversized Can</t>
  </si>
  <si>
    <t>Drum - Special Pick-Up</t>
  </si>
  <si>
    <t>Item 55, page 16</t>
  </si>
  <si>
    <t>Commercial Cans - No Cust</t>
  </si>
  <si>
    <t>Note 2 - Each Addn'l Unit</t>
  </si>
  <si>
    <t>Note 4 - Grouped Cans</t>
  </si>
  <si>
    <t>Note 4 - Non-Grouped Cans</t>
  </si>
  <si>
    <t>Note 5 - 35 Gal Mo. Min</t>
  </si>
  <si>
    <t>Note 5 - 48 Gal Mo. Min</t>
  </si>
  <si>
    <t>Note 5 - 64 Gal Mo. Min</t>
  </si>
  <si>
    <t>Note 5 - 96 Gal Mo. Min</t>
  </si>
  <si>
    <t>Note 3 - Monthly Min.</t>
  </si>
  <si>
    <t>Residential</t>
  </si>
  <si>
    <t>Commercial</t>
  </si>
  <si>
    <t>Increase/(Decrease)</t>
  </si>
  <si>
    <t>Disposal Fee Revenue Increase/(Decrease)</t>
  </si>
  <si>
    <t>Company Proposed Rates</t>
  </si>
  <si>
    <t>Res'l &amp; Com'l</t>
  </si>
  <si>
    <t>Revenue Inc from Co Proposed Rates</t>
  </si>
  <si>
    <t>Collected Revenue Excess/(Deficiency)</t>
  </si>
  <si>
    <t>Tariff Page</t>
  </si>
  <si>
    <t>Scheduled Service</t>
  </si>
  <si>
    <t>Monthly Customers</t>
  </si>
  <si>
    <t>Monthly Frequency</t>
  </si>
  <si>
    <t>Annual PU's</t>
  </si>
  <si>
    <t>Calculated Annual Pounds</t>
  </si>
  <si>
    <t>Adjusted Annual Pounds</t>
  </si>
  <si>
    <t>Increase/
(Decrease)</t>
  </si>
  <si>
    <t>Gross Up</t>
  </si>
  <si>
    <t>Company Current Tariff</t>
  </si>
  <si>
    <t>Staff Calculated Rate</t>
  </si>
  <si>
    <t>Company Proposed Tariff</t>
  </si>
  <si>
    <t>Company Current Revenue</t>
  </si>
  <si>
    <t>Company Proposed Revenue</t>
  </si>
  <si>
    <t>Company Increased/(Decreased) Revenue</t>
  </si>
  <si>
    <t>Revised Tariff Rate</t>
  </si>
  <si>
    <t>Totals</t>
  </si>
  <si>
    <t>No Current Customers</t>
  </si>
  <si>
    <t>Adjustment Factor Calculation</t>
  </si>
  <si>
    <t>Legend</t>
  </si>
  <si>
    <t>Not on Meeks</t>
  </si>
  <si>
    <t>Total Tonnage</t>
  </si>
  <si>
    <t>Note</t>
  </si>
  <si>
    <t>Total Pounds</t>
  </si>
  <si>
    <t>Total Pick Ups</t>
  </si>
  <si>
    <t>Adjustment factor</t>
  </si>
  <si>
    <t>48 gallon cart</t>
  </si>
  <si>
    <t>35 gallon cart</t>
  </si>
  <si>
    <t>Litter Toter, per month (Min.)</t>
  </si>
  <si>
    <t>Commercial Service</t>
  </si>
  <si>
    <t>Note 4 (extras)</t>
  </si>
  <si>
    <t>Note 2 (Addn'l can)</t>
  </si>
  <si>
    <t>Note 3 (Monthly Min.)</t>
  </si>
  <si>
    <t>Note 4 (extra recepticles)</t>
  </si>
  <si>
    <t>Note 4 (recepticles not placed together)</t>
  </si>
  <si>
    <t>Note 5 (Automated Carts Monthly Min.)</t>
  </si>
  <si>
    <t>Residential Service</t>
  </si>
  <si>
    <t>1 can - Special PU</t>
  </si>
  <si>
    <t>35-gal cart Special PU</t>
  </si>
  <si>
    <t>48-gal cart Special PU</t>
  </si>
  <si>
    <t>64-gal cart Special PU</t>
  </si>
  <si>
    <t>96-gal cart Special PU</t>
  </si>
  <si>
    <t>from TG-121791 (Most recent rate case)</t>
  </si>
  <si>
    <t>Litter Toter, per month (min.)</t>
  </si>
  <si>
    <t>Mason County DF Increase</t>
  </si>
  <si>
    <t xml:space="preserve">Kitsap </t>
  </si>
  <si>
    <t>Kitsap</t>
  </si>
  <si>
    <t>Item 55, page 16A</t>
  </si>
  <si>
    <t>Item 100, pg 21A</t>
  </si>
  <si>
    <t>Item 100, pg 22A</t>
  </si>
  <si>
    <t>Item 120, pg 28A</t>
  </si>
  <si>
    <t>Item 130, pg 28A</t>
  </si>
  <si>
    <t>Item 150, pg 28A</t>
  </si>
  <si>
    <t>Item 207, pg 32A</t>
  </si>
  <si>
    <t>Item 240, pg 35A</t>
  </si>
  <si>
    <t>Item 245, pg 36A</t>
  </si>
  <si>
    <t>1-45 gal Can Wkly</t>
  </si>
  <si>
    <t>2-45 gal Can Wkly</t>
  </si>
  <si>
    <t>Annual</t>
  </si>
  <si>
    <t>28A</t>
  </si>
  <si>
    <t>35A</t>
  </si>
  <si>
    <t>36A</t>
  </si>
  <si>
    <t>Litter</t>
  </si>
  <si>
    <t>Litter, Min</t>
  </si>
  <si>
    <t xml:space="preserve"> 1 Yard Wkly</t>
  </si>
  <si>
    <t xml:space="preserve"> Calculated Rate</t>
  </si>
  <si>
    <t>Supercan 64</t>
  </si>
  <si>
    <t>Supercan 94</t>
  </si>
  <si>
    <t>Equal to 1.5 cans</t>
  </si>
  <si>
    <t>Equal to 2 cans</t>
  </si>
  <si>
    <t>Equal to 3 cans</t>
  </si>
  <si>
    <t>Effective 1/1/2017</t>
  </si>
  <si>
    <t xml:space="preserve">Current </t>
  </si>
  <si>
    <t xml:space="preserve">Proposed </t>
  </si>
  <si>
    <t>Increase</t>
  </si>
  <si>
    <t>Rate</t>
  </si>
  <si>
    <t xml:space="preserve"> 1-1-2017</t>
  </si>
  <si>
    <t xml:space="preserve">Mason-Kitsap Disposal Increase                                                        </t>
  </si>
  <si>
    <t xml:space="preserve">Tariff </t>
  </si>
  <si>
    <t xml:space="preserve"> Rate</t>
  </si>
  <si>
    <t>Effective</t>
  </si>
  <si>
    <t>Pass Thru  Tons</t>
  </si>
  <si>
    <t>Pass Thru Increase</t>
  </si>
  <si>
    <t>Pass Thru Tons</t>
  </si>
  <si>
    <t>Pass Thru Incr</t>
  </si>
  <si>
    <t>Mason County Garbage Company, Inc. G-88</t>
  </si>
  <si>
    <t>Dump Fee Calc References</t>
  </si>
  <si>
    <t>Effective 1-1-2017</t>
  </si>
  <si>
    <t xml:space="preserve"> Monthly Customers from  TG-121791</t>
  </si>
  <si>
    <t>Dump Fee Calculation - Mason County</t>
  </si>
  <si>
    <t>Dump Fee Calculation - Kitsap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</si>
</sst>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7" formatCode="_(&quot;$&quot;* #,##0.000_);_(&quot;$&quot;* \(#,##0.000\);_(&quot;$&quot;* &quot;-&quot;??_);_(@_)"/>
    <numFmt numFmtId="168" formatCode="_(* #,##0.000000_);_(* \(#,##0.000000\);_(* &quot;-&quot;??_);_(@_)"/>
    <numFmt numFmtId="169" formatCode="_(&quot;$&quot;* #,##0.000000_);_(&quot;$&quot;* \(#,##0.000000\);_(&quot;$&quot;* &quot;-&quot;??_);_(@_)"/>
    <numFmt numFmtId="170" formatCode="0.0000%"/>
    <numFmt numFmtId="171" formatCode="_(&quot;$&quot;* #,##0_);_(&quot;$&quot;* \(#,##0\);_(&quot;$&quot;* &quot;-&quot;??_);_(@_)"/>
    <numFmt numFmtId="172" formatCode="_(* #,##0.000_);_(* \(#,##0.000\);_(* &quot;-&quot;??_);_(@_)"/>
    <numFmt numFmtId="176" formatCode="&quot;$&quot;#,##0\ ;\(&quot;$&quot;#,##0\)"/>
  </numFmts>
  <fonts count="6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SWISS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2"/>
      <name val="Courier"/>
      <family val="3"/>
    </font>
    <font>
      <sz val="9"/>
      <color indexed="8"/>
      <name val="Arial"/>
      <family val="2"/>
    </font>
    <font>
      <sz val="10"/>
      <name val="Times New Roman"/>
      <family val="1"/>
    </font>
    <font>
      <sz val="11"/>
      <color indexed="8"/>
      <name val="Arial"/>
      <family val="2"/>
    </font>
    <font>
      <b/>
      <sz val="10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Helv"/>
    </font>
    <font>
      <i/>
      <sz val="10"/>
      <color indexed="10"/>
      <name val="Arial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Arial MT"/>
    </font>
    <font>
      <b/>
      <u/>
      <sz val="11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name val="Arial"/>
      <family val="2"/>
    </font>
    <font>
      <sz val="8"/>
      <color indexed="56"/>
      <name val="Arial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8"/>
      <color indexed="61"/>
      <name val="Cambria"/>
      <family val="2"/>
    </font>
    <font>
      <u/>
      <sz val="11"/>
      <color theme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6EFCE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8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63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1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0">
    <xf numFmtId="0" fontId="0" fillId="0" borderId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2" borderId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7" fillId="0" borderId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19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9" borderId="0" applyNumberFormat="0" applyBorder="0" applyAlignment="0" applyProtection="0"/>
    <xf numFmtId="0" fontId="13" fillId="17" borderId="0" applyNumberFormat="0" applyBorder="0" applyAlignment="0" applyProtection="0"/>
    <xf numFmtId="0" fontId="13" fillId="24" borderId="0" applyNumberFormat="0" applyBorder="0" applyAlignment="0" applyProtection="0"/>
    <xf numFmtId="41" fontId="9" fillId="0" borderId="0"/>
    <xf numFmtId="0" fontId="14" fillId="7" borderId="0" applyNumberFormat="0" applyBorder="0" applyAlignment="0" applyProtection="0"/>
    <xf numFmtId="3" fontId="9" fillId="0" borderId="0"/>
    <xf numFmtId="0" fontId="15" fillId="25" borderId="4" applyNumberFormat="0" applyAlignment="0" applyProtection="0"/>
    <xf numFmtId="0" fontId="15" fillId="5" borderId="4" applyNumberFormat="0" applyAlignment="0" applyProtection="0"/>
    <xf numFmtId="0" fontId="16" fillId="26" borderId="5" applyNumberFormat="0" applyAlignment="0" applyProtection="0"/>
    <xf numFmtId="0" fontId="9" fillId="3" borderId="0">
      <alignment horizont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17" fillId="0" borderId="0"/>
    <xf numFmtId="0" fontId="18" fillId="0" borderId="0"/>
    <xf numFmtId="0" fontId="18" fillId="0" borderId="0"/>
    <xf numFmtId="0" fontId="19" fillId="27" borderId="1" applyAlignment="0">
      <alignment horizontal="right"/>
      <protection locked="0"/>
    </xf>
    <xf numFmtId="44" fontId="2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2" fillId="28" borderId="0">
      <alignment horizontal="right"/>
      <protection locked="0"/>
    </xf>
    <xf numFmtId="14" fontId="9" fillId="0" borderId="0"/>
    <xf numFmtId="0" fontId="23" fillId="0" borderId="0" applyNumberFormat="0" applyFill="0" applyBorder="0" applyAlignment="0" applyProtection="0"/>
    <xf numFmtId="2" fontId="22" fillId="28" borderId="0">
      <alignment horizontal="right"/>
      <protection locked="0"/>
    </xf>
    <xf numFmtId="1" fontId="9" fillId="0" borderId="0">
      <alignment horizontal="center"/>
    </xf>
    <xf numFmtId="0" fontId="24" fillId="8" borderId="0" applyNumberFormat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3" fillId="11" borderId="4" applyNumberFormat="0" applyAlignment="0" applyProtection="0"/>
    <xf numFmtId="3" fontId="34" fillId="29" borderId="0">
      <protection locked="0"/>
    </xf>
    <xf numFmtId="4" fontId="34" fillId="29" borderId="0">
      <protection locked="0"/>
    </xf>
    <xf numFmtId="0" fontId="35" fillId="0" borderId="11" applyNumberFormat="0" applyFill="0" applyAlignment="0" applyProtection="0"/>
    <xf numFmtId="0" fontId="36" fillId="15" borderId="0" applyNumberFormat="0" applyBorder="0" applyAlignment="0" applyProtection="0"/>
    <xf numFmtId="43" fontId="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9" fillId="0" borderId="0"/>
    <xf numFmtId="0" fontId="1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30" borderId="12" applyNumberFormat="0" applyFont="0" applyAlignment="0" applyProtection="0"/>
    <xf numFmtId="0" fontId="6" fillId="30" borderId="12" applyNumberFormat="0" applyFont="0" applyAlignment="0" applyProtection="0"/>
    <xf numFmtId="165" fontId="38" fillId="0" borderId="0" applyNumberFormat="0"/>
    <xf numFmtId="0" fontId="39" fillId="5" borderId="13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0" fontId="9" fillId="0" borderId="0"/>
    <xf numFmtId="0" fontId="40" fillId="0" borderId="0" applyNumberFormat="0" applyFont="0" applyFill="0" applyBorder="0" applyAlignment="0" applyProtection="0">
      <alignment horizontal="left"/>
    </xf>
    <xf numFmtId="0" fontId="41" fillId="0" borderId="2">
      <alignment horizont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7" fillId="0" borderId="0">
      <alignment vertical="top"/>
    </xf>
    <xf numFmtId="0" fontId="17" fillId="0" borderId="0" applyNumberFormat="0" applyBorder="0" applyAlignment="0"/>
    <xf numFmtId="37" fontId="43" fillId="0" borderId="0"/>
    <xf numFmtId="37" fontId="8" fillId="0" borderId="0"/>
    <xf numFmtId="0" fontId="44" fillId="0" borderId="14" applyNumberFormat="0" applyFill="0" applyAlignment="0" applyProtection="0"/>
    <xf numFmtId="0" fontId="44" fillId="0" borderId="15" applyNumberFormat="0" applyFill="0" applyAlignment="0" applyProtection="0"/>
    <xf numFmtId="0" fontId="45" fillId="0" borderId="0" applyNumberForma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38" fontId="54" fillId="0" borderId="0" applyNumberFormat="0" applyFont="0" applyFill="0" applyBorder="0">
      <alignment horizontal="left" indent="4"/>
      <protection locked="0"/>
    </xf>
    <xf numFmtId="15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0" fontId="40" fillId="40" borderId="0" applyNumberFormat="0" applyFont="0" applyBorder="0" applyAlignment="0" applyProtection="0"/>
    <xf numFmtId="164" fontId="53" fillId="41" borderId="0" applyFont="0" applyFill="0" applyBorder="0" applyAlignment="0" applyProtection="0">
      <alignment wrapText="1"/>
    </xf>
    <xf numFmtId="0" fontId="9" fillId="0" borderId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30" borderId="0" applyNumberFormat="0" applyBorder="0" applyAlignment="0" applyProtection="0"/>
    <xf numFmtId="0" fontId="13" fillId="10" borderId="0" applyNumberFormat="0" applyBorder="0" applyAlignment="0" applyProtection="0"/>
    <xf numFmtId="0" fontId="13" fillId="42" borderId="0" applyNumberFormat="0" applyBorder="0" applyAlignment="0" applyProtection="0"/>
    <xf numFmtId="0" fontId="13" fillId="24" borderId="0" applyNumberFormat="0" applyBorder="0" applyAlignment="0" applyProtection="0"/>
    <xf numFmtId="0" fontId="13" fillId="16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4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43" borderId="0" applyNumberFormat="0" applyBorder="0" applyAlignment="0" applyProtection="0"/>
    <xf numFmtId="0" fontId="13" fillId="42" borderId="0" applyNumberFormat="0" applyBorder="0" applyAlignment="0" applyProtection="0"/>
    <xf numFmtId="0" fontId="13" fillId="24" borderId="0" applyNumberFormat="0" applyBorder="0" applyAlignment="0" applyProtection="0"/>
    <xf numFmtId="0" fontId="13" fillId="16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24" borderId="0" applyNumberFormat="0" applyBorder="0" applyAlignment="0" applyProtection="0"/>
    <xf numFmtId="0" fontId="13" fillId="17" borderId="0" applyNumberFormat="0" applyBorder="0" applyAlignment="0" applyProtection="0"/>
    <xf numFmtId="0" fontId="13" fillId="42" borderId="0" applyNumberFormat="0" applyBorder="0" applyAlignment="0" applyProtection="0"/>
    <xf numFmtId="0" fontId="13" fillId="22" borderId="0" applyNumberFormat="0" applyBorder="0" applyAlignment="0" applyProtection="0"/>
    <xf numFmtId="0" fontId="13" fillId="20" borderId="0" applyNumberFormat="0" applyBorder="0" applyAlignment="0" applyProtection="0"/>
    <xf numFmtId="41" fontId="9" fillId="0" borderId="0"/>
    <xf numFmtId="41" fontId="9" fillId="0" borderId="0"/>
    <xf numFmtId="41" fontId="9" fillId="0" borderId="0"/>
    <xf numFmtId="0" fontId="14" fillId="9" borderId="0" applyNumberFormat="0" applyBorder="0" applyAlignment="0" applyProtection="0"/>
    <xf numFmtId="3" fontId="9" fillId="0" borderId="0"/>
    <xf numFmtId="3" fontId="9" fillId="0" borderId="0"/>
    <xf numFmtId="3" fontId="9" fillId="0" borderId="0"/>
    <xf numFmtId="0" fontId="55" fillId="25" borderId="4" applyNumberFormat="0" applyAlignment="0" applyProtection="0"/>
    <xf numFmtId="0" fontId="58" fillId="25" borderId="4" applyNumberFormat="0" applyAlignment="0" applyProtection="0"/>
    <xf numFmtId="0" fontId="16" fillId="26" borderId="5" applyNumberFormat="0" applyAlignment="0" applyProtection="0"/>
    <xf numFmtId="0" fontId="16" fillId="45" borderId="27" applyNumberFormat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5" fillId="0" borderId="28" applyNumberFormat="0" applyFill="0" applyAlignment="0" applyProtection="0"/>
    <xf numFmtId="0" fontId="59" fillId="0" borderId="29" applyNumberFormat="0" applyFill="0" applyAlignment="0" applyProtection="0"/>
    <xf numFmtId="0" fontId="27" fillId="0" borderId="30" applyNumberFormat="0" applyFill="0" applyAlignment="0" applyProtection="0"/>
    <xf numFmtId="0" fontId="60" fillId="0" borderId="8" applyNumberFormat="0" applyFill="0" applyAlignment="0" applyProtection="0"/>
    <xf numFmtId="0" fontId="29" fillId="0" borderId="31" applyNumberFormat="0" applyFill="0" applyAlignment="0" applyProtection="0"/>
    <xf numFmtId="0" fontId="61" fillId="0" borderId="32" applyNumberFormat="0" applyFill="0" applyAlignment="0" applyProtection="0"/>
    <xf numFmtId="0" fontId="2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3" fillId="15" borderId="4" applyNumberFormat="0" applyAlignment="0" applyProtection="0"/>
    <xf numFmtId="0" fontId="62" fillId="15" borderId="4" applyNumberFormat="0" applyAlignment="0" applyProtection="0"/>
    <xf numFmtId="0" fontId="45" fillId="0" borderId="33" applyNumberFormat="0" applyFill="0" applyAlignment="0" applyProtection="0"/>
    <xf numFmtId="0" fontId="63" fillId="0" borderId="34" applyNumberFormat="0" applyFill="0" applyAlignment="0" applyProtection="0"/>
    <xf numFmtId="0" fontId="56" fillId="15" borderId="0" applyNumberFormat="0" applyBorder="0" applyAlignment="0" applyProtection="0"/>
    <xf numFmtId="0" fontId="64" fillId="1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0" borderId="0"/>
    <xf numFmtId="0" fontId="17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37" fillId="30" borderId="12" applyNumberFormat="0" applyFont="0" applyAlignment="0" applyProtection="0"/>
    <xf numFmtId="0" fontId="17" fillId="30" borderId="12" applyNumberFormat="0" applyFont="0" applyAlignment="0" applyProtection="0"/>
    <xf numFmtId="0" fontId="39" fillId="25" borderId="13" applyNumberFormat="0" applyAlignment="0" applyProtection="0"/>
    <xf numFmtId="0" fontId="29" fillId="25" borderId="35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7" fillId="0" borderId="0">
      <alignment vertical="top"/>
    </xf>
    <xf numFmtId="0" fontId="5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4" fillId="0" borderId="36" applyNumberFormat="0" applyFill="0" applyAlignment="0" applyProtection="0"/>
    <xf numFmtId="0" fontId="44" fillId="0" borderId="37" applyNumberFormat="0" applyFill="0" applyAlignment="0" applyProtection="0"/>
    <xf numFmtId="0" fontId="4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4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176" fontId="40" fillId="0" borderId="0" applyFont="0" applyFill="0" applyBorder="0" applyAlignment="0" applyProtection="0"/>
    <xf numFmtId="0" fontId="9" fillId="0" borderId="0"/>
    <xf numFmtId="0" fontId="52" fillId="39" borderId="0" applyNumberFormat="0" applyBorder="0" applyAlignment="0" applyProtection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5" fillId="25" borderId="4" applyNumberFormat="0" applyAlignment="0" applyProtection="0"/>
    <xf numFmtId="0" fontId="15" fillId="5" borderId="4" applyNumberFormat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5" fillId="0" borderId="11" applyNumberFormat="0" applyFill="0" applyAlignment="0" applyProtection="0"/>
    <xf numFmtId="0" fontId="36" fillId="1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0" borderId="12" applyNumberFormat="0" applyFont="0" applyAlignment="0" applyProtection="0"/>
    <xf numFmtId="0" fontId="6" fillId="30" borderId="12" applyNumberFormat="0" applyFont="0" applyAlignment="0" applyProtection="0"/>
    <xf numFmtId="9" fontId="7" fillId="0" borderId="0" applyFont="0" applyFill="0" applyBorder="0" applyAlignment="0" applyProtection="0"/>
    <xf numFmtId="0" fontId="44" fillId="0" borderId="14" applyNumberFormat="0" applyFill="0" applyAlignment="0" applyProtection="0"/>
    <xf numFmtId="0" fontId="44" fillId="0" borderId="15" applyNumberFormat="0" applyFill="0" applyAlignment="0" applyProtection="0"/>
    <xf numFmtId="0" fontId="9" fillId="0" borderId="0"/>
    <xf numFmtId="0" fontId="9" fillId="0" borderId="0"/>
  </cellStyleXfs>
  <cellXfs count="288">
    <xf numFmtId="0" fontId="0" fillId="0" borderId="0" xfId="0"/>
    <xf numFmtId="0" fontId="5" fillId="0" borderId="0" xfId="4" applyNumberFormat="1" applyFont="1" applyFill="1"/>
    <xf numFmtId="0" fontId="6" fillId="0" borderId="0" xfId="4" applyNumberFormat="1" applyFont="1" applyFill="1"/>
    <xf numFmtId="44" fontId="6" fillId="0" borderId="0" xfId="5" applyFont="1" applyFill="1"/>
    <xf numFmtId="37" fontId="6" fillId="0" borderId="0" xfId="4" applyNumberFormat="1" applyFont="1" applyFill="1"/>
    <xf numFmtId="164" fontId="6" fillId="0" borderId="0" xfId="4" applyNumberFormat="1" applyFont="1" applyFill="1"/>
    <xf numFmtId="0" fontId="6" fillId="0" borderId="0" xfId="4" applyNumberFormat="1" applyFont="1" applyFill="1" applyBorder="1" applyAlignment="1">
      <alignment wrapText="1"/>
    </xf>
    <xf numFmtId="0" fontId="6" fillId="0" borderId="0" xfId="4" applyNumberFormat="1" applyFont="1" applyFill="1" applyAlignment="1">
      <alignment wrapText="1"/>
    </xf>
    <xf numFmtId="0" fontId="5" fillId="0" borderId="3" xfId="4" applyNumberFormat="1" applyFont="1" applyFill="1" applyBorder="1"/>
    <xf numFmtId="10" fontId="6" fillId="0" borderId="0" xfId="9" applyNumberFormat="1" applyFont="1" applyFill="1"/>
    <xf numFmtId="0" fontId="6" fillId="4" borderId="0" xfId="10" applyNumberFormat="1" applyFont="1" applyFill="1" applyAlignment="1">
      <alignment horizontal="left"/>
    </xf>
    <xf numFmtId="164" fontId="6" fillId="4" borderId="0" xfId="6" applyNumberFormat="1" applyFont="1" applyFill="1" applyAlignment="1">
      <alignment vertical="center"/>
    </xf>
    <xf numFmtId="43" fontId="6" fillId="4" borderId="0" xfId="6" applyNumberFormat="1" applyFont="1" applyFill="1" applyAlignment="1">
      <alignment vertical="center"/>
    </xf>
    <xf numFmtId="0" fontId="6" fillId="4" borderId="0" xfId="10" applyNumberFormat="1" applyFont="1" applyFill="1" applyBorder="1" applyAlignment="1">
      <alignment horizontal="left"/>
    </xf>
    <xf numFmtId="0" fontId="5" fillId="4" borderId="0" xfId="4" applyNumberFormat="1" applyFont="1" applyFill="1"/>
    <xf numFmtId="164" fontId="5" fillId="4" borderId="0" xfId="6" applyNumberFormat="1" applyFont="1" applyFill="1" applyAlignment="1">
      <alignment vertical="center"/>
    </xf>
    <xf numFmtId="37" fontId="5" fillId="0" borderId="0" xfId="4" applyNumberFormat="1" applyFont="1" applyFill="1"/>
    <xf numFmtId="164" fontId="5" fillId="0" borderId="0" xfId="4" applyNumberFormat="1" applyFont="1" applyFill="1"/>
    <xf numFmtId="10" fontId="5" fillId="0" borderId="0" xfId="9" applyNumberFormat="1" applyFont="1" applyFill="1"/>
    <xf numFmtId="164" fontId="6" fillId="0" borderId="0" xfId="6" applyNumberFormat="1" applyFont="1" applyFill="1" applyAlignment="1">
      <alignment vertical="center"/>
    </xf>
    <xf numFmtId="44" fontId="6" fillId="0" borderId="0" xfId="5" applyFont="1" applyFill="1" applyAlignment="1">
      <alignment vertical="center"/>
    </xf>
    <xf numFmtId="43" fontId="6" fillId="0" borderId="0" xfId="11" applyFont="1" applyFill="1"/>
    <xf numFmtId="165" fontId="6" fillId="0" borderId="0" xfId="8" applyNumberFormat="1" applyFont="1" applyFill="1"/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3" fontId="0" fillId="0" borderId="0" xfId="1" applyFont="1"/>
    <xf numFmtId="43" fontId="0" fillId="0" borderId="0" xfId="0" applyNumberFormat="1" applyFont="1" applyBorder="1" applyAlignment="1">
      <alignment horizontal="center"/>
    </xf>
    <xf numFmtId="0" fontId="3" fillId="0" borderId="0" xfId="0" applyFont="1"/>
    <xf numFmtId="0" fontId="0" fillId="0" borderId="0" xfId="0" applyFont="1" applyAlignment="1">
      <alignment horizontal="left" indent="1"/>
    </xf>
    <xf numFmtId="0" fontId="2" fillId="0" borderId="0" xfId="0" applyFont="1" applyFill="1" applyAlignment="1">
      <alignment horizontal="center"/>
    </xf>
    <xf numFmtId="164" fontId="0" fillId="0" borderId="1" xfId="1" applyNumberFormat="1" applyFont="1" applyBorder="1"/>
    <xf numFmtId="0" fontId="5" fillId="0" borderId="0" xfId="4" applyNumberFormat="1" applyFont="1" applyFill="1" applyAlignment="1">
      <alignment horizontal="center" wrapText="1"/>
    </xf>
    <xf numFmtId="2" fontId="5" fillId="0" borderId="0" xfId="4" applyNumberFormat="1" applyFont="1" applyFill="1" applyAlignment="1">
      <alignment horizontal="center" wrapText="1"/>
    </xf>
    <xf numFmtId="44" fontId="5" fillId="0" borderId="0" xfId="5" applyFont="1" applyFill="1" applyAlignment="1">
      <alignment horizontal="center" wrapText="1"/>
    </xf>
    <xf numFmtId="0" fontId="6" fillId="33" borderId="0" xfId="12" applyFont="1" applyFill="1"/>
    <xf numFmtId="164" fontId="6" fillId="33" borderId="0" xfId="6" applyNumberFormat="1" applyFont="1" applyFill="1" applyAlignment="1">
      <alignment vertical="center"/>
    </xf>
    <xf numFmtId="43" fontId="6" fillId="33" borderId="0" xfId="6" applyNumberFormat="1" applyFont="1" applyFill="1" applyAlignment="1">
      <alignment vertical="center"/>
    </xf>
    <xf numFmtId="0" fontId="5" fillId="33" borderId="1" xfId="12" applyFont="1" applyFill="1" applyBorder="1"/>
    <xf numFmtId="164" fontId="5" fillId="33" borderId="1" xfId="6" applyNumberFormat="1" applyFont="1" applyFill="1" applyBorder="1" applyAlignment="1">
      <alignment vertical="center"/>
    </xf>
    <xf numFmtId="0" fontId="5" fillId="0" borderId="0" xfId="12" applyFont="1" applyFill="1" applyBorder="1"/>
    <xf numFmtId="164" fontId="5" fillId="0" borderId="0" xfId="6" applyNumberFormat="1" applyFont="1" applyFill="1" applyBorder="1" applyAlignment="1">
      <alignment vertical="center"/>
    </xf>
    <xf numFmtId="44" fontId="5" fillId="0" borderId="0" xfId="2" applyFont="1" applyFill="1" applyBorder="1" applyAlignment="1">
      <alignment vertical="center"/>
    </xf>
    <xf numFmtId="44" fontId="5" fillId="0" borderId="0" xfId="5" applyFont="1" applyFill="1" applyBorder="1" applyAlignment="1" applyProtection="1">
      <alignment vertical="center"/>
    </xf>
    <xf numFmtId="0" fontId="5" fillId="0" borderId="0" xfId="4" applyNumberFormat="1" applyFont="1" applyFill="1" applyBorder="1"/>
    <xf numFmtId="44" fontId="1" fillId="0" borderId="0" xfId="2" applyFont="1" applyBorder="1"/>
    <xf numFmtId="0" fontId="0" fillId="0" borderId="0" xfId="0" applyFont="1" applyBorder="1" applyAlignment="1">
      <alignment horizontal="left"/>
    </xf>
    <xf numFmtId="44" fontId="6" fillId="0" borderId="0" xfId="4" applyNumberFormat="1" applyFont="1" applyFill="1"/>
    <xf numFmtId="3" fontId="6" fillId="0" borderId="0" xfId="4" applyNumberFormat="1" applyFont="1" applyFill="1"/>
    <xf numFmtId="3" fontId="5" fillId="0" borderId="0" xfId="4" applyNumberFormat="1" applyFont="1" applyFill="1"/>
    <xf numFmtId="0" fontId="5" fillId="0" borderId="0" xfId="4" applyNumberFormat="1" applyFont="1" applyFill="1" applyBorder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Alignment="1"/>
    <xf numFmtId="0" fontId="0" fillId="0" borderId="0" xfId="0" applyFont="1" applyAlignment="1"/>
    <xf numFmtId="43" fontId="1" fillId="0" borderId="0" xfId="1" applyFont="1" applyAlignment="1"/>
    <xf numFmtId="43" fontId="0" fillId="0" borderId="0" xfId="0" applyNumberFormat="1" applyFont="1" applyAlignment="1"/>
    <xf numFmtId="0" fontId="3" fillId="0" borderId="0" xfId="0" applyFont="1" applyAlignment="1"/>
    <xf numFmtId="43" fontId="1" fillId="0" borderId="0" xfId="1" applyFont="1" applyAlignment="1">
      <alignment horizontal="center"/>
    </xf>
    <xf numFmtId="164" fontId="1" fillId="0" borderId="0" xfId="1" applyNumberFormat="1" applyFont="1" applyAlignment="1"/>
    <xf numFmtId="0" fontId="2" fillId="0" borderId="0" xfId="0" applyFont="1" applyFill="1" applyAlignment="1"/>
    <xf numFmtId="44" fontId="1" fillId="0" borderId="0" xfId="2" applyFont="1" applyFill="1"/>
    <xf numFmtId="167" fontId="1" fillId="0" borderId="0" xfId="2" applyNumberFormat="1" applyFont="1" applyFill="1"/>
    <xf numFmtId="168" fontId="1" fillId="0" borderId="0" xfId="1" applyNumberFormat="1" applyFont="1" applyAlignment="1"/>
    <xf numFmtId="44" fontId="1" fillId="0" borderId="1" xfId="2" applyFont="1" applyFill="1" applyBorder="1"/>
    <xf numFmtId="167" fontId="1" fillId="0" borderId="1" xfId="2" applyNumberFormat="1" applyFont="1" applyFill="1" applyBorder="1"/>
    <xf numFmtId="168" fontId="1" fillId="0" borderId="0" xfId="1" applyNumberFormat="1" applyFont="1" applyBorder="1" applyAlignment="1"/>
    <xf numFmtId="169" fontId="1" fillId="0" borderId="0" xfId="2" applyNumberFormat="1" applyFont="1" applyFill="1"/>
    <xf numFmtId="168" fontId="1" fillId="0" borderId="1" xfId="1" applyNumberFormat="1" applyFont="1" applyBorder="1" applyAlignment="1"/>
    <xf numFmtId="170" fontId="0" fillId="0" borderId="0" xfId="0" applyNumberFormat="1" applyFont="1" applyAlignment="1"/>
    <xf numFmtId="0" fontId="3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/>
    <xf numFmtId="167" fontId="1" fillId="0" borderId="0" xfId="2" applyNumberFormat="1" applyFont="1" applyFill="1" applyBorder="1"/>
    <xf numFmtId="10" fontId="0" fillId="0" borderId="0" xfId="3" applyNumberFormat="1" applyFont="1" applyAlignment="1"/>
    <xf numFmtId="44" fontId="0" fillId="0" borderId="0" xfId="0" applyNumberFormat="1" applyAlignment="1"/>
    <xf numFmtId="44" fontId="0" fillId="0" borderId="0" xfId="0" applyNumberFormat="1" applyFont="1" applyAlignment="1"/>
    <xf numFmtId="169" fontId="1" fillId="0" borderId="0" xfId="2" applyNumberFormat="1" applyFont="1" applyFill="1" applyBorder="1"/>
    <xf numFmtId="44" fontId="0" fillId="0" borderId="0" xfId="2" applyFont="1" applyAlignment="1"/>
    <xf numFmtId="0" fontId="0" fillId="0" borderId="0" xfId="0" applyFill="1" applyBorder="1" applyAlignment="1"/>
    <xf numFmtId="0" fontId="3" fillId="0" borderId="17" xfId="0" applyFont="1" applyBorder="1" applyAlignment="1"/>
    <xf numFmtId="0" fontId="0" fillId="0" borderId="19" xfId="0" applyFont="1" applyBorder="1" applyAlignment="1"/>
    <xf numFmtId="44" fontId="1" fillId="0" borderId="20" xfId="2" applyFont="1" applyBorder="1"/>
    <xf numFmtId="0" fontId="0" fillId="0" borderId="0" xfId="0" applyFont="1" applyBorder="1" applyAlignment="1"/>
    <xf numFmtId="0" fontId="0" fillId="0" borderId="0" xfId="0" applyBorder="1" applyAlignment="1">
      <alignment vertical="top"/>
    </xf>
    <xf numFmtId="164" fontId="1" fillId="0" borderId="0" xfId="1" applyNumberFormat="1" applyFont="1" applyFill="1" applyBorder="1" applyAlignment="1"/>
    <xf numFmtId="43" fontId="46" fillId="0" borderId="0" xfId="1" applyNumberFormat="1" applyFont="1" applyFill="1" applyBorder="1" applyAlignment="1"/>
    <xf numFmtId="43" fontId="9" fillId="0" borderId="0" xfId="53" applyFont="1"/>
    <xf numFmtId="164" fontId="1" fillId="0" borderId="0" xfId="1" applyNumberFormat="1" applyFont="1" applyFill="1" applyBorder="1" applyAlignment="1">
      <alignment horizontal="center" wrapText="1"/>
    </xf>
    <xf numFmtId="44" fontId="1" fillId="0" borderId="0" xfId="2" applyFont="1" applyFill="1" applyBorder="1"/>
    <xf numFmtId="44" fontId="9" fillId="0" borderId="0" xfId="85" applyFont="1"/>
    <xf numFmtId="0" fontId="0" fillId="0" borderId="0" xfId="0" applyFont="1" applyFill="1" applyBorder="1" applyAlignment="1">
      <alignment horizontal="center" vertical="center"/>
    </xf>
    <xf numFmtId="43" fontId="1" fillId="0" borderId="0" xfId="1" applyNumberFormat="1" applyFont="1" applyFill="1" applyBorder="1" applyAlignment="1"/>
    <xf numFmtId="43" fontId="9" fillId="0" borderId="0" xfId="53" applyFont="1" applyFill="1"/>
    <xf numFmtId="44" fontId="9" fillId="0" borderId="0" xfId="85" applyFont="1" applyFill="1"/>
    <xf numFmtId="0" fontId="17" fillId="0" borderId="0" xfId="0" applyFont="1" applyFill="1" applyBorder="1" applyAlignment="1">
      <alignment vertical="top"/>
    </xf>
    <xf numFmtId="164" fontId="9" fillId="0" borderId="0" xfId="1" applyNumberFormat="1" applyFont="1" applyFill="1" applyAlignment="1"/>
    <xf numFmtId="164" fontId="46" fillId="0" borderId="0" xfId="1" applyNumberFormat="1" applyFont="1" applyFill="1" applyBorder="1" applyAlignment="1"/>
    <xf numFmtId="43" fontId="1" fillId="0" borderId="0" xfId="2" applyNumberFormat="1" applyFont="1" applyFill="1" applyBorder="1"/>
    <xf numFmtId="0" fontId="0" fillId="0" borderId="0" xfId="0" applyFill="1" applyAlignment="1"/>
    <xf numFmtId="0" fontId="0" fillId="0" borderId="0" xfId="0" applyFont="1" applyBorder="1" applyAlignment="1">
      <alignment horizontal="center"/>
    </xf>
    <xf numFmtId="0" fontId="47" fillId="0" borderId="0" xfId="10" applyFont="1" applyFill="1" applyBorder="1" applyAlignment="1">
      <alignment horizontal="left"/>
    </xf>
    <xf numFmtId="164" fontId="3" fillId="0" borderId="0" xfId="1" applyNumberFormat="1" applyFont="1" applyBorder="1" applyAlignment="1">
      <alignment horizontal="right"/>
    </xf>
    <xf numFmtId="44" fontId="3" fillId="0" borderId="0" xfId="2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4" fontId="1" fillId="0" borderId="0" xfId="1" applyNumberFormat="1" applyFont="1" applyBorder="1" applyAlignment="1"/>
    <xf numFmtId="44" fontId="1" fillId="0" borderId="0" xfId="1" applyNumberFormat="1" applyFont="1" applyFill="1" applyBorder="1" applyAlignment="1"/>
    <xf numFmtId="0" fontId="0" fillId="0" borderId="0" xfId="0" applyFill="1" applyAlignment="1">
      <alignment horizontal="left" vertical="top"/>
    </xf>
    <xf numFmtId="43" fontId="0" fillId="0" borderId="0" xfId="1" applyFont="1" applyFill="1" applyAlignment="1">
      <alignment vertical="top"/>
    </xf>
    <xf numFmtId="43" fontId="1" fillId="0" borderId="0" xfId="1" applyFont="1" applyFill="1" applyBorder="1" applyAlignment="1">
      <alignment horizontal="right"/>
    </xf>
    <xf numFmtId="43" fontId="1" fillId="0" borderId="0" xfId="1" applyFont="1" applyBorder="1" applyAlignment="1"/>
    <xf numFmtId="0" fontId="46" fillId="0" borderId="1" xfId="189" applyFont="1" applyBorder="1"/>
    <xf numFmtId="43" fontId="1" fillId="0" borderId="1" xfId="1" applyFont="1" applyBorder="1" applyAlignment="1">
      <alignment horizontal="right"/>
    </xf>
    <xf numFmtId="43" fontId="1" fillId="0" borderId="1" xfId="1" applyNumberFormat="1" applyFont="1" applyFill="1" applyBorder="1" applyAlignment="1"/>
    <xf numFmtId="164" fontId="1" fillId="0" borderId="1" xfId="1" applyNumberFormat="1" applyFont="1" applyFill="1" applyBorder="1" applyAlignment="1"/>
    <xf numFmtId="164" fontId="1" fillId="0" borderId="1" xfId="1" applyNumberFormat="1" applyFont="1" applyBorder="1" applyAlignment="1"/>
    <xf numFmtId="43" fontId="1" fillId="0" borderId="1" xfId="2" applyNumberFormat="1" applyFont="1" applyFill="1" applyBorder="1"/>
    <xf numFmtId="0" fontId="46" fillId="0" borderId="1" xfId="190" applyFont="1" applyBorder="1" applyAlignment="1">
      <alignment horizontal="left"/>
    </xf>
    <xf numFmtId="43" fontId="1" fillId="0" borderId="1" xfId="1" applyFont="1" applyFill="1" applyBorder="1" applyAlignment="1"/>
    <xf numFmtId="44" fontId="1" fillId="0" borderId="1" xfId="2" applyFont="1" applyBorder="1"/>
    <xf numFmtId="44" fontId="0" fillId="0" borderId="0" xfId="0" applyNumberFormat="1" applyFont="1" applyBorder="1" applyAlignment="1"/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 textRotation="90"/>
    </xf>
    <xf numFmtId="0" fontId="2" fillId="0" borderId="0" xfId="190" applyFont="1" applyBorder="1" applyAlignment="1">
      <alignment horizontal="left"/>
    </xf>
    <xf numFmtId="171" fontId="0" fillId="0" borderId="0" xfId="0" applyNumberFormat="1" applyFont="1" applyBorder="1" applyAlignment="1"/>
    <xf numFmtId="0" fontId="0" fillId="0" borderId="24" xfId="0" applyFont="1" applyFill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32" borderId="25" xfId="0" applyFont="1" applyFill="1" applyBorder="1" applyAlignment="1">
      <alignment horizontal="left"/>
    </xf>
    <xf numFmtId="43" fontId="0" fillId="0" borderId="0" xfId="0" applyNumberFormat="1" applyFont="1" applyBorder="1" applyAlignment="1"/>
    <xf numFmtId="43" fontId="44" fillId="0" borderId="16" xfId="191" applyNumberFormat="1" applyFont="1" applyFill="1" applyBorder="1"/>
    <xf numFmtId="164" fontId="46" fillId="0" borderId="0" xfId="1" applyNumberFormat="1" applyFont="1" applyFill="1" applyBorder="1" applyAlignment="1">
      <alignment horizontal="left"/>
    </xf>
    <xf numFmtId="0" fontId="1" fillId="34" borderId="26" xfId="1" applyNumberFormat="1" applyFont="1" applyFill="1" applyBorder="1" applyAlignment="1"/>
    <xf numFmtId="164" fontId="1" fillId="0" borderId="0" xfId="1" applyNumberFormat="1" applyFont="1" applyBorder="1" applyAlignment="1">
      <alignment horizontal="right"/>
    </xf>
    <xf numFmtId="0" fontId="48" fillId="0" borderId="0" xfId="1" applyNumberFormat="1" applyFont="1" applyBorder="1" applyAlignment="1">
      <alignment horizontal="left"/>
    </xf>
    <xf numFmtId="10" fontId="1" fillId="0" borderId="0" xfId="3" applyNumberFormat="1" applyFont="1" applyBorder="1" applyAlignment="1">
      <alignment horizontal="right"/>
    </xf>
    <xf numFmtId="10" fontId="1" fillId="0" borderId="0" xfId="3" applyNumberFormat="1" applyFont="1" applyBorder="1" applyAlignment="1"/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46" fillId="0" borderId="0" xfId="10" applyFont="1" applyFill="1" applyBorder="1" applyAlignment="1">
      <alignment horizontal="left"/>
    </xf>
    <xf numFmtId="171" fontId="1" fillId="0" borderId="0" xfId="2" applyNumberFormat="1" applyFont="1" applyBorder="1"/>
    <xf numFmtId="44" fontId="1" fillId="0" borderId="0" xfId="2" applyFont="1" applyBorder="1" applyAlignment="1">
      <alignment horizontal="right"/>
    </xf>
    <xf numFmtId="167" fontId="1" fillId="0" borderId="0" xfId="2" applyNumberFormat="1" applyFont="1" applyBorder="1"/>
    <xf numFmtId="43" fontId="0" fillId="0" borderId="0" xfId="1" applyFont="1" applyFill="1" applyBorder="1" applyAlignment="1">
      <alignment horizontal="right"/>
    </xf>
    <xf numFmtId="10" fontId="0" fillId="0" borderId="0" xfId="3" applyNumberFormat="1" applyFont="1" applyFill="1" applyBorder="1" applyAlignment="1"/>
    <xf numFmtId="172" fontId="0" fillId="0" borderId="0" xfId="0" applyNumberFormat="1" applyFont="1" applyFill="1" applyBorder="1" applyAlignment="1">
      <alignment horizontal="right"/>
    </xf>
    <xf numFmtId="0" fontId="46" fillId="0" borderId="0" xfId="12" applyFont="1" applyFill="1" applyBorder="1"/>
    <xf numFmtId="0" fontId="0" fillId="0" borderId="0" xfId="0" applyFont="1" applyFill="1" applyAlignment="1">
      <alignment vertical="top"/>
    </xf>
    <xf numFmtId="0" fontId="17" fillId="0" borderId="0" xfId="0" applyFont="1" applyFill="1" applyAlignment="1">
      <alignment vertical="top"/>
    </xf>
    <xf numFmtId="0" fontId="0" fillId="0" borderId="0" xfId="0" applyBorder="1"/>
    <xf numFmtId="2" fontId="0" fillId="0" borderId="0" xfId="0" applyNumberFormat="1"/>
    <xf numFmtId="0" fontId="0" fillId="0" borderId="0" xfId="0" applyAlignment="1">
      <alignment horizontal="left" indent="1"/>
    </xf>
    <xf numFmtId="0" fontId="3" fillId="35" borderId="1" xfId="0" applyFont="1" applyFill="1" applyBorder="1" applyAlignment="1"/>
    <xf numFmtId="0" fontId="0" fillId="35" borderId="1" xfId="0" applyFont="1" applyFill="1" applyBorder="1" applyAlignment="1">
      <alignment horizontal="center"/>
    </xf>
    <xf numFmtId="0" fontId="0" fillId="35" borderId="1" xfId="0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0" fontId="49" fillId="0" borderId="0" xfId="0" applyFont="1"/>
    <xf numFmtId="2" fontId="0" fillId="0" borderId="0" xfId="0" applyNumberFormat="1" applyFill="1"/>
    <xf numFmtId="0" fontId="0" fillId="0" borderId="0" xfId="0" applyFill="1" applyBorder="1" applyAlignment="1">
      <alignment vertical="top"/>
    </xf>
    <xf numFmtId="164" fontId="0" fillId="0" borderId="0" xfId="1" applyNumberFormat="1" applyFont="1" applyFill="1" applyAlignment="1">
      <alignment vertical="top"/>
    </xf>
    <xf numFmtId="0" fontId="0" fillId="0" borderId="0" xfId="0" applyFont="1" applyFill="1" applyAlignment="1">
      <alignment horizontal="center"/>
    </xf>
    <xf numFmtId="0" fontId="0" fillId="0" borderId="0" xfId="0" applyFill="1"/>
    <xf numFmtId="43" fontId="0" fillId="0" borderId="0" xfId="1" applyFont="1" applyFill="1"/>
    <xf numFmtId="9" fontId="0" fillId="0" borderId="0" xfId="3" applyFont="1" applyBorder="1" applyAlignment="1"/>
    <xf numFmtId="43" fontId="46" fillId="0" borderId="0" xfId="0" applyNumberFormat="1" applyFont="1" applyFill="1" applyAlignment="1">
      <alignment vertical="top"/>
    </xf>
    <xf numFmtId="0" fontId="3" fillId="35" borderId="0" xfId="0" applyFont="1" applyFill="1"/>
    <xf numFmtId="0" fontId="0" fillId="35" borderId="0" xfId="0" applyFill="1"/>
    <xf numFmtId="2" fontId="0" fillId="35" borderId="0" xfId="0" applyNumberFormat="1" applyFill="1"/>
    <xf numFmtId="43" fontId="0" fillId="35" borderId="0" xfId="1" applyFont="1" applyFill="1"/>
    <xf numFmtId="0" fontId="3" fillId="35" borderId="1" xfId="0" applyFont="1" applyFill="1" applyBorder="1" applyAlignment="1">
      <alignment horizontal="center" wrapText="1"/>
    </xf>
    <xf numFmtId="0" fontId="3" fillId="35" borderId="1" xfId="0" applyFont="1" applyFill="1" applyBorder="1" applyAlignment="1">
      <alignment horizontal="center" vertical="center"/>
    </xf>
    <xf numFmtId="164" fontId="3" fillId="35" borderId="1" xfId="1" applyNumberFormat="1" applyFont="1" applyFill="1" applyBorder="1" applyAlignment="1">
      <alignment horizontal="center" wrapText="1"/>
    </xf>
    <xf numFmtId="0" fontId="0" fillId="35" borderId="1" xfId="0" applyFont="1" applyFill="1" applyBorder="1" applyAlignment="1">
      <alignment vertical="center" textRotation="90"/>
    </xf>
    <xf numFmtId="0" fontId="0" fillId="35" borderId="1" xfId="0" applyFont="1" applyFill="1" applyBorder="1" applyAlignment="1">
      <alignment horizontal="center" vertical="center"/>
    </xf>
    <xf numFmtId="0" fontId="47" fillId="35" borderId="1" xfId="10" applyFont="1" applyFill="1" applyBorder="1" applyAlignment="1">
      <alignment horizontal="left"/>
    </xf>
    <xf numFmtId="3" fontId="3" fillId="35" borderId="1" xfId="0" applyNumberFormat="1" applyFont="1" applyFill="1" applyBorder="1" applyAlignment="1">
      <alignment horizontal="right"/>
    </xf>
    <xf numFmtId="43" fontId="1" fillId="35" borderId="1" xfId="1" applyFont="1" applyFill="1" applyBorder="1" applyAlignment="1"/>
    <xf numFmtId="164" fontId="3" fillId="35" borderId="1" xfId="0" applyNumberFormat="1" applyFont="1" applyFill="1" applyBorder="1" applyAlignment="1"/>
    <xf numFmtId="43" fontId="0" fillId="35" borderId="1" xfId="0" applyNumberFormat="1" applyFont="1" applyFill="1" applyBorder="1" applyAlignment="1"/>
    <xf numFmtId="3" fontId="3" fillId="35" borderId="1" xfId="0" applyNumberFormat="1" applyFont="1" applyFill="1" applyBorder="1" applyAlignment="1"/>
    <xf numFmtId="164" fontId="3" fillId="35" borderId="1" xfId="1" applyNumberFormat="1" applyFont="1" applyFill="1" applyBorder="1" applyAlignment="1"/>
    <xf numFmtId="44" fontId="1" fillId="35" borderId="1" xfId="2" applyFont="1" applyFill="1" applyBorder="1"/>
    <xf numFmtId="44" fontId="3" fillId="35" borderId="1" xfId="2" applyFont="1" applyFill="1" applyBorder="1"/>
    <xf numFmtId="0" fontId="0" fillId="35" borderId="0" xfId="0" applyFont="1" applyFill="1" applyBorder="1" applyAlignment="1"/>
    <xf numFmtId="0" fontId="0" fillId="35" borderId="0" xfId="0" applyFont="1" applyFill="1" applyBorder="1" applyAlignment="1">
      <alignment horizontal="center"/>
    </xf>
    <xf numFmtId="0" fontId="3" fillId="35" borderId="0" xfId="0" applyFont="1" applyFill="1" applyBorder="1" applyAlignment="1"/>
    <xf numFmtId="0" fontId="0" fillId="35" borderId="0" xfId="0" applyFont="1" applyFill="1" applyBorder="1" applyAlignment="1">
      <alignment horizontal="right"/>
    </xf>
    <xf numFmtId="164" fontId="1" fillId="35" borderId="0" xfId="1" applyNumberFormat="1" applyFont="1" applyFill="1" applyBorder="1" applyAlignment="1"/>
    <xf numFmtId="44" fontId="1" fillId="35" borderId="0" xfId="1" applyNumberFormat="1" applyFont="1" applyFill="1" applyBorder="1" applyAlignment="1"/>
    <xf numFmtId="43" fontId="0" fillId="0" borderId="0" xfId="0" applyNumberFormat="1" applyFont="1" applyFill="1" applyAlignment="1"/>
    <xf numFmtId="44" fontId="1" fillId="36" borderId="0" xfId="2" applyFont="1" applyFill="1" applyBorder="1"/>
    <xf numFmtId="10" fontId="0" fillId="0" borderId="0" xfId="3" applyNumberFormat="1" applyFont="1" applyBorder="1" applyAlignment="1"/>
    <xf numFmtId="44" fontId="1" fillId="0" borderId="0" xfId="2" applyNumberFormat="1" applyFont="1" applyFill="1" applyBorder="1"/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textRotation="90"/>
    </xf>
    <xf numFmtId="41" fontId="46" fillId="0" borderId="1" xfId="0" applyNumberFormat="1" applyFont="1" applyBorder="1" applyAlignment="1"/>
    <xf numFmtId="3" fontId="3" fillId="35" borderId="1" xfId="0" applyNumberFormat="1" applyFont="1" applyFill="1" applyBorder="1" applyAlignment="1">
      <alignment horizontal="center" wrapText="1"/>
    </xf>
    <xf numFmtId="3" fontId="9" fillId="0" borderId="0" xfId="53" applyNumberFormat="1" applyFont="1"/>
    <xf numFmtId="3" fontId="9" fillId="0" borderId="0" xfId="53" applyNumberFormat="1" applyFont="1" applyFill="1"/>
    <xf numFmtId="3" fontId="0" fillId="35" borderId="1" xfId="0" applyNumberFormat="1" applyFont="1" applyFill="1" applyBorder="1" applyAlignment="1"/>
    <xf numFmtId="3" fontId="3" fillId="0" borderId="0" xfId="1" applyNumberFormat="1" applyFont="1" applyBorder="1" applyAlignment="1">
      <alignment horizontal="right"/>
    </xf>
    <xf numFmtId="3" fontId="0" fillId="0" borderId="0" xfId="0" applyNumberFormat="1" applyFont="1" applyBorder="1" applyAlignment="1"/>
    <xf numFmtId="3" fontId="0" fillId="35" borderId="0" xfId="0" applyNumberFormat="1" applyFont="1" applyFill="1" applyBorder="1" applyAlignment="1"/>
    <xf numFmtId="3" fontId="1" fillId="0" borderId="0" xfId="1" applyNumberFormat="1" applyFont="1" applyFill="1" applyBorder="1" applyAlignment="1"/>
    <xf numFmtId="3" fontId="1" fillId="0" borderId="1" xfId="1" applyNumberFormat="1" applyFont="1" applyFill="1" applyBorder="1" applyAlignment="1"/>
    <xf numFmtId="3" fontId="1" fillId="0" borderId="0" xfId="1" applyNumberFormat="1" applyFont="1" applyBorder="1" applyAlignment="1"/>
    <xf numFmtId="3" fontId="1" fillId="32" borderId="0" xfId="1" applyNumberFormat="1" applyFont="1" applyFill="1" applyBorder="1" applyAlignment="1"/>
    <xf numFmtId="3" fontId="46" fillId="0" borderId="0" xfId="1" applyNumberFormat="1" applyFont="1" applyFill="1" applyBorder="1" applyAlignment="1">
      <alignment horizontal="left"/>
    </xf>
    <xf numFmtId="3" fontId="1" fillId="0" borderId="0" xfId="1" applyNumberFormat="1" applyFont="1" applyBorder="1" applyAlignment="1">
      <alignment horizontal="right"/>
    </xf>
    <xf numFmtId="3" fontId="1" fillId="0" borderId="0" xfId="3" applyNumberFormat="1" applyFont="1" applyBorder="1" applyAlignment="1">
      <alignment horizontal="right"/>
    </xf>
    <xf numFmtId="3" fontId="46" fillId="0" borderId="0" xfId="10" applyNumberFormat="1" applyFont="1" applyFill="1" applyBorder="1" applyAlignment="1">
      <alignment horizontal="left"/>
    </xf>
    <xf numFmtId="0" fontId="3" fillId="37" borderId="0" xfId="0" applyFont="1" applyFill="1"/>
    <xf numFmtId="0" fontId="0" fillId="37" borderId="0" xfId="0" applyFill="1"/>
    <xf numFmtId="2" fontId="0" fillId="37" borderId="0" xfId="0" applyNumberFormat="1" applyFill="1"/>
    <xf numFmtId="43" fontId="0" fillId="37" borderId="0" xfId="1" applyFont="1" applyFill="1"/>
    <xf numFmtId="0" fontId="46" fillId="0" borderId="0" xfId="0" applyFont="1" applyFill="1" applyAlignment="1"/>
    <xf numFmtId="0" fontId="46" fillId="0" borderId="0" xfId="0" applyFont="1" applyFill="1" applyAlignment="1">
      <alignment horizontal="right"/>
    </xf>
    <xf numFmtId="0" fontId="46" fillId="0" borderId="0" xfId="189" applyFont="1" applyBorder="1"/>
    <xf numFmtId="43" fontId="1" fillId="0" borderId="0" xfId="1" applyFont="1" applyBorder="1" applyAlignment="1">
      <alignment horizontal="right"/>
    </xf>
    <xf numFmtId="44" fontId="46" fillId="0" borderId="0" xfId="2" applyFont="1" applyBorder="1"/>
    <xf numFmtId="0" fontId="3" fillId="0" borderId="0" xfId="0" applyFont="1" applyBorder="1" applyAlignment="1"/>
    <xf numFmtId="44" fontId="3" fillId="0" borderId="0" xfId="0" applyNumberFormat="1" applyFont="1" applyBorder="1" applyAlignment="1"/>
    <xf numFmtId="0" fontId="0" fillId="0" borderId="21" xfId="0" applyFont="1" applyBorder="1" applyAlignment="1"/>
    <xf numFmtId="0" fontId="0" fillId="0" borderId="22" xfId="0" applyFont="1" applyBorder="1" applyAlignment="1"/>
    <xf numFmtId="0" fontId="3" fillId="37" borderId="1" xfId="0" applyFont="1" applyFill="1" applyBorder="1" applyAlignment="1"/>
    <xf numFmtId="0" fontId="0" fillId="37" borderId="1" xfId="0" applyFont="1" applyFill="1" applyBorder="1" applyAlignment="1">
      <alignment horizontal="center"/>
    </xf>
    <xf numFmtId="0" fontId="0" fillId="37" borderId="1" xfId="0" applyFill="1" applyBorder="1" applyAlignment="1">
      <alignment horizontal="center"/>
    </xf>
    <xf numFmtId="0" fontId="0" fillId="37" borderId="18" xfId="0" applyFont="1" applyFill="1" applyBorder="1" applyAlignment="1">
      <alignment horizontal="center"/>
    </xf>
    <xf numFmtId="44" fontId="46" fillId="0" borderId="1" xfId="2" applyFont="1" applyFill="1" applyBorder="1"/>
    <xf numFmtId="164" fontId="1" fillId="0" borderId="0" xfId="1" applyNumberFormat="1" applyFont="1" applyFill="1" applyAlignment="1"/>
    <xf numFmtId="44" fontId="0" fillId="0" borderId="0" xfId="0" applyNumberFormat="1" applyFont="1" applyFill="1" applyBorder="1" applyAlignment="1"/>
    <xf numFmtId="44" fontId="46" fillId="0" borderId="0" xfId="2" applyFont="1" applyFill="1" applyBorder="1"/>
    <xf numFmtId="44" fontId="0" fillId="0" borderId="0" xfId="3" applyNumberFormat="1" applyFont="1" applyBorder="1" applyAlignment="1"/>
    <xf numFmtId="0" fontId="5" fillId="38" borderId="0" xfId="4" applyNumberFormat="1" applyFont="1" applyFill="1" applyAlignment="1">
      <alignment horizontal="center" wrapText="1"/>
    </xf>
    <xf numFmtId="44" fontId="6" fillId="0" borderId="0" xfId="2" applyFont="1" applyFill="1" applyAlignment="1">
      <alignment vertical="center"/>
    </xf>
    <xf numFmtId="164" fontId="6" fillId="0" borderId="0" xfId="1" applyNumberFormat="1" applyFont="1" applyFill="1" applyAlignment="1">
      <alignment vertical="center"/>
    </xf>
    <xf numFmtId="44" fontId="6" fillId="0" borderId="0" xfId="5" applyFont="1" applyFill="1" applyAlignment="1" applyProtection="1">
      <alignment vertical="center"/>
    </xf>
    <xf numFmtId="44" fontId="5" fillId="0" borderId="0" xfId="2" applyFont="1" applyFill="1" applyAlignment="1">
      <alignment vertical="center"/>
    </xf>
    <xf numFmtId="164" fontId="5" fillId="0" borderId="0" xfId="6" applyNumberFormat="1" applyFont="1" applyFill="1" applyAlignment="1">
      <alignment vertical="center"/>
    </xf>
    <xf numFmtId="43" fontId="6" fillId="0" borderId="0" xfId="1" applyFont="1" applyFill="1" applyAlignment="1">
      <alignment vertical="center"/>
    </xf>
    <xf numFmtId="164" fontId="6" fillId="0" borderId="0" xfId="6" applyNumberFormat="1" applyFont="1" applyFill="1" applyBorder="1" applyAlignment="1">
      <alignment vertical="center"/>
    </xf>
    <xf numFmtId="44" fontId="6" fillId="0" borderId="0" xfId="2" applyFont="1" applyFill="1" applyBorder="1" applyAlignment="1">
      <alignment vertical="center"/>
    </xf>
    <xf numFmtId="10" fontId="5" fillId="0" borderId="0" xfId="9" applyNumberFormat="1" applyFont="1" applyFill="1" applyBorder="1"/>
    <xf numFmtId="3" fontId="5" fillId="0" borderId="0" xfId="4" applyNumberFormat="1" applyFont="1" applyFill="1" applyBorder="1"/>
    <xf numFmtId="164" fontId="6" fillId="0" borderId="0" xfId="1" applyNumberFormat="1" applyFont="1" applyFill="1" applyBorder="1" applyAlignment="1">
      <alignment vertical="center"/>
    </xf>
    <xf numFmtId="43" fontId="6" fillId="0" borderId="0" xfId="1" applyFont="1" applyFill="1" applyBorder="1" applyAlignment="1">
      <alignment vertical="center"/>
    </xf>
    <xf numFmtId="44" fontId="6" fillId="0" borderId="0" xfId="5" applyFont="1" applyFill="1" applyBorder="1" applyAlignment="1" applyProtection="1">
      <alignment vertical="center"/>
    </xf>
    <xf numFmtId="37" fontId="6" fillId="0" borderId="0" xfId="4" applyNumberFormat="1" applyFont="1" applyFill="1" applyBorder="1"/>
    <xf numFmtId="164" fontId="6" fillId="0" borderId="0" xfId="4" applyNumberFormat="1" applyFont="1" applyFill="1" applyBorder="1"/>
    <xf numFmtId="10" fontId="6" fillId="0" borderId="0" xfId="9" applyNumberFormat="1" applyFont="1" applyFill="1" applyBorder="1"/>
    <xf numFmtId="0" fontId="6" fillId="0" borderId="0" xfId="4" applyNumberFormat="1" applyFont="1" applyFill="1" applyBorder="1"/>
    <xf numFmtId="44" fontId="6" fillId="0" borderId="0" xfId="5" applyFont="1" applyFill="1" applyBorder="1"/>
    <xf numFmtId="0" fontId="10" fillId="0" borderId="0" xfId="4" applyNumberFormat="1" applyFont="1" applyFill="1" applyBorder="1"/>
    <xf numFmtId="37" fontId="10" fillId="0" borderId="0" xfId="4" applyNumberFormat="1" applyFont="1" applyFill="1" applyBorder="1"/>
    <xf numFmtId="0" fontId="6" fillId="0" borderId="0" xfId="4" applyNumberFormat="1" applyFont="1" applyFill="1" applyBorder="1" applyAlignment="1">
      <alignment horizontal="right"/>
    </xf>
    <xf numFmtId="164" fontId="6" fillId="0" borderId="0" xfId="1" applyNumberFormat="1" applyFont="1" applyFill="1" applyBorder="1"/>
    <xf numFmtId="10" fontId="6" fillId="0" borderId="0" xfId="3" applyNumberFormat="1" applyFont="1" applyFill="1" applyBorder="1"/>
    <xf numFmtId="43" fontId="6" fillId="0" borderId="0" xfId="1" applyFont="1" applyFill="1" applyBorder="1"/>
    <xf numFmtId="43" fontId="6" fillId="0" borderId="0" xfId="4" applyNumberFormat="1" applyFont="1" applyFill="1" applyBorder="1"/>
    <xf numFmtId="0" fontId="5" fillId="0" borderId="0" xfId="4" applyNumberFormat="1" applyFont="1" applyFill="1" applyBorder="1" applyAlignment="1">
      <alignment horizontal="right"/>
    </xf>
    <xf numFmtId="171" fontId="5" fillId="0" borderId="0" xfId="2" applyNumberFormat="1" applyFont="1" applyFill="1" applyBorder="1"/>
    <xf numFmtId="42" fontId="5" fillId="0" borderId="0" xfId="4" applyNumberFormat="1" applyFont="1" applyFill="1" applyBorder="1"/>
    <xf numFmtId="3" fontId="9" fillId="32" borderId="0" xfId="53" applyNumberFormat="1" applyFont="1" applyFill="1"/>
    <xf numFmtId="0" fontId="0" fillId="0" borderId="0" xfId="0" applyFill="1" applyAlignment="1">
      <alignment horizontal="left" indent="1"/>
    </xf>
    <xf numFmtId="44" fontId="46" fillId="0" borderId="23" xfId="2" applyFont="1" applyFill="1" applyBorder="1"/>
    <xf numFmtId="10" fontId="0" fillId="0" borderId="0" xfId="0" applyNumberFormat="1" applyFont="1" applyAlignment="1"/>
    <xf numFmtId="43" fontId="0" fillId="0" borderId="0" xfId="1" applyFont="1" applyAlignment="1">
      <alignment horizontal="left"/>
    </xf>
    <xf numFmtId="0" fontId="51" fillId="0" borderId="0" xfId="0" applyFont="1"/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10" fontId="0" fillId="0" borderId="0" xfId="0" applyNumberFormat="1" applyFont="1" applyBorder="1" applyAlignment="1"/>
    <xf numFmtId="42" fontId="0" fillId="0" borderId="0" xfId="0" applyNumberFormat="1" applyFont="1" applyBorder="1" applyAlignment="1"/>
    <xf numFmtId="44" fontId="0" fillId="0" borderId="0" xfId="2" applyFont="1" applyFill="1" applyBorder="1"/>
    <xf numFmtId="3" fontId="1" fillId="0" borderId="0" xfId="2" applyNumberFormat="1" applyFont="1" applyFill="1" applyBorder="1"/>
    <xf numFmtId="0" fontId="0" fillId="31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3" fillId="31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textRotation="90"/>
    </xf>
    <xf numFmtId="0" fontId="0" fillId="0" borderId="23" xfId="0" applyFont="1" applyFill="1" applyBorder="1" applyAlignment="1">
      <alignment horizontal="center" vertical="center" textRotation="90"/>
    </xf>
    <xf numFmtId="0" fontId="0" fillId="0" borderId="1" xfId="0" applyFont="1" applyFill="1" applyBorder="1" applyAlignment="1">
      <alignment horizontal="center" vertical="center" textRotation="90"/>
    </xf>
    <xf numFmtId="0" fontId="0" fillId="31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/>
  </cellXfs>
  <cellStyles count="490">
    <cellStyle name="20% - Accent1 2" xfId="13"/>
    <cellStyle name="20% - Accent1 2 2" xfId="445"/>
    <cellStyle name="20% - Accent1 2 3" xfId="218"/>
    <cellStyle name="20% - Accent1 3" xfId="14"/>
    <cellStyle name="20% - Accent1 3 2" xfId="446"/>
    <cellStyle name="20% - Accent1 3 3" xfId="217"/>
    <cellStyle name="20% - Accent2 2" xfId="15"/>
    <cellStyle name="20% - Accent2 2 2" xfId="220"/>
    <cellStyle name="20% - Accent2 3" xfId="219"/>
    <cellStyle name="20% - Accent3 2" xfId="16"/>
    <cellStyle name="20% - Accent3 2 2" xfId="222"/>
    <cellStyle name="20% - Accent3 3" xfId="221"/>
    <cellStyle name="20% - Accent4 2" xfId="17"/>
    <cellStyle name="20% - Accent4 2 2" xfId="447"/>
    <cellStyle name="20% - Accent4 2 3" xfId="224"/>
    <cellStyle name="20% - Accent4 3" xfId="18"/>
    <cellStyle name="20% - Accent4 3 2" xfId="448"/>
    <cellStyle name="20% - Accent4 3 3" xfId="223"/>
    <cellStyle name="20% - Accent5 2" xfId="19"/>
    <cellStyle name="20% - Accent5 3" xfId="225"/>
    <cellStyle name="20% - Accent6 2" xfId="20"/>
    <cellStyle name="20% - Accent6 2 2" xfId="227"/>
    <cellStyle name="20% - Accent6 3" xfId="226"/>
    <cellStyle name="40% - Accent1 2" xfId="21"/>
    <cellStyle name="40% - Accent1 3" xfId="22"/>
    <cellStyle name="40% - Accent1 3 2" xfId="449"/>
    <cellStyle name="40% - Accent1 3 3" xfId="228"/>
    <cellStyle name="40% - Accent2 2" xfId="23"/>
    <cellStyle name="40% - Accent2 3" xfId="229"/>
    <cellStyle name="40% - Accent3 2" xfId="24"/>
    <cellStyle name="40% - Accent3 2 2" xfId="231"/>
    <cellStyle name="40% - Accent3 3" xfId="230"/>
    <cellStyle name="40% - Accent4 2" xfId="25"/>
    <cellStyle name="40% - Accent4 3" xfId="26"/>
    <cellStyle name="40% - Accent4 3 2" xfId="450"/>
    <cellStyle name="40% - Accent4 3 3" xfId="232"/>
    <cellStyle name="40% - Accent5 2" xfId="27"/>
    <cellStyle name="40% - Accent5 3" xfId="233"/>
    <cellStyle name="40% - Accent6 2" xfId="28"/>
    <cellStyle name="40% - Accent6 3" xfId="29"/>
    <cellStyle name="40% - Accent6 3 2" xfId="451"/>
    <cellStyle name="40% - Accent6 3 3" xfId="234"/>
    <cellStyle name="60% - Accent1 2" xfId="30"/>
    <cellStyle name="60% - Accent1 2 2" xfId="452"/>
    <cellStyle name="60% - Accent1 2 3" xfId="236"/>
    <cellStyle name="60% - Accent1 3" xfId="31"/>
    <cellStyle name="60% - Accent1 3 2" xfId="453"/>
    <cellStyle name="60% - Accent1 3 3" xfId="235"/>
    <cellStyle name="60% - Accent2 2" xfId="32"/>
    <cellStyle name="60% - Accent2 3" xfId="237"/>
    <cellStyle name="60% - Accent3 2" xfId="33"/>
    <cellStyle name="60% - Accent3 3" xfId="34"/>
    <cellStyle name="60% - Accent3 3 2" xfId="454"/>
    <cellStyle name="60% - Accent3 3 3" xfId="238"/>
    <cellStyle name="60% - Accent4 2" xfId="35"/>
    <cellStyle name="60% - Accent4 3" xfId="36"/>
    <cellStyle name="60% - Accent4 3 2" xfId="455"/>
    <cellStyle name="60% - Accent4 3 3" xfId="239"/>
    <cellStyle name="60% - Accent5 2" xfId="37"/>
    <cellStyle name="60% - Accent5 2 2" xfId="456"/>
    <cellStyle name="60% - Accent5 2 3" xfId="241"/>
    <cellStyle name="60% - Accent5 3" xfId="240"/>
    <cellStyle name="60% - Accent6 2" xfId="38"/>
    <cellStyle name="60% - Accent6 2 2" xfId="243"/>
    <cellStyle name="60% - Accent6 3" xfId="242"/>
    <cellStyle name="Accent1 2" xfId="39"/>
    <cellStyle name="Accent1 2 2" xfId="457"/>
    <cellStyle name="Accent1 2 3" xfId="245"/>
    <cellStyle name="Accent1 3" xfId="40"/>
    <cellStyle name="Accent1 3 2" xfId="458"/>
    <cellStyle name="Accent1 3 3" xfId="244"/>
    <cellStyle name="Accent2 2" xfId="41"/>
    <cellStyle name="Accent2 3" xfId="246"/>
    <cellStyle name="Accent3 2" xfId="42"/>
    <cellStyle name="Accent3 2 2" xfId="459"/>
    <cellStyle name="Accent3 2 3" xfId="248"/>
    <cellStyle name="Accent3 3" xfId="247"/>
    <cellStyle name="Accent4 2" xfId="43"/>
    <cellStyle name="Accent4 2 2" xfId="250"/>
    <cellStyle name="Accent4 3" xfId="249"/>
    <cellStyle name="Accent5 2" xfId="44"/>
    <cellStyle name="Accent5 2 2" xfId="252"/>
    <cellStyle name="Accent5 3" xfId="251"/>
    <cellStyle name="Accent6 2" xfId="45"/>
    <cellStyle name="Accent6 2 2" xfId="460"/>
    <cellStyle name="Accent6 2 3" xfId="254"/>
    <cellStyle name="Accent6 3" xfId="253"/>
    <cellStyle name="Accounting" xfId="46"/>
    <cellStyle name="Accounting 2" xfId="255"/>
    <cellStyle name="Accounting 3" xfId="256"/>
    <cellStyle name="Accounting_2011-11" xfId="257"/>
    <cellStyle name="Bad 2" xfId="47"/>
    <cellStyle name="Bad 3" xfId="258"/>
    <cellStyle name="Budget" xfId="48"/>
    <cellStyle name="Budget 2" xfId="259"/>
    <cellStyle name="Budget 3" xfId="260"/>
    <cellStyle name="Budget_2011-11" xfId="261"/>
    <cellStyle name="Calculation 2" xfId="49"/>
    <cellStyle name="Calculation 2 2" xfId="461"/>
    <cellStyle name="Calculation 2 3" xfId="263"/>
    <cellStyle name="Calculation 3" xfId="50"/>
    <cellStyle name="Calculation 3 2" xfId="462"/>
    <cellStyle name="Calculation 3 3" xfId="262"/>
    <cellStyle name="Check Cell 2" xfId="51"/>
    <cellStyle name="Check Cell 2 2" xfId="265"/>
    <cellStyle name="Check Cell 3" xfId="264"/>
    <cellStyle name="combo" xfId="52"/>
    <cellStyle name="Comma" xfId="1" builtinId="3"/>
    <cellStyle name="Comma 10" xfId="53"/>
    <cellStyle name="Comma 11" xfId="54"/>
    <cellStyle name="Comma 12" xfId="55"/>
    <cellStyle name="Comma 12 2" xfId="389"/>
    <cellStyle name="Comma 12 3" xfId="393"/>
    <cellStyle name="Comma 12 4" xfId="266"/>
    <cellStyle name="Comma 13" xfId="56"/>
    <cellStyle name="Comma 14" xfId="57"/>
    <cellStyle name="Comma 15" xfId="58"/>
    <cellStyle name="Comma 16" xfId="59"/>
    <cellStyle name="Comma 17" xfId="60"/>
    <cellStyle name="Comma 17 2" xfId="463"/>
    <cellStyle name="Comma 17 3" xfId="402"/>
    <cellStyle name="Comma 18" xfId="61"/>
    <cellStyle name="Comma 18 2" xfId="404"/>
    <cellStyle name="Comma 18 3" xfId="464"/>
    <cellStyle name="Comma 18 4" xfId="403"/>
    <cellStyle name="Comma 19" xfId="400"/>
    <cellStyle name="Comma 2" xfId="62"/>
    <cellStyle name="Comma 2 2" xfId="6"/>
    <cellStyle name="Comma 2 2 2" xfId="63"/>
    <cellStyle name="Comma 2 3" xfId="64"/>
    <cellStyle name="Comma 2 4" xfId="65"/>
    <cellStyle name="Comma 2 4 2" xfId="465"/>
    <cellStyle name="Comma 2 4 3" xfId="405"/>
    <cellStyle name="Comma 2 5" xfId="444"/>
    <cellStyle name="Comma 2 6" xfId="193"/>
    <cellStyle name="Comma 2 6 2" xfId="194"/>
    <cellStyle name="Comma 20" xfId="191"/>
    <cellStyle name="Comma 21" xfId="192"/>
    <cellStyle name="Comma 3" xfId="66"/>
    <cellStyle name="Comma 3 2" xfId="67"/>
    <cellStyle name="Comma 3 2 2" xfId="68"/>
    <cellStyle name="Comma 3 3" xfId="69"/>
    <cellStyle name="Comma 3 4" xfId="70"/>
    <cellStyle name="Comma 4" xfId="71"/>
    <cellStyle name="Comma 4 2" xfId="72"/>
    <cellStyle name="Comma 4 2 2" xfId="394"/>
    <cellStyle name="Comma 4 2 3" xfId="406"/>
    <cellStyle name="Comma 4 3" xfId="73"/>
    <cellStyle name="Comma 4 3 2" xfId="395"/>
    <cellStyle name="Comma 4 3 3" xfId="407"/>
    <cellStyle name="Comma 4 4" xfId="74"/>
    <cellStyle name="Comma 4 4 2" xfId="408"/>
    <cellStyle name="Comma 4 4 3" xfId="409"/>
    <cellStyle name="Comma 4 5" xfId="75"/>
    <cellStyle name="Comma 4 5 2" xfId="410"/>
    <cellStyle name="Comma 4 6" xfId="391"/>
    <cellStyle name="Comma 5" xfId="76"/>
    <cellStyle name="Comma 5 2" xfId="411"/>
    <cellStyle name="Comma 5 3" xfId="412"/>
    <cellStyle name="Comma 6" xfId="11"/>
    <cellStyle name="Comma 6 2" xfId="77"/>
    <cellStyle name="Comma 7" xfId="78"/>
    <cellStyle name="Comma 8" xfId="79"/>
    <cellStyle name="Comma 9" xfId="80"/>
    <cellStyle name="Comma(2)" xfId="81"/>
    <cellStyle name="Comma0" xfId="413"/>
    <cellStyle name="Comma0 - Style2" xfId="82"/>
    <cellStyle name="Comma1 - Style1" xfId="83"/>
    <cellStyle name="Comments" xfId="84"/>
    <cellStyle name="Currency" xfId="2" builtinId="4"/>
    <cellStyle name="Currency 10" xfId="401"/>
    <cellStyle name="Currency 2" xfId="85"/>
    <cellStyle name="Currency 2 2" xfId="86"/>
    <cellStyle name="Currency 2 2 2" xfId="269"/>
    <cellStyle name="Currency 2 2 3" xfId="196"/>
    <cellStyle name="Currency 2 3" xfId="87"/>
    <cellStyle name="Currency 2 3 2" xfId="466"/>
    <cellStyle name="Currency 2 3 3" xfId="268"/>
    <cellStyle name="Currency 2 4" xfId="414"/>
    <cellStyle name="Currency 2 5" xfId="195"/>
    <cellStyle name="Currency 2 6" xfId="197"/>
    <cellStyle name="Currency 2 6 2" xfId="198"/>
    <cellStyle name="Currency 3" xfId="88"/>
    <cellStyle name="Currency 3 2" xfId="89"/>
    <cellStyle name="Currency 3 2 2" xfId="271"/>
    <cellStyle name="Currency 3 3" xfId="270"/>
    <cellStyle name="Currency 3 4" xfId="396"/>
    <cellStyle name="Currency 3 5" xfId="199"/>
    <cellStyle name="Currency 4" xfId="90"/>
    <cellStyle name="Currency 4 2" xfId="201"/>
    <cellStyle name="Currency 4 3" xfId="200"/>
    <cellStyle name="Currency 5" xfId="91"/>
    <cellStyle name="Currency 5 2" xfId="388"/>
    <cellStyle name="Currency 5 3" xfId="397"/>
    <cellStyle name="Currency 5 4" xfId="267"/>
    <cellStyle name="Currency 6" xfId="92"/>
    <cellStyle name="Currency 7" xfId="93"/>
    <cellStyle name="Currency 8" xfId="94"/>
    <cellStyle name="Currency 8 2" xfId="467"/>
    <cellStyle name="Currency 8 3" xfId="415"/>
    <cellStyle name="Currency 9" xfId="5"/>
    <cellStyle name="Currency0" xfId="416"/>
    <cellStyle name="Data Enter" xfId="95"/>
    <cellStyle name="date" xfId="96"/>
    <cellStyle name="Explanatory Text 2" xfId="97"/>
    <cellStyle name="Explanatory Text 3" xfId="272"/>
    <cellStyle name="F9ReportControlStyle_ctpInquire" xfId="417"/>
    <cellStyle name="FactSheet" xfId="98"/>
    <cellStyle name="fish" xfId="99"/>
    <cellStyle name="Good 2" xfId="100"/>
    <cellStyle name="Good 3" xfId="273"/>
    <cellStyle name="Good 4" xfId="418"/>
    <cellStyle name="Heading 1 2" xfId="101"/>
    <cellStyle name="Heading 1 2 2" xfId="468"/>
    <cellStyle name="Heading 1 2 3" xfId="275"/>
    <cellStyle name="Heading 1 3" xfId="102"/>
    <cellStyle name="Heading 1 3 2" xfId="469"/>
    <cellStyle name="Heading 1 3 3" xfId="274"/>
    <cellStyle name="Heading 2 2" xfId="103"/>
    <cellStyle name="Heading 2 2 2" xfId="470"/>
    <cellStyle name="Heading 2 2 3" xfId="277"/>
    <cellStyle name="Heading 2 3" xfId="104"/>
    <cellStyle name="Heading 2 3 2" xfId="471"/>
    <cellStyle name="Heading 2 3 3" xfId="276"/>
    <cellStyle name="Heading 3 2" xfId="105"/>
    <cellStyle name="Heading 3 2 2" xfId="472"/>
    <cellStyle name="Heading 3 2 3" xfId="279"/>
    <cellStyle name="Heading 3 3" xfId="106"/>
    <cellStyle name="Heading 3 3 2" xfId="473"/>
    <cellStyle name="Heading 3 3 3" xfId="278"/>
    <cellStyle name="Heading 4 2" xfId="107"/>
    <cellStyle name="Heading 4 2 2" xfId="281"/>
    <cellStyle name="Heading 4 3" xfId="280"/>
    <cellStyle name="Hyperlink 2" xfId="108"/>
    <cellStyle name="Hyperlink 3" xfId="109"/>
    <cellStyle name="Hyperlink 3 2" xfId="398"/>
    <cellStyle name="Input 2" xfId="110"/>
    <cellStyle name="Input 2 2" xfId="283"/>
    <cellStyle name="Input 3" xfId="282"/>
    <cellStyle name="input(0)" xfId="111"/>
    <cellStyle name="Input(2)" xfId="112"/>
    <cellStyle name="Linked Cell 2" xfId="113"/>
    <cellStyle name="Linked Cell 2 2" xfId="474"/>
    <cellStyle name="Linked Cell 2 3" xfId="285"/>
    <cellStyle name="Linked Cell 3" xfId="284"/>
    <cellStyle name="Neutral 2" xfId="114"/>
    <cellStyle name="Neutral 2 2" xfId="475"/>
    <cellStyle name="Neutral 2 3" xfId="287"/>
    <cellStyle name="Neutral 3" xfId="286"/>
    <cellStyle name="New_normal" xfId="115"/>
    <cellStyle name="Normal" xfId="0" builtinId="0"/>
    <cellStyle name="Normal - Style1" xfId="116"/>
    <cellStyle name="Normal - Style2" xfId="117"/>
    <cellStyle name="Normal - Style3" xfId="118"/>
    <cellStyle name="Normal - Style4" xfId="119"/>
    <cellStyle name="Normal - Style5" xfId="120"/>
    <cellStyle name="Normal 10" xfId="121"/>
    <cellStyle name="Normal 10 2" xfId="12"/>
    <cellStyle name="Normal 10 2 2" xfId="122"/>
    <cellStyle name="Normal 10 2 3" xfId="476"/>
    <cellStyle name="Normal 10 2 4" xfId="202"/>
    <cellStyle name="Normal 10_2112 DF Schedule" xfId="419"/>
    <cellStyle name="Normal 11" xfId="123"/>
    <cellStyle name="Normal 11 2" xfId="420"/>
    <cellStyle name="Normal 12" xfId="124"/>
    <cellStyle name="Normal 12 2" xfId="477"/>
    <cellStyle name="Normal 12 3" xfId="288"/>
    <cellStyle name="Normal 13" xfId="125"/>
    <cellStyle name="Normal 13 2" xfId="478"/>
    <cellStyle name="Normal 13 3" xfId="289"/>
    <cellStyle name="Normal 14" xfId="126"/>
    <cellStyle name="Normal 14 2" xfId="479"/>
    <cellStyle name="Normal 14 3" xfId="290"/>
    <cellStyle name="Normal 15" xfId="127"/>
    <cellStyle name="Normal 15 2" xfId="480"/>
    <cellStyle name="Normal 15 3" xfId="291"/>
    <cellStyle name="Normal 16" xfId="128"/>
    <cellStyle name="Normal 16 2" xfId="421"/>
    <cellStyle name="Normal 16 3" xfId="292"/>
    <cellStyle name="Normal 17" xfId="129"/>
    <cellStyle name="Normal 17 2" xfId="422"/>
    <cellStyle name="Normal 17 3" xfId="293"/>
    <cellStyle name="Normal 18" xfId="130"/>
    <cellStyle name="Normal 18 2" xfId="423"/>
    <cellStyle name="Normal 18 3" xfId="294"/>
    <cellStyle name="Normal 19" xfId="131"/>
    <cellStyle name="Normal 19 2" xfId="424"/>
    <cellStyle name="Normal 19 3" xfId="295"/>
    <cellStyle name="Normal 2" xfId="132"/>
    <cellStyle name="Normal 2 10" xfId="425"/>
    <cellStyle name="Normal 2 11" xfId="426"/>
    <cellStyle name="Normal 2 2" xfId="133"/>
    <cellStyle name="Normal 2 2 2" xfId="134"/>
    <cellStyle name="Normal 2 2 2 2" xfId="427"/>
    <cellStyle name="Normal 2 2 3" xfId="135"/>
    <cellStyle name="Normal 2 2 4" xfId="203"/>
    <cellStyle name="Normal 2 2_Actual_Fuel" xfId="296"/>
    <cellStyle name="Normal 2 3" xfId="136"/>
    <cellStyle name="Normal 2 3 2" xfId="137"/>
    <cellStyle name="Normal 2 3 3" xfId="138"/>
    <cellStyle name="Normal 2 3_Consolidated Pro forma" xfId="428"/>
    <cellStyle name="Normal 2 4" xfId="139"/>
    <cellStyle name="Normal 2 5" xfId="140"/>
    <cellStyle name="Normal 2 6" xfId="429"/>
    <cellStyle name="Normal 2 7" xfId="430"/>
    <cellStyle name="Normal 2 8" xfId="431"/>
    <cellStyle name="Normal 2 9" xfId="432"/>
    <cellStyle name="Normal 2_2009 Regulated Price Out" xfId="433"/>
    <cellStyle name="Normal 20" xfId="141"/>
    <cellStyle name="Normal 20 2" xfId="297"/>
    <cellStyle name="Normal 21" xfId="142"/>
    <cellStyle name="Normal 21 2" xfId="298"/>
    <cellStyle name="Normal 22" xfId="143"/>
    <cellStyle name="Normal 22 2" xfId="299"/>
    <cellStyle name="Normal 23" xfId="144"/>
    <cellStyle name="Normal 23 2" xfId="300"/>
    <cellStyle name="Normal 24" xfId="145"/>
    <cellStyle name="Normal 24 2" xfId="301"/>
    <cellStyle name="Normal 25" xfId="146"/>
    <cellStyle name="Normal 25 2" xfId="302"/>
    <cellStyle name="Normal 26" xfId="147"/>
    <cellStyle name="Normal 26 2" xfId="303"/>
    <cellStyle name="Normal 27" xfId="148"/>
    <cellStyle name="Normal 27 2" xfId="304"/>
    <cellStyle name="Normal 28" xfId="149"/>
    <cellStyle name="Normal 28 2" xfId="305"/>
    <cellStyle name="Normal 29" xfId="150"/>
    <cellStyle name="Normal 29 2" xfId="306"/>
    <cellStyle name="Normal 3" xfId="151"/>
    <cellStyle name="Normal 3 2" xfId="152"/>
    <cellStyle name="Normal 3 2 2" xfId="434"/>
    <cellStyle name="Normal 3 3" xfId="307"/>
    <cellStyle name="Normal 3 4" xfId="392"/>
    <cellStyle name="Normal 3_2012 PR" xfId="308"/>
    <cellStyle name="Normal 30" xfId="309"/>
    <cellStyle name="Normal 31" xfId="310"/>
    <cellStyle name="Normal 32" xfId="311"/>
    <cellStyle name="Normal 33" xfId="312"/>
    <cellStyle name="Normal 34" xfId="313"/>
    <cellStyle name="Normal 35" xfId="314"/>
    <cellStyle name="Normal 36" xfId="315"/>
    <cellStyle name="Normal 37" xfId="316"/>
    <cellStyle name="Normal 38" xfId="317"/>
    <cellStyle name="Normal 39" xfId="318"/>
    <cellStyle name="Normal 4" xfId="153"/>
    <cellStyle name="Normal 4 2" xfId="319"/>
    <cellStyle name="Normal 4 3" xfId="435"/>
    <cellStyle name="Normal 4 4" xfId="204"/>
    <cellStyle name="Normal 4_Misc Pivot" xfId="436"/>
    <cellStyle name="Normal 40" xfId="320"/>
    <cellStyle name="Normal 41" xfId="321"/>
    <cellStyle name="Normal 42" xfId="322"/>
    <cellStyle name="Normal 43" xfId="323"/>
    <cellStyle name="Normal 44" xfId="324"/>
    <cellStyle name="Normal 45" xfId="325"/>
    <cellStyle name="Normal 46" xfId="326"/>
    <cellStyle name="Normal 47" xfId="327"/>
    <cellStyle name="Normal 48" xfId="328"/>
    <cellStyle name="Normal 49" xfId="329"/>
    <cellStyle name="Normal 5" xfId="154"/>
    <cellStyle name="Normal 5 2" xfId="155"/>
    <cellStyle name="Normal 5 3" xfId="205"/>
    <cellStyle name="Normal 5_2112 DF Schedule" xfId="437"/>
    <cellStyle name="Normal 50" xfId="330"/>
    <cellStyle name="Normal 51" xfId="331"/>
    <cellStyle name="Normal 52" xfId="332"/>
    <cellStyle name="Normal 53" xfId="333"/>
    <cellStyle name="Normal 54" xfId="334"/>
    <cellStyle name="Normal 55" xfId="335"/>
    <cellStyle name="Normal 56" xfId="336"/>
    <cellStyle name="Normal 57" xfId="337"/>
    <cellStyle name="Normal 58" xfId="338"/>
    <cellStyle name="Normal 59" xfId="339"/>
    <cellStyle name="Normal 6" xfId="156"/>
    <cellStyle name="Normal 6 2" xfId="340"/>
    <cellStyle name="Normal 6 3" xfId="206"/>
    <cellStyle name="Normal 60" xfId="341"/>
    <cellStyle name="Normal 61" xfId="342"/>
    <cellStyle name="Normal 62" xfId="343"/>
    <cellStyle name="Normal 63" xfId="344"/>
    <cellStyle name="Normal 64" xfId="345"/>
    <cellStyle name="Normal 65" xfId="346"/>
    <cellStyle name="Normal 66" xfId="347"/>
    <cellStyle name="Normal 67" xfId="348"/>
    <cellStyle name="Normal 68" xfId="349"/>
    <cellStyle name="Normal 69" xfId="350"/>
    <cellStyle name="Normal 7" xfId="157"/>
    <cellStyle name="Normal 7 2" xfId="438"/>
    <cellStyle name="Normal 70" xfId="351"/>
    <cellStyle name="Normal 71" xfId="352"/>
    <cellStyle name="Normal 72" xfId="353"/>
    <cellStyle name="Normal 73" xfId="354"/>
    <cellStyle name="Normal 74" xfId="355"/>
    <cellStyle name="Normal 75" xfId="356"/>
    <cellStyle name="Normal 76" xfId="357"/>
    <cellStyle name="Normal 77" xfId="358"/>
    <cellStyle name="Normal 78" xfId="359"/>
    <cellStyle name="Normal 79" xfId="360"/>
    <cellStyle name="Normal 8" xfId="158"/>
    <cellStyle name="Normal 8 2" xfId="439"/>
    <cellStyle name="Normal 80" xfId="361"/>
    <cellStyle name="Normal 81" xfId="362"/>
    <cellStyle name="Normal 82" xfId="363"/>
    <cellStyle name="Normal 83" xfId="364"/>
    <cellStyle name="Normal 84" xfId="216"/>
    <cellStyle name="Normal 84 2" xfId="189"/>
    <cellStyle name="Normal 84 3" xfId="481"/>
    <cellStyle name="Normal 85" xfId="371"/>
    <cellStyle name="Normal 85 2" xfId="482"/>
    <cellStyle name="Normal 86" xfId="383"/>
    <cellStyle name="Normal 87" xfId="384"/>
    <cellStyle name="Normal 88" xfId="385"/>
    <cellStyle name="Normal 89" xfId="386"/>
    <cellStyle name="Normal 9" xfId="159"/>
    <cellStyle name="Normal 9 2" xfId="440"/>
    <cellStyle name="Normal 90" xfId="190"/>
    <cellStyle name="Normal 91" xfId="390"/>
    <cellStyle name="Normal 92" xfId="443"/>
    <cellStyle name="Normal 93" xfId="488"/>
    <cellStyle name="Normal 94" xfId="489"/>
    <cellStyle name="Normal_CostStudyTCII" xfId="4"/>
    <cellStyle name="Normal_Price out 2" xfId="10"/>
    <cellStyle name="Note 2" xfId="160"/>
    <cellStyle name="Note 2 2" xfId="483"/>
    <cellStyle name="Note 2 3" xfId="366"/>
    <cellStyle name="Note 3" xfId="161"/>
    <cellStyle name="Note 3 2" xfId="484"/>
    <cellStyle name="Note 3 3" xfId="365"/>
    <cellStyle name="Notes" xfId="162"/>
    <cellStyle name="Output 2" xfId="163"/>
    <cellStyle name="Output 2 2" xfId="368"/>
    <cellStyle name="Output 3" xfId="367"/>
    <cellStyle name="Percent" xfId="3" builtinId="5"/>
    <cellStyle name="Percent 2" xfId="164"/>
    <cellStyle name="Percent 2 2" xfId="165"/>
    <cellStyle name="Percent 2 2 2" xfId="370"/>
    <cellStyle name="Percent 2 2 3" xfId="207"/>
    <cellStyle name="Percent 2 3" xfId="166"/>
    <cellStyle name="Percent 2 4" xfId="399"/>
    <cellStyle name="Percent 2 6" xfId="208"/>
    <cellStyle name="Percent 3" xfId="167"/>
    <cellStyle name="Percent 3 2" xfId="209"/>
    <cellStyle name="Percent 4" xfId="9"/>
    <cellStyle name="Percent 4 2" xfId="7"/>
    <cellStyle name="Percent 4 3" xfId="441"/>
    <cellStyle name="Percent 5" xfId="168"/>
    <cellStyle name="Percent 5 2" xfId="372"/>
    <cellStyle name="Percent 6" xfId="373"/>
    <cellStyle name="Percent 7" xfId="8"/>
    <cellStyle name="Percent 7 2" xfId="387"/>
    <cellStyle name="Percent 7 3" xfId="485"/>
    <cellStyle name="Percent 7 4" xfId="369"/>
    <cellStyle name="Percent 8" xfId="442"/>
    <cellStyle name="Percent(1)" xfId="169"/>
    <cellStyle name="Percent(2)" xfId="170"/>
    <cellStyle name="PRM" xfId="171"/>
    <cellStyle name="PRM 2" xfId="374"/>
    <cellStyle name="PRM 3" xfId="375"/>
    <cellStyle name="PRM_2011-11" xfId="376"/>
    <cellStyle name="PS_Comma" xfId="210"/>
    <cellStyle name="PSChar" xfId="172"/>
    <cellStyle name="PSDate" xfId="211"/>
    <cellStyle name="PSDec" xfId="212"/>
    <cellStyle name="PSHeading" xfId="173"/>
    <cellStyle name="PSInt" xfId="213"/>
    <cellStyle name="PSSpacer" xfId="214"/>
    <cellStyle name="STYL0 - Style1" xfId="174"/>
    <cellStyle name="STYL1 - Style2" xfId="175"/>
    <cellStyle name="STYL2 - Style3" xfId="176"/>
    <cellStyle name="STYL3 - Style4" xfId="177"/>
    <cellStyle name="STYL4 - Style5" xfId="178"/>
    <cellStyle name="STYL5 - Style6" xfId="179"/>
    <cellStyle name="STYL6 - Style7" xfId="180"/>
    <cellStyle name="STYL7 - Style8" xfId="181"/>
    <cellStyle name="Style 1" xfId="182"/>
    <cellStyle name="Style 1 2" xfId="377"/>
    <cellStyle name="STYLE1" xfId="183"/>
    <cellStyle name="sub heading" xfId="184"/>
    <cellStyle name="title 2" xfId="185"/>
    <cellStyle name="Title 2 2" xfId="379"/>
    <cellStyle name="Title 3" xfId="378"/>
    <cellStyle name="Total 2" xfId="186"/>
    <cellStyle name="Total 2 2" xfId="486"/>
    <cellStyle name="Total 2 3" xfId="381"/>
    <cellStyle name="Total 3" xfId="187"/>
    <cellStyle name="Total 3 2" xfId="487"/>
    <cellStyle name="Total 3 3" xfId="380"/>
    <cellStyle name="Warning Text 2" xfId="188"/>
    <cellStyle name="Warning Text 3" xfId="382"/>
    <cellStyle name="WM_STANDARD" xfId="215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customXml" Target="../customXml/item2.xml"/><Relationship Id="rId10" Type="http://schemas.openxmlformats.org/officeDocument/2006/relationships/externalLink" Target="externalLinks/externalLink5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May\Master%20Truck%20Schedule\South_LeMay%20Master%20Truck%20Schedule-Shared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c1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irmgardw\AppData\Local\Microsoft\Windows\Temporary%20Internet%20Files\Content.Outlook\VR8UJBA4\TG-152088\TG-152088%20Mason%20County%20DF%20Calc%201-1-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RC%20Reports\SRC%20Format\Bonus%20Schedule\PNWR%20SRC%20Bonus%20Schedule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shon\Rate%20Incr%201-1-2013\ProForma%20Pacific%20Disposal_Staff%20Final%20outcome%208-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ome.utc.wa.gov/Western%20Region/WUTC/WUTC-Mason%202149/Rate%20Filing/General%20Rate%20Filing%2011-13-2012/Audit/FINAL/Staff%20final%20Mason%20Proforma%20Linked%203-13-2013%20%20-%20Company%20Rat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5\DistShares\WCNX%20Stuff\Excel\Financials\Excel%20Financials\ExcelFinancial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shon\Rate%20Incr%201-1-2012\Vashon%20Pro%20Form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6\sacshare\Data_Automation\DMS\RouteManagerReports\RM_MM001_Query_v4c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b1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nual%20Reports\2180%20LeMay\2009\LeMay%20Annual%20Report%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/>
      <sheetData sheetId="1"/>
      <sheetData sheetId="2" refreshError="1"/>
      <sheetData sheetId="3">
        <row r="5">
          <cell r="D5">
            <v>10.71</v>
          </cell>
        </row>
        <row r="14">
          <cell r="C14" t="str">
            <v>dist</v>
          </cell>
          <cell r="E14" t="str">
            <v>=</v>
          </cell>
          <cell r="F14">
            <v>3080</v>
          </cell>
        </row>
      </sheetData>
      <sheetData sheetId="4">
        <row r="6">
          <cell r="F6" t="str">
            <v>Time Series</v>
          </cell>
        </row>
        <row r="17">
          <cell r="B17" t="str">
            <v>ACCT</v>
          </cell>
          <cell r="C17" t="str">
            <v>-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Variable</v>
          </cell>
        </row>
      </sheetData>
      <sheetData sheetId="5">
        <row r="8">
          <cell r="E8" t="str">
            <v>Report</v>
          </cell>
        </row>
        <row r="12">
          <cell r="B12" t="b">
            <v>0</v>
          </cell>
        </row>
      </sheetData>
      <sheetData sheetId="6" refreshError="1"/>
      <sheetData sheetId="7">
        <row r="11">
          <cell r="D11">
            <v>10002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Cash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s"/>
      <sheetName val="DF Calc"/>
      <sheetName val="Rates"/>
      <sheetName val="Rev Inc %"/>
    </sheetNames>
    <sheetDataSet>
      <sheetData sheetId="0">
        <row r="9">
          <cell r="B9">
            <v>4.333333333333333</v>
          </cell>
        </row>
        <row r="10">
          <cell r="B10">
            <v>2.1666666666666665</v>
          </cell>
        </row>
        <row r="11">
          <cell r="B11">
            <v>1</v>
          </cell>
        </row>
      </sheetData>
      <sheetData sheetId="1">
        <row r="7">
          <cell r="K7">
            <v>3.1384217790711343E-2</v>
          </cell>
        </row>
      </sheetData>
      <sheetData sheetId="2">
        <row r="10">
          <cell r="B10">
            <v>4.3899999999999997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Legal Exp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2012 Capital Structure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>
        <row r="107">
          <cell r="L107">
            <v>1753938.3114074212</v>
          </cell>
        </row>
        <row r="214">
          <cell r="L214">
            <v>852492.14253095828</v>
          </cell>
        </row>
        <row r="278">
          <cell r="L278">
            <v>837580.65530511085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5">
          <cell r="J15">
            <v>2138.64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3">
          <cell r="L23">
            <v>2329.3388396454475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 refreshError="1">
        <row r="2">
          <cell r="X2" t="str">
            <v>P&amp;L Close Report</v>
          </cell>
          <cell r="Z2" t="str">
            <v>Consolidated</v>
          </cell>
        </row>
        <row r="3">
          <cell r="X3" t="str">
            <v>BS Close Report</v>
          </cell>
          <cell r="Z3" t="str">
            <v>Region</v>
          </cell>
        </row>
        <row r="4">
          <cell r="X4" t="str">
            <v>P&amp;L Tranx Report</v>
          </cell>
          <cell r="Z4" t="str">
            <v>District</v>
          </cell>
        </row>
        <row r="5">
          <cell r="X5" t="str">
            <v>P&amp;L Close by Day</v>
          </cell>
          <cell r="Z5" t="str">
            <v>Multiple Districts</v>
          </cell>
        </row>
        <row r="6">
          <cell r="X6" t="str">
            <v>JE Review Report</v>
          </cell>
        </row>
        <row r="7">
          <cell r="X7" t="str">
            <v>IS200 Report</v>
          </cell>
        </row>
        <row r="8">
          <cell r="X8" t="str">
            <v>IS210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/>
      <sheetData sheetId="1">
        <row r="9">
          <cell r="L9">
            <v>11501</v>
          </cell>
        </row>
        <row r="10">
          <cell r="L10" t="str">
            <v>11501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PL_ActReview2"/>
      <sheetName val="BS_Close"/>
      <sheetName val="PL_ActTranx"/>
      <sheetName val="IS200PL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  <row r="3">
          <cell r="S3" t="str">
            <v>P&amp;L Close Report 2</v>
          </cell>
        </row>
        <row r="4">
          <cell r="S4" t="str">
            <v>BS Close Report</v>
          </cell>
        </row>
        <row r="5">
          <cell r="S5" t="str">
            <v>IS 200 - PL Review</v>
          </cell>
        </row>
        <row r="6">
          <cell r="S6" t="str">
            <v>IS 210 - PL Review</v>
          </cell>
        </row>
        <row r="7">
          <cell r="S7" t="str">
            <v>P&amp;L Tranx Report</v>
          </cell>
        </row>
        <row r="8">
          <cell r="S8" t="str">
            <v>JE Review Report</v>
          </cell>
        </row>
        <row r="9">
          <cell r="S9" t="str">
            <v>Corp: Rev/Proj Check</v>
          </cell>
        </row>
        <row r="10">
          <cell r="S10" t="str">
            <v>Corp: 52901 Check</v>
          </cell>
        </row>
        <row r="11">
          <cell r="S11" t="str">
            <v>Corp: BS Check</v>
          </cell>
        </row>
        <row r="12">
          <cell r="S12" t="str">
            <v>Corp: Bad Debt Check</v>
          </cell>
        </row>
        <row r="13">
          <cell r="S13" t="str">
            <v>Corp: IC Check</v>
          </cell>
        </row>
        <row r="14">
          <cell r="S14" t="str">
            <v>Corp: JE Neg Check</v>
          </cell>
        </row>
        <row r="15">
          <cell r="S15" t="str">
            <v>Proj Review Report</v>
          </cell>
        </row>
        <row r="16">
          <cell r="S16" t="str">
            <v>Proj Review Report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H88"/>
  <sheetViews>
    <sheetView tabSelected="1" zoomScale="90" zoomScaleNormal="90" zoomScalePageLayoutView="60" workbookViewId="0">
      <selection activeCell="F28" sqref="F28"/>
    </sheetView>
  </sheetViews>
  <sheetFormatPr defaultColWidth="9.140625" defaultRowHeight="15"/>
  <cols>
    <col min="1" max="1" width="42.5703125" style="51" customWidth="1"/>
    <col min="2" max="2" width="16.7109375" style="51" customWidth="1"/>
    <col min="3" max="3" width="15" style="51" customWidth="1"/>
    <col min="4" max="4" width="16.5703125" style="51" customWidth="1"/>
    <col min="5" max="5" width="9.140625" style="51"/>
    <col min="6" max="6" width="12.42578125" style="51" customWidth="1"/>
    <col min="7" max="7" width="10.7109375" style="51" customWidth="1"/>
    <col min="8" max="16384" width="9.140625" style="51"/>
  </cols>
  <sheetData>
    <row r="1" spans="1:8">
      <c r="A1" s="55" t="s">
        <v>279</v>
      </c>
    </row>
    <row r="2" spans="1:8">
      <c r="A2" s="55" t="s">
        <v>280</v>
      </c>
    </row>
    <row r="4" spans="1:8">
      <c r="A4" s="276" t="s">
        <v>46</v>
      </c>
      <c r="B4" s="276"/>
      <c r="C4" s="276"/>
      <c r="D4" s="276"/>
      <c r="E4" s="276"/>
      <c r="F4" s="276"/>
      <c r="G4" s="276"/>
      <c r="H4" s="276"/>
    </row>
    <row r="5" spans="1:8">
      <c r="A5" s="52" t="s">
        <v>47</v>
      </c>
      <c r="B5" s="23" t="s">
        <v>48</v>
      </c>
      <c r="C5" s="23" t="s">
        <v>49</v>
      </c>
      <c r="D5" s="23" t="s">
        <v>50</v>
      </c>
      <c r="E5" s="24" t="s">
        <v>51</v>
      </c>
      <c r="F5" s="24" t="s">
        <v>52</v>
      </c>
      <c r="G5" s="24" t="s">
        <v>53</v>
      </c>
      <c r="H5" s="23" t="s">
        <v>54</v>
      </c>
    </row>
    <row r="6" spans="1:8">
      <c r="A6" s="52" t="s">
        <v>55</v>
      </c>
      <c r="B6" s="53">
        <f>52*5/12</f>
        <v>21.666666666666668</v>
      </c>
      <c r="C6" s="26">
        <f>$B$6*2</f>
        <v>43.333333333333336</v>
      </c>
      <c r="D6" s="26">
        <f>$B$6*3</f>
        <v>65</v>
      </c>
      <c r="E6" s="26">
        <f>$B$6*4</f>
        <v>86.666666666666671</v>
      </c>
      <c r="F6" s="26">
        <f>$B$6*5</f>
        <v>108.33333333333334</v>
      </c>
      <c r="G6" s="26">
        <f>$B$6*6</f>
        <v>130</v>
      </c>
      <c r="H6" s="26">
        <f>$B$6*7</f>
        <v>151.66666666666669</v>
      </c>
    </row>
    <row r="7" spans="1:8">
      <c r="A7" s="52" t="s">
        <v>56</v>
      </c>
      <c r="B7" s="53">
        <f>52*4/12</f>
        <v>17.333333333333332</v>
      </c>
      <c r="C7" s="26">
        <f>$B$7*2</f>
        <v>34.666666666666664</v>
      </c>
      <c r="D7" s="26">
        <f>$B$7*3</f>
        <v>52</v>
      </c>
      <c r="E7" s="26">
        <f>$B$7*4</f>
        <v>69.333333333333329</v>
      </c>
      <c r="F7" s="26">
        <f>$B$7*5</f>
        <v>86.666666666666657</v>
      </c>
      <c r="G7" s="26">
        <f>$B$7*6</f>
        <v>104</v>
      </c>
      <c r="H7" s="26">
        <f>$B$7*7</f>
        <v>121.33333333333333</v>
      </c>
    </row>
    <row r="8" spans="1:8">
      <c r="A8" s="52" t="s">
        <v>57</v>
      </c>
      <c r="B8" s="53">
        <f>52*3/12</f>
        <v>13</v>
      </c>
      <c r="C8" s="26">
        <f>$B$8*2</f>
        <v>26</v>
      </c>
      <c r="D8" s="26">
        <f>$B$8*3</f>
        <v>39</v>
      </c>
      <c r="E8" s="26">
        <f>$B$8*4</f>
        <v>52</v>
      </c>
      <c r="F8" s="26">
        <f>$B$8*5</f>
        <v>65</v>
      </c>
      <c r="G8" s="26">
        <f>$B$8*6</f>
        <v>78</v>
      </c>
      <c r="H8" s="26">
        <f>$B$8*7</f>
        <v>91</v>
      </c>
    </row>
    <row r="9" spans="1:8">
      <c r="A9" s="52" t="s">
        <v>58</v>
      </c>
      <c r="B9" s="53">
        <f>52*2/12</f>
        <v>8.6666666666666661</v>
      </c>
      <c r="C9" s="54">
        <f>$B$9*2</f>
        <v>17.333333333333332</v>
      </c>
      <c r="D9" s="54">
        <f>$B$9*3</f>
        <v>26</v>
      </c>
      <c r="E9" s="54">
        <f>$B$9*4</f>
        <v>34.666666666666664</v>
      </c>
      <c r="F9" s="54">
        <f>$B$9*5</f>
        <v>43.333333333333329</v>
      </c>
      <c r="G9" s="54">
        <f>$B$9*6</f>
        <v>52</v>
      </c>
      <c r="H9" s="54">
        <f>$B$9*7</f>
        <v>60.666666666666664</v>
      </c>
    </row>
    <row r="10" spans="1:8">
      <c r="A10" s="52" t="s">
        <v>59</v>
      </c>
      <c r="B10" s="53">
        <f>52/12</f>
        <v>4.333333333333333</v>
      </c>
      <c r="C10" s="54">
        <f>$B$10*2</f>
        <v>8.6666666666666661</v>
      </c>
      <c r="D10" s="54">
        <f>$B$10*3</f>
        <v>13</v>
      </c>
      <c r="E10" s="54">
        <f>$B$10*4</f>
        <v>17.333333333333332</v>
      </c>
      <c r="F10" s="54">
        <f>$B$10*5</f>
        <v>21.666666666666664</v>
      </c>
      <c r="G10" s="54">
        <f>$B$10*6</f>
        <v>26</v>
      </c>
      <c r="H10" s="54">
        <f>$B$10*7</f>
        <v>30.333333333333332</v>
      </c>
    </row>
    <row r="11" spans="1:8">
      <c r="A11" s="52" t="s">
        <v>60</v>
      </c>
      <c r="B11" s="53">
        <f>26/12</f>
        <v>2.1666666666666665</v>
      </c>
      <c r="C11" s="54">
        <f>$B$11*2</f>
        <v>4.333333333333333</v>
      </c>
      <c r="D11" s="54">
        <f>$B$11*3</f>
        <v>6.5</v>
      </c>
      <c r="E11" s="54">
        <f>$B$11*4</f>
        <v>8.6666666666666661</v>
      </c>
      <c r="F11" s="54">
        <f>$B$11*5</f>
        <v>10.833333333333332</v>
      </c>
      <c r="G11" s="54">
        <f>$B$11*6</f>
        <v>13</v>
      </c>
      <c r="H11" s="54">
        <f>$B$11*7</f>
        <v>15.166666666666666</v>
      </c>
    </row>
    <row r="12" spans="1:8">
      <c r="A12" s="52" t="s">
        <v>61</v>
      </c>
      <c r="B12" s="53">
        <f>12/12</f>
        <v>1</v>
      </c>
      <c r="C12" s="54">
        <f>$B$12*2</f>
        <v>2</v>
      </c>
      <c r="D12" s="54">
        <f>$B$12*3</f>
        <v>3</v>
      </c>
      <c r="E12" s="54">
        <f>$B$12*4</f>
        <v>4</v>
      </c>
      <c r="F12" s="54">
        <f>$B$12*5</f>
        <v>5</v>
      </c>
      <c r="G12" s="54">
        <f>$B$12*6</f>
        <v>6</v>
      </c>
      <c r="H12" s="54">
        <f>$B$12*7</f>
        <v>7</v>
      </c>
    </row>
    <row r="13" spans="1:8">
      <c r="A13" s="52"/>
      <c r="B13" s="53"/>
      <c r="C13" s="54"/>
      <c r="D13" s="54"/>
      <c r="E13" s="54"/>
      <c r="F13" s="54"/>
      <c r="G13" s="54"/>
      <c r="H13" s="54"/>
    </row>
    <row r="14" spans="1:8">
      <c r="A14" s="276" t="s">
        <v>62</v>
      </c>
      <c r="B14" s="276"/>
      <c r="C14" s="54"/>
      <c r="D14" s="54"/>
      <c r="E14" s="54"/>
      <c r="F14" s="54"/>
      <c r="G14" s="54"/>
      <c r="H14" s="54"/>
    </row>
    <row r="15" spans="1:8">
      <c r="A15" s="55" t="s">
        <v>63</v>
      </c>
      <c r="B15" s="56" t="s">
        <v>64</v>
      </c>
      <c r="C15" s="54"/>
      <c r="D15" s="54"/>
      <c r="E15" s="54"/>
      <c r="F15" s="54"/>
      <c r="G15" s="54"/>
      <c r="H15" s="54"/>
    </row>
    <row r="16" spans="1:8">
      <c r="A16" s="28" t="s">
        <v>65</v>
      </c>
      <c r="B16" s="57">
        <v>20</v>
      </c>
      <c r="C16" s="54"/>
      <c r="D16" s="54"/>
      <c r="E16" s="54"/>
      <c r="F16" s="54"/>
      <c r="G16" s="54"/>
      <c r="H16" s="54"/>
    </row>
    <row r="17" spans="1:8">
      <c r="A17" s="28" t="s">
        <v>66</v>
      </c>
      <c r="B17" s="57">
        <v>34</v>
      </c>
      <c r="C17" s="54"/>
      <c r="D17" s="54"/>
      <c r="E17" s="54"/>
      <c r="F17" s="54"/>
      <c r="G17" s="54"/>
      <c r="H17" s="54"/>
    </row>
    <row r="18" spans="1:8">
      <c r="A18" s="28" t="s">
        <v>67</v>
      </c>
      <c r="B18" s="57">
        <v>51</v>
      </c>
      <c r="C18" s="54"/>
      <c r="D18" s="54"/>
      <c r="E18" s="54"/>
      <c r="F18" s="54"/>
      <c r="G18" s="54"/>
      <c r="H18" s="54"/>
    </row>
    <row r="19" spans="1:8">
      <c r="A19" s="28" t="s">
        <v>68</v>
      </c>
      <c r="B19" s="57">
        <v>77</v>
      </c>
      <c r="C19" s="54"/>
      <c r="D19" s="54"/>
      <c r="E19" s="54"/>
      <c r="F19" s="52" t="s">
        <v>69</v>
      </c>
      <c r="G19" s="57">
        <v>2000</v>
      </c>
      <c r="H19" s="54"/>
    </row>
    <row r="20" spans="1:8">
      <c r="A20" s="28" t="s">
        <v>70</v>
      </c>
      <c r="B20" s="57">
        <v>97</v>
      </c>
      <c r="C20" s="54"/>
      <c r="D20" s="54"/>
      <c r="E20" s="54"/>
      <c r="F20" s="52" t="s">
        <v>71</v>
      </c>
      <c r="G20" s="158" t="s">
        <v>72</v>
      </c>
      <c r="H20" s="54"/>
    </row>
    <row r="21" spans="1:8">
      <c r="A21" s="28" t="s">
        <v>73</v>
      </c>
      <c r="B21" s="57">
        <v>117</v>
      </c>
      <c r="C21" s="54"/>
      <c r="D21" s="54"/>
      <c r="E21" s="54"/>
      <c r="F21" s="52"/>
      <c r="G21" s="52"/>
      <c r="H21" s="54"/>
    </row>
    <row r="22" spans="1:8">
      <c r="A22" s="28" t="s">
        <v>74</v>
      </c>
      <c r="B22" s="57">
        <v>157</v>
      </c>
      <c r="C22" s="54"/>
      <c r="D22" s="54"/>
      <c r="E22" s="54"/>
      <c r="F22" s="216" t="s">
        <v>252</v>
      </c>
      <c r="G22" s="217">
        <v>12</v>
      </c>
      <c r="H22" s="54"/>
    </row>
    <row r="23" spans="1:8">
      <c r="A23" s="28" t="s">
        <v>221</v>
      </c>
      <c r="B23" s="57">
        <v>37</v>
      </c>
      <c r="C23" s="54" t="s">
        <v>81</v>
      </c>
      <c r="D23" s="54"/>
      <c r="E23" s="54"/>
      <c r="F23" s="58"/>
      <c r="G23" s="29"/>
      <c r="H23" s="54"/>
    </row>
    <row r="24" spans="1:8">
      <c r="A24" s="28" t="s">
        <v>220</v>
      </c>
      <c r="B24" s="230">
        <v>48</v>
      </c>
      <c r="C24" s="187" t="s">
        <v>262</v>
      </c>
      <c r="D24" s="187"/>
      <c r="E24" s="54"/>
      <c r="F24" s="58"/>
      <c r="G24" s="29"/>
      <c r="H24" s="54"/>
    </row>
    <row r="25" spans="1:8">
      <c r="A25" s="28" t="s">
        <v>260</v>
      </c>
      <c r="B25" s="57">
        <v>51</v>
      </c>
      <c r="C25" s="54" t="s">
        <v>263</v>
      </c>
      <c r="D25" s="54"/>
      <c r="E25" s="54"/>
      <c r="F25" s="54"/>
      <c r="G25" s="54"/>
      <c r="H25" s="54"/>
    </row>
    <row r="26" spans="1:8">
      <c r="A26" s="28" t="s">
        <v>261</v>
      </c>
      <c r="B26" s="57">
        <v>77</v>
      </c>
      <c r="C26" s="54" t="s">
        <v>264</v>
      </c>
      <c r="D26" s="54"/>
      <c r="E26" s="54"/>
      <c r="F26" s="54"/>
      <c r="G26" s="54"/>
      <c r="H26" s="54"/>
    </row>
    <row r="27" spans="1:8">
      <c r="A27" s="28" t="s">
        <v>75</v>
      </c>
      <c r="B27" s="57">
        <v>34</v>
      </c>
      <c r="C27" s="54"/>
      <c r="D27" s="54"/>
      <c r="E27" s="54"/>
      <c r="F27" s="54"/>
      <c r="G27" s="54"/>
      <c r="H27" s="54"/>
    </row>
    <row r="28" spans="1:8">
      <c r="A28" s="28" t="s">
        <v>76</v>
      </c>
      <c r="B28" s="57">
        <v>34</v>
      </c>
      <c r="C28" s="54"/>
      <c r="D28" s="54"/>
      <c r="E28" s="54"/>
      <c r="F28" s="54"/>
      <c r="G28" s="54"/>
      <c r="H28" s="54"/>
    </row>
    <row r="29" spans="1:8">
      <c r="A29" s="55" t="s">
        <v>77</v>
      </c>
      <c r="B29" s="57"/>
      <c r="C29" s="54"/>
      <c r="D29" s="54"/>
      <c r="E29" s="54"/>
      <c r="F29" s="54"/>
      <c r="G29" s="54"/>
      <c r="H29" s="54"/>
    </row>
    <row r="30" spans="1:8">
      <c r="A30" s="28" t="s">
        <v>78</v>
      </c>
      <c r="B30" s="57">
        <v>29</v>
      </c>
      <c r="C30" s="54"/>
      <c r="D30" s="54"/>
      <c r="E30" s="54"/>
      <c r="F30" s="54"/>
      <c r="G30" s="54"/>
      <c r="H30" s="54"/>
    </row>
    <row r="31" spans="1:8">
      <c r="A31" s="28" t="s">
        <v>79</v>
      </c>
      <c r="B31" s="57">
        <v>175</v>
      </c>
      <c r="C31" s="54"/>
      <c r="D31" s="54"/>
      <c r="E31" s="54"/>
      <c r="F31" s="54"/>
      <c r="G31" s="54"/>
      <c r="H31" s="54"/>
    </row>
    <row r="32" spans="1:8">
      <c r="A32" s="28" t="s">
        <v>80</v>
      </c>
      <c r="B32" s="57">
        <v>250</v>
      </c>
      <c r="C32" s="54"/>
      <c r="D32" s="54"/>
      <c r="E32" s="54"/>
      <c r="F32" s="54"/>
      <c r="G32" s="54"/>
      <c r="H32" s="54"/>
    </row>
    <row r="33" spans="1:8">
      <c r="A33" s="28" t="s">
        <v>82</v>
      </c>
      <c r="B33" s="57">
        <v>324</v>
      </c>
      <c r="C33" s="54"/>
      <c r="D33" s="54"/>
      <c r="E33" s="54"/>
      <c r="F33" s="54"/>
      <c r="G33" s="54"/>
      <c r="H33" s="54"/>
    </row>
    <row r="34" spans="1:8">
      <c r="A34" s="28" t="s">
        <v>83</v>
      </c>
      <c r="B34" s="57">
        <v>473</v>
      </c>
      <c r="C34" s="54"/>
      <c r="D34" s="54"/>
      <c r="E34" s="54"/>
      <c r="F34" s="54"/>
      <c r="G34" s="54"/>
      <c r="H34" s="54"/>
    </row>
    <row r="35" spans="1:8">
      <c r="A35" s="28" t="s">
        <v>84</v>
      </c>
      <c r="B35" s="57">
        <v>613</v>
      </c>
      <c r="C35" s="54"/>
      <c r="D35" s="54"/>
      <c r="E35" s="54"/>
      <c r="F35" s="54"/>
      <c r="G35" s="54"/>
      <c r="H35" s="54"/>
    </row>
    <row r="36" spans="1:8">
      <c r="A36" s="28" t="s">
        <v>85</v>
      </c>
      <c r="B36" s="57">
        <v>840</v>
      </c>
      <c r="C36" s="54"/>
      <c r="D36" s="54"/>
      <c r="E36" s="54"/>
      <c r="F36" s="54"/>
      <c r="G36" s="54"/>
      <c r="H36" s="54"/>
    </row>
    <row r="37" spans="1:8">
      <c r="A37" s="28" t="s">
        <v>86</v>
      </c>
      <c r="B37" s="57">
        <v>980</v>
      </c>
      <c r="C37" s="54"/>
      <c r="D37" s="54"/>
      <c r="E37" s="54"/>
      <c r="F37" s="54"/>
      <c r="G37" s="54"/>
      <c r="H37" s="54"/>
    </row>
    <row r="38" spans="1:8">
      <c r="A38" s="28" t="s">
        <v>87</v>
      </c>
      <c r="B38" s="57">
        <v>482</v>
      </c>
      <c r="C38" s="54" t="s">
        <v>81</v>
      </c>
      <c r="D38" s="54"/>
      <c r="E38" s="54"/>
      <c r="F38" s="54"/>
      <c r="G38" s="54"/>
      <c r="H38" s="54"/>
    </row>
    <row r="39" spans="1:8">
      <c r="A39" s="28" t="s">
        <v>88</v>
      </c>
      <c r="B39" s="57">
        <v>689</v>
      </c>
      <c r="C39" s="54" t="s">
        <v>81</v>
      </c>
      <c r="D39" s="54"/>
      <c r="E39" s="54"/>
      <c r="F39" s="54"/>
      <c r="G39" s="54"/>
      <c r="H39" s="54"/>
    </row>
    <row r="40" spans="1:8">
      <c r="A40" s="28" t="s">
        <v>89</v>
      </c>
      <c r="B40" s="57">
        <v>892</v>
      </c>
      <c r="C40" s="54" t="s">
        <v>81</v>
      </c>
      <c r="D40" s="54"/>
      <c r="E40" s="54"/>
      <c r="F40" s="54"/>
      <c r="G40" s="54"/>
      <c r="H40" s="54"/>
    </row>
    <row r="41" spans="1:8">
      <c r="A41" s="28" t="s">
        <v>90</v>
      </c>
      <c r="B41" s="57">
        <v>1301</v>
      </c>
      <c r="C41" s="54"/>
      <c r="D41" s="54"/>
      <c r="E41" s="54"/>
      <c r="F41" s="54"/>
      <c r="G41" s="54"/>
      <c r="H41" s="54"/>
    </row>
    <row r="42" spans="1:8">
      <c r="A42" s="28" t="s">
        <v>91</v>
      </c>
      <c r="B42" s="57">
        <v>1686</v>
      </c>
      <c r="C42" s="54"/>
      <c r="D42" s="54"/>
      <c r="E42" s="54"/>
      <c r="F42" s="54"/>
      <c r="G42" s="54"/>
      <c r="H42" s="54"/>
    </row>
    <row r="43" spans="1:8">
      <c r="A43" s="28" t="s">
        <v>92</v>
      </c>
      <c r="B43" s="57">
        <v>2046</v>
      </c>
      <c r="C43" s="54"/>
      <c r="D43" s="54"/>
      <c r="E43" s="54"/>
      <c r="F43" s="54"/>
      <c r="G43" s="54"/>
      <c r="H43" s="54"/>
    </row>
    <row r="44" spans="1:8">
      <c r="A44" s="28" t="s">
        <v>93</v>
      </c>
      <c r="B44" s="57">
        <v>2310</v>
      </c>
      <c r="C44" s="54"/>
      <c r="D44" s="54"/>
      <c r="E44" s="54"/>
      <c r="F44" s="54"/>
      <c r="G44" s="54"/>
      <c r="H44" s="54"/>
    </row>
    <row r="45" spans="1:8">
      <c r="A45" s="28" t="s">
        <v>94</v>
      </c>
      <c r="B45" s="57">
        <v>2800</v>
      </c>
      <c r="C45" s="54" t="s">
        <v>81</v>
      </c>
      <c r="D45" s="54"/>
      <c r="E45" s="54"/>
      <c r="F45" s="54"/>
      <c r="G45" s="54"/>
      <c r="H45" s="54"/>
    </row>
    <row r="46" spans="1:8">
      <c r="A46" s="28" t="s">
        <v>95</v>
      </c>
      <c r="B46" s="57">
        <v>125</v>
      </c>
      <c r="C46" s="54"/>
      <c r="D46" s="54"/>
      <c r="E46" s="54"/>
      <c r="F46" s="54"/>
      <c r="G46" s="54"/>
      <c r="H46" s="54"/>
    </row>
    <row r="47" spans="1:8">
      <c r="A47" s="52"/>
      <c r="B47" s="277" t="s">
        <v>96</v>
      </c>
      <c r="C47" s="277"/>
      <c r="D47" s="52"/>
      <c r="E47" s="52"/>
      <c r="F47" s="52"/>
      <c r="G47" s="52"/>
      <c r="H47" s="52"/>
    </row>
    <row r="48" spans="1:8">
      <c r="A48" s="52"/>
      <c r="B48" s="52"/>
      <c r="C48" s="52"/>
      <c r="D48" s="52"/>
      <c r="E48" s="52"/>
      <c r="F48" s="52"/>
      <c r="G48" s="52"/>
      <c r="H48" s="52"/>
    </row>
    <row r="49" spans="1:8">
      <c r="A49" s="52"/>
      <c r="B49" s="52"/>
      <c r="C49" s="52"/>
      <c r="D49" s="52"/>
      <c r="E49" s="52"/>
      <c r="F49" s="52"/>
      <c r="G49" s="52"/>
      <c r="H49" s="52"/>
    </row>
    <row r="50" spans="1:8">
      <c r="A50" s="150" t="s">
        <v>110</v>
      </c>
      <c r="B50" s="182" t="s">
        <v>97</v>
      </c>
      <c r="C50" s="151" t="s">
        <v>98</v>
      </c>
      <c r="D50" s="52"/>
      <c r="E50" s="52"/>
      <c r="F50" s="278" t="s">
        <v>99</v>
      </c>
      <c r="G50" s="278"/>
      <c r="H50" s="52"/>
    </row>
    <row r="51" spans="1:8">
      <c r="A51" s="50" t="s">
        <v>100</v>
      </c>
      <c r="B51" s="265">
        <v>92.16</v>
      </c>
      <c r="C51" s="60">
        <f>B51/2000</f>
        <v>4.6079999999999996E-2</v>
      </c>
      <c r="D51" s="52"/>
      <c r="E51" s="52"/>
      <c r="F51" s="52" t="s">
        <v>101</v>
      </c>
      <c r="G51" s="61">
        <f>0.015</f>
        <v>1.4999999999999999E-2</v>
      </c>
      <c r="H51" s="52"/>
    </row>
    <row r="52" spans="1:8">
      <c r="A52" s="50" t="s">
        <v>102</v>
      </c>
      <c r="B52" s="229">
        <v>93.45</v>
      </c>
      <c r="C52" s="63">
        <f>B52/2000</f>
        <v>4.6725000000000003E-2</v>
      </c>
      <c r="D52" s="266"/>
      <c r="E52" s="52"/>
      <c r="F52" s="52" t="s">
        <v>103</v>
      </c>
      <c r="G52" s="64">
        <f>0.004275</f>
        <v>4.2750000000000002E-3</v>
      </c>
      <c r="H52" s="52"/>
    </row>
    <row r="53" spans="1:8">
      <c r="A53" s="28" t="s">
        <v>188</v>
      </c>
      <c r="B53" s="59">
        <f>B52-B51</f>
        <v>1.2900000000000063</v>
      </c>
      <c r="C53" s="65">
        <f>C52-C51</f>
        <v>6.4500000000000668E-4</v>
      </c>
      <c r="D53" s="266">
        <f>B53/B51</f>
        <v>1.3997395833333402E-2</v>
      </c>
      <c r="E53" s="52"/>
      <c r="F53" s="52" t="s">
        <v>104</v>
      </c>
      <c r="G53" s="66"/>
      <c r="H53" s="52"/>
    </row>
    <row r="54" spans="1:8">
      <c r="A54" s="52"/>
      <c r="B54" s="52"/>
      <c r="C54" s="52"/>
      <c r="D54" s="52"/>
      <c r="E54" s="52"/>
      <c r="F54" s="52" t="s">
        <v>36</v>
      </c>
      <c r="G54" s="67">
        <f>SUM(G51:G53)</f>
        <v>1.9275E-2</v>
      </c>
      <c r="H54" s="52"/>
    </row>
    <row r="55" spans="1:8">
      <c r="A55" s="68"/>
      <c r="B55" s="69"/>
      <c r="C55" s="69"/>
      <c r="D55" s="70"/>
      <c r="E55" s="52"/>
      <c r="F55" s="52"/>
      <c r="G55" s="52"/>
      <c r="H55" s="52"/>
    </row>
    <row r="56" spans="1:8">
      <c r="A56" s="52"/>
      <c r="B56" s="152" t="s">
        <v>110</v>
      </c>
      <c r="C56" s="71"/>
      <c r="D56" s="70"/>
      <c r="E56" s="52"/>
      <c r="F56" s="52" t="s">
        <v>106</v>
      </c>
      <c r="G56" s="72">
        <f>1-G54</f>
        <v>0.98072499999999996</v>
      </c>
      <c r="H56" s="52"/>
    </row>
    <row r="57" spans="1:8">
      <c r="A57" s="52" t="s">
        <v>105</v>
      </c>
      <c r="B57" s="73">
        <f>B53</f>
        <v>1.2900000000000063</v>
      </c>
      <c r="C57" s="71"/>
      <c r="D57" s="70"/>
      <c r="E57" s="52"/>
      <c r="F57" s="52"/>
      <c r="G57" s="52"/>
      <c r="H57" s="52"/>
    </row>
    <row r="58" spans="1:8">
      <c r="A58" s="52" t="s">
        <v>107</v>
      </c>
      <c r="B58" s="74">
        <f>B57/$G$56</f>
        <v>1.3153534375079725</v>
      </c>
      <c r="C58" s="75"/>
      <c r="D58" s="70"/>
      <c r="E58" s="52"/>
      <c r="F58" s="52"/>
      <c r="G58" s="52"/>
      <c r="H58" s="52"/>
    </row>
    <row r="59" spans="1:8">
      <c r="A59" s="52" t="s">
        <v>108</v>
      </c>
      <c r="B59" s="30">
        <v>7794</v>
      </c>
      <c r="C59" s="70" t="s">
        <v>236</v>
      </c>
      <c r="D59" s="70"/>
      <c r="E59" s="52"/>
      <c r="F59" s="52"/>
      <c r="G59" s="52"/>
      <c r="H59" s="52"/>
    </row>
    <row r="60" spans="1:8">
      <c r="A60" s="55" t="s">
        <v>189</v>
      </c>
      <c r="B60" s="76">
        <f>B58*B59</f>
        <v>10251.864691937139</v>
      </c>
      <c r="C60" s="77"/>
      <c r="D60" s="70"/>
      <c r="E60" s="52"/>
      <c r="F60" s="52"/>
      <c r="G60" s="52"/>
      <c r="H60" s="52"/>
    </row>
    <row r="61" spans="1:8">
      <c r="A61" s="77"/>
      <c r="B61" s="77"/>
      <c r="C61" s="77"/>
      <c r="D61" s="70"/>
      <c r="E61" s="52"/>
      <c r="F61" s="52"/>
      <c r="G61" s="52"/>
      <c r="H61" s="52"/>
    </row>
    <row r="62" spans="1:8" ht="15.75" thickBot="1">
      <c r="D62" s="74"/>
      <c r="E62" s="52"/>
      <c r="F62" s="52"/>
      <c r="G62" s="52"/>
      <c r="H62" s="52"/>
    </row>
    <row r="63" spans="1:8">
      <c r="A63" s="78" t="s">
        <v>190</v>
      </c>
      <c r="B63" s="153" t="s">
        <v>191</v>
      </c>
      <c r="C63" s="52"/>
      <c r="D63" s="52"/>
      <c r="E63" s="52"/>
      <c r="F63" s="52"/>
      <c r="G63" s="52"/>
      <c r="H63" s="52"/>
    </row>
    <row r="64" spans="1:8">
      <c r="A64" s="79" t="s">
        <v>192</v>
      </c>
      <c r="B64" s="80">
        <f>'DF Calc (Mason Co.)'!R52</f>
        <v>10251.86469193716</v>
      </c>
      <c r="C64" s="52"/>
      <c r="D64" s="52"/>
      <c r="E64" s="52"/>
      <c r="F64" s="52"/>
      <c r="G64" s="52"/>
      <c r="H64" s="52"/>
    </row>
    <row r="65" spans="1:8">
      <c r="A65" s="79" t="s">
        <v>193</v>
      </c>
      <c r="B65" s="80">
        <f>B64-B60</f>
        <v>2.1827872842550278E-11</v>
      </c>
      <c r="C65" s="52"/>
      <c r="D65" s="52"/>
      <c r="E65" s="52"/>
      <c r="F65" s="52"/>
      <c r="G65" s="52"/>
      <c r="H65" s="52"/>
    </row>
    <row r="66" spans="1:8" ht="15.75" thickBot="1">
      <c r="A66" s="223"/>
      <c r="B66" s="224"/>
      <c r="C66" s="52"/>
    </row>
    <row r="69" spans="1:8">
      <c r="A69" s="225" t="s">
        <v>239</v>
      </c>
      <c r="B69" s="226" t="s">
        <v>97</v>
      </c>
      <c r="C69" s="226" t="s">
        <v>98</v>
      </c>
    </row>
    <row r="70" spans="1:8">
      <c r="A70" s="191" t="s">
        <v>100</v>
      </c>
      <c r="B70" s="59">
        <v>68</v>
      </c>
      <c r="C70" s="60">
        <f>B70/2000</f>
        <v>3.4000000000000002E-2</v>
      </c>
    </row>
    <row r="71" spans="1:8">
      <c r="A71" s="191" t="s">
        <v>102</v>
      </c>
      <c r="B71" s="59">
        <v>71</v>
      </c>
      <c r="C71" s="63">
        <f>B71/2000</f>
        <v>3.5499999999999997E-2</v>
      </c>
    </row>
    <row r="72" spans="1:8">
      <c r="A72" s="28" t="s">
        <v>188</v>
      </c>
      <c r="B72" s="59">
        <f>B71-B70</f>
        <v>3</v>
      </c>
      <c r="C72" s="65">
        <f>C71-C70</f>
        <v>1.4999999999999944E-3</v>
      </c>
      <c r="D72" s="266">
        <f>B72/B70</f>
        <v>4.4117647058823532E-2</v>
      </c>
      <c r="E72" s="52"/>
      <c r="F72" s="278" t="s">
        <v>99</v>
      </c>
      <c r="G72" s="278"/>
    </row>
    <row r="73" spans="1:8">
      <c r="A73" s="52"/>
      <c r="B73" s="52"/>
      <c r="C73" s="52"/>
      <c r="D73" s="52"/>
      <c r="E73" s="52"/>
      <c r="F73" s="52" t="s">
        <v>101</v>
      </c>
      <c r="G73" s="61">
        <f>0.015</f>
        <v>1.4999999999999999E-2</v>
      </c>
    </row>
    <row r="74" spans="1:8">
      <c r="A74" s="68"/>
      <c r="B74" s="192"/>
      <c r="C74" s="192"/>
      <c r="D74" s="52"/>
      <c r="E74" s="52"/>
      <c r="F74" s="52" t="s">
        <v>103</v>
      </c>
      <c r="G74" s="64">
        <f>0.004275</f>
        <v>4.2750000000000002E-3</v>
      </c>
    </row>
    <row r="75" spans="1:8">
      <c r="A75" s="52"/>
      <c r="B75" s="227" t="s">
        <v>240</v>
      </c>
      <c r="C75" s="71"/>
      <c r="D75" s="52"/>
      <c r="E75" s="52"/>
      <c r="F75" s="52" t="s">
        <v>104</v>
      </c>
      <c r="G75" s="66"/>
    </row>
    <row r="76" spans="1:8">
      <c r="A76" s="52" t="s">
        <v>105</v>
      </c>
      <c r="B76" s="73">
        <f>B72</f>
        <v>3</v>
      </c>
      <c r="C76" s="71"/>
      <c r="D76" s="52"/>
      <c r="E76" s="52"/>
      <c r="F76" s="52" t="s">
        <v>36</v>
      </c>
      <c r="G76" s="67">
        <f>SUM(G73:G75)</f>
        <v>1.9275E-2</v>
      </c>
    </row>
    <row r="77" spans="1:8">
      <c r="A77" s="52" t="s">
        <v>107</v>
      </c>
      <c r="B77" s="74">
        <f>B76/$G$56</f>
        <v>3.0589614825766653</v>
      </c>
      <c r="C77" s="75"/>
      <c r="D77" s="70"/>
      <c r="E77" s="52"/>
      <c r="F77" s="52"/>
      <c r="G77" s="52"/>
    </row>
    <row r="78" spans="1:8">
      <c r="A78" s="52" t="s">
        <v>108</v>
      </c>
      <c r="B78" s="196">
        <v>2570</v>
      </c>
      <c r="C78" s="70" t="s">
        <v>236</v>
      </c>
      <c r="D78" s="70"/>
      <c r="E78" s="52"/>
      <c r="F78" s="52" t="s">
        <v>106</v>
      </c>
      <c r="G78" s="72">
        <f>1-G76</f>
        <v>0.98072499999999996</v>
      </c>
    </row>
    <row r="79" spans="1:8">
      <c r="A79" s="55" t="s">
        <v>189</v>
      </c>
      <c r="B79" s="76">
        <f>B77*B78</f>
        <v>7861.5310102220301</v>
      </c>
      <c r="C79" s="77"/>
      <c r="D79" s="70"/>
      <c r="E79" s="52"/>
      <c r="F79" s="52"/>
      <c r="G79" s="52"/>
    </row>
    <row r="80" spans="1:8">
      <c r="A80" s="77"/>
      <c r="B80" s="77"/>
      <c r="C80" s="77"/>
      <c r="D80" s="70"/>
      <c r="E80" s="52"/>
      <c r="F80" s="52"/>
      <c r="G80" s="52"/>
    </row>
    <row r="81" spans="1:7" ht="15.75" thickBot="1">
      <c r="D81" s="70"/>
      <c r="E81" s="52"/>
      <c r="F81" s="52"/>
      <c r="G81" s="52"/>
    </row>
    <row r="82" spans="1:7">
      <c r="A82" s="78" t="s">
        <v>190</v>
      </c>
      <c r="B82" s="228" t="s">
        <v>191</v>
      </c>
      <c r="C82" s="52"/>
      <c r="D82" s="70"/>
      <c r="E82" s="52"/>
      <c r="F82" s="52"/>
      <c r="G82" s="52"/>
    </row>
    <row r="83" spans="1:7">
      <c r="A83" s="79" t="s">
        <v>192</v>
      </c>
      <c r="B83" s="80">
        <f>'DF Calc (Kitsap Co.)'!R50</f>
        <v>7860.8495586116369</v>
      </c>
      <c r="C83" s="52"/>
      <c r="D83" s="70"/>
      <c r="E83" s="52"/>
      <c r="F83" s="52"/>
      <c r="G83" s="52"/>
    </row>
    <row r="84" spans="1:7">
      <c r="A84" s="79" t="s">
        <v>193</v>
      </c>
      <c r="B84" s="80">
        <f>B83-B79</f>
        <v>-0.68145161039319646</v>
      </c>
      <c r="C84" s="52"/>
      <c r="D84" s="74"/>
      <c r="E84" s="52"/>
      <c r="F84" s="52"/>
      <c r="G84" s="52"/>
    </row>
    <row r="85" spans="1:7" ht="15.75" thickBot="1">
      <c r="A85" s="223"/>
      <c r="B85" s="224"/>
      <c r="C85" s="52"/>
      <c r="D85" s="52"/>
      <c r="E85" s="52"/>
      <c r="F85" s="52"/>
      <c r="G85" s="52"/>
    </row>
    <row r="86" spans="1:7">
      <c r="A86" s="221"/>
      <c r="B86" s="194"/>
      <c r="C86" s="81"/>
      <c r="D86" s="52"/>
      <c r="E86" s="52"/>
      <c r="F86" s="52"/>
      <c r="G86" s="52"/>
    </row>
    <row r="87" spans="1:7">
      <c r="A87" s="81"/>
      <c r="B87" s="44"/>
      <c r="C87" s="81"/>
      <c r="D87" s="52"/>
      <c r="E87" s="52"/>
      <c r="F87" s="52"/>
      <c r="G87" s="52"/>
    </row>
    <row r="88" spans="1:7">
      <c r="A88" s="45"/>
      <c r="B88" s="44"/>
      <c r="C88" s="222"/>
    </row>
  </sheetData>
  <mergeCells count="5">
    <mergeCell ref="A4:H4"/>
    <mergeCell ref="A14:B14"/>
    <mergeCell ref="B47:C47"/>
    <mergeCell ref="F50:G50"/>
    <mergeCell ref="F72:G72"/>
  </mergeCells>
  <pageMargins left="0.7" right="0.7" top="0.75" bottom="0.75" header="0.3" footer="0.3"/>
  <pageSetup scale="55" orientation="portrait" r:id="rId1"/>
  <headerFooter>
    <oddFooter xml:space="preserve">&amp;R&amp;P of &amp;N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U101"/>
  <sheetViews>
    <sheetView zoomScale="80" zoomScaleNormal="80" zoomScalePageLayoutView="5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L81" sqref="L81:L84"/>
    </sheetView>
  </sheetViews>
  <sheetFormatPr defaultColWidth="8.85546875" defaultRowHeight="15"/>
  <cols>
    <col min="1" max="1" width="4.140625" style="81" bestFit="1" customWidth="1"/>
    <col min="2" max="2" width="16.7109375" style="98" bestFit="1" customWidth="1"/>
    <col min="3" max="3" width="26.7109375" style="81" bestFit="1" customWidth="1"/>
    <col min="4" max="4" width="15.140625" style="102" customWidth="1"/>
    <col min="5" max="5" width="10" style="81" bestFit="1" customWidth="1"/>
    <col min="6" max="6" width="11.28515625" style="81" bestFit="1" customWidth="1"/>
    <col min="7" max="7" width="8.28515625" style="81" bestFit="1" customWidth="1"/>
    <col min="8" max="8" width="16.7109375" style="81" bestFit="1" customWidth="1"/>
    <col min="9" max="9" width="15.7109375" style="103" bestFit="1" customWidth="1"/>
    <col min="10" max="10" width="11.7109375" style="81" customWidth="1"/>
    <col min="11" max="11" width="13" style="81" customWidth="1"/>
    <col min="12" max="12" width="9.85546875" style="81" bestFit="1" customWidth="1"/>
    <col min="13" max="13" width="12.42578125" style="81" bestFit="1" customWidth="1"/>
    <col min="14" max="14" width="14.5703125" style="81" bestFit="1" customWidth="1"/>
    <col min="15" max="15" width="14.28515625" style="81" bestFit="1" customWidth="1"/>
    <col min="16" max="16" width="16.140625" style="81" bestFit="1" customWidth="1"/>
    <col min="17" max="17" width="20.140625" style="81" customWidth="1"/>
    <col min="18" max="18" width="21" style="81" bestFit="1" customWidth="1"/>
    <col min="19" max="19" width="12.85546875" style="81" bestFit="1" customWidth="1"/>
    <col min="20" max="16384" width="8.85546875" style="81"/>
  </cols>
  <sheetData>
    <row r="1" spans="1:21">
      <c r="A1" s="286" t="str">
        <f>References!A1</f>
        <v>Mason County Garbage Company, Inc. G-88</v>
      </c>
    </row>
    <row r="2" spans="1:21">
      <c r="A2" s="286" t="s">
        <v>283</v>
      </c>
    </row>
    <row r="3" spans="1:21">
      <c r="A3" s="287" t="s">
        <v>281</v>
      </c>
    </row>
    <row r="5" spans="1:21" ht="60">
      <c r="A5" s="150"/>
      <c r="B5" s="167" t="s">
        <v>194</v>
      </c>
      <c r="C5" s="168" t="s">
        <v>195</v>
      </c>
      <c r="D5" s="167" t="s">
        <v>282</v>
      </c>
      <c r="E5" s="167" t="s">
        <v>197</v>
      </c>
      <c r="F5" s="167" t="s">
        <v>198</v>
      </c>
      <c r="G5" s="167" t="s">
        <v>62</v>
      </c>
      <c r="H5" s="167" t="s">
        <v>199</v>
      </c>
      <c r="I5" s="169" t="s">
        <v>200</v>
      </c>
      <c r="J5" s="167" t="s">
        <v>201</v>
      </c>
      <c r="K5" s="167" t="s">
        <v>202</v>
      </c>
      <c r="L5" s="167" t="s">
        <v>111</v>
      </c>
      <c r="M5" s="167" t="s">
        <v>203</v>
      </c>
      <c r="N5" s="167" t="s">
        <v>259</v>
      </c>
      <c r="O5" s="167" t="s">
        <v>205</v>
      </c>
      <c r="P5" s="167" t="s">
        <v>206</v>
      </c>
      <c r="Q5" s="167" t="s">
        <v>207</v>
      </c>
      <c r="R5" s="167" t="s">
        <v>208</v>
      </c>
      <c r="S5" s="167" t="s">
        <v>209</v>
      </c>
    </row>
    <row r="6" spans="1:21" s="70" customFormat="1">
      <c r="A6" s="280" t="s">
        <v>186</v>
      </c>
      <c r="B6" s="89">
        <v>21</v>
      </c>
      <c r="C6" s="82" t="s">
        <v>3</v>
      </c>
      <c r="D6" s="83">
        <v>14</v>
      </c>
      <c r="E6" s="84">
        <f>References!$B$10</f>
        <v>4.333333333333333</v>
      </c>
      <c r="F6" s="83">
        <f>D6*E6*12</f>
        <v>728</v>
      </c>
      <c r="G6" s="85">
        <f>References!B16</f>
        <v>20</v>
      </c>
      <c r="H6" s="83">
        <f>F6*G6</f>
        <v>14560</v>
      </c>
      <c r="I6" s="86">
        <f t="shared" ref="I6:I14" si="0">$C$93*H6</f>
        <v>11255.071225017538</v>
      </c>
      <c r="J6" s="87">
        <f>References!$C$53*'DF Calc (Mason Co.)'!I6</f>
        <v>7.2595209401363876</v>
      </c>
      <c r="K6" s="87">
        <f>J6/References!$G$56</f>
        <v>7.4021983126119837</v>
      </c>
      <c r="L6" s="87">
        <f>K6/F6*E6</f>
        <v>4.4060704241737997E-2</v>
      </c>
      <c r="M6" s="88">
        <f>'Prop. Rates'!B24</f>
        <v>13.12</v>
      </c>
      <c r="N6" s="87">
        <f>L6+M6</f>
        <v>13.164060704241738</v>
      </c>
      <c r="O6" s="88">
        <f>'Prop. Rates'!D24</f>
        <v>13.164060704241738</v>
      </c>
      <c r="P6" s="87">
        <f>D6*M6*12</f>
        <v>2204.16</v>
      </c>
      <c r="Q6" s="87">
        <f>D6*O6*12</f>
        <v>2211.5621983126121</v>
      </c>
      <c r="R6" s="87">
        <f>Q6-P6</f>
        <v>7.4021983126121995</v>
      </c>
      <c r="S6" s="188">
        <f t="shared" ref="S6:S14" si="1">N6</f>
        <v>13.164060704241738</v>
      </c>
      <c r="U6" s="231"/>
    </row>
    <row r="7" spans="1:21" s="70" customFormat="1">
      <c r="A7" s="280"/>
      <c r="B7" s="89">
        <v>21</v>
      </c>
      <c r="C7" s="82" t="s">
        <v>4</v>
      </c>
      <c r="D7" s="83">
        <v>2338</v>
      </c>
      <c r="E7" s="84">
        <f>References!$B$10</f>
        <v>4.333333333333333</v>
      </c>
      <c r="F7" s="83">
        <f t="shared" ref="F7:F40" si="2">D7*E7*12</f>
        <v>121575.99999999999</v>
      </c>
      <c r="G7" s="85">
        <f>References!$B$17</f>
        <v>34</v>
      </c>
      <c r="H7" s="83">
        <f t="shared" ref="H7:H40" si="3">F7*G7</f>
        <v>4133583.9999999995</v>
      </c>
      <c r="I7" s="86">
        <f t="shared" si="0"/>
        <v>3195314.7207824788</v>
      </c>
      <c r="J7" s="87">
        <f>References!$C$53*'DF Calc (Mason Co.)'!I7</f>
        <v>2060.9779949047202</v>
      </c>
      <c r="K7" s="87">
        <f>J7/References!$G$56</f>
        <v>2101.4841009505421</v>
      </c>
      <c r="L7" s="87">
        <f t="shared" ref="L7:L32" si="4">K7/F7*E7</f>
        <v>7.4903197210954606E-2</v>
      </c>
      <c r="M7" s="88">
        <f>'Prop. Rates'!B14</f>
        <v>15.54</v>
      </c>
      <c r="N7" s="87">
        <f t="shared" ref="N7:N40" si="5">L7+M7</f>
        <v>15.614903197210953</v>
      </c>
      <c r="O7" s="88">
        <f>'Prop. Rates'!D14</f>
        <v>15.614903197210953</v>
      </c>
      <c r="P7" s="87">
        <f t="shared" ref="P7:P32" si="6">D7*M7*12</f>
        <v>435990.24</v>
      </c>
      <c r="Q7" s="87">
        <f t="shared" ref="Q7:Q32" si="7">D7*O7*12</f>
        <v>438091.72410095047</v>
      </c>
      <c r="R7" s="87">
        <f t="shared" ref="R7:R40" si="8">Q7-P7</f>
        <v>2101.4841009504744</v>
      </c>
      <c r="S7" s="188">
        <f t="shared" si="1"/>
        <v>15.614903197210953</v>
      </c>
      <c r="U7" s="231"/>
    </row>
    <row r="8" spans="1:21" s="70" customFormat="1">
      <c r="A8" s="280"/>
      <c r="B8" s="89">
        <v>21</v>
      </c>
      <c r="C8" s="82" t="s">
        <v>5</v>
      </c>
      <c r="D8" s="83">
        <v>457</v>
      </c>
      <c r="E8" s="84">
        <f>References!$B$10</f>
        <v>4.333333333333333</v>
      </c>
      <c r="F8" s="83">
        <f t="shared" si="2"/>
        <v>23764</v>
      </c>
      <c r="G8" s="91">
        <f>References!B18</f>
        <v>51</v>
      </c>
      <c r="H8" s="83">
        <f t="shared" si="3"/>
        <v>1211964</v>
      </c>
      <c r="I8" s="86">
        <f t="shared" si="0"/>
        <v>936864.08943387051</v>
      </c>
      <c r="J8" s="87">
        <f>References!$C$53*'DF Calc (Mason Co.)'!I8</f>
        <v>604.27733768485268</v>
      </c>
      <c r="K8" s="87">
        <f>J8/References!$G$56</f>
        <v>616.15370025731238</v>
      </c>
      <c r="L8" s="87">
        <f t="shared" si="4"/>
        <v>0.11235479581643186</v>
      </c>
      <c r="M8" s="88">
        <f>'Prop. Rates'!B15</f>
        <v>23.22</v>
      </c>
      <c r="N8" s="87">
        <f t="shared" si="5"/>
        <v>23.332354795816432</v>
      </c>
      <c r="O8" s="88">
        <f>'Prop. Rates'!D15</f>
        <v>23.332354795816432</v>
      </c>
      <c r="P8" s="87">
        <f t="shared" si="6"/>
        <v>127338.47999999998</v>
      </c>
      <c r="Q8" s="87">
        <f t="shared" si="7"/>
        <v>127954.63370025731</v>
      </c>
      <c r="R8" s="87">
        <f t="shared" si="8"/>
        <v>616.15370025733137</v>
      </c>
      <c r="S8" s="188">
        <f t="shared" si="1"/>
        <v>23.332354795816432</v>
      </c>
      <c r="U8" s="231"/>
    </row>
    <row r="9" spans="1:21" s="70" customFormat="1">
      <c r="A9" s="280"/>
      <c r="B9" s="89">
        <v>21</v>
      </c>
      <c r="C9" s="82" t="s">
        <v>6</v>
      </c>
      <c r="D9" s="83">
        <v>32</v>
      </c>
      <c r="E9" s="84">
        <f>References!$B$10</f>
        <v>4.333333333333333</v>
      </c>
      <c r="F9" s="83">
        <f t="shared" si="2"/>
        <v>1664</v>
      </c>
      <c r="G9" s="91">
        <f>References!B19</f>
        <v>77</v>
      </c>
      <c r="H9" s="83">
        <f t="shared" si="3"/>
        <v>128128</v>
      </c>
      <c r="I9" s="86">
        <f t="shared" si="0"/>
        <v>99044.626780154329</v>
      </c>
      <c r="J9" s="87">
        <f>References!$C$53*'DF Calc (Mason Co.)'!I9</f>
        <v>63.883784273200206</v>
      </c>
      <c r="K9" s="87">
        <f>J9/References!$G$56</f>
        <v>65.139345150985449</v>
      </c>
      <c r="L9" s="87">
        <f t="shared" si="4"/>
        <v>0.16963371133069127</v>
      </c>
      <c r="M9" s="88">
        <f>'Prop. Rates'!B16</f>
        <v>31.3</v>
      </c>
      <c r="N9" s="87">
        <f t="shared" si="5"/>
        <v>31.46963371133069</v>
      </c>
      <c r="O9" s="88">
        <f>'Prop. Rates'!D16</f>
        <v>31.46963371133069</v>
      </c>
      <c r="P9" s="87">
        <f t="shared" si="6"/>
        <v>12019.2</v>
      </c>
      <c r="Q9" s="87">
        <f t="shared" si="7"/>
        <v>12084.339345150986</v>
      </c>
      <c r="R9" s="87">
        <f t="shared" si="8"/>
        <v>65.139345150984809</v>
      </c>
      <c r="S9" s="188">
        <f t="shared" si="1"/>
        <v>31.46963371133069</v>
      </c>
      <c r="U9" s="231"/>
    </row>
    <row r="10" spans="1:21" s="70" customFormat="1">
      <c r="A10" s="280"/>
      <c r="B10" s="89">
        <v>21</v>
      </c>
      <c r="C10" s="82" t="s">
        <v>7</v>
      </c>
      <c r="D10" s="83">
        <v>4</v>
      </c>
      <c r="E10" s="84">
        <f>References!$B$10</f>
        <v>4.333333333333333</v>
      </c>
      <c r="F10" s="83">
        <f t="shared" si="2"/>
        <v>208</v>
      </c>
      <c r="G10" s="91">
        <f>References!B20</f>
        <v>97</v>
      </c>
      <c r="H10" s="83">
        <f t="shared" si="3"/>
        <v>20176</v>
      </c>
      <c r="I10" s="86">
        <f t="shared" si="0"/>
        <v>15596.312983238588</v>
      </c>
      <c r="J10" s="87">
        <f>References!$C$53*'DF Calc (Mason Co.)'!I10</f>
        <v>10.059621874188993</v>
      </c>
      <c r="K10" s="87">
        <f>J10/References!$G$56</f>
        <v>10.257331947476604</v>
      </c>
      <c r="L10" s="87">
        <f t="shared" si="4"/>
        <v>0.21369441557242927</v>
      </c>
      <c r="M10" s="88">
        <f>'Prop. Rates'!B17</f>
        <v>40.15</v>
      </c>
      <c r="N10" s="87">
        <f t="shared" si="5"/>
        <v>40.363694415572425</v>
      </c>
      <c r="O10" s="88">
        <f>'Prop. Rates'!D17</f>
        <v>40.363694415572425</v>
      </c>
      <c r="P10" s="87">
        <f t="shared" si="6"/>
        <v>1927.1999999999998</v>
      </c>
      <c r="Q10" s="87">
        <f t="shared" si="7"/>
        <v>1937.4573319474764</v>
      </c>
      <c r="R10" s="87">
        <f t="shared" si="8"/>
        <v>10.257331947476587</v>
      </c>
      <c r="S10" s="188">
        <f t="shared" si="1"/>
        <v>40.363694415572425</v>
      </c>
      <c r="U10" s="231"/>
    </row>
    <row r="11" spans="1:21" s="70" customFormat="1">
      <c r="A11" s="280"/>
      <c r="B11" s="89">
        <v>21</v>
      </c>
      <c r="C11" s="82" t="s">
        <v>8</v>
      </c>
      <c r="D11" s="83">
        <v>1</v>
      </c>
      <c r="E11" s="84">
        <f>References!$B$10</f>
        <v>4.333333333333333</v>
      </c>
      <c r="F11" s="83">
        <f t="shared" si="2"/>
        <v>52</v>
      </c>
      <c r="G11" s="91">
        <f>References!B21</f>
        <v>117</v>
      </c>
      <c r="H11" s="83">
        <f t="shared" si="3"/>
        <v>6084</v>
      </c>
      <c r="I11" s="86">
        <f t="shared" si="0"/>
        <v>4703.011904739471</v>
      </c>
      <c r="J11" s="87">
        <f>References!$C$53*'DF Calc (Mason Co.)'!I11</f>
        <v>3.0334426785569901</v>
      </c>
      <c r="K11" s="87">
        <f>J11/References!$G$56</f>
        <v>3.093061437770007</v>
      </c>
      <c r="L11" s="87">
        <f t="shared" si="4"/>
        <v>0.25775511981416721</v>
      </c>
      <c r="M11" s="88">
        <f>'Prop. Rates'!B18</f>
        <v>48.02</v>
      </c>
      <c r="N11" s="87">
        <f t="shared" si="5"/>
        <v>48.277755119814174</v>
      </c>
      <c r="O11" s="88">
        <f>'Prop. Rates'!D18</f>
        <v>48.277755119814174</v>
      </c>
      <c r="P11" s="87">
        <f t="shared" si="6"/>
        <v>576.24</v>
      </c>
      <c r="Q11" s="87">
        <f t="shared" si="7"/>
        <v>579.33306143777008</v>
      </c>
      <c r="R11" s="87">
        <f t="shared" si="8"/>
        <v>3.0930614377700749</v>
      </c>
      <c r="S11" s="188">
        <f t="shared" si="1"/>
        <v>48.277755119814174</v>
      </c>
      <c r="U11" s="231"/>
    </row>
    <row r="12" spans="1:21" s="70" customFormat="1">
      <c r="A12" s="280"/>
      <c r="B12" s="89">
        <v>21</v>
      </c>
      <c r="C12" s="82" t="s">
        <v>9</v>
      </c>
      <c r="D12" s="83">
        <v>2</v>
      </c>
      <c r="E12" s="84">
        <f>References!$B$10</f>
        <v>4.333333333333333</v>
      </c>
      <c r="F12" s="83">
        <f t="shared" si="2"/>
        <v>104</v>
      </c>
      <c r="G12" s="91">
        <f>References!B22</f>
        <v>157</v>
      </c>
      <c r="H12" s="83">
        <f t="shared" si="3"/>
        <v>16328</v>
      </c>
      <c r="I12" s="86">
        <f t="shared" si="0"/>
        <v>12621.758445198238</v>
      </c>
      <c r="J12" s="87">
        <f>References!$C$53*'DF Calc (Mason Co.)'!I12</f>
        <v>8.1410341971529476</v>
      </c>
      <c r="K12" s="87">
        <f>J12/References!$G$56</f>
        <v>8.3010366791434382</v>
      </c>
      <c r="L12" s="87">
        <f t="shared" si="4"/>
        <v>0.34587652829764326</v>
      </c>
      <c r="M12" s="88">
        <f>'Prop. Rates'!B19</f>
        <v>55.72</v>
      </c>
      <c r="N12" s="87">
        <f t="shared" si="5"/>
        <v>56.065876528297643</v>
      </c>
      <c r="O12" s="88">
        <f>'Prop. Rates'!D19</f>
        <v>56.065876528297643</v>
      </c>
      <c r="P12" s="87">
        <f t="shared" si="6"/>
        <v>1337.28</v>
      </c>
      <c r="Q12" s="87">
        <f t="shared" si="7"/>
        <v>1345.5810366791434</v>
      </c>
      <c r="R12" s="87">
        <f t="shared" si="8"/>
        <v>8.301036679143408</v>
      </c>
      <c r="S12" s="188">
        <f t="shared" si="1"/>
        <v>56.065876528297643</v>
      </c>
      <c r="U12" s="231"/>
    </row>
    <row r="13" spans="1:21" s="70" customFormat="1">
      <c r="A13" s="280"/>
      <c r="B13" s="89">
        <v>21</v>
      </c>
      <c r="C13" s="82" t="s">
        <v>250</v>
      </c>
      <c r="D13" s="83">
        <v>500</v>
      </c>
      <c r="E13" s="84">
        <f>References!$B$10</f>
        <v>4.333333333333333</v>
      </c>
      <c r="F13" s="83">
        <f>D13*E13*12</f>
        <v>26000</v>
      </c>
      <c r="G13" s="91">
        <f>References!$B$24</f>
        <v>48</v>
      </c>
      <c r="H13" s="83">
        <f>F13*G13</f>
        <v>1248000</v>
      </c>
      <c r="I13" s="86">
        <f t="shared" si="0"/>
        <v>964720.39071578893</v>
      </c>
      <c r="J13" s="87">
        <f>References!$C$53*'DF Calc (Mason Co.)'!I13</f>
        <v>622.24465201169028</v>
      </c>
      <c r="K13" s="87">
        <f>J13/References!$G$56</f>
        <v>634.47414108102714</v>
      </c>
      <c r="L13" s="87">
        <f>K13/F13*E13</f>
        <v>0.10574569018017119</v>
      </c>
      <c r="M13" s="88">
        <f>'Prop. Rates'!B20</f>
        <v>20.88</v>
      </c>
      <c r="N13" s="87">
        <f>L13+M13</f>
        <v>20.98574569018017</v>
      </c>
      <c r="O13" s="88">
        <f>'Prop. Rates'!D20</f>
        <v>20.98574569018017</v>
      </c>
      <c r="P13" s="87">
        <f>D13*M13*12</f>
        <v>125280</v>
      </c>
      <c r="Q13" s="87">
        <f>D13*O13*12</f>
        <v>125914.47414108102</v>
      </c>
      <c r="R13" s="87">
        <f>Q13-P13</f>
        <v>634.47414108102384</v>
      </c>
      <c r="S13" s="188">
        <f t="shared" si="1"/>
        <v>20.98574569018017</v>
      </c>
      <c r="U13" s="231"/>
    </row>
    <row r="14" spans="1:21" s="70" customFormat="1">
      <c r="A14" s="280"/>
      <c r="B14" s="89">
        <v>21</v>
      </c>
      <c r="C14" s="82" t="s">
        <v>12</v>
      </c>
      <c r="D14" s="83">
        <v>22</v>
      </c>
      <c r="E14" s="84">
        <f>References!$B$10</f>
        <v>4.333333333333333</v>
      </c>
      <c r="F14" s="83">
        <f>D14*E14*12</f>
        <v>1144</v>
      </c>
      <c r="G14" s="91">
        <f>G13*2</f>
        <v>96</v>
      </c>
      <c r="H14" s="83">
        <f>F14*G14</f>
        <v>109824</v>
      </c>
      <c r="I14" s="86">
        <f t="shared" si="0"/>
        <v>84895.394382989427</v>
      </c>
      <c r="J14" s="87">
        <f>References!$C$53*'DF Calc (Mason Co.)'!I14</f>
        <v>54.757529377028746</v>
      </c>
      <c r="K14" s="87">
        <f>J14/References!$G$56</f>
        <v>55.833724415130384</v>
      </c>
      <c r="L14" s="87">
        <f>L13*2</f>
        <v>0.21149138036034237</v>
      </c>
      <c r="M14" s="88">
        <f>M13*2</f>
        <v>41.76</v>
      </c>
      <c r="N14" s="87">
        <f>L14+M14</f>
        <v>41.971491380360341</v>
      </c>
      <c r="O14" s="88">
        <f>O13*2</f>
        <v>41.971491380360341</v>
      </c>
      <c r="P14" s="87">
        <f>D14*M14*12</f>
        <v>11024.64</v>
      </c>
      <c r="Q14" s="87">
        <f>D14*O14*12</f>
        <v>11080.473724415129</v>
      </c>
      <c r="R14" s="87">
        <f>Q14-P14</f>
        <v>55.833724415129836</v>
      </c>
      <c r="S14" s="188">
        <f t="shared" si="1"/>
        <v>41.971491380360341</v>
      </c>
      <c r="U14" s="231"/>
    </row>
    <row r="15" spans="1:21" s="70" customFormat="1">
      <c r="A15" s="280"/>
      <c r="B15" s="89"/>
      <c r="C15" s="82"/>
      <c r="D15" s="83"/>
      <c r="E15" s="84"/>
      <c r="F15" s="83"/>
      <c r="G15" s="91"/>
      <c r="H15" s="83"/>
      <c r="I15" s="86"/>
      <c r="J15" s="87"/>
      <c r="K15" s="87"/>
      <c r="L15" s="87"/>
      <c r="M15" s="88"/>
      <c r="N15" s="87"/>
      <c r="O15" s="88"/>
      <c r="P15" s="87"/>
      <c r="Q15" s="87"/>
      <c r="R15" s="87"/>
      <c r="S15" s="188"/>
      <c r="U15" s="231"/>
    </row>
    <row r="16" spans="1:21" s="70" customFormat="1">
      <c r="A16" s="280"/>
      <c r="B16" s="89">
        <v>21</v>
      </c>
      <c r="C16" s="82" t="s">
        <v>10</v>
      </c>
      <c r="D16" s="83">
        <v>774</v>
      </c>
      <c r="E16" s="84">
        <f>References!$B$10</f>
        <v>4.333333333333333</v>
      </c>
      <c r="F16" s="83">
        <f t="shared" si="2"/>
        <v>40247.999999999993</v>
      </c>
      <c r="G16" s="91">
        <f>References!B23</f>
        <v>37</v>
      </c>
      <c r="H16" s="83">
        <f t="shared" si="3"/>
        <v>1489175.9999999998</v>
      </c>
      <c r="I16" s="86">
        <f>$C$93*H16</f>
        <v>1151152.6062216151</v>
      </c>
      <c r="J16" s="87">
        <f>References!$C$53*'DF Calc (Mason Co.)'!I16</f>
        <v>742.49343101294949</v>
      </c>
      <c r="K16" s="87">
        <f>J16/References!$G$56</f>
        <v>757.0862688449356</v>
      </c>
      <c r="L16" s="87">
        <f t="shared" si="4"/>
        <v>8.1512302847215293E-2</v>
      </c>
      <c r="M16" s="88">
        <f>'Prop. Rates'!B27</f>
        <v>17.84</v>
      </c>
      <c r="N16" s="87">
        <f t="shared" si="5"/>
        <v>17.921512302847216</v>
      </c>
      <c r="O16" s="88">
        <f>'Prop. Rates'!D27</f>
        <v>17.921512302847216</v>
      </c>
      <c r="P16" s="87">
        <f t="shared" si="6"/>
        <v>165697.91999999998</v>
      </c>
      <c r="Q16" s="87">
        <f t="shared" si="7"/>
        <v>166455.00626884494</v>
      </c>
      <c r="R16" s="87">
        <f t="shared" si="8"/>
        <v>757.08626884495607</v>
      </c>
      <c r="S16" s="188">
        <f>N16</f>
        <v>17.921512302847216</v>
      </c>
      <c r="U16" s="231"/>
    </row>
    <row r="17" spans="1:21" s="70" customFormat="1">
      <c r="A17" s="280"/>
      <c r="B17" s="89">
        <v>21</v>
      </c>
      <c r="C17" s="82" t="s">
        <v>13</v>
      </c>
      <c r="D17" s="83">
        <v>299</v>
      </c>
      <c r="E17" s="84">
        <f>References!$B$10</f>
        <v>4.333333333333333</v>
      </c>
      <c r="F17" s="83">
        <f t="shared" si="2"/>
        <v>15547.999999999998</v>
      </c>
      <c r="G17" s="91">
        <f>References!B24</f>
        <v>48</v>
      </c>
      <c r="H17" s="83">
        <f t="shared" si="3"/>
        <v>746303.99999999988</v>
      </c>
      <c r="I17" s="86">
        <f>$C$93*H17</f>
        <v>576902.79364804167</v>
      </c>
      <c r="J17" s="87">
        <f>References!$C$53*'DF Calc (Mason Co.)'!I17</f>
        <v>372.10230190299075</v>
      </c>
      <c r="K17" s="87">
        <f>J17/References!$G$56</f>
        <v>379.41553636645415</v>
      </c>
      <c r="L17" s="87">
        <f t="shared" si="4"/>
        <v>0.10574569018017117</v>
      </c>
      <c r="M17" s="88">
        <f>'Prop. Rates'!B28</f>
        <v>22.64</v>
      </c>
      <c r="N17" s="87">
        <f t="shared" si="5"/>
        <v>22.745745690180172</v>
      </c>
      <c r="O17" s="88">
        <f>'Prop. Rates'!D28</f>
        <v>22.745745690180172</v>
      </c>
      <c r="P17" s="87">
        <f t="shared" si="6"/>
        <v>81232.320000000007</v>
      </c>
      <c r="Q17" s="87">
        <f t="shared" si="7"/>
        <v>81611.735536366454</v>
      </c>
      <c r="R17" s="87">
        <f t="shared" si="8"/>
        <v>379.41553636644676</v>
      </c>
      <c r="S17" s="188">
        <f>N17</f>
        <v>22.745745690180172</v>
      </c>
      <c r="U17" s="231"/>
    </row>
    <row r="18" spans="1:21" s="70" customFormat="1">
      <c r="A18" s="280"/>
      <c r="B18" s="89">
        <v>21</v>
      </c>
      <c r="C18" s="82" t="s">
        <v>14</v>
      </c>
      <c r="D18" s="83">
        <v>261</v>
      </c>
      <c r="E18" s="84">
        <f>References!$B$10</f>
        <v>4.333333333333333</v>
      </c>
      <c r="F18" s="83">
        <f t="shared" si="2"/>
        <v>13572</v>
      </c>
      <c r="G18" s="91">
        <f>References!B25</f>
        <v>51</v>
      </c>
      <c r="H18" s="83">
        <f t="shared" si="3"/>
        <v>692172</v>
      </c>
      <c r="I18" s="86">
        <f>$C$93*H18</f>
        <v>535058.04670074442</v>
      </c>
      <c r="J18" s="87">
        <f>References!$C$53*'DF Calc (Mason Co.)'!I18</f>
        <v>345.11244012198375</v>
      </c>
      <c r="K18" s="87">
        <f>J18/References!$G$56</f>
        <v>351.89522049706471</v>
      </c>
      <c r="L18" s="87">
        <f t="shared" si="4"/>
        <v>0.11235479581643189</v>
      </c>
      <c r="M18" s="88">
        <f>'Prop. Rates'!B29</f>
        <v>27.74</v>
      </c>
      <c r="N18" s="190">
        <f t="shared" si="5"/>
        <v>27.852354795816431</v>
      </c>
      <c r="O18" s="88">
        <f>'Prop. Rates'!D29</f>
        <v>27.852354795816431</v>
      </c>
      <c r="P18" s="87">
        <f t="shared" si="6"/>
        <v>86881.68</v>
      </c>
      <c r="Q18" s="87">
        <f t="shared" si="7"/>
        <v>87233.575220497063</v>
      </c>
      <c r="R18" s="87">
        <f t="shared" si="8"/>
        <v>351.89522049707011</v>
      </c>
      <c r="S18" s="188">
        <f>N18</f>
        <v>27.852354795816431</v>
      </c>
      <c r="U18" s="231"/>
    </row>
    <row r="19" spans="1:21" s="70" customFormat="1">
      <c r="A19" s="280"/>
      <c r="B19" s="89">
        <v>21</v>
      </c>
      <c r="C19" s="82" t="s">
        <v>15</v>
      </c>
      <c r="D19" s="83">
        <v>77</v>
      </c>
      <c r="E19" s="84">
        <f>References!$B$10</f>
        <v>4.333333333333333</v>
      </c>
      <c r="F19" s="83">
        <f t="shared" si="2"/>
        <v>4003.9999999999995</v>
      </c>
      <c r="G19" s="91">
        <f>References!B26</f>
        <v>77</v>
      </c>
      <c r="H19" s="83">
        <f t="shared" si="3"/>
        <v>308307.99999999994</v>
      </c>
      <c r="I19" s="86">
        <f>$C$93*H19</f>
        <v>238326.13318974632</v>
      </c>
      <c r="J19" s="87">
        <f>References!$C$53*'DF Calc (Mason Co.)'!I19</f>
        <v>153.72035590738798</v>
      </c>
      <c r="K19" s="87">
        <f>J19/References!$G$56</f>
        <v>156.74154926955873</v>
      </c>
      <c r="L19" s="87">
        <f t="shared" si="4"/>
        <v>0.16963371133069127</v>
      </c>
      <c r="M19" s="88">
        <f>'Prop. Rates'!B30</f>
        <v>34.450000000000003</v>
      </c>
      <c r="N19" s="87">
        <f t="shared" si="5"/>
        <v>34.619633711330692</v>
      </c>
      <c r="O19" s="88">
        <f>'Prop. Rates'!D30</f>
        <v>34.619633711330692</v>
      </c>
      <c r="P19" s="87">
        <f t="shared" si="6"/>
        <v>31831.800000000003</v>
      </c>
      <c r="Q19" s="87">
        <f t="shared" si="7"/>
        <v>31988.541549269557</v>
      </c>
      <c r="R19" s="87">
        <f t="shared" si="8"/>
        <v>156.74154926955453</v>
      </c>
      <c r="S19" s="188">
        <f>N19</f>
        <v>34.619633711330692</v>
      </c>
      <c r="U19" s="231"/>
    </row>
    <row r="20" spans="1:21" s="70" customFormat="1">
      <c r="A20" s="280"/>
      <c r="B20" s="89"/>
      <c r="C20" s="82"/>
      <c r="D20" s="83"/>
      <c r="E20" s="84"/>
      <c r="F20" s="83"/>
      <c r="G20" s="91"/>
      <c r="H20" s="83"/>
      <c r="I20" s="86"/>
      <c r="J20" s="87"/>
      <c r="K20" s="87"/>
      <c r="L20" s="87"/>
      <c r="M20" s="88"/>
      <c r="N20" s="87"/>
      <c r="O20" s="88"/>
      <c r="P20" s="87"/>
      <c r="Q20" s="87"/>
      <c r="R20" s="87"/>
      <c r="S20" s="188"/>
      <c r="U20" s="231"/>
    </row>
    <row r="21" spans="1:21" s="70" customFormat="1">
      <c r="A21" s="280"/>
      <c r="B21" s="89">
        <v>21</v>
      </c>
      <c r="C21" s="82" t="s">
        <v>16</v>
      </c>
      <c r="D21" s="83">
        <v>1451</v>
      </c>
      <c r="E21" s="84">
        <f>References!$B$11</f>
        <v>2.1666666666666665</v>
      </c>
      <c r="F21" s="83">
        <f t="shared" si="2"/>
        <v>37726</v>
      </c>
      <c r="G21" s="91">
        <f>References!B17</f>
        <v>34</v>
      </c>
      <c r="H21" s="83">
        <f t="shared" si="3"/>
        <v>1282684</v>
      </c>
      <c r="I21" s="86">
        <f t="shared" ref="I21:I26" si="9">$C$93*H21</f>
        <v>991531.57824109856</v>
      </c>
      <c r="J21" s="87">
        <f>References!$C$53*'DF Calc (Mason Co.)'!I21</f>
        <v>639.53786796551515</v>
      </c>
      <c r="K21" s="87">
        <f>J21/References!$G$56</f>
        <v>652.10723491857061</v>
      </c>
      <c r="L21" s="87">
        <f>K21/F21*E21</f>
        <v>3.7451598605477289E-2</v>
      </c>
      <c r="M21" s="88">
        <f>'Prop. Rates'!B21</f>
        <v>8.9</v>
      </c>
      <c r="N21" s="87">
        <f>L21+M21</f>
        <v>8.9374515986054774</v>
      </c>
      <c r="O21" s="88">
        <f>'Prop. Rates'!D21</f>
        <v>8.9407561514236082</v>
      </c>
      <c r="P21" s="87">
        <f>D21*M21*12</f>
        <v>154966.79999999999</v>
      </c>
      <c r="Q21" s="87">
        <f>D21*N21*12</f>
        <v>155618.90723491856</v>
      </c>
      <c r="R21" s="87">
        <f>Q21-P21</f>
        <v>652.10723491857061</v>
      </c>
      <c r="S21" s="188">
        <f t="shared" ref="S21:S26" si="10">N21</f>
        <v>8.9374515986054774</v>
      </c>
      <c r="U21" s="231"/>
    </row>
    <row r="22" spans="1:21" s="70" customFormat="1">
      <c r="A22" s="280"/>
      <c r="B22" s="89">
        <v>21</v>
      </c>
      <c r="C22" s="82" t="s">
        <v>17</v>
      </c>
      <c r="D22" s="83">
        <v>139</v>
      </c>
      <c r="E22" s="84">
        <f>References!$B$11</f>
        <v>2.1666666666666665</v>
      </c>
      <c r="F22" s="83">
        <f t="shared" si="2"/>
        <v>3613.9999999999995</v>
      </c>
      <c r="G22" s="91">
        <f>G8</f>
        <v>51</v>
      </c>
      <c r="H22" s="83">
        <f t="shared" si="3"/>
        <v>184313.99999999997</v>
      </c>
      <c r="I22" s="86">
        <f t="shared" si="9"/>
        <v>142477.14270383806</v>
      </c>
      <c r="J22" s="87">
        <f>References!$C$53*'DF Calc (Mason Co.)'!I22</f>
        <v>91.897757043976497</v>
      </c>
      <c r="K22" s="87">
        <f>J22/References!$G$56</f>
        <v>93.703899710904182</v>
      </c>
      <c r="L22" s="87">
        <f t="shared" si="4"/>
        <v>5.6177397908215937E-2</v>
      </c>
      <c r="M22" s="88">
        <f>'Prop. Rates'!B22</f>
        <v>14.3</v>
      </c>
      <c r="N22" s="87">
        <f t="shared" si="5"/>
        <v>14.356177397908217</v>
      </c>
      <c r="O22" s="88">
        <f>'Prop. Rates'!D22</f>
        <v>14.356177397908217</v>
      </c>
      <c r="P22" s="87">
        <f t="shared" si="6"/>
        <v>23852.400000000001</v>
      </c>
      <c r="Q22" s="87">
        <f t="shared" si="7"/>
        <v>23946.103899710906</v>
      </c>
      <c r="R22" s="87">
        <f t="shared" si="8"/>
        <v>93.703899710904807</v>
      </c>
      <c r="S22" s="188">
        <f t="shared" si="10"/>
        <v>14.356177397908217</v>
      </c>
      <c r="U22" s="231"/>
    </row>
    <row r="23" spans="1:21" s="70" customFormat="1">
      <c r="A23" s="280"/>
      <c r="B23" s="89">
        <v>21</v>
      </c>
      <c r="C23" s="82" t="s">
        <v>18</v>
      </c>
      <c r="D23" s="83">
        <v>469</v>
      </c>
      <c r="E23" s="84">
        <f>References!$B$11</f>
        <v>2.1666666666666665</v>
      </c>
      <c r="F23" s="83">
        <f t="shared" si="2"/>
        <v>12194</v>
      </c>
      <c r="G23" s="91">
        <f>References!B23</f>
        <v>37</v>
      </c>
      <c r="H23" s="83">
        <f t="shared" si="3"/>
        <v>451178</v>
      </c>
      <c r="I23" s="86">
        <f t="shared" si="9"/>
        <v>348766.51958523097</v>
      </c>
      <c r="J23" s="87">
        <f>References!$C$53*'DF Calc (Mason Co.)'!I23</f>
        <v>224.9544051324763</v>
      </c>
      <c r="K23" s="87">
        <f>J23/References!$G$56</f>
        <v>229.37562021206384</v>
      </c>
      <c r="L23" s="87">
        <f t="shared" si="4"/>
        <v>4.0756151423607646E-2</v>
      </c>
      <c r="M23" s="88">
        <f>'Prop. Rates'!B31</f>
        <v>10.63</v>
      </c>
      <c r="N23" s="87">
        <f t="shared" si="5"/>
        <v>10.670756151423609</v>
      </c>
      <c r="O23" s="88">
        <f>'Prop. Rates'!D31</f>
        <v>10.667451598605478</v>
      </c>
      <c r="P23" s="87">
        <f t="shared" si="6"/>
        <v>59825.64</v>
      </c>
      <c r="Q23" s="87">
        <f>D23*N23*12</f>
        <v>60055.015620212071</v>
      </c>
      <c r="R23" s="87">
        <f t="shared" si="8"/>
        <v>229.37562021207123</v>
      </c>
      <c r="S23" s="188">
        <f t="shared" si="10"/>
        <v>10.670756151423609</v>
      </c>
      <c r="U23" s="231"/>
    </row>
    <row r="24" spans="1:21" s="70" customFormat="1">
      <c r="A24" s="280"/>
      <c r="B24" s="89">
        <v>21</v>
      </c>
      <c r="C24" s="82" t="s">
        <v>19</v>
      </c>
      <c r="D24" s="83">
        <v>104</v>
      </c>
      <c r="E24" s="84">
        <f>References!$B$11</f>
        <v>2.1666666666666665</v>
      </c>
      <c r="F24" s="83">
        <f t="shared" si="2"/>
        <v>2704</v>
      </c>
      <c r="G24" s="91">
        <f>References!B24</f>
        <v>48</v>
      </c>
      <c r="H24" s="83">
        <f t="shared" si="3"/>
        <v>129792</v>
      </c>
      <c r="I24" s="86">
        <f t="shared" si="9"/>
        <v>100330.92063444205</v>
      </c>
      <c r="J24" s="87">
        <f>References!$C$53*'DF Calc (Mason Co.)'!I24</f>
        <v>64.713443809215789</v>
      </c>
      <c r="K24" s="87">
        <f>J24/References!$G$56</f>
        <v>65.98531067242682</v>
      </c>
      <c r="L24" s="87">
        <f t="shared" si="4"/>
        <v>5.2872845090085593E-2</v>
      </c>
      <c r="M24" s="88">
        <f>'Prop. Rates'!B32</f>
        <v>14.07</v>
      </c>
      <c r="N24" s="87">
        <f t="shared" si="5"/>
        <v>14.122872845090086</v>
      </c>
      <c r="O24" s="88">
        <f>'Prop. Rates'!D32</f>
        <v>14.122872845090086</v>
      </c>
      <c r="P24" s="87">
        <f t="shared" si="6"/>
        <v>17559.36</v>
      </c>
      <c r="Q24" s="87">
        <f t="shared" si="7"/>
        <v>17625.345310672426</v>
      </c>
      <c r="R24" s="87">
        <f t="shared" si="8"/>
        <v>65.98531067242584</v>
      </c>
      <c r="S24" s="188">
        <f t="shared" si="10"/>
        <v>14.122872845090086</v>
      </c>
      <c r="U24" s="231"/>
    </row>
    <row r="25" spans="1:21" s="70" customFormat="1">
      <c r="A25" s="280"/>
      <c r="B25" s="89">
        <v>21</v>
      </c>
      <c r="C25" s="82" t="s">
        <v>20</v>
      </c>
      <c r="D25" s="83">
        <v>92</v>
      </c>
      <c r="E25" s="84">
        <f>References!$B$11</f>
        <v>2.1666666666666665</v>
      </c>
      <c r="F25" s="83">
        <f t="shared" si="2"/>
        <v>2392</v>
      </c>
      <c r="G25" s="91">
        <f>References!B25</f>
        <v>51</v>
      </c>
      <c r="H25" s="83">
        <f t="shared" si="3"/>
        <v>121992</v>
      </c>
      <c r="I25" s="86">
        <f t="shared" si="9"/>
        <v>94301.418192468365</v>
      </c>
      <c r="J25" s="87">
        <f>References!$C$53*'DF Calc (Mason Co.)'!I25</f>
        <v>60.824414734142728</v>
      </c>
      <c r="K25" s="87">
        <f>J25/References!$G$56</f>
        <v>62.019847290670405</v>
      </c>
      <c r="L25" s="87">
        <f t="shared" si="4"/>
        <v>5.6177397908215944E-2</v>
      </c>
      <c r="M25" s="88">
        <f>'Prop. Rates'!B33</f>
        <v>16.809999999999999</v>
      </c>
      <c r="N25" s="87">
        <f t="shared" si="5"/>
        <v>16.866177397908213</v>
      </c>
      <c r="O25" s="88">
        <f>'Prop. Rates'!D33</f>
        <v>16.866177397908213</v>
      </c>
      <c r="P25" s="87">
        <f t="shared" si="6"/>
        <v>18558.239999999998</v>
      </c>
      <c r="Q25" s="87">
        <f t="shared" si="7"/>
        <v>18620.259847290668</v>
      </c>
      <c r="R25" s="87">
        <f t="shared" si="8"/>
        <v>62.019847290670441</v>
      </c>
      <c r="S25" s="188">
        <f t="shared" si="10"/>
        <v>16.866177397908213</v>
      </c>
      <c r="U25" s="231"/>
    </row>
    <row r="26" spans="1:21" s="70" customFormat="1">
      <c r="A26" s="280"/>
      <c r="B26" s="89">
        <v>21</v>
      </c>
      <c r="C26" s="82" t="s">
        <v>21</v>
      </c>
      <c r="D26" s="83">
        <v>32</v>
      </c>
      <c r="E26" s="84">
        <f>References!$B$11</f>
        <v>2.1666666666666665</v>
      </c>
      <c r="F26" s="83">
        <f t="shared" si="2"/>
        <v>832</v>
      </c>
      <c r="G26" s="91">
        <f>References!B26</f>
        <v>77</v>
      </c>
      <c r="H26" s="83">
        <f t="shared" si="3"/>
        <v>64064</v>
      </c>
      <c r="I26" s="86">
        <f t="shared" si="9"/>
        <v>49522.313390077165</v>
      </c>
      <c r="J26" s="87">
        <f>References!$C$53*'DF Calc (Mason Co.)'!I26</f>
        <v>31.941892136600103</v>
      </c>
      <c r="K26" s="87">
        <f>J26/References!$G$56</f>
        <v>32.569672575492724</v>
      </c>
      <c r="L26" s="87">
        <f t="shared" si="4"/>
        <v>8.4816855665345636E-2</v>
      </c>
      <c r="M26" s="88">
        <f>'Prop. Rates'!B34</f>
        <v>21</v>
      </c>
      <c r="N26" s="87">
        <f t="shared" si="5"/>
        <v>21.084816855665345</v>
      </c>
      <c r="O26" s="88">
        <f>'Prop. Rates'!D34</f>
        <v>21.084816855665345</v>
      </c>
      <c r="P26" s="87">
        <f t="shared" si="6"/>
        <v>8064</v>
      </c>
      <c r="Q26" s="87">
        <f t="shared" si="7"/>
        <v>8096.5696725754924</v>
      </c>
      <c r="R26" s="87">
        <f t="shared" si="8"/>
        <v>32.569672575492405</v>
      </c>
      <c r="S26" s="188">
        <f t="shared" si="10"/>
        <v>21.084816855665345</v>
      </c>
      <c r="U26" s="231"/>
    </row>
    <row r="27" spans="1:21" s="70" customFormat="1">
      <c r="A27" s="280"/>
      <c r="B27" s="89"/>
      <c r="C27" s="82"/>
      <c r="D27" s="83"/>
      <c r="E27" s="84"/>
      <c r="F27" s="83"/>
      <c r="G27" s="91"/>
      <c r="H27" s="83"/>
      <c r="I27" s="86"/>
      <c r="J27" s="87"/>
      <c r="K27" s="87"/>
      <c r="L27" s="87"/>
      <c r="M27" s="88"/>
      <c r="N27" s="87"/>
      <c r="O27" s="88"/>
      <c r="P27" s="87"/>
      <c r="Q27" s="87"/>
      <c r="R27" s="87"/>
      <c r="S27" s="188"/>
      <c r="U27" s="231"/>
    </row>
    <row r="28" spans="1:21" s="70" customFormat="1">
      <c r="A28" s="280"/>
      <c r="B28" s="89">
        <v>21</v>
      </c>
      <c r="C28" s="82" t="s">
        <v>22</v>
      </c>
      <c r="D28" s="83">
        <v>215</v>
      </c>
      <c r="E28" s="84">
        <f>References!$B$12</f>
        <v>1</v>
      </c>
      <c r="F28" s="83">
        <f t="shared" si="2"/>
        <v>2580</v>
      </c>
      <c r="G28" s="91">
        <f>References!B17</f>
        <v>34</v>
      </c>
      <c r="H28" s="83">
        <f t="shared" si="3"/>
        <v>87720</v>
      </c>
      <c r="I28" s="86">
        <f>$C$93*H28</f>
        <v>67808.712078196317</v>
      </c>
      <c r="J28" s="87">
        <f>References!$C$53*'DF Calc (Mason Co.)'!I28</f>
        <v>43.736619290437076</v>
      </c>
      <c r="K28" s="87">
        <f>J28/References!$G$56</f>
        <v>44.596211262522196</v>
      </c>
      <c r="L28" s="87">
        <f t="shared" si="4"/>
        <v>1.7285353202527984E-2</v>
      </c>
      <c r="M28" s="88">
        <f>'Prop. Rates'!B23</f>
        <v>4.92</v>
      </c>
      <c r="N28" s="87">
        <f t="shared" si="5"/>
        <v>4.9372853532025278</v>
      </c>
      <c r="O28" s="88">
        <f>'Prop. Rates'!D23</f>
        <v>4.9372853532025278</v>
      </c>
      <c r="P28" s="87">
        <f t="shared" si="6"/>
        <v>12693.599999999999</v>
      </c>
      <c r="Q28" s="87">
        <f t="shared" si="7"/>
        <v>12738.196211262521</v>
      </c>
      <c r="R28" s="87">
        <f t="shared" si="8"/>
        <v>44.596211262522047</v>
      </c>
      <c r="S28" s="188">
        <f>N28</f>
        <v>4.9372853532025278</v>
      </c>
      <c r="U28" s="231"/>
    </row>
    <row r="29" spans="1:21" s="70" customFormat="1">
      <c r="A29" s="280"/>
      <c r="B29" s="89">
        <v>21</v>
      </c>
      <c r="C29" s="82" t="s">
        <v>23</v>
      </c>
      <c r="D29" s="83">
        <v>63</v>
      </c>
      <c r="E29" s="84">
        <f>References!$B$12</f>
        <v>1</v>
      </c>
      <c r="F29" s="83">
        <f t="shared" si="2"/>
        <v>756</v>
      </c>
      <c r="G29" s="91">
        <f>References!B23</f>
        <v>37</v>
      </c>
      <c r="H29" s="83">
        <f t="shared" si="3"/>
        <v>27972</v>
      </c>
      <c r="I29" s="86">
        <f>$C$93*H29</f>
        <v>21622.723372677923</v>
      </c>
      <c r="J29" s="87">
        <f>References!$C$53*'DF Calc (Mason Co.)'!I29</f>
        <v>13.946656575377405</v>
      </c>
      <c r="K29" s="87">
        <f>J29/References!$G$56</f>
        <v>14.220761758268022</v>
      </c>
      <c r="L29" s="87">
        <f t="shared" si="4"/>
        <v>1.8810531426280454E-2</v>
      </c>
      <c r="M29" s="88">
        <f>'Prop. Rates'!B35</f>
        <v>6.34</v>
      </c>
      <c r="N29" s="87">
        <f t="shared" si="5"/>
        <v>6.3588105314262799</v>
      </c>
      <c r="O29" s="88">
        <f>'Prop. Rates'!D35</f>
        <v>6.3588105314262799</v>
      </c>
      <c r="P29" s="87">
        <f t="shared" si="6"/>
        <v>4793.04</v>
      </c>
      <c r="Q29" s="87">
        <f t="shared" si="7"/>
        <v>4807.2607617582671</v>
      </c>
      <c r="R29" s="87">
        <f t="shared" si="8"/>
        <v>14.220761758267145</v>
      </c>
      <c r="S29" s="188">
        <f>N29</f>
        <v>6.3588105314262799</v>
      </c>
      <c r="U29" s="231"/>
    </row>
    <row r="30" spans="1:21" s="70" customFormat="1">
      <c r="A30" s="280"/>
      <c r="B30" s="89">
        <v>21</v>
      </c>
      <c r="C30" s="82" t="s">
        <v>24</v>
      </c>
      <c r="D30" s="83">
        <v>4</v>
      </c>
      <c r="E30" s="84">
        <f>References!$B$12</f>
        <v>1</v>
      </c>
      <c r="F30" s="83">
        <f t="shared" si="2"/>
        <v>48</v>
      </c>
      <c r="G30" s="91">
        <f>References!B24</f>
        <v>48</v>
      </c>
      <c r="H30" s="83">
        <f t="shared" si="3"/>
        <v>2304</v>
      </c>
      <c r="I30" s="86">
        <f>$C$93*H30</f>
        <v>1781.022259782995</v>
      </c>
      <c r="J30" s="87">
        <f>References!$C$53*'DF Calc (Mason Co.)'!I30</f>
        <v>1.1487593575600437</v>
      </c>
      <c r="K30" s="87">
        <f>J30/References!$G$56</f>
        <v>1.1713368758418963</v>
      </c>
      <c r="L30" s="87">
        <f t="shared" si="4"/>
        <v>2.4402851580039506E-2</v>
      </c>
      <c r="M30" s="88">
        <f>'Prop. Rates'!B36</f>
        <v>7.95</v>
      </c>
      <c r="N30" s="87">
        <f t="shared" si="5"/>
        <v>7.9744028515800398</v>
      </c>
      <c r="O30" s="88">
        <f>'Prop. Rates'!D36</f>
        <v>7.9744028515800398</v>
      </c>
      <c r="P30" s="87">
        <f t="shared" si="6"/>
        <v>381.6</v>
      </c>
      <c r="Q30" s="87">
        <f t="shared" si="7"/>
        <v>382.77133687584194</v>
      </c>
      <c r="R30" s="87">
        <f t="shared" si="8"/>
        <v>1.1713368758419165</v>
      </c>
      <c r="S30" s="188">
        <f>N30</f>
        <v>7.9744028515800398</v>
      </c>
      <c r="U30" s="231"/>
    </row>
    <row r="31" spans="1:21" s="70" customFormat="1">
      <c r="A31" s="280"/>
      <c r="B31" s="89">
        <v>21</v>
      </c>
      <c r="C31" s="82" t="s">
        <v>25</v>
      </c>
      <c r="D31" s="83">
        <v>4</v>
      </c>
      <c r="E31" s="84">
        <f>References!$B$12</f>
        <v>1</v>
      </c>
      <c r="F31" s="83">
        <f t="shared" si="2"/>
        <v>48</v>
      </c>
      <c r="G31" s="91">
        <f>References!B25</f>
        <v>51</v>
      </c>
      <c r="H31" s="83">
        <f t="shared" si="3"/>
        <v>2448</v>
      </c>
      <c r="I31" s="86">
        <f>$C$93*H31</f>
        <v>1892.3361510194322</v>
      </c>
      <c r="J31" s="87">
        <f>References!$C$53*'DF Calc (Mason Co.)'!I31</f>
        <v>1.2205568174075465</v>
      </c>
      <c r="K31" s="87">
        <f>J31/References!$G$56</f>
        <v>1.2445454305820149</v>
      </c>
      <c r="L31" s="87">
        <f t="shared" si="4"/>
        <v>2.5928029803791979E-2</v>
      </c>
      <c r="M31" s="88">
        <f>'Prop. Rates'!B37</f>
        <v>9.39</v>
      </c>
      <c r="N31" s="87">
        <f t="shared" si="5"/>
        <v>9.4159280298037924</v>
      </c>
      <c r="O31" s="88">
        <f>'Prop. Rates'!D37</f>
        <v>9.4159280298037924</v>
      </c>
      <c r="P31" s="87">
        <f t="shared" si="6"/>
        <v>450.72</v>
      </c>
      <c r="Q31" s="87">
        <f t="shared" si="7"/>
        <v>451.96454543058201</v>
      </c>
      <c r="R31" s="87">
        <f t="shared" si="8"/>
        <v>1.2445454305819794</v>
      </c>
      <c r="S31" s="188">
        <f>N31</f>
        <v>9.4159280298037924</v>
      </c>
      <c r="U31" s="231"/>
    </row>
    <row r="32" spans="1:21" s="70" customFormat="1">
      <c r="A32" s="280"/>
      <c r="B32" s="89">
        <v>21</v>
      </c>
      <c r="C32" s="82" t="s">
        <v>26</v>
      </c>
      <c r="D32" s="83">
        <v>6</v>
      </c>
      <c r="E32" s="84">
        <f>References!$B$12</f>
        <v>1</v>
      </c>
      <c r="F32" s="83">
        <f t="shared" si="2"/>
        <v>72</v>
      </c>
      <c r="G32" s="91">
        <f>References!B26</f>
        <v>77</v>
      </c>
      <c r="H32" s="83">
        <f t="shared" si="3"/>
        <v>5544</v>
      </c>
      <c r="I32" s="86">
        <f>$C$93*H32</f>
        <v>4285.5848126028313</v>
      </c>
      <c r="J32" s="87">
        <f>References!$C$53*'DF Calc (Mason Co.)'!I32</f>
        <v>2.7642022041288548</v>
      </c>
      <c r="K32" s="87">
        <f>J32/References!$G$56</f>
        <v>2.8185293574945627</v>
      </c>
      <c r="L32" s="87">
        <f t="shared" si="4"/>
        <v>3.9146241076313371E-2</v>
      </c>
      <c r="M32" s="88">
        <f>'Prop. Rates'!B38</f>
        <v>11.55</v>
      </c>
      <c r="N32" s="87">
        <f t="shared" si="5"/>
        <v>11.589146241076314</v>
      </c>
      <c r="O32" s="88">
        <f>'Prop. Rates'!D38</f>
        <v>11.589146241076314</v>
      </c>
      <c r="P32" s="87">
        <f t="shared" si="6"/>
        <v>831.60000000000014</v>
      </c>
      <c r="Q32" s="87">
        <f t="shared" si="7"/>
        <v>834.41852935749466</v>
      </c>
      <c r="R32" s="87">
        <f t="shared" si="8"/>
        <v>2.8185293574945263</v>
      </c>
      <c r="S32" s="188">
        <f>N32</f>
        <v>11.589146241076314</v>
      </c>
      <c r="U32" s="231"/>
    </row>
    <row r="33" spans="1:21" s="70" customFormat="1">
      <c r="A33" s="280"/>
      <c r="B33" s="89"/>
      <c r="C33" s="82"/>
      <c r="D33" s="83"/>
      <c r="E33" s="84"/>
      <c r="F33" s="83"/>
      <c r="G33" s="91"/>
      <c r="H33" s="83"/>
      <c r="I33" s="86"/>
      <c r="J33" s="87"/>
      <c r="K33" s="87"/>
      <c r="L33" s="87"/>
      <c r="M33" s="88"/>
      <c r="N33" s="87"/>
      <c r="O33" s="88"/>
      <c r="P33" s="87"/>
      <c r="Q33" s="87"/>
      <c r="R33" s="87"/>
      <c r="S33" s="188"/>
      <c r="U33" s="231"/>
    </row>
    <row r="34" spans="1:21" s="70" customFormat="1">
      <c r="A34" s="280"/>
      <c r="B34" s="89">
        <v>22</v>
      </c>
      <c r="C34" s="156" t="s">
        <v>27</v>
      </c>
      <c r="D34" s="19">
        <v>267</v>
      </c>
      <c r="E34" s="84">
        <f>References!$B$12</f>
        <v>1</v>
      </c>
      <c r="F34" s="83">
        <f t="shared" si="2"/>
        <v>3204</v>
      </c>
      <c r="G34" s="85">
        <f>References!B17</f>
        <v>34</v>
      </c>
      <c r="H34" s="83">
        <f t="shared" si="3"/>
        <v>108936</v>
      </c>
      <c r="I34" s="86">
        <f t="shared" ref="I34:I40" si="11">$C$93*H34</f>
        <v>84208.958720364739</v>
      </c>
      <c r="J34" s="87">
        <f>References!$C$53*'DF Calc (Mason Co.)'!I34</f>
        <v>54.314778374635821</v>
      </c>
      <c r="K34" s="87">
        <f>J34/References!$G$56</f>
        <v>55.382271660899661</v>
      </c>
      <c r="L34" s="87">
        <f>K34/F34</f>
        <v>1.7285353202527984E-2</v>
      </c>
      <c r="M34" s="88">
        <f>'Prop. Rates'!B69</f>
        <v>4.92</v>
      </c>
      <c r="N34" s="87">
        <f t="shared" si="5"/>
        <v>4.9372853532025278</v>
      </c>
      <c r="O34" s="88">
        <f>'Prop. Rates'!D69</f>
        <v>4.9372853532025278</v>
      </c>
      <c r="P34" s="87">
        <f>F34*M34</f>
        <v>15763.68</v>
      </c>
      <c r="Q34" s="87">
        <f>F34*O34</f>
        <v>15819.0622716609</v>
      </c>
      <c r="R34" s="87">
        <f t="shared" si="8"/>
        <v>55.382271660899278</v>
      </c>
      <c r="S34" s="188">
        <f t="shared" ref="S34:S40" si="12">N34</f>
        <v>4.9372853532025278</v>
      </c>
      <c r="U34" s="231"/>
    </row>
    <row r="35" spans="1:21" s="70" customFormat="1">
      <c r="A35" s="280"/>
      <c r="B35" s="89">
        <v>22</v>
      </c>
      <c r="C35" s="156" t="s">
        <v>28</v>
      </c>
      <c r="D35" s="19">
        <v>98</v>
      </c>
      <c r="E35" s="84">
        <f>References!$B$12</f>
        <v>1</v>
      </c>
      <c r="F35" s="83">
        <f t="shared" si="2"/>
        <v>1176</v>
      </c>
      <c r="G35" s="91">
        <f>References!B23</f>
        <v>37</v>
      </c>
      <c r="H35" s="83">
        <f t="shared" si="3"/>
        <v>43512</v>
      </c>
      <c r="I35" s="86">
        <f t="shared" si="11"/>
        <v>33635.347468610104</v>
      </c>
      <c r="J35" s="87">
        <f>References!$C$53*'DF Calc (Mason Co.)'!I35</f>
        <v>21.694799117253741</v>
      </c>
      <c r="K35" s="87">
        <f>J35/References!$G$56</f>
        <v>22.121184957305811</v>
      </c>
      <c r="L35" s="87">
        <f t="shared" ref="L35:L40" si="13">K35/F35</f>
        <v>1.881053142628045E-2</v>
      </c>
      <c r="M35" s="88">
        <f>'Prop. Rates'!B71</f>
        <v>6.34</v>
      </c>
      <c r="N35" s="87">
        <f t="shared" si="5"/>
        <v>6.3588105314262799</v>
      </c>
      <c r="O35" s="88">
        <f>'Prop. Rates'!D71</f>
        <v>6.3588105314262799</v>
      </c>
      <c r="P35" s="87">
        <f t="shared" ref="P35:P40" si="14">F35*M35</f>
        <v>7455.84</v>
      </c>
      <c r="Q35" s="87">
        <f t="shared" ref="Q35:Q40" si="15">F35*O35</f>
        <v>7477.9611849573048</v>
      </c>
      <c r="R35" s="87">
        <f t="shared" si="8"/>
        <v>22.121184957304649</v>
      </c>
      <c r="S35" s="188">
        <f t="shared" si="12"/>
        <v>6.3588105314262799</v>
      </c>
      <c r="U35" s="231"/>
    </row>
    <row r="36" spans="1:21" s="70" customFormat="1">
      <c r="A36" s="280"/>
      <c r="B36" s="89">
        <v>22</v>
      </c>
      <c r="C36" s="156" t="s">
        <v>29</v>
      </c>
      <c r="D36" s="19">
        <v>12</v>
      </c>
      <c r="E36" s="84">
        <f>References!$B$12</f>
        <v>1</v>
      </c>
      <c r="F36" s="83">
        <f t="shared" si="2"/>
        <v>144</v>
      </c>
      <c r="G36" s="91">
        <f>References!B24</f>
        <v>48</v>
      </c>
      <c r="H36" s="83">
        <f t="shared" si="3"/>
        <v>6912</v>
      </c>
      <c r="I36" s="86">
        <f t="shared" si="11"/>
        <v>5343.0667793489847</v>
      </c>
      <c r="J36" s="87">
        <f>References!$C$53*'DF Calc (Mason Co.)'!I36</f>
        <v>3.4462780726801308</v>
      </c>
      <c r="K36" s="87">
        <f>J36/References!$G$56</f>
        <v>3.5140106275256886</v>
      </c>
      <c r="L36" s="87">
        <f t="shared" si="13"/>
        <v>2.4402851580039506E-2</v>
      </c>
      <c r="M36" s="88">
        <f>'Prop. Rates'!B72</f>
        <v>7.95</v>
      </c>
      <c r="N36" s="87">
        <f t="shared" si="5"/>
        <v>7.9744028515800398</v>
      </c>
      <c r="O36" s="88">
        <f>'Prop. Rates'!D72</f>
        <v>7.9744028515800398</v>
      </c>
      <c r="P36" s="87">
        <f t="shared" si="14"/>
        <v>1144.8</v>
      </c>
      <c r="Q36" s="87">
        <f t="shared" si="15"/>
        <v>1148.3140106275257</v>
      </c>
      <c r="R36" s="87">
        <f t="shared" si="8"/>
        <v>3.5140106275257494</v>
      </c>
      <c r="S36" s="188">
        <f t="shared" si="12"/>
        <v>7.9744028515800398</v>
      </c>
      <c r="U36" s="231"/>
    </row>
    <row r="37" spans="1:21" s="70" customFormat="1">
      <c r="A37" s="280"/>
      <c r="B37" s="89">
        <v>22</v>
      </c>
      <c r="C37" s="156" t="s">
        <v>30</v>
      </c>
      <c r="D37" s="19">
        <v>15</v>
      </c>
      <c r="E37" s="84">
        <f>References!$B$12</f>
        <v>1</v>
      </c>
      <c r="F37" s="83">
        <f t="shared" si="2"/>
        <v>180</v>
      </c>
      <c r="G37" s="85">
        <f>References!B25</f>
        <v>51</v>
      </c>
      <c r="H37" s="83">
        <f t="shared" si="3"/>
        <v>9180</v>
      </c>
      <c r="I37" s="86">
        <f t="shared" si="11"/>
        <v>7096.2605663228705</v>
      </c>
      <c r="J37" s="87">
        <f>References!$C$53*'DF Calc (Mason Co.)'!I37</f>
        <v>4.577088065278299</v>
      </c>
      <c r="K37" s="87">
        <f>J37/References!$G$56</f>
        <v>4.6670453646825552</v>
      </c>
      <c r="L37" s="87">
        <f t="shared" si="13"/>
        <v>2.5928029803791972E-2</v>
      </c>
      <c r="M37" s="88">
        <f>'Prop. Rates'!B73</f>
        <v>9.39</v>
      </c>
      <c r="N37" s="87">
        <f t="shared" si="5"/>
        <v>9.4159280298037924</v>
      </c>
      <c r="O37" s="88">
        <f>'Prop. Rates'!D73</f>
        <v>9.4159280298037924</v>
      </c>
      <c r="P37" s="87">
        <f t="shared" si="14"/>
        <v>1690.2</v>
      </c>
      <c r="Q37" s="87">
        <f t="shared" si="15"/>
        <v>1694.8670453646826</v>
      </c>
      <c r="R37" s="87">
        <f t="shared" si="8"/>
        <v>4.6670453646825081</v>
      </c>
      <c r="S37" s="188">
        <f t="shared" si="12"/>
        <v>9.4159280298037924</v>
      </c>
      <c r="U37" s="231"/>
    </row>
    <row r="38" spans="1:21" s="70" customFormat="1">
      <c r="A38" s="280"/>
      <c r="B38" s="89">
        <v>22</v>
      </c>
      <c r="C38" s="156" t="s">
        <v>31</v>
      </c>
      <c r="D38" s="19">
        <v>6</v>
      </c>
      <c r="E38" s="84">
        <f>References!$B$12</f>
        <v>1</v>
      </c>
      <c r="F38" s="83">
        <f t="shared" si="2"/>
        <v>72</v>
      </c>
      <c r="G38" s="85">
        <f>References!B26</f>
        <v>77</v>
      </c>
      <c r="H38" s="83">
        <f t="shared" si="3"/>
        <v>5544</v>
      </c>
      <c r="I38" s="86">
        <f t="shared" si="11"/>
        <v>4285.5848126028313</v>
      </c>
      <c r="J38" s="87">
        <f>References!$C$53*'DF Calc (Mason Co.)'!I38</f>
        <v>2.7642022041288548</v>
      </c>
      <c r="K38" s="87">
        <f>J38/References!$G$56</f>
        <v>2.8185293574945627</v>
      </c>
      <c r="L38" s="87">
        <f t="shared" si="13"/>
        <v>3.9146241076313371E-2</v>
      </c>
      <c r="M38" s="88">
        <f>'Prop. Rates'!B74</f>
        <v>11.55</v>
      </c>
      <c r="N38" s="87">
        <f t="shared" si="5"/>
        <v>11.589146241076314</v>
      </c>
      <c r="O38" s="88">
        <f>'Prop. Rates'!D74</f>
        <v>11.589146241076314</v>
      </c>
      <c r="P38" s="87">
        <f t="shared" si="14"/>
        <v>831.6</v>
      </c>
      <c r="Q38" s="87">
        <f t="shared" si="15"/>
        <v>834.41852935749466</v>
      </c>
      <c r="R38" s="87">
        <f t="shared" si="8"/>
        <v>2.81852935749464</v>
      </c>
      <c r="S38" s="188">
        <f t="shared" si="12"/>
        <v>11.589146241076314</v>
      </c>
      <c r="U38" s="231"/>
    </row>
    <row r="39" spans="1:21" s="70" customFormat="1">
      <c r="A39" s="280"/>
      <c r="B39" s="89">
        <v>22</v>
      </c>
      <c r="C39" s="156" t="s">
        <v>33</v>
      </c>
      <c r="D39" s="19">
        <v>1019</v>
      </c>
      <c r="E39" s="84">
        <f>References!$B$12</f>
        <v>1</v>
      </c>
      <c r="F39" s="83">
        <f t="shared" si="2"/>
        <v>12228</v>
      </c>
      <c r="G39" s="85">
        <f>References!B28</f>
        <v>34</v>
      </c>
      <c r="H39" s="83">
        <f t="shared" si="3"/>
        <v>415752</v>
      </c>
      <c r="I39" s="86">
        <f t="shared" si="11"/>
        <v>321381.75631480024</v>
      </c>
      <c r="J39" s="87">
        <f>References!$C$53*'DF Calc (Mason Co.)'!I39</f>
        <v>207.29123282304829</v>
      </c>
      <c r="K39" s="87">
        <f>J39/References!$G$56</f>
        <v>211.36529896051218</v>
      </c>
      <c r="L39" s="87">
        <f t="shared" si="13"/>
        <v>1.7285353202527984E-2</v>
      </c>
      <c r="M39" s="88">
        <f>'Prop. Rates'!B68</f>
        <v>4.4000000000000004</v>
      </c>
      <c r="N39" s="87">
        <f t="shared" si="5"/>
        <v>4.4172853532025282</v>
      </c>
      <c r="O39" s="88">
        <f>'Prop. Rates'!D68</f>
        <v>4.4172853532025282</v>
      </c>
      <c r="P39" s="87">
        <f t="shared" si="14"/>
        <v>53803.200000000004</v>
      </c>
      <c r="Q39" s="87">
        <f t="shared" si="15"/>
        <v>54014.565298960515</v>
      </c>
      <c r="R39" s="87">
        <f t="shared" si="8"/>
        <v>211.3652989605107</v>
      </c>
      <c r="S39" s="188">
        <f t="shared" si="12"/>
        <v>4.4172853532025282</v>
      </c>
      <c r="U39" s="231"/>
    </row>
    <row r="40" spans="1:21" s="70" customFormat="1">
      <c r="A40" s="280"/>
      <c r="B40" s="89">
        <v>22</v>
      </c>
      <c r="C40" s="156" t="s">
        <v>34</v>
      </c>
      <c r="D40" s="19">
        <v>96</v>
      </c>
      <c r="E40" s="84">
        <f>References!$B$12</f>
        <v>1</v>
      </c>
      <c r="F40" s="83">
        <f t="shared" si="2"/>
        <v>1152</v>
      </c>
      <c r="G40" s="85">
        <f>References!B28</f>
        <v>34</v>
      </c>
      <c r="H40" s="83">
        <f t="shared" si="3"/>
        <v>39168</v>
      </c>
      <c r="I40" s="86">
        <f t="shared" si="11"/>
        <v>30277.378416310916</v>
      </c>
      <c r="J40" s="87">
        <f>References!$C$53*'DF Calc (Mason Co.)'!I40</f>
        <v>19.528909078520744</v>
      </c>
      <c r="K40" s="87">
        <f>J40/References!$G$56</f>
        <v>19.912726889312239</v>
      </c>
      <c r="L40" s="87">
        <f t="shared" si="13"/>
        <v>1.7285353202527984E-2</v>
      </c>
      <c r="M40" s="88">
        <f>'Prop. Rates'!B68</f>
        <v>4.4000000000000004</v>
      </c>
      <c r="N40" s="87">
        <f t="shared" si="5"/>
        <v>4.4172853532025282</v>
      </c>
      <c r="O40" s="88">
        <f>'Prop. Rates'!D68</f>
        <v>4.4172853532025282</v>
      </c>
      <c r="P40" s="87">
        <f t="shared" si="14"/>
        <v>5068.8</v>
      </c>
      <c r="Q40" s="87">
        <f t="shared" si="15"/>
        <v>5088.7127268893128</v>
      </c>
      <c r="R40" s="87">
        <f t="shared" si="8"/>
        <v>19.91272688931258</v>
      </c>
      <c r="S40" s="188">
        <f t="shared" si="12"/>
        <v>4.4172853532025282</v>
      </c>
      <c r="U40" s="231"/>
    </row>
    <row r="41" spans="1:21" s="70" customFormat="1">
      <c r="A41" s="280"/>
      <c r="B41" s="89"/>
      <c r="C41" s="81"/>
      <c r="D41" s="19"/>
      <c r="E41" s="84"/>
      <c r="F41" s="83"/>
      <c r="G41" s="91"/>
      <c r="H41" s="83"/>
      <c r="I41" s="86"/>
      <c r="J41" s="87"/>
      <c r="K41" s="87"/>
      <c r="L41" s="87"/>
      <c r="M41" s="92"/>
      <c r="N41" s="87"/>
      <c r="O41" s="87"/>
      <c r="P41" s="87"/>
      <c r="Q41" s="87"/>
      <c r="R41" s="87"/>
      <c r="S41" s="188"/>
    </row>
    <row r="42" spans="1:21" s="70" customFormat="1">
      <c r="A42" s="170"/>
      <c r="B42" s="171"/>
      <c r="C42" s="172" t="s">
        <v>36</v>
      </c>
      <c r="D42" s="173">
        <f>SUM(D6:D41)</f>
        <v>8873</v>
      </c>
      <c r="E42" s="174"/>
      <c r="F42" s="175">
        <f>SUM(F6:F41)</f>
        <v>329734</v>
      </c>
      <c r="G42" s="176"/>
      <c r="H42" s="177">
        <f>SUM(H6:H41)</f>
        <v>13113624</v>
      </c>
      <c r="I42" s="178">
        <f>SUM(I6:I41)</f>
        <v>10137003.580913421</v>
      </c>
      <c r="J42" s="179"/>
      <c r="K42" s="179"/>
      <c r="L42" s="179"/>
      <c r="M42" s="179"/>
      <c r="N42" s="179"/>
      <c r="O42" s="179"/>
      <c r="P42" s="180">
        <f>SUM(P6:P41)</f>
        <v>1471076.2800000003</v>
      </c>
      <c r="Q42" s="180">
        <f>SUM(Q6:Q41)</f>
        <v>1477743.1512530926</v>
      </c>
      <c r="R42" s="180">
        <f>SUM(R6:R41)</f>
        <v>6666.8712530925459</v>
      </c>
      <c r="S42" s="180"/>
    </row>
    <row r="43" spans="1:21" s="70" customFormat="1" ht="15" customHeight="1">
      <c r="A43" s="281" t="s">
        <v>187</v>
      </c>
      <c r="B43" s="89"/>
      <c r="C43" s="93" t="s">
        <v>38</v>
      </c>
      <c r="D43" s="83">
        <v>141</v>
      </c>
      <c r="E43" s="84">
        <f>References!$B$12</f>
        <v>1</v>
      </c>
      <c r="F43" s="83">
        <f t="shared" ref="F43:F49" si="16">D43*E43*12</f>
        <v>1692</v>
      </c>
      <c r="G43" s="91">
        <f>References!B30</f>
        <v>29</v>
      </c>
      <c r="H43" s="95">
        <f>F43*G43</f>
        <v>49068</v>
      </c>
      <c r="I43" s="86">
        <f t="shared" ref="I43:I49" si="17">$C$93*H43</f>
        <v>37930.208438815971</v>
      </c>
      <c r="J43" s="87">
        <f>References!$C$53*'DF Calc (Mason Co.)'!I43</f>
        <v>24.464984443036556</v>
      </c>
      <c r="K43" s="87">
        <f>J43/References!$G$56</f>
        <v>24.945815027695385</v>
      </c>
      <c r="L43" s="87">
        <f>K43/F43</f>
        <v>1.4743389496273868E-2</v>
      </c>
      <c r="M43" s="87">
        <f>'Prop. Rates'!B149</f>
        <v>4.6399999999999997</v>
      </c>
      <c r="N43" s="87">
        <f>L43+M43</f>
        <v>4.6547433894962733</v>
      </c>
      <c r="O43" s="96">
        <f>'Prop. Rates'!D149</f>
        <v>4.6547433894962733</v>
      </c>
      <c r="P43" s="87">
        <f t="shared" ref="P43:P49" si="18">F43*M43</f>
        <v>7850.8799999999992</v>
      </c>
      <c r="Q43" s="87">
        <f t="shared" ref="Q43:Q49" si="19">F43*O43</f>
        <v>7875.8258150276943</v>
      </c>
      <c r="R43" s="87">
        <f>Q43-P43</f>
        <v>24.945815027695062</v>
      </c>
      <c r="S43" s="188">
        <f t="shared" ref="S43:S49" si="20">N43</f>
        <v>4.6547433894962733</v>
      </c>
      <c r="U43" s="231"/>
    </row>
    <row r="44" spans="1:21" s="70" customFormat="1" ht="15" customHeight="1">
      <c r="A44" s="280"/>
      <c r="B44" s="89"/>
      <c r="C44" s="93" t="s">
        <v>39</v>
      </c>
      <c r="D44" s="19">
        <v>1</v>
      </c>
      <c r="E44" s="84">
        <f>References!$B$10</f>
        <v>4.333333333333333</v>
      </c>
      <c r="F44" s="83">
        <f t="shared" si="16"/>
        <v>52</v>
      </c>
      <c r="G44" s="91">
        <f>References!B31</f>
        <v>175</v>
      </c>
      <c r="H44" s="95">
        <f t="shared" ref="H44:H49" si="21">F44*G44</f>
        <v>9100</v>
      </c>
      <c r="I44" s="86">
        <f t="shared" si="17"/>
        <v>7034.419515635961</v>
      </c>
      <c r="J44" s="87">
        <f>References!$C$53*'DF Calc (Mason Co.)'!I44</f>
        <v>4.5372005875852421</v>
      </c>
      <c r="K44" s="87">
        <f>J44/References!$G$56</f>
        <v>4.6263739453824897</v>
      </c>
      <c r="L44" s="87">
        <f t="shared" ref="L44:L49" si="22">K44/F44</f>
        <v>8.8968729718894038E-2</v>
      </c>
      <c r="M44" s="87">
        <f>'Prop. Rates'!B124</f>
        <v>16.78</v>
      </c>
      <c r="N44" s="87">
        <f t="shared" ref="N44:N49" si="23">L44+M44</f>
        <v>16.868968729718894</v>
      </c>
      <c r="O44" s="96">
        <f>'Prop. Rates'!D124</f>
        <v>16.868968729718894</v>
      </c>
      <c r="P44" s="87">
        <f t="shared" si="18"/>
        <v>872.56000000000006</v>
      </c>
      <c r="Q44" s="87">
        <f t="shared" si="19"/>
        <v>877.18637394538246</v>
      </c>
      <c r="R44" s="87">
        <f t="shared" ref="R44:R49" si="24">Q44-P44</f>
        <v>4.6263739453823973</v>
      </c>
      <c r="S44" s="188">
        <f t="shared" si="20"/>
        <v>16.868968729718894</v>
      </c>
      <c r="U44" s="231"/>
    </row>
    <row r="45" spans="1:21" s="70" customFormat="1" ht="15" customHeight="1">
      <c r="A45" s="280"/>
      <c r="B45" s="89"/>
      <c r="C45" s="93" t="s">
        <v>40</v>
      </c>
      <c r="D45" s="19">
        <v>75</v>
      </c>
      <c r="E45" s="84">
        <f>References!$B$10</f>
        <v>4.333333333333333</v>
      </c>
      <c r="F45" s="83">
        <f t="shared" si="16"/>
        <v>3900</v>
      </c>
      <c r="G45" s="91">
        <f>References!B32</f>
        <v>250</v>
      </c>
      <c r="H45" s="95">
        <f t="shared" si="21"/>
        <v>975000</v>
      </c>
      <c r="I45" s="86">
        <f t="shared" si="17"/>
        <v>753687.80524671008</v>
      </c>
      <c r="J45" s="87">
        <f>References!$C$53*'DF Calc (Mason Co.)'!I45</f>
        <v>486.12863438413302</v>
      </c>
      <c r="K45" s="87">
        <f>J45/References!$G$56</f>
        <v>495.68292271955244</v>
      </c>
      <c r="L45" s="87">
        <f t="shared" si="22"/>
        <v>0.12709818531270575</v>
      </c>
      <c r="M45" s="87">
        <f>'Prop. Rates'!B125</f>
        <v>18.440000000000001</v>
      </c>
      <c r="N45" s="87">
        <f t="shared" si="23"/>
        <v>18.567098185312705</v>
      </c>
      <c r="O45" s="96">
        <f>'Prop. Rates'!D125</f>
        <v>18.567098185312705</v>
      </c>
      <c r="P45" s="87">
        <f t="shared" si="18"/>
        <v>71916</v>
      </c>
      <c r="Q45" s="87">
        <f t="shared" si="19"/>
        <v>72411.682922719556</v>
      </c>
      <c r="R45" s="87">
        <f t="shared" si="24"/>
        <v>495.68292271955579</v>
      </c>
      <c r="S45" s="188">
        <f t="shared" si="20"/>
        <v>18.567098185312705</v>
      </c>
      <c r="U45" s="231"/>
    </row>
    <row r="46" spans="1:21" s="70" customFormat="1" ht="15" customHeight="1">
      <c r="A46" s="280"/>
      <c r="B46" s="89"/>
      <c r="C46" s="93" t="s">
        <v>41</v>
      </c>
      <c r="D46" s="19">
        <f>223+8</f>
        <v>231</v>
      </c>
      <c r="E46" s="84">
        <f>References!$B$10</f>
        <v>4.333333333333333</v>
      </c>
      <c r="F46" s="83">
        <f t="shared" si="16"/>
        <v>12011.999999999998</v>
      </c>
      <c r="G46" s="91">
        <f>References!B33</f>
        <v>324</v>
      </c>
      <c r="H46" s="95">
        <f t="shared" si="21"/>
        <v>3891887.9999999995</v>
      </c>
      <c r="I46" s="86">
        <f t="shared" si="17"/>
        <v>3008480.5384471877</v>
      </c>
      <c r="J46" s="87">
        <f>References!$C$53*'DF Calc (Mason Co.)'!I46</f>
        <v>1940.4699472984562</v>
      </c>
      <c r="K46" s="87">
        <f>J46/References!$G$56</f>
        <v>1978.6076089611831</v>
      </c>
      <c r="L46" s="87">
        <f t="shared" si="22"/>
        <v>0.16471924816526667</v>
      </c>
      <c r="M46" s="87">
        <f>'Prop. Rates'!B126</f>
        <v>24.39</v>
      </c>
      <c r="N46" s="87">
        <f t="shared" si="23"/>
        <v>24.554719248165267</v>
      </c>
      <c r="O46" s="96">
        <f>'Prop. Rates'!D126</f>
        <v>24.554719248165267</v>
      </c>
      <c r="P46" s="87">
        <f t="shared" si="18"/>
        <v>292972.67999999993</v>
      </c>
      <c r="Q46" s="87">
        <f t="shared" si="19"/>
        <v>294951.28760896111</v>
      </c>
      <c r="R46" s="87">
        <f t="shared" si="24"/>
        <v>1978.6076089611743</v>
      </c>
      <c r="S46" s="188">
        <f t="shared" si="20"/>
        <v>24.554719248165267</v>
      </c>
      <c r="U46" s="231"/>
    </row>
    <row r="47" spans="1:21" s="70" customFormat="1" ht="15" customHeight="1">
      <c r="A47" s="280"/>
      <c r="B47" s="89"/>
      <c r="C47" s="93" t="s">
        <v>42</v>
      </c>
      <c r="D47" s="19">
        <v>7</v>
      </c>
      <c r="E47" s="84">
        <f>References!$B$11</f>
        <v>2.1666666666666665</v>
      </c>
      <c r="F47" s="83">
        <f t="shared" si="16"/>
        <v>182</v>
      </c>
      <c r="G47" s="91">
        <f>References!B31</f>
        <v>175</v>
      </c>
      <c r="H47" s="95">
        <f t="shared" si="21"/>
        <v>31850</v>
      </c>
      <c r="I47" s="86">
        <f t="shared" si="17"/>
        <v>24620.468304725866</v>
      </c>
      <c r="J47" s="87">
        <f>References!$C$53*'DF Calc (Mason Co.)'!I47</f>
        <v>15.880202056548349</v>
      </c>
      <c r="K47" s="87">
        <f>J47/References!$G$56</f>
        <v>16.192308808838717</v>
      </c>
      <c r="L47" s="87">
        <f t="shared" si="22"/>
        <v>8.8968729718894052E-2</v>
      </c>
      <c r="M47" s="87">
        <f>'Prop. Rates'!B124</f>
        <v>16.78</v>
      </c>
      <c r="N47" s="87">
        <f t="shared" si="23"/>
        <v>16.868968729718894</v>
      </c>
      <c r="O47" s="96">
        <f>'Prop. Rates'!D124</f>
        <v>16.868968729718894</v>
      </c>
      <c r="P47" s="87">
        <f t="shared" si="18"/>
        <v>3053.96</v>
      </c>
      <c r="Q47" s="87">
        <f t="shared" si="19"/>
        <v>3070.1523088088388</v>
      </c>
      <c r="R47" s="87">
        <f t="shared" si="24"/>
        <v>16.192308808838789</v>
      </c>
      <c r="S47" s="188">
        <f t="shared" si="20"/>
        <v>16.868968729718894</v>
      </c>
      <c r="U47" s="231"/>
    </row>
    <row r="48" spans="1:21" s="70" customFormat="1" ht="15" customHeight="1">
      <c r="A48" s="280"/>
      <c r="B48" s="89"/>
      <c r="C48" s="93" t="s">
        <v>43</v>
      </c>
      <c r="D48" s="19">
        <v>181</v>
      </c>
      <c r="E48" s="84">
        <f>References!$B$11</f>
        <v>2.1666666666666665</v>
      </c>
      <c r="F48" s="83">
        <f t="shared" si="16"/>
        <v>4706</v>
      </c>
      <c r="G48" s="91">
        <f>References!B32</f>
        <v>250</v>
      </c>
      <c r="H48" s="95">
        <f t="shared" si="21"/>
        <v>1176500</v>
      </c>
      <c r="I48" s="86">
        <f t="shared" si="17"/>
        <v>909449.9516643635</v>
      </c>
      <c r="J48" s="87">
        <f>References!$C$53*'DF Calc (Mason Co.)'!I48</f>
        <v>586.59521882352055</v>
      </c>
      <c r="K48" s="87">
        <f>J48/References!$G$56</f>
        <v>598.12406008159326</v>
      </c>
      <c r="L48" s="87">
        <f t="shared" si="22"/>
        <v>0.12709818531270575</v>
      </c>
      <c r="M48" s="87">
        <f>'Prop. Rates'!B125</f>
        <v>18.440000000000001</v>
      </c>
      <c r="N48" s="87">
        <f t="shared" si="23"/>
        <v>18.567098185312705</v>
      </c>
      <c r="O48" s="96">
        <f>'Prop. Rates'!D125</f>
        <v>18.567098185312705</v>
      </c>
      <c r="P48" s="87">
        <f t="shared" si="18"/>
        <v>86778.64</v>
      </c>
      <c r="Q48" s="87">
        <f t="shared" si="19"/>
        <v>87376.764060081594</v>
      </c>
      <c r="R48" s="87">
        <f t="shared" si="24"/>
        <v>598.12406008159451</v>
      </c>
      <c r="S48" s="188">
        <f t="shared" si="20"/>
        <v>18.567098185312705</v>
      </c>
      <c r="U48" s="231"/>
    </row>
    <row r="49" spans="1:21" s="70" customFormat="1" ht="15" customHeight="1">
      <c r="A49" s="280"/>
      <c r="B49" s="89"/>
      <c r="C49" s="93" t="s">
        <v>44</v>
      </c>
      <c r="D49" s="19">
        <v>109</v>
      </c>
      <c r="E49" s="84">
        <f>References!$B$11</f>
        <v>2.1666666666666665</v>
      </c>
      <c r="F49" s="83">
        <f t="shared" si="16"/>
        <v>2834</v>
      </c>
      <c r="G49" s="91">
        <f>References!B33</f>
        <v>324</v>
      </c>
      <c r="H49" s="95">
        <f t="shared" si="21"/>
        <v>918216</v>
      </c>
      <c r="I49" s="86">
        <f t="shared" si="17"/>
        <v>709793.02746914176</v>
      </c>
      <c r="J49" s="87">
        <f>References!$C$53*'DF Calc (Mason Co.)'!I49</f>
        <v>457.81650271760117</v>
      </c>
      <c r="K49" s="87">
        <f>J49/References!$G$56</f>
        <v>466.81434930036573</v>
      </c>
      <c r="L49" s="87">
        <f t="shared" si="22"/>
        <v>0.16471924816526667</v>
      </c>
      <c r="M49" s="87">
        <f>'Prop. Rates'!B126</f>
        <v>24.39</v>
      </c>
      <c r="N49" s="87">
        <f t="shared" si="23"/>
        <v>24.554719248165267</v>
      </c>
      <c r="O49" s="96">
        <f>'Prop. Rates'!D126</f>
        <v>24.554719248165267</v>
      </c>
      <c r="P49" s="87">
        <f t="shared" si="18"/>
        <v>69121.259999999995</v>
      </c>
      <c r="Q49" s="87">
        <f t="shared" si="19"/>
        <v>69588.074349300368</v>
      </c>
      <c r="R49" s="87">
        <f t="shared" si="24"/>
        <v>466.81434930037358</v>
      </c>
      <c r="S49" s="188">
        <f t="shared" si="20"/>
        <v>24.554719248165267</v>
      </c>
      <c r="U49" s="231"/>
    </row>
    <row r="50" spans="1:21" s="70" customFormat="1">
      <c r="A50" s="280"/>
      <c r="B50" s="89"/>
      <c r="C50" s="97"/>
      <c r="D50" s="90"/>
      <c r="E50" s="90"/>
      <c r="F50" s="94"/>
      <c r="G50" s="91"/>
      <c r="H50" s="95"/>
      <c r="I50" s="86"/>
      <c r="J50" s="87"/>
      <c r="K50" s="87"/>
      <c r="L50" s="87"/>
      <c r="M50" s="96"/>
      <c r="N50" s="87"/>
      <c r="O50" s="96"/>
      <c r="P50" s="87"/>
      <c r="Q50" s="87"/>
      <c r="R50" s="87"/>
      <c r="S50" s="188"/>
    </row>
    <row r="51" spans="1:21" s="70" customFormat="1">
      <c r="A51" s="170"/>
      <c r="B51" s="151"/>
      <c r="C51" s="172" t="s">
        <v>36</v>
      </c>
      <c r="D51" s="173">
        <f>SUM(D43:D50)</f>
        <v>745</v>
      </c>
      <c r="E51" s="173"/>
      <c r="F51" s="173">
        <f>SUM(F43:F50)</f>
        <v>25378</v>
      </c>
      <c r="G51" s="173"/>
      <c r="H51" s="173">
        <f>SUM(H43:H50)</f>
        <v>7051622</v>
      </c>
      <c r="I51" s="178">
        <f>SUM(I43:I50)</f>
        <v>5450996.4190865811</v>
      </c>
      <c r="J51" s="180"/>
      <c r="K51" s="180"/>
      <c r="L51" s="180"/>
      <c r="M51" s="180"/>
      <c r="N51" s="180"/>
      <c r="O51" s="180"/>
      <c r="P51" s="180">
        <f>SUM(P43:P50)</f>
        <v>532565.98</v>
      </c>
      <c r="Q51" s="180">
        <f>SUM(Q43:Q50)</f>
        <v>536150.97343884455</v>
      </c>
      <c r="R51" s="180">
        <f>SUM(R43:R50)</f>
        <v>3584.9934388446145</v>
      </c>
      <c r="S51" s="180"/>
    </row>
    <row r="52" spans="1:21">
      <c r="C52" s="99" t="s">
        <v>210</v>
      </c>
      <c r="D52" s="100">
        <f>D42+D51</f>
        <v>9618</v>
      </c>
      <c r="E52" s="100"/>
      <c r="F52" s="100">
        <f>F42+F51</f>
        <v>355112</v>
      </c>
      <c r="G52" s="100"/>
      <c r="H52" s="100">
        <f>H42+H51</f>
        <v>20165246</v>
      </c>
      <c r="I52" s="100">
        <f>I42+I51</f>
        <v>15588000.000000002</v>
      </c>
      <c r="J52" s="87"/>
      <c r="K52" s="101"/>
      <c r="L52" s="101"/>
      <c r="M52" s="101"/>
      <c r="N52" s="101"/>
      <c r="O52" s="101"/>
      <c r="P52" s="101">
        <f>P42+P51</f>
        <v>2003642.2600000002</v>
      </c>
      <c r="Q52" s="101">
        <f>Q42+Q51</f>
        <v>2013894.1246919371</v>
      </c>
      <c r="R52" s="101">
        <f>R42+R51</f>
        <v>10251.86469193716</v>
      </c>
      <c r="S52" s="101"/>
    </row>
    <row r="53" spans="1:21">
      <c r="J53" s="104"/>
    </row>
    <row r="54" spans="1:21">
      <c r="J54" s="104"/>
    </row>
    <row r="55" spans="1:21">
      <c r="A55" s="181"/>
      <c r="B55" s="182"/>
      <c r="C55" s="183" t="s">
        <v>211</v>
      </c>
      <c r="D55" s="184"/>
      <c r="E55" s="181"/>
      <c r="F55" s="181"/>
      <c r="G55" s="181"/>
      <c r="H55" s="181"/>
      <c r="I55" s="185"/>
      <c r="J55" s="186"/>
      <c r="K55" s="181"/>
      <c r="L55" s="181"/>
      <c r="M55" s="181"/>
      <c r="N55" s="181"/>
      <c r="O55" s="181"/>
      <c r="Q55" s="81" t="s">
        <v>186</v>
      </c>
      <c r="R55" s="118">
        <f>R42</f>
        <v>6666.8712530925459</v>
      </c>
      <c r="S55" s="272">
        <f>R42/P42</f>
        <v>4.53196842592863E-3</v>
      </c>
    </row>
    <row r="56" spans="1:21" ht="15" customHeight="1">
      <c r="A56" s="280" t="s">
        <v>186</v>
      </c>
      <c r="C56" s="145" t="s">
        <v>174</v>
      </c>
      <c r="D56" s="106"/>
      <c r="E56" s="84">
        <f>References!$B$12</f>
        <v>1</v>
      </c>
      <c r="F56" s="83">
        <f>E56*12</f>
        <v>12</v>
      </c>
      <c r="G56" s="83">
        <f>References!B28</f>
        <v>34</v>
      </c>
      <c r="H56" s="103">
        <f t="shared" ref="H56:H64" si="25">F56*G56</f>
        <v>408</v>
      </c>
      <c r="I56" s="103">
        <f t="shared" ref="I56:I64" si="26">$C$93*H56</f>
        <v>315.38935850323873</v>
      </c>
      <c r="J56" s="87">
        <f>References!$C$53*'DF Calc (Mason Co.)'!I56</f>
        <v>0.20342613623459108</v>
      </c>
      <c r="K56" s="87">
        <f>J56/References!$G$56</f>
        <v>0.20742423843033581</v>
      </c>
      <c r="L56" s="87">
        <f>K56/F56</f>
        <v>1.7285353202527984E-2</v>
      </c>
      <c r="M56" s="87">
        <f>'Prop. Rates'!B8</f>
        <v>4.4000000000000004</v>
      </c>
      <c r="N56" s="87">
        <f t="shared" ref="N56:N64" si="27">L56+M56</f>
        <v>4.4172853532025282</v>
      </c>
      <c r="O56" s="87">
        <f>'Prop. Rates'!D8</f>
        <v>4.4172853532025282</v>
      </c>
      <c r="P56" s="189"/>
      <c r="Q56" s="81" t="s">
        <v>187</v>
      </c>
      <c r="R56" s="118">
        <f>R51</f>
        <v>3584.9934388446145</v>
      </c>
      <c r="S56" s="272">
        <f>R51/P51</f>
        <v>6.7315479649012024E-3</v>
      </c>
    </row>
    <row r="57" spans="1:21">
      <c r="A57" s="280"/>
      <c r="C57" s="145" t="s">
        <v>147</v>
      </c>
      <c r="D57" s="107"/>
      <c r="E57" s="84">
        <f>References!$B$12</f>
        <v>1</v>
      </c>
      <c r="F57" s="83">
        <f t="shared" ref="F57:F84" si="28">E57*12</f>
        <v>12</v>
      </c>
      <c r="G57" s="83">
        <f>References!$B$25</f>
        <v>51</v>
      </c>
      <c r="H57" s="103">
        <f t="shared" si="25"/>
        <v>612</v>
      </c>
      <c r="I57" s="103">
        <f t="shared" si="26"/>
        <v>473.08403775485806</v>
      </c>
      <c r="J57" s="87">
        <f>References!$C$53*'DF Calc (Mason Co.)'!I57</f>
        <v>0.30513920435188663</v>
      </c>
      <c r="K57" s="87">
        <f>J57/References!$G$56</f>
        <v>0.31113635764550374</v>
      </c>
      <c r="L57" s="87">
        <f>K57/F57</f>
        <v>2.5928029803791979E-2</v>
      </c>
      <c r="M57" s="87">
        <f>'Prop. Rates'!B86</f>
        <v>14.51</v>
      </c>
      <c r="N57" s="87">
        <f t="shared" si="27"/>
        <v>14.535928029803792</v>
      </c>
      <c r="O57" s="87">
        <f>'Prop. Rates'!D86</f>
        <v>14.535928029803792</v>
      </c>
      <c r="P57" s="189"/>
      <c r="R57" s="118">
        <f>SUM(R55:R56)</f>
        <v>10251.86469193716</v>
      </c>
    </row>
    <row r="58" spans="1:21">
      <c r="A58" s="280"/>
      <c r="C58" s="145" t="s">
        <v>175</v>
      </c>
      <c r="D58" s="107"/>
      <c r="E58" s="84">
        <f>References!$B$12</f>
        <v>1</v>
      </c>
      <c r="F58" s="83">
        <f t="shared" si="28"/>
        <v>12</v>
      </c>
      <c r="G58" s="83">
        <f>References!$B$25</f>
        <v>51</v>
      </c>
      <c r="H58" s="103">
        <f t="shared" si="25"/>
        <v>612</v>
      </c>
      <c r="I58" s="103">
        <f t="shared" si="26"/>
        <v>473.08403775485806</v>
      </c>
      <c r="J58" s="87">
        <f>References!$C$53*'DF Calc (Mason Co.)'!I58</f>
        <v>0.30513920435188663</v>
      </c>
      <c r="K58" s="87">
        <f>J58/References!$G$56</f>
        <v>0.31113635764550374</v>
      </c>
      <c r="L58" s="87">
        <f>K58/F58</f>
        <v>2.5928029803791979E-2</v>
      </c>
      <c r="M58" s="87">
        <f>'Prop. Rates'!B87</f>
        <v>19.670000000000002</v>
      </c>
      <c r="N58" s="87">
        <f t="shared" si="27"/>
        <v>19.695928029803795</v>
      </c>
      <c r="O58" s="87">
        <f>'Prop. Rates'!D87</f>
        <v>19.695928029803795</v>
      </c>
      <c r="P58" s="189"/>
    </row>
    <row r="59" spans="1:21">
      <c r="A59" s="280"/>
      <c r="C59" s="146" t="s">
        <v>150</v>
      </c>
      <c r="D59" s="107"/>
      <c r="E59" s="84">
        <f>References!$B$12</f>
        <v>1</v>
      </c>
      <c r="F59" s="83">
        <f t="shared" si="28"/>
        <v>12</v>
      </c>
      <c r="G59" s="83">
        <f>References!$B$25</f>
        <v>51</v>
      </c>
      <c r="H59" s="103">
        <f t="shared" si="25"/>
        <v>612</v>
      </c>
      <c r="I59" s="103">
        <f t="shared" si="26"/>
        <v>473.08403775485806</v>
      </c>
      <c r="J59" s="87">
        <f>References!$C$53*'DF Calc (Mason Co.)'!I59</f>
        <v>0.30513920435188663</v>
      </c>
      <c r="K59" s="87">
        <f>J59/References!$G$56</f>
        <v>0.31113635764550374</v>
      </c>
      <c r="L59" s="87">
        <f>K59/F59</f>
        <v>2.5928029803791979E-2</v>
      </c>
      <c r="M59" s="87">
        <f>'Prop. Rates'!B90</f>
        <v>4.8</v>
      </c>
      <c r="N59" s="87">
        <f t="shared" si="27"/>
        <v>4.8259280298037917</v>
      </c>
      <c r="O59" s="87">
        <f>'Prop. Rates'!D90</f>
        <v>4.8259280298037917</v>
      </c>
      <c r="P59" s="189"/>
      <c r="Q59" s="81" t="s">
        <v>275</v>
      </c>
      <c r="R59" s="202">
        <v>4663</v>
      </c>
    </row>
    <row r="60" spans="1:21">
      <c r="A60" s="280"/>
      <c r="C60" s="145" t="s">
        <v>237</v>
      </c>
      <c r="D60" s="107">
        <v>0</v>
      </c>
      <c r="E60" s="162">
        <f>References!B10</f>
        <v>4.333333333333333</v>
      </c>
      <c r="F60" s="83">
        <f t="shared" si="28"/>
        <v>52</v>
      </c>
      <c r="G60" s="83">
        <f>References!$B$25</f>
        <v>51</v>
      </c>
      <c r="H60" s="103">
        <f t="shared" si="25"/>
        <v>2652</v>
      </c>
      <c r="I60" s="103">
        <f t="shared" si="26"/>
        <v>2050.0308302710514</v>
      </c>
      <c r="J60" s="87">
        <f>References!$C$53*'DF Calc (Mason Co.)'!I60</f>
        <v>1.3222698855248418</v>
      </c>
      <c r="K60" s="87">
        <f>J60/References!$G$56</f>
        <v>1.3482575497971825</v>
      </c>
      <c r="L60" s="87">
        <f>K60/F60*E60</f>
        <v>0.11235479581643187</v>
      </c>
      <c r="M60" s="87">
        <f>'Prop. Rates'!B91</f>
        <v>20.5</v>
      </c>
      <c r="N60" s="87">
        <f t="shared" si="27"/>
        <v>20.612354795816433</v>
      </c>
      <c r="O60" s="87">
        <f>'Prop. Rates'!D91</f>
        <v>20.612354795816433</v>
      </c>
      <c r="P60" s="189"/>
      <c r="Q60" s="161"/>
    </row>
    <row r="61" spans="1:21">
      <c r="A61" s="280"/>
      <c r="C61" s="81" t="s">
        <v>153</v>
      </c>
      <c r="E61" s="84">
        <f>References!$B$12</f>
        <v>1</v>
      </c>
      <c r="F61" s="83">
        <f t="shared" si="28"/>
        <v>12</v>
      </c>
      <c r="G61" s="81">
        <f>References!$B$46</f>
        <v>125</v>
      </c>
      <c r="H61" s="103">
        <f t="shared" si="25"/>
        <v>1500</v>
      </c>
      <c r="I61" s="103">
        <f t="shared" si="26"/>
        <v>1159.519700379554</v>
      </c>
      <c r="J61" s="87">
        <f>References!$C$53*'DF Calc (Mason Co.)'!I61</f>
        <v>0.7478902067448201</v>
      </c>
      <c r="K61" s="87">
        <f>J61/References!$G$56</f>
        <v>0.76258911187623457</v>
      </c>
      <c r="L61" s="87">
        <f>K61/F61</f>
        <v>6.3549092656352876E-2</v>
      </c>
      <c r="M61" s="87">
        <f>'Prop. Rates'!B94</f>
        <v>27.42</v>
      </c>
      <c r="N61" s="87">
        <f t="shared" si="27"/>
        <v>27.483549092656354</v>
      </c>
      <c r="O61" s="87">
        <f>'Prop. Rates'!D94</f>
        <v>27.483549092656354</v>
      </c>
      <c r="P61" s="189"/>
      <c r="Q61" s="81" t="s">
        <v>276</v>
      </c>
      <c r="R61" s="273">
        <f>R59*References!B53</f>
        <v>6015.2700000000295</v>
      </c>
      <c r="S61" s="272">
        <f>References!D53</f>
        <v>1.3997395833333402E-2</v>
      </c>
    </row>
    <row r="62" spans="1:21">
      <c r="A62" s="280"/>
      <c r="C62" s="81" t="s">
        <v>154</v>
      </c>
      <c r="E62" s="84">
        <f>References!$B$12</f>
        <v>1</v>
      </c>
      <c r="F62" s="83">
        <f t="shared" si="28"/>
        <v>12</v>
      </c>
      <c r="G62" s="81">
        <f>References!$B$46</f>
        <v>125</v>
      </c>
      <c r="H62" s="103">
        <f t="shared" si="25"/>
        <v>1500</v>
      </c>
      <c r="I62" s="103">
        <f t="shared" si="26"/>
        <v>1159.519700379554</v>
      </c>
      <c r="J62" s="87">
        <f>References!$C$53*'DF Calc (Mason Co.)'!I62</f>
        <v>0.7478902067448201</v>
      </c>
      <c r="K62" s="87">
        <f>J62/References!$G$56</f>
        <v>0.76258911187623457</v>
      </c>
      <c r="L62" s="87">
        <f>K62/F62</f>
        <v>6.3549092656352876E-2</v>
      </c>
      <c r="M62" s="87">
        <f>'Prop. Rates'!B95</f>
        <v>27.42</v>
      </c>
      <c r="N62" s="87">
        <f t="shared" si="27"/>
        <v>27.483549092656354</v>
      </c>
      <c r="O62" s="87">
        <f>'Prop. Rates'!D95</f>
        <v>27.483549092656354</v>
      </c>
      <c r="P62" s="189"/>
    </row>
    <row r="63" spans="1:21">
      <c r="A63" s="280"/>
      <c r="C63" s="81" t="s">
        <v>155</v>
      </c>
      <c r="E63" s="84">
        <f>References!$B$12</f>
        <v>1</v>
      </c>
      <c r="F63" s="83">
        <f t="shared" si="28"/>
        <v>12</v>
      </c>
      <c r="G63" s="81">
        <f>References!$B$46</f>
        <v>125</v>
      </c>
      <c r="H63" s="103">
        <f t="shared" si="25"/>
        <v>1500</v>
      </c>
      <c r="I63" s="103">
        <f t="shared" si="26"/>
        <v>1159.519700379554</v>
      </c>
      <c r="J63" s="87">
        <f>References!$C$53*'DF Calc (Mason Co.)'!I63</f>
        <v>0.7478902067448201</v>
      </c>
      <c r="K63" s="87">
        <f>J63/References!$G$56</f>
        <v>0.76258911187623457</v>
      </c>
      <c r="L63" s="87">
        <f>K63/F63</f>
        <v>6.3549092656352876E-2</v>
      </c>
      <c r="M63" s="87">
        <f>'Prop. Rates'!B96</f>
        <v>27.42</v>
      </c>
      <c r="N63" s="87">
        <f t="shared" si="27"/>
        <v>27.483549092656354</v>
      </c>
      <c r="O63" s="87">
        <f>'Prop. Rates'!D96</f>
        <v>27.483549092656354</v>
      </c>
      <c r="P63" s="189"/>
    </row>
    <row r="64" spans="1:21">
      <c r="A64" s="280"/>
      <c r="C64" s="81" t="s">
        <v>156</v>
      </c>
      <c r="E64" s="84">
        <f>References!$B$12</f>
        <v>1</v>
      </c>
      <c r="F64" s="83">
        <f t="shared" si="28"/>
        <v>12</v>
      </c>
      <c r="G64" s="81">
        <f>References!$B$46</f>
        <v>125</v>
      </c>
      <c r="H64" s="103">
        <f t="shared" si="25"/>
        <v>1500</v>
      </c>
      <c r="I64" s="103">
        <f t="shared" si="26"/>
        <v>1159.519700379554</v>
      </c>
      <c r="J64" s="87">
        <f>References!$C$53*'DF Calc (Mason Co.)'!I64</f>
        <v>0.7478902067448201</v>
      </c>
      <c r="K64" s="87">
        <f>J64/References!$G$56</f>
        <v>0.76258911187623457</v>
      </c>
      <c r="L64" s="87">
        <f>K64/F64</f>
        <v>6.3549092656352876E-2</v>
      </c>
      <c r="M64" s="87">
        <f>'Prop. Rates'!B97</f>
        <v>31.16</v>
      </c>
      <c r="N64" s="87">
        <f t="shared" si="27"/>
        <v>31.223549092656352</v>
      </c>
      <c r="O64" s="87">
        <f>'Prop. Rates'!D97</f>
        <v>31.223549092656352</v>
      </c>
      <c r="P64" s="189"/>
    </row>
    <row r="65" spans="1:16">
      <c r="A65" s="282"/>
      <c r="B65" s="24"/>
      <c r="C65" s="109"/>
      <c r="D65" s="110"/>
      <c r="E65" s="111"/>
      <c r="F65" s="112"/>
      <c r="G65" s="112"/>
      <c r="H65" s="113"/>
      <c r="I65" s="113"/>
      <c r="J65" s="62"/>
      <c r="K65" s="62"/>
      <c r="L65" s="62"/>
      <c r="M65" s="114"/>
      <c r="N65" s="62"/>
      <c r="O65" s="114"/>
      <c r="P65" s="189"/>
    </row>
    <row r="66" spans="1:16">
      <c r="A66" s="280" t="s">
        <v>187</v>
      </c>
      <c r="C66" s="105" t="s">
        <v>115</v>
      </c>
      <c r="D66" s="106"/>
      <c r="E66" s="84">
        <f>References!$B$12</f>
        <v>1</v>
      </c>
      <c r="F66" s="83">
        <f t="shared" si="28"/>
        <v>12</v>
      </c>
      <c r="G66" s="83">
        <f>References!B30</f>
        <v>29</v>
      </c>
      <c r="H66" s="103">
        <f>F66*G66</f>
        <v>348</v>
      </c>
      <c r="I66" s="103">
        <f t="shared" ref="I66:I75" si="29">$C$93*H66</f>
        <v>269.00857048805653</v>
      </c>
      <c r="J66" s="87">
        <f>References!$C$53*'DF Calc (Mason Co.)'!I66</f>
        <v>0.17351052796479827</v>
      </c>
      <c r="K66" s="87">
        <f>J66/References!$G$56</f>
        <v>0.17692067395528643</v>
      </c>
      <c r="L66" s="87">
        <f>K66/F66</f>
        <v>1.474338949627387E-2</v>
      </c>
      <c r="M66" s="44">
        <f>'Prop. Rates'!B136</f>
        <v>4.28</v>
      </c>
      <c r="N66" s="87">
        <f>L66+M66</f>
        <v>4.2947433894962739</v>
      </c>
      <c r="O66" s="44">
        <f>'Prop. Rates'!D136</f>
        <v>4.2947433894962739</v>
      </c>
      <c r="P66" s="233"/>
    </row>
    <row r="67" spans="1:16">
      <c r="A67" s="280"/>
      <c r="C67" s="105" t="s">
        <v>165</v>
      </c>
      <c r="D67" s="106"/>
      <c r="E67" s="84">
        <f>References!$B$12</f>
        <v>1</v>
      </c>
      <c r="F67" s="83">
        <f t="shared" si="28"/>
        <v>12</v>
      </c>
      <c r="G67" s="83">
        <f>References!B23</f>
        <v>37</v>
      </c>
      <c r="H67" s="103">
        <f t="shared" ref="H67:H76" si="30">F67*G67</f>
        <v>444</v>
      </c>
      <c r="I67" s="103">
        <f t="shared" si="29"/>
        <v>343.21783131234798</v>
      </c>
      <c r="J67" s="87">
        <f>References!$C$53*'DF Calc (Mason Co.)'!I67</f>
        <v>0.22137550119646673</v>
      </c>
      <c r="K67" s="87">
        <f>J67/References!$G$56</f>
        <v>0.22572637711536542</v>
      </c>
      <c r="L67" s="87">
        <f t="shared" ref="L67:L75" si="31">K67/F67</f>
        <v>1.881053142628045E-2</v>
      </c>
      <c r="M67" s="44">
        <f>'Prop. Rates'!B137</f>
        <v>4.62</v>
      </c>
      <c r="N67" s="87">
        <f t="shared" ref="N67:N84" si="32">L67+M67</f>
        <v>4.6388105314262802</v>
      </c>
      <c r="O67" s="44">
        <f>'Prop. Rates'!D137</f>
        <v>4.6388105314262802</v>
      </c>
      <c r="P67" s="233"/>
    </row>
    <row r="68" spans="1:16">
      <c r="A68" s="280"/>
      <c r="C68" s="105" t="s">
        <v>166</v>
      </c>
      <c r="D68" s="106"/>
      <c r="E68" s="84">
        <f>References!$B$12</f>
        <v>1</v>
      </c>
      <c r="F68" s="83">
        <f t="shared" si="28"/>
        <v>12</v>
      </c>
      <c r="G68" s="83">
        <f>References!B24</f>
        <v>48</v>
      </c>
      <c r="H68" s="103">
        <f t="shared" si="30"/>
        <v>576</v>
      </c>
      <c r="I68" s="103">
        <f t="shared" si="29"/>
        <v>445.25556494574874</v>
      </c>
      <c r="J68" s="87">
        <f>References!$C$53*'DF Calc (Mason Co.)'!I68</f>
        <v>0.28718983939001091</v>
      </c>
      <c r="K68" s="87">
        <f>J68/References!$G$56</f>
        <v>0.29283421896047407</v>
      </c>
      <c r="L68" s="87">
        <f t="shared" si="31"/>
        <v>2.4402851580039506E-2</v>
      </c>
      <c r="M68" s="44">
        <f>'Prop. Rates'!B138</f>
        <v>5.45</v>
      </c>
      <c r="N68" s="87">
        <f t="shared" si="32"/>
        <v>5.4744028515800398</v>
      </c>
      <c r="O68" s="44">
        <f>'Prop. Rates'!D138</f>
        <v>5.4744028515800398</v>
      </c>
      <c r="P68" s="233"/>
    </row>
    <row r="69" spans="1:16">
      <c r="A69" s="280"/>
      <c r="C69" s="105" t="s">
        <v>167</v>
      </c>
      <c r="D69" s="106"/>
      <c r="E69" s="84">
        <f>References!$B$12</f>
        <v>1</v>
      </c>
      <c r="F69" s="83">
        <f t="shared" si="28"/>
        <v>12</v>
      </c>
      <c r="G69" s="83">
        <f>References!B25</f>
        <v>51</v>
      </c>
      <c r="H69" s="103">
        <f t="shared" si="30"/>
        <v>612</v>
      </c>
      <c r="I69" s="103">
        <f t="shared" si="29"/>
        <v>473.08403775485806</v>
      </c>
      <c r="J69" s="87">
        <f>References!$C$53*'DF Calc (Mason Co.)'!I69</f>
        <v>0.30513920435188663</v>
      </c>
      <c r="K69" s="87">
        <f>J69/References!$G$56</f>
        <v>0.31113635764550374</v>
      </c>
      <c r="L69" s="87">
        <f t="shared" si="31"/>
        <v>2.5928029803791979E-2</v>
      </c>
      <c r="M69" s="44">
        <f>'Prop. Rates'!B139</f>
        <v>6.45</v>
      </c>
      <c r="N69" s="87">
        <f t="shared" si="32"/>
        <v>6.475928029803792</v>
      </c>
      <c r="O69" s="44">
        <f>'Prop. Rates'!D139</f>
        <v>6.475928029803792</v>
      </c>
      <c r="P69" s="233"/>
    </row>
    <row r="70" spans="1:16">
      <c r="A70" s="280"/>
      <c r="C70" s="105" t="s">
        <v>168</v>
      </c>
      <c r="D70" s="106"/>
      <c r="E70" s="84">
        <f>References!$B$12</f>
        <v>1</v>
      </c>
      <c r="F70" s="83">
        <f t="shared" si="28"/>
        <v>12</v>
      </c>
      <c r="G70" s="83">
        <f>References!B26</f>
        <v>77</v>
      </c>
      <c r="H70" s="103">
        <f t="shared" si="30"/>
        <v>924</v>
      </c>
      <c r="I70" s="103">
        <f t="shared" si="29"/>
        <v>714.26413543380534</v>
      </c>
      <c r="J70" s="87">
        <f>References!$C$53*'DF Calc (Mason Co.)'!I70</f>
        <v>0.46070036735480924</v>
      </c>
      <c r="K70" s="87">
        <f>J70/References!$G$56</f>
        <v>0.46975489291576056</v>
      </c>
      <c r="L70" s="87">
        <f t="shared" si="31"/>
        <v>3.9146241076313378E-2</v>
      </c>
      <c r="M70" s="44">
        <f>'Prop. Rates'!B140</f>
        <v>8.0500000000000007</v>
      </c>
      <c r="N70" s="87">
        <f t="shared" si="32"/>
        <v>8.089146241076314</v>
      </c>
      <c r="O70" s="44">
        <f>'Prop. Rates'!D140</f>
        <v>8.089146241076314</v>
      </c>
      <c r="P70" s="233"/>
    </row>
    <row r="71" spans="1:16">
      <c r="A71" s="280"/>
      <c r="C71" t="s">
        <v>231</v>
      </c>
      <c r="D71" s="106"/>
      <c r="E71" s="84">
        <f>References!$B$12</f>
        <v>1</v>
      </c>
      <c r="F71" s="83">
        <f t="shared" si="28"/>
        <v>12</v>
      </c>
      <c r="G71" s="83">
        <v>29</v>
      </c>
      <c r="H71" s="103">
        <f t="shared" si="30"/>
        <v>348</v>
      </c>
      <c r="I71" s="103">
        <f t="shared" si="29"/>
        <v>269.00857048805653</v>
      </c>
      <c r="J71" s="87">
        <f>References!$C$53*'DF Calc (Mason Co.)'!I71</f>
        <v>0.17351052796479827</v>
      </c>
      <c r="K71" s="87">
        <f>J71/References!$G$56</f>
        <v>0.17692067395528643</v>
      </c>
      <c r="L71" s="87">
        <f t="shared" si="31"/>
        <v>1.474338949627387E-2</v>
      </c>
      <c r="M71" s="44">
        <f>'Prop. Rates'!B143</f>
        <v>13.21</v>
      </c>
      <c r="N71" s="87">
        <f t="shared" si="32"/>
        <v>13.224743389496275</v>
      </c>
      <c r="O71" s="44">
        <f>'Prop. Rates'!D143</f>
        <v>13.224743389496275</v>
      </c>
      <c r="P71" s="233"/>
    </row>
    <row r="72" spans="1:16">
      <c r="A72" s="280"/>
      <c r="C72" t="s">
        <v>232</v>
      </c>
      <c r="D72" s="106"/>
      <c r="E72" s="84">
        <f>References!$B$12</f>
        <v>1</v>
      </c>
      <c r="F72" s="83">
        <f t="shared" si="28"/>
        <v>12</v>
      </c>
      <c r="G72" s="83">
        <f>References!B23</f>
        <v>37</v>
      </c>
      <c r="H72" s="103">
        <f t="shared" si="30"/>
        <v>444</v>
      </c>
      <c r="I72" s="103">
        <f t="shared" si="29"/>
        <v>343.21783131234798</v>
      </c>
      <c r="J72" s="87">
        <f>References!$C$53*'DF Calc (Mason Co.)'!I72</f>
        <v>0.22137550119646673</v>
      </c>
      <c r="K72" s="87">
        <f>J72/References!$G$56</f>
        <v>0.22572637711536542</v>
      </c>
      <c r="L72" s="87">
        <f t="shared" si="31"/>
        <v>1.881053142628045E-2</v>
      </c>
      <c r="M72" s="44">
        <f>'Prop. Rates'!B144</f>
        <v>14.73</v>
      </c>
      <c r="N72" s="87">
        <f t="shared" si="32"/>
        <v>14.748810531426281</v>
      </c>
      <c r="O72" s="44">
        <f>'Prop. Rates'!D144</f>
        <v>14.748810531426281</v>
      </c>
      <c r="P72" s="233"/>
    </row>
    <row r="73" spans="1:16">
      <c r="A73" s="280"/>
      <c r="C73" t="s">
        <v>233</v>
      </c>
      <c r="D73" s="106"/>
      <c r="E73" s="84">
        <f>References!$B$12</f>
        <v>1</v>
      </c>
      <c r="F73" s="83">
        <f t="shared" si="28"/>
        <v>12</v>
      </c>
      <c r="G73" s="83">
        <f>References!B24</f>
        <v>48</v>
      </c>
      <c r="H73" s="103">
        <f t="shared" si="30"/>
        <v>576</v>
      </c>
      <c r="I73" s="103">
        <f t="shared" si="29"/>
        <v>445.25556494574874</v>
      </c>
      <c r="J73" s="87">
        <f>References!$C$53*'DF Calc (Mason Co.)'!I73</f>
        <v>0.28718983939001091</v>
      </c>
      <c r="K73" s="87">
        <f>J73/References!$G$56</f>
        <v>0.29283421896047407</v>
      </c>
      <c r="L73" s="87">
        <f t="shared" si="31"/>
        <v>2.4402851580039506E-2</v>
      </c>
      <c r="M73" s="44">
        <f>'Prop. Rates'!B145</f>
        <v>15.56</v>
      </c>
      <c r="N73" s="87">
        <f t="shared" si="32"/>
        <v>15.584402851580039</v>
      </c>
      <c r="O73" s="44">
        <f>'Prop. Rates'!D145</f>
        <v>15.584402851580039</v>
      </c>
      <c r="P73" s="233"/>
    </row>
    <row r="74" spans="1:16">
      <c r="A74" s="280"/>
      <c r="C74" t="s">
        <v>234</v>
      </c>
      <c r="D74" s="106"/>
      <c r="E74" s="84">
        <f>References!$B$12</f>
        <v>1</v>
      </c>
      <c r="F74" s="83">
        <f t="shared" si="28"/>
        <v>12</v>
      </c>
      <c r="G74" s="83">
        <f>References!B25</f>
        <v>51</v>
      </c>
      <c r="H74" s="103">
        <f t="shared" si="30"/>
        <v>612</v>
      </c>
      <c r="I74" s="103">
        <f t="shared" si="29"/>
        <v>473.08403775485806</v>
      </c>
      <c r="J74" s="87">
        <f>References!$C$53*'DF Calc (Mason Co.)'!I74</f>
        <v>0.30513920435188663</v>
      </c>
      <c r="K74" s="87">
        <f>J74/References!$G$56</f>
        <v>0.31113635764550374</v>
      </c>
      <c r="L74" s="87">
        <f t="shared" si="31"/>
        <v>2.5928029803791979E-2</v>
      </c>
      <c r="M74" s="44">
        <f>'Prop. Rates'!B146</f>
        <v>16.559999999999999</v>
      </c>
      <c r="N74" s="87">
        <f t="shared" si="32"/>
        <v>16.585928029803792</v>
      </c>
      <c r="O74" s="44">
        <f>'Prop. Rates'!D146</f>
        <v>16.585928029803792</v>
      </c>
      <c r="P74" s="233"/>
    </row>
    <row r="75" spans="1:16">
      <c r="A75" s="280"/>
      <c r="C75" t="s">
        <v>235</v>
      </c>
      <c r="D75" s="106"/>
      <c r="E75" s="84">
        <f>References!$B$12</f>
        <v>1</v>
      </c>
      <c r="F75" s="83">
        <f t="shared" si="28"/>
        <v>12</v>
      </c>
      <c r="G75" s="83">
        <f>References!B26</f>
        <v>77</v>
      </c>
      <c r="H75" s="103">
        <f t="shared" si="30"/>
        <v>924</v>
      </c>
      <c r="I75" s="103">
        <f t="shared" si="29"/>
        <v>714.26413543380534</v>
      </c>
      <c r="J75" s="87">
        <f>References!$C$53*'DF Calc (Mason Co.)'!I75</f>
        <v>0.46070036735480924</v>
      </c>
      <c r="K75" s="87">
        <f>J75/References!$G$56</f>
        <v>0.46975489291576056</v>
      </c>
      <c r="L75" s="87">
        <f t="shared" si="31"/>
        <v>3.9146241076313378E-2</v>
      </c>
      <c r="M75" s="44">
        <f>'Prop. Rates'!B147</f>
        <v>18.16</v>
      </c>
      <c r="N75" s="87">
        <f t="shared" si="32"/>
        <v>18.199146241076313</v>
      </c>
      <c r="O75" s="44">
        <f>'Prop. Rates'!D147</f>
        <v>18.199146241076313</v>
      </c>
      <c r="P75" s="233"/>
    </row>
    <row r="76" spans="1:16">
      <c r="A76" s="280"/>
      <c r="C76" s="145" t="s">
        <v>45</v>
      </c>
      <c r="D76" s="107"/>
      <c r="E76" s="84">
        <f>References!$B$12</f>
        <v>1</v>
      </c>
      <c r="F76" s="83">
        <f t="shared" si="28"/>
        <v>12</v>
      </c>
      <c r="G76" s="83">
        <f>References!B46</f>
        <v>125</v>
      </c>
      <c r="H76" s="103">
        <f t="shared" si="30"/>
        <v>1500</v>
      </c>
      <c r="I76" s="103">
        <f t="shared" ref="I76:I84" si="33">$C$93*H76</f>
        <v>1159.519700379554</v>
      </c>
      <c r="J76" s="87">
        <f>References!$C$53*'DF Calc (Mason Co.)'!I76</f>
        <v>0.7478902067448201</v>
      </c>
      <c r="K76" s="87">
        <f>J76/References!$G$56</f>
        <v>0.76258911187623457</v>
      </c>
      <c r="L76" s="87">
        <f>K76/F76</f>
        <v>6.3549092656352876E-2</v>
      </c>
      <c r="M76" s="44">
        <f>'Prop. Rates'!B127</f>
        <v>15.62</v>
      </c>
      <c r="N76" s="87">
        <f t="shared" si="32"/>
        <v>15.683549092656351</v>
      </c>
      <c r="O76" s="44">
        <f>'Prop. Rates'!D127</f>
        <v>15.683549092656351</v>
      </c>
      <c r="P76" s="233"/>
    </row>
    <row r="77" spans="1:16">
      <c r="A77" s="280"/>
      <c r="C77" s="105" t="s">
        <v>178</v>
      </c>
      <c r="D77" s="106"/>
      <c r="E77" s="84">
        <f>References!$B$12</f>
        <v>1</v>
      </c>
      <c r="F77" s="83">
        <f t="shared" si="28"/>
        <v>12</v>
      </c>
      <c r="G77" s="83">
        <f>References!$B$30</f>
        <v>29</v>
      </c>
      <c r="H77" s="103">
        <f>F77*G77</f>
        <v>348</v>
      </c>
      <c r="I77" s="103">
        <f t="shared" si="33"/>
        <v>269.00857048805653</v>
      </c>
      <c r="J77" s="87">
        <f>References!$C$53*'DF Calc (Mason Co.)'!I77</f>
        <v>0.17351052796479827</v>
      </c>
      <c r="K77" s="87">
        <f>J77/References!$G$56</f>
        <v>0.17692067395528643</v>
      </c>
      <c r="L77" s="87">
        <f>K77/F77</f>
        <v>1.474338949627387E-2</v>
      </c>
      <c r="M77" s="44">
        <f>'Prop. Rates'!B149</f>
        <v>4.6399999999999997</v>
      </c>
      <c r="N77" s="87">
        <f t="shared" si="32"/>
        <v>4.6547433894962733</v>
      </c>
      <c r="O77" s="44">
        <f>'Prop. Rates'!D149</f>
        <v>4.6547433894962733</v>
      </c>
      <c r="P77" s="233"/>
    </row>
    <row r="78" spans="1:16">
      <c r="A78" s="280"/>
      <c r="C78" s="105" t="s">
        <v>185</v>
      </c>
      <c r="D78" s="106">
        <v>0</v>
      </c>
      <c r="E78" s="106">
        <f>References!B10</f>
        <v>4.333333333333333</v>
      </c>
      <c r="F78" s="157">
        <f>E78*12</f>
        <v>52</v>
      </c>
      <c r="G78" s="83">
        <f>References!$B$30</f>
        <v>29</v>
      </c>
      <c r="H78" s="103">
        <f t="shared" ref="H78:H84" si="34">F78*G78</f>
        <v>1508</v>
      </c>
      <c r="I78" s="103">
        <f t="shared" si="33"/>
        <v>1165.703805448245</v>
      </c>
      <c r="J78" s="87">
        <f>References!$C$53*'DF Calc (Mason Co.)'!I78</f>
        <v>0.75187895451412579</v>
      </c>
      <c r="K78" s="87">
        <f>J78/References!$G$56</f>
        <v>0.76665625380624114</v>
      </c>
      <c r="L78" s="87">
        <f>K78/F78*E78</f>
        <v>6.3888021150520086E-2</v>
      </c>
      <c r="M78" s="44">
        <f>'Prop. Rates'!B150</f>
        <v>18.54</v>
      </c>
      <c r="N78" s="87">
        <f t="shared" si="32"/>
        <v>18.603888021150521</v>
      </c>
      <c r="O78" s="44">
        <f>'Prop. Rates'!D150</f>
        <v>18.603888021150521</v>
      </c>
      <c r="P78" s="233"/>
    </row>
    <row r="79" spans="1:16">
      <c r="A79" s="280"/>
      <c r="C79" s="105" t="s">
        <v>179</v>
      </c>
      <c r="D79" s="106"/>
      <c r="E79" s="84">
        <f>References!$B$12</f>
        <v>1</v>
      </c>
      <c r="F79" s="83">
        <f t="shared" si="28"/>
        <v>12</v>
      </c>
      <c r="G79" s="83">
        <f>References!$B$30</f>
        <v>29</v>
      </c>
      <c r="H79" s="103">
        <f t="shared" si="34"/>
        <v>348</v>
      </c>
      <c r="I79" s="103">
        <f t="shared" si="33"/>
        <v>269.00857048805653</v>
      </c>
      <c r="J79" s="87">
        <f>References!$C$53*'DF Calc (Mason Co.)'!I79</f>
        <v>0.17351052796479827</v>
      </c>
      <c r="K79" s="87">
        <f>J79/References!$G$56</f>
        <v>0.17692067395528643</v>
      </c>
      <c r="L79" s="87">
        <f t="shared" ref="L79:L84" si="35">K79/F79</f>
        <v>1.474338949627387E-2</v>
      </c>
      <c r="M79" s="44">
        <f>'Prop. Rates'!B151</f>
        <v>3.95</v>
      </c>
      <c r="N79" s="87">
        <f t="shared" si="32"/>
        <v>3.9647433894962743</v>
      </c>
      <c r="O79" s="220">
        <f>'Prop. Rates'!D151</f>
        <v>3.9647433894962743</v>
      </c>
      <c r="P79" s="233"/>
    </row>
    <row r="80" spans="1:16">
      <c r="A80" s="280"/>
      <c r="C80" s="105" t="s">
        <v>180</v>
      </c>
      <c r="D80" s="106"/>
      <c r="E80" s="84">
        <f>References!$B$12</f>
        <v>1</v>
      </c>
      <c r="F80" s="83">
        <f t="shared" si="28"/>
        <v>12</v>
      </c>
      <c r="G80" s="83">
        <f>References!$B$30</f>
        <v>29</v>
      </c>
      <c r="H80" s="103">
        <f t="shared" si="34"/>
        <v>348</v>
      </c>
      <c r="I80" s="103">
        <f t="shared" si="33"/>
        <v>269.00857048805653</v>
      </c>
      <c r="J80" s="87">
        <f>References!$C$53*'DF Calc (Mason Co.)'!I80</f>
        <v>0.17351052796479827</v>
      </c>
      <c r="K80" s="87">
        <f>J80/References!$G$56</f>
        <v>0.17692067395528643</v>
      </c>
      <c r="L80" s="87">
        <f t="shared" si="35"/>
        <v>1.474338949627387E-2</v>
      </c>
      <c r="M80" s="44">
        <f>'Prop. Rates'!B152</f>
        <v>4.28</v>
      </c>
      <c r="N80" s="87">
        <f t="shared" si="32"/>
        <v>4.2947433894962739</v>
      </c>
      <c r="O80" s="220">
        <f>'Prop. Rates'!D152</f>
        <v>4.2947433894962739</v>
      </c>
      <c r="P80" s="233"/>
    </row>
    <row r="81" spans="1:18">
      <c r="A81" s="280"/>
      <c r="C81" s="105" t="s">
        <v>181</v>
      </c>
      <c r="D81" s="106">
        <v>0</v>
      </c>
      <c r="E81" s="106">
        <f>References!$B$10</f>
        <v>4.333333333333333</v>
      </c>
      <c r="F81" s="157">
        <f t="shared" si="28"/>
        <v>52</v>
      </c>
      <c r="G81" s="83">
        <f>References!B23</f>
        <v>37</v>
      </c>
      <c r="H81" s="103">
        <f>F81*G81</f>
        <v>1924</v>
      </c>
      <c r="I81" s="103">
        <f t="shared" si="33"/>
        <v>1487.2772690201746</v>
      </c>
      <c r="J81" s="87">
        <f>References!$C$53*'DF Calc (Mason Co.)'!I81</f>
        <v>0.95929383851802252</v>
      </c>
      <c r="K81" s="87">
        <f>J81/References!$G$56</f>
        <v>0.97814763416658346</v>
      </c>
      <c r="L81" s="87">
        <f>K81/F81*E81</f>
        <v>8.1512302847215279E-2</v>
      </c>
      <c r="M81" s="44">
        <f>'Prop. Rates'!B154</f>
        <v>19.829999999999998</v>
      </c>
      <c r="N81" s="87">
        <f t="shared" si="32"/>
        <v>19.911512302847214</v>
      </c>
      <c r="O81" s="220">
        <f>'Prop. Rates'!D154</f>
        <v>19.911512302847214</v>
      </c>
      <c r="P81" s="233"/>
    </row>
    <row r="82" spans="1:18">
      <c r="A82" s="280"/>
      <c r="C82" s="105" t="s">
        <v>182</v>
      </c>
      <c r="D82" s="106">
        <v>0</v>
      </c>
      <c r="E82" s="106">
        <f>References!$B$10</f>
        <v>4.333333333333333</v>
      </c>
      <c r="F82" s="157">
        <f t="shared" si="28"/>
        <v>52</v>
      </c>
      <c r="G82" s="83">
        <f>References!B24</f>
        <v>48</v>
      </c>
      <c r="H82" s="103">
        <f t="shared" si="34"/>
        <v>2496</v>
      </c>
      <c r="I82" s="103">
        <f t="shared" si="33"/>
        <v>1929.440781431578</v>
      </c>
      <c r="J82" s="87">
        <f>References!$C$53*'DF Calc (Mason Co.)'!I82</f>
        <v>1.2444893040233806</v>
      </c>
      <c r="K82" s="87">
        <f>J82/References!$G$56</f>
        <v>1.2689482821620544</v>
      </c>
      <c r="L82" s="87">
        <f t="shared" ref="L82:L84" si="36">K82/F82*E82</f>
        <v>0.10574569018017119</v>
      </c>
      <c r="M82" s="44">
        <f>'Prop. Rates'!B155</f>
        <v>23.33</v>
      </c>
      <c r="N82" s="87">
        <f t="shared" si="32"/>
        <v>23.43574569018017</v>
      </c>
      <c r="O82" s="232">
        <f>'Prop. Rates'!D155</f>
        <v>23.43574569018017</v>
      </c>
      <c r="P82" s="233"/>
    </row>
    <row r="83" spans="1:18">
      <c r="A83" s="280"/>
      <c r="C83" s="105" t="s">
        <v>183</v>
      </c>
      <c r="D83" s="106">
        <v>0</v>
      </c>
      <c r="E83" s="106">
        <f>References!$B$10</f>
        <v>4.333333333333333</v>
      </c>
      <c r="F83" s="157">
        <f t="shared" si="28"/>
        <v>52</v>
      </c>
      <c r="G83" s="83">
        <f>References!B25</f>
        <v>51</v>
      </c>
      <c r="H83" s="103">
        <f t="shared" si="34"/>
        <v>2652</v>
      </c>
      <c r="I83" s="103">
        <f t="shared" si="33"/>
        <v>2050.0308302710514</v>
      </c>
      <c r="J83" s="87">
        <f>References!$C$53*'DF Calc (Mason Co.)'!I83</f>
        <v>1.3222698855248418</v>
      </c>
      <c r="K83" s="87">
        <f>J83/References!$G$56</f>
        <v>1.3482575497971825</v>
      </c>
      <c r="L83" s="87">
        <f t="shared" si="36"/>
        <v>0.11235479581643187</v>
      </c>
      <c r="M83" s="44">
        <f>'Prop. Rates'!B156</f>
        <v>27.64</v>
      </c>
      <c r="N83" s="87">
        <f t="shared" si="32"/>
        <v>27.752354795816434</v>
      </c>
      <c r="O83" s="232">
        <f>'Prop. Rates'!D156</f>
        <v>27.752354795816434</v>
      </c>
      <c r="P83" s="233"/>
    </row>
    <row r="84" spans="1:18">
      <c r="A84" s="280"/>
      <c r="C84" s="105" t="s">
        <v>184</v>
      </c>
      <c r="D84" s="106">
        <v>0</v>
      </c>
      <c r="E84" s="106">
        <f>References!$B$10</f>
        <v>4.333333333333333</v>
      </c>
      <c r="F84" s="157">
        <f t="shared" si="28"/>
        <v>52</v>
      </c>
      <c r="G84" s="83">
        <f>References!B26</f>
        <v>77</v>
      </c>
      <c r="H84" s="103">
        <f t="shared" si="34"/>
        <v>4004</v>
      </c>
      <c r="I84" s="103">
        <f t="shared" si="33"/>
        <v>3095.1445868798228</v>
      </c>
      <c r="J84" s="87">
        <f>References!$C$53*'DF Calc (Mason Co.)'!I84</f>
        <v>1.9963682585375064</v>
      </c>
      <c r="K84" s="87">
        <f>J84/References!$G$56</f>
        <v>2.0356045359682953</v>
      </c>
      <c r="L84" s="87">
        <f t="shared" si="36"/>
        <v>0.16963371133069127</v>
      </c>
      <c r="M84" s="44">
        <f>'Prop. Rates'!B157</f>
        <v>34.450000000000003</v>
      </c>
      <c r="N84" s="87">
        <f t="shared" si="32"/>
        <v>34.619633711330692</v>
      </c>
      <c r="O84" s="232">
        <f>'Prop. Rates'!D157</f>
        <v>34.619633711330692</v>
      </c>
      <c r="P84" s="233"/>
    </row>
    <row r="85" spans="1:18">
      <c r="A85" s="280"/>
      <c r="B85" s="23"/>
      <c r="C85" s="115"/>
      <c r="D85" s="110"/>
      <c r="E85" s="116"/>
      <c r="F85" s="113"/>
      <c r="G85" s="112"/>
      <c r="H85" s="113"/>
      <c r="I85" s="113"/>
      <c r="J85" s="62"/>
      <c r="K85" s="62"/>
      <c r="L85" s="62"/>
      <c r="M85" s="117"/>
      <c r="N85" s="62"/>
      <c r="O85" s="114"/>
      <c r="R85" s="118"/>
    </row>
    <row r="86" spans="1:18">
      <c r="A86" s="70"/>
      <c r="B86" s="69"/>
      <c r="C86" s="70"/>
      <c r="D86" s="119"/>
      <c r="E86" s="90"/>
      <c r="F86" s="83"/>
      <c r="G86" s="83"/>
      <c r="H86" s="83"/>
      <c r="I86" s="86"/>
      <c r="J86" s="87"/>
      <c r="K86" s="87"/>
      <c r="L86" s="87"/>
      <c r="M86" s="96"/>
      <c r="N86" s="87"/>
      <c r="O86" s="96"/>
    </row>
    <row r="87" spans="1:18" ht="15.75" thickBot="1">
      <c r="A87" s="120"/>
      <c r="C87" s="121"/>
    </row>
    <row r="88" spans="1:18">
      <c r="A88" s="120"/>
      <c r="B88" s="283" t="s">
        <v>212</v>
      </c>
      <c r="C88" s="283"/>
      <c r="D88" s="81"/>
      <c r="E88" s="70"/>
      <c r="F88" s="70"/>
      <c r="H88" s="123" t="s">
        <v>213</v>
      </c>
    </row>
    <row r="89" spans="1:18">
      <c r="A89" s="120"/>
      <c r="B89" s="81"/>
      <c r="C89" s="124" t="s">
        <v>36</v>
      </c>
      <c r="D89" s="81"/>
      <c r="E89" s="125"/>
      <c r="F89" s="125"/>
      <c r="H89" s="126" t="s">
        <v>214</v>
      </c>
      <c r="J89" s="127"/>
      <c r="P89" s="102"/>
      <c r="Q89" s="127"/>
    </row>
    <row r="90" spans="1:18" ht="15.75" thickBot="1">
      <c r="A90" s="120"/>
      <c r="B90" s="81" t="s">
        <v>215</v>
      </c>
      <c r="C90" s="128">
        <f>References!B59</f>
        <v>7794</v>
      </c>
      <c r="D90" s="81"/>
      <c r="E90" s="103"/>
      <c r="F90" s="103"/>
      <c r="G90" s="129"/>
      <c r="H90" s="130" t="s">
        <v>216</v>
      </c>
      <c r="I90" s="83"/>
      <c r="J90" s="127"/>
      <c r="P90" s="102"/>
      <c r="Q90" s="44"/>
    </row>
    <row r="91" spans="1:18">
      <c r="A91" s="120"/>
      <c r="B91" s="81" t="s">
        <v>217</v>
      </c>
      <c r="C91" s="131">
        <f>C90*2000</f>
        <v>15588000</v>
      </c>
      <c r="D91" s="81"/>
      <c r="E91" s="131"/>
      <c r="F91" s="131"/>
      <c r="G91" s="131"/>
      <c r="H91" s="132"/>
      <c r="J91" s="127"/>
      <c r="Q91" s="44"/>
    </row>
    <row r="92" spans="1:18">
      <c r="A92" s="120"/>
      <c r="B92" s="81" t="s">
        <v>218</v>
      </c>
      <c r="C92" s="131">
        <f>F52</f>
        <v>355112</v>
      </c>
      <c r="D92" s="81"/>
      <c r="E92" s="103"/>
      <c r="F92" s="103"/>
      <c r="G92" s="103"/>
      <c r="I92" s="83"/>
      <c r="J92" s="127"/>
      <c r="P92" s="102"/>
      <c r="Q92" s="44"/>
    </row>
    <row r="93" spans="1:18">
      <c r="B93" s="45" t="s">
        <v>219</v>
      </c>
      <c r="C93" s="133">
        <f>C91/$H$52</f>
        <v>0.77301313358636936</v>
      </c>
      <c r="D93" s="81"/>
      <c r="E93" s="133"/>
      <c r="F93" s="133"/>
      <c r="G93" s="133"/>
      <c r="H93" s="134"/>
      <c r="J93" s="127"/>
      <c r="M93" s="135"/>
      <c r="N93" s="135"/>
      <c r="O93" s="135"/>
      <c r="P93" s="136"/>
      <c r="Q93" s="136"/>
    </row>
    <row r="94" spans="1:18">
      <c r="E94" s="127"/>
      <c r="G94" s="137"/>
      <c r="H94" s="108"/>
      <c r="J94" s="127"/>
      <c r="M94" s="118"/>
      <c r="N94" s="138"/>
      <c r="O94" s="138"/>
      <c r="P94" s="122"/>
      <c r="Q94" s="134"/>
    </row>
    <row r="95" spans="1:18">
      <c r="D95" s="139"/>
      <c r="E95" s="140"/>
      <c r="G95" s="137"/>
      <c r="H95" s="108"/>
      <c r="J95" s="127"/>
      <c r="M95" s="118"/>
      <c r="N95" s="138"/>
      <c r="O95" s="138"/>
      <c r="P95" s="122"/>
      <c r="Q95" s="134"/>
    </row>
    <row r="96" spans="1:18">
      <c r="B96" s="279"/>
      <c r="C96" s="279"/>
      <c r="D96" s="279"/>
      <c r="E96" s="140"/>
      <c r="G96" s="137"/>
      <c r="H96" s="108"/>
      <c r="J96" s="127"/>
      <c r="M96" s="118"/>
      <c r="N96" s="138"/>
      <c r="O96" s="138"/>
      <c r="P96" s="122"/>
      <c r="Q96" s="134"/>
    </row>
    <row r="97" spans="2:9">
      <c r="B97" s="70"/>
      <c r="C97" s="143"/>
      <c r="D97" s="70"/>
      <c r="I97" s="81"/>
    </row>
    <row r="98" spans="2:9">
      <c r="B98" s="70"/>
      <c r="C98" s="141"/>
      <c r="D98" s="142"/>
      <c r="E98" s="127"/>
      <c r="I98" s="81"/>
    </row>
    <row r="99" spans="2:9">
      <c r="B99" s="144"/>
      <c r="C99" s="141"/>
      <c r="D99" s="142"/>
      <c r="I99" s="81"/>
    </row>
    <row r="100" spans="2:9">
      <c r="B100" s="144"/>
      <c r="C100" s="141"/>
      <c r="D100" s="142"/>
      <c r="I100" s="81"/>
    </row>
    <row r="101" spans="2:9">
      <c r="D101" s="81"/>
    </row>
  </sheetData>
  <mergeCells count="6">
    <mergeCell ref="B96:D96"/>
    <mergeCell ref="A6:A41"/>
    <mergeCell ref="A43:A50"/>
    <mergeCell ref="A56:A65"/>
    <mergeCell ref="A66:A85"/>
    <mergeCell ref="B88:C88"/>
  </mergeCells>
  <pageMargins left="0.7" right="0.7" top="0.75" bottom="0.75" header="0.3" footer="0.3"/>
  <pageSetup scale="45" fitToHeight="0" orientation="landscape" r:id="rId1"/>
  <headerFooter>
    <oddFooter xml:space="preserve">&amp;R&amp;P of &amp;N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S103"/>
  <sheetViews>
    <sheetView topLeftCell="A7" zoomScale="80" zoomScaleNormal="80" zoomScalePageLayoutView="50" workbookViewId="0">
      <selection activeCell="N64" sqref="N64"/>
    </sheetView>
  </sheetViews>
  <sheetFormatPr defaultColWidth="8.85546875" defaultRowHeight="15"/>
  <cols>
    <col min="1" max="1" width="4.140625" style="81" bestFit="1" customWidth="1"/>
    <col min="2" max="2" width="16.7109375" style="98" bestFit="1" customWidth="1"/>
    <col min="3" max="3" width="26.7109375" style="81" bestFit="1" customWidth="1"/>
    <col min="4" max="4" width="10.140625" style="102" bestFit="1" customWidth="1"/>
    <col min="5" max="5" width="10" style="81" bestFit="1" customWidth="1"/>
    <col min="6" max="6" width="11.28515625" style="81" bestFit="1" customWidth="1"/>
    <col min="7" max="7" width="8.28515625" style="202" bestFit="1" customWidth="1"/>
    <col min="8" max="8" width="16.7109375" style="81" bestFit="1" customWidth="1"/>
    <col min="9" max="9" width="15.7109375" style="103" bestFit="1" customWidth="1"/>
    <col min="10" max="10" width="11.7109375" style="81" customWidth="1"/>
    <col min="11" max="11" width="13" style="81" customWidth="1"/>
    <col min="12" max="12" width="9.85546875" style="81" bestFit="1" customWidth="1"/>
    <col min="13" max="13" width="12.42578125" style="81" bestFit="1" customWidth="1"/>
    <col min="14" max="14" width="14.5703125" style="81" bestFit="1" customWidth="1"/>
    <col min="15" max="15" width="14.28515625" style="81" bestFit="1" customWidth="1"/>
    <col min="16" max="16" width="16.140625" style="81" bestFit="1" customWidth="1"/>
    <col min="17" max="17" width="17.85546875" style="81" bestFit="1" customWidth="1"/>
    <col min="18" max="18" width="21" style="81" bestFit="1" customWidth="1"/>
    <col min="19" max="19" width="12.85546875" style="81" bestFit="1" customWidth="1"/>
    <col min="20" max="16384" width="8.85546875" style="81"/>
  </cols>
  <sheetData>
    <row r="1" spans="1:19">
      <c r="A1" s="221" t="str">
        <f>'DF Calc (Mason Co.)'!A1</f>
        <v>Mason County Garbage Company, Inc. G-88</v>
      </c>
      <c r="B1" s="285"/>
      <c r="D1" s="284"/>
    </row>
    <row r="2" spans="1:19">
      <c r="A2" s="286" t="s">
        <v>284</v>
      </c>
      <c r="B2" s="285"/>
      <c r="D2" s="284"/>
    </row>
    <row r="3" spans="1:19">
      <c r="A3" s="287" t="s">
        <v>281</v>
      </c>
      <c r="B3" s="285"/>
      <c r="D3" s="284"/>
    </row>
    <row r="4" spans="1:19">
      <c r="B4" s="285"/>
      <c r="D4" s="284"/>
    </row>
    <row r="5" spans="1:19" ht="45">
      <c r="A5" s="150"/>
      <c r="B5" s="167" t="s">
        <v>194</v>
      </c>
      <c r="C5" s="168" t="s">
        <v>195</v>
      </c>
      <c r="D5" s="167" t="s">
        <v>196</v>
      </c>
      <c r="E5" s="167" t="s">
        <v>197</v>
      </c>
      <c r="F5" s="167" t="s">
        <v>198</v>
      </c>
      <c r="G5" s="197" t="s">
        <v>62</v>
      </c>
      <c r="H5" s="167" t="s">
        <v>199</v>
      </c>
      <c r="I5" s="169" t="s">
        <v>200</v>
      </c>
      <c r="J5" s="167" t="s">
        <v>201</v>
      </c>
      <c r="K5" s="167" t="s">
        <v>202</v>
      </c>
      <c r="L5" s="167" t="s">
        <v>111</v>
      </c>
      <c r="M5" s="167" t="s">
        <v>203</v>
      </c>
      <c r="N5" s="167" t="s">
        <v>259</v>
      </c>
      <c r="O5" s="167" t="s">
        <v>205</v>
      </c>
      <c r="P5" s="167" t="s">
        <v>206</v>
      </c>
      <c r="Q5" s="167" t="s">
        <v>207</v>
      </c>
      <c r="R5" s="167" t="s">
        <v>208</v>
      </c>
      <c r="S5" s="167" t="s">
        <v>209</v>
      </c>
    </row>
    <row r="6" spans="1:19" s="70" customFormat="1">
      <c r="A6" s="280" t="s">
        <v>186</v>
      </c>
      <c r="B6" s="89">
        <v>21</v>
      </c>
      <c r="C6" s="82" t="s">
        <v>3</v>
      </c>
      <c r="D6" s="83">
        <v>1</v>
      </c>
      <c r="E6" s="84">
        <f>References!$B$10</f>
        <v>4.333333333333333</v>
      </c>
      <c r="F6" s="83">
        <f>D6*E6*12</f>
        <v>52</v>
      </c>
      <c r="G6" s="198">
        <f>References!B16</f>
        <v>20</v>
      </c>
      <c r="H6" s="83">
        <f>F6*G6</f>
        <v>1040</v>
      </c>
      <c r="I6" s="86">
        <f t="shared" ref="I6:I11" si="0">$C$95*H6</f>
        <v>804.45520342080067</v>
      </c>
      <c r="J6" s="87">
        <f>References!$C$72*'DF Calc (Kitsap Co.)'!I6</f>
        <v>1.2066828051311964</v>
      </c>
      <c r="K6" s="87">
        <f>J6/References!$G$78</f>
        <v>1.230398740861298</v>
      </c>
      <c r="L6" s="87">
        <f>K6/F6*E6</f>
        <v>0.10253322840510816</v>
      </c>
      <c r="M6" s="88">
        <f>'Prop. Rates'!B51</f>
        <v>12.22</v>
      </c>
      <c r="N6" s="87">
        <f>L6+M6</f>
        <v>12.322533228405108</v>
      </c>
      <c r="O6" s="88">
        <f>'Prop. Rates'!D51</f>
        <v>12.322533228405108</v>
      </c>
      <c r="P6" s="87">
        <f>D6*M6*12</f>
        <v>146.64000000000001</v>
      </c>
      <c r="Q6" s="87">
        <f>D6*O6*12</f>
        <v>147.8703987408613</v>
      </c>
      <c r="R6" s="87">
        <f>Q6-P6</f>
        <v>1.2303987408612898</v>
      </c>
      <c r="S6" s="188">
        <f t="shared" ref="S6:S11" si="1">N6</f>
        <v>12.322533228405108</v>
      </c>
    </row>
    <row r="7" spans="1:19" s="70" customFormat="1">
      <c r="A7" s="280"/>
      <c r="B7" s="89">
        <v>21</v>
      </c>
      <c r="C7" s="82" t="s">
        <v>4</v>
      </c>
      <c r="D7" s="83">
        <v>564</v>
      </c>
      <c r="E7" s="84">
        <f>References!$B$10</f>
        <v>4.333333333333333</v>
      </c>
      <c r="F7" s="83">
        <f t="shared" ref="F7:F39" si="2">D7*E7*12</f>
        <v>29328</v>
      </c>
      <c r="G7" s="198">
        <f>References!$B$17</f>
        <v>34</v>
      </c>
      <c r="H7" s="83">
        <f t="shared" ref="H7:H39" si="3">F7*G7</f>
        <v>997152</v>
      </c>
      <c r="I7" s="86">
        <f t="shared" si="0"/>
        <v>771311.64903986373</v>
      </c>
      <c r="J7" s="87">
        <f>References!$C$72*'DF Calc (Kitsap Co.)'!I7</f>
        <v>1156.9674735597912</v>
      </c>
      <c r="K7" s="87">
        <f>J7/References!$G$78</f>
        <v>1179.7063127378126</v>
      </c>
      <c r="L7" s="87">
        <f t="shared" ref="L7:L30" si="4">K7/F7*E7</f>
        <v>0.17430648828868386</v>
      </c>
      <c r="M7" s="88">
        <f>'Prop. Rates'!B41</f>
        <v>14.33</v>
      </c>
      <c r="N7" s="87">
        <f t="shared" ref="N7:N39" si="5">L7+M7</f>
        <v>14.504306488288684</v>
      </c>
      <c r="O7" s="88">
        <f>'Prop. Rates'!D41</f>
        <v>14.504306488288684</v>
      </c>
      <c r="P7" s="87">
        <f t="shared" ref="P7:P30" si="6">D7*M7*12</f>
        <v>96985.44</v>
      </c>
      <c r="Q7" s="87">
        <f t="shared" ref="Q7:Q30" si="7">D7*O7*12</f>
        <v>98165.146312737808</v>
      </c>
      <c r="R7" s="87">
        <f t="shared" ref="R7:R39" si="8">Q7-P7</f>
        <v>1179.706312737806</v>
      </c>
      <c r="S7" s="188">
        <f t="shared" si="1"/>
        <v>14.504306488288684</v>
      </c>
    </row>
    <row r="8" spans="1:19" s="70" customFormat="1">
      <c r="A8" s="280"/>
      <c r="B8" s="89">
        <v>21</v>
      </c>
      <c r="C8" s="82" t="s">
        <v>5</v>
      </c>
      <c r="D8" s="83">
        <v>160</v>
      </c>
      <c r="E8" s="84">
        <f>References!$B$10</f>
        <v>4.333333333333333</v>
      </c>
      <c r="F8" s="83">
        <f t="shared" si="2"/>
        <v>8320</v>
      </c>
      <c r="G8" s="199">
        <f>References!B18</f>
        <v>51</v>
      </c>
      <c r="H8" s="83">
        <f t="shared" si="3"/>
        <v>424320</v>
      </c>
      <c r="I8" s="86">
        <f t="shared" si="0"/>
        <v>328217.72299568669</v>
      </c>
      <c r="J8" s="87">
        <f>References!$C$72*'DF Calc (Kitsap Co.)'!I8</f>
        <v>492.32658449352817</v>
      </c>
      <c r="K8" s="87">
        <f>J8/References!$G$78</f>
        <v>502.00268627140963</v>
      </c>
      <c r="L8" s="87">
        <f t="shared" si="4"/>
        <v>0.26145973243302584</v>
      </c>
      <c r="M8" s="88">
        <f>'Prop. Rates'!B42</f>
        <v>21.08</v>
      </c>
      <c r="N8" s="87">
        <f t="shared" si="5"/>
        <v>21.341459732433023</v>
      </c>
      <c r="O8" s="88">
        <f>'Prop. Rates'!D42</f>
        <v>21.341459732433023</v>
      </c>
      <c r="P8" s="87">
        <f t="shared" si="6"/>
        <v>40473.599999999999</v>
      </c>
      <c r="Q8" s="87">
        <f t="shared" si="7"/>
        <v>40975.602686271406</v>
      </c>
      <c r="R8" s="87">
        <f t="shared" si="8"/>
        <v>502.00268627140758</v>
      </c>
      <c r="S8" s="188">
        <f t="shared" si="1"/>
        <v>21.341459732433023</v>
      </c>
    </row>
    <row r="9" spans="1:19" s="70" customFormat="1">
      <c r="A9" s="280"/>
      <c r="B9" s="89">
        <v>21</v>
      </c>
      <c r="C9" s="82" t="s">
        <v>6</v>
      </c>
      <c r="D9" s="83">
        <v>17</v>
      </c>
      <c r="E9" s="84">
        <f>References!$B$10</f>
        <v>4.333333333333333</v>
      </c>
      <c r="F9" s="83">
        <f t="shared" si="2"/>
        <v>883.99999999999989</v>
      </c>
      <c r="G9" s="199">
        <f>References!B19</f>
        <v>77</v>
      </c>
      <c r="H9" s="83">
        <f t="shared" si="3"/>
        <v>68067.999999999985</v>
      </c>
      <c r="I9" s="86">
        <f t="shared" si="0"/>
        <v>52651.5930638914</v>
      </c>
      <c r="J9" s="87">
        <f>References!$C$72*'DF Calc (Kitsap Co.)'!I9</f>
        <v>78.977389595836797</v>
      </c>
      <c r="K9" s="87">
        <f>J9/References!$G$78</f>
        <v>80.529597589371946</v>
      </c>
      <c r="L9" s="87">
        <f t="shared" si="4"/>
        <v>0.39475292935966644</v>
      </c>
      <c r="M9" s="88">
        <f>'Prop. Rates'!B43</f>
        <v>27.97</v>
      </c>
      <c r="N9" s="87">
        <f t="shared" si="5"/>
        <v>28.364752929359664</v>
      </c>
      <c r="O9" s="88">
        <f>'Prop. Rates'!D43</f>
        <v>28.364752929359664</v>
      </c>
      <c r="P9" s="87">
        <f t="shared" si="6"/>
        <v>5705.88</v>
      </c>
      <c r="Q9" s="87">
        <f t="shared" si="7"/>
        <v>5786.4095975893715</v>
      </c>
      <c r="R9" s="87">
        <f t="shared" si="8"/>
        <v>80.529597589371406</v>
      </c>
      <c r="S9" s="188">
        <f t="shared" si="1"/>
        <v>28.364752929359664</v>
      </c>
    </row>
    <row r="10" spans="1:19" s="70" customFormat="1">
      <c r="A10" s="280"/>
      <c r="B10" s="89">
        <v>21</v>
      </c>
      <c r="C10" s="82" t="s">
        <v>250</v>
      </c>
      <c r="D10" s="83">
        <v>118</v>
      </c>
      <c r="E10" s="84">
        <f>References!$B$10</f>
        <v>4.333333333333333</v>
      </c>
      <c r="F10" s="83">
        <f>D10*E10*12</f>
        <v>6136</v>
      </c>
      <c r="G10" s="199">
        <f>References!$B$24</f>
        <v>48</v>
      </c>
      <c r="H10" s="83">
        <f>F10*G10</f>
        <v>294528</v>
      </c>
      <c r="I10" s="86">
        <f t="shared" si="0"/>
        <v>227821.71360877078</v>
      </c>
      <c r="J10" s="87">
        <f>References!$C$72*'DF Calc (Kitsap Co.)'!I10</f>
        <v>341.73257041315486</v>
      </c>
      <c r="K10" s="87">
        <f>J10/References!$G$78</f>
        <v>348.44892341191962</v>
      </c>
      <c r="L10" s="87">
        <f>K10/F10*E10</f>
        <v>0.24607974817225961</v>
      </c>
      <c r="M10" s="88">
        <f>'Prop. Rates'!B47</f>
        <v>18.78</v>
      </c>
      <c r="N10" s="87">
        <f>L10+M10</f>
        <v>19.026079748172261</v>
      </c>
      <c r="O10" s="88">
        <f>'Prop. Rates'!D47</f>
        <v>19.026079748172261</v>
      </c>
      <c r="P10" s="87">
        <f>D10*M10*12</f>
        <v>26592.48</v>
      </c>
      <c r="Q10" s="87">
        <f>D10*O10*12</f>
        <v>26940.928923411924</v>
      </c>
      <c r="R10" s="87">
        <f>Q10-P10</f>
        <v>348.44892341192462</v>
      </c>
      <c r="S10" s="188">
        <f t="shared" si="1"/>
        <v>19.026079748172261</v>
      </c>
    </row>
    <row r="11" spans="1:19" s="70" customFormat="1">
      <c r="A11" s="280"/>
      <c r="B11" s="89">
        <v>21</v>
      </c>
      <c r="C11" s="82" t="s">
        <v>251</v>
      </c>
      <c r="D11" s="83">
        <v>8</v>
      </c>
      <c r="E11" s="84">
        <f>References!$B$10</f>
        <v>4.333333333333333</v>
      </c>
      <c r="F11" s="83">
        <f>D11*E11*12</f>
        <v>416</v>
      </c>
      <c r="G11" s="199">
        <f>G10+G10</f>
        <v>96</v>
      </c>
      <c r="H11" s="83">
        <f>F11*G11</f>
        <v>39936</v>
      </c>
      <c r="I11" s="86">
        <f t="shared" si="0"/>
        <v>30891.079811358748</v>
      </c>
      <c r="J11" s="87">
        <f>References!$C$72*'DF Calc (Kitsap Co.)'!I11</f>
        <v>46.336619717037948</v>
      </c>
      <c r="K11" s="87">
        <f>J11/References!$G$78</f>
        <v>47.247311649073851</v>
      </c>
      <c r="L11" s="87">
        <f>K11/F11*E11</f>
        <v>0.49215949634451922</v>
      </c>
      <c r="M11" s="88">
        <f>M10*2</f>
        <v>37.56</v>
      </c>
      <c r="N11" s="87">
        <f>L11+M11</f>
        <v>38.052159496344522</v>
      </c>
      <c r="O11" s="88">
        <f>O10*2</f>
        <v>38.052159496344522</v>
      </c>
      <c r="P11" s="87">
        <f>D11*M11*12</f>
        <v>3605.76</v>
      </c>
      <c r="Q11" s="87">
        <f>D11*O11*12</f>
        <v>3653.0073116490739</v>
      </c>
      <c r="R11" s="87">
        <f>Q11-P11</f>
        <v>47.247311649073708</v>
      </c>
      <c r="S11" s="188">
        <f t="shared" si="1"/>
        <v>38.052159496344522</v>
      </c>
    </row>
    <row r="12" spans="1:19" s="70" customFormat="1">
      <c r="A12" s="280"/>
      <c r="B12" s="89"/>
      <c r="C12" s="82"/>
      <c r="D12" s="83"/>
      <c r="E12" s="84"/>
      <c r="F12" s="83"/>
      <c r="G12" s="199"/>
      <c r="H12" s="83"/>
      <c r="I12" s="86"/>
      <c r="J12" s="87"/>
      <c r="K12" s="87"/>
      <c r="L12" s="87"/>
      <c r="M12" s="88"/>
      <c r="N12" s="87"/>
      <c r="O12" s="88"/>
      <c r="P12" s="87"/>
      <c r="Q12" s="87"/>
      <c r="R12" s="87"/>
      <c r="S12" s="188"/>
    </row>
    <row r="13" spans="1:19" s="70" customFormat="1">
      <c r="A13" s="280"/>
      <c r="B13" s="89">
        <v>21</v>
      </c>
      <c r="C13" s="82" t="s">
        <v>10</v>
      </c>
      <c r="D13" s="83">
        <v>134</v>
      </c>
      <c r="E13" s="84">
        <f>References!$B$10</f>
        <v>4.333333333333333</v>
      </c>
      <c r="F13" s="83">
        <f t="shared" si="2"/>
        <v>6968</v>
      </c>
      <c r="G13" s="199">
        <f>References!B23</f>
        <v>37</v>
      </c>
      <c r="H13" s="83">
        <f t="shared" si="3"/>
        <v>257816</v>
      </c>
      <c r="I13" s="86">
        <f>$C$95*H13</f>
        <v>199424.44492801651</v>
      </c>
      <c r="J13" s="87">
        <f>References!$C$72*'DF Calc (Kitsap Co.)'!I13</f>
        <v>299.13666739202364</v>
      </c>
      <c r="K13" s="87">
        <f>J13/References!$G$78</f>
        <v>305.01584785951582</v>
      </c>
      <c r="L13" s="87">
        <f t="shared" si="4"/>
        <v>0.18968647254945012</v>
      </c>
      <c r="M13" s="88">
        <f>'Prop. Rates'!B54</f>
        <v>16.39</v>
      </c>
      <c r="N13" s="87">
        <f t="shared" si="5"/>
        <v>16.579686472549451</v>
      </c>
      <c r="O13" s="88">
        <f>'Prop. Rates'!D54</f>
        <v>16.579686472549451</v>
      </c>
      <c r="P13" s="87">
        <f t="shared" si="6"/>
        <v>26355.120000000003</v>
      </c>
      <c r="Q13" s="87">
        <f t="shared" si="7"/>
        <v>26660.135847859518</v>
      </c>
      <c r="R13" s="87">
        <f t="shared" si="8"/>
        <v>305.01584785951491</v>
      </c>
      <c r="S13" s="188">
        <f>N13</f>
        <v>16.579686472549451</v>
      </c>
    </row>
    <row r="14" spans="1:19" s="70" customFormat="1">
      <c r="A14" s="280"/>
      <c r="B14" s="89">
        <v>21</v>
      </c>
      <c r="C14" s="82" t="s">
        <v>13</v>
      </c>
      <c r="D14" s="83">
        <v>73</v>
      </c>
      <c r="E14" s="84">
        <f>References!$B$10</f>
        <v>4.333333333333333</v>
      </c>
      <c r="F14" s="83">
        <f t="shared" si="2"/>
        <v>3796</v>
      </c>
      <c r="G14" s="199">
        <f>References!$B$24</f>
        <v>48</v>
      </c>
      <c r="H14" s="83">
        <f t="shared" si="3"/>
        <v>182208</v>
      </c>
      <c r="I14" s="86">
        <f>$C$95*H14</f>
        <v>140940.55163932429</v>
      </c>
      <c r="J14" s="87">
        <f>References!$C$72*'DF Calc (Kitsap Co.)'!I14</f>
        <v>211.41082745898564</v>
      </c>
      <c r="K14" s="87">
        <f>J14/References!$G$78</f>
        <v>215.56585939889942</v>
      </c>
      <c r="L14" s="87">
        <f t="shared" si="4"/>
        <v>0.24607974817225958</v>
      </c>
      <c r="M14" s="88">
        <f>'Prop. Rates'!B55</f>
        <v>20.43</v>
      </c>
      <c r="N14" s="87">
        <f t="shared" si="5"/>
        <v>20.67607974817226</v>
      </c>
      <c r="O14" s="88">
        <f>'Prop. Rates'!D55</f>
        <v>20.67607974817226</v>
      </c>
      <c r="P14" s="87">
        <f t="shared" si="6"/>
        <v>17896.68</v>
      </c>
      <c r="Q14" s="87">
        <f t="shared" si="7"/>
        <v>18112.245859398899</v>
      </c>
      <c r="R14" s="87">
        <f t="shared" si="8"/>
        <v>215.56585939889919</v>
      </c>
      <c r="S14" s="188">
        <f>N14</f>
        <v>20.67607974817226</v>
      </c>
    </row>
    <row r="15" spans="1:19" s="70" customFormat="1">
      <c r="A15" s="280"/>
      <c r="B15" s="89">
        <v>21</v>
      </c>
      <c r="C15" s="82" t="s">
        <v>14</v>
      </c>
      <c r="D15" s="83">
        <v>54</v>
      </c>
      <c r="E15" s="84">
        <f>References!$B$10</f>
        <v>4.333333333333333</v>
      </c>
      <c r="F15" s="83">
        <f t="shared" si="2"/>
        <v>2807.9999999999995</v>
      </c>
      <c r="G15" s="198">
        <f>References!B25</f>
        <v>51</v>
      </c>
      <c r="H15" s="83">
        <f t="shared" si="3"/>
        <v>143207.99999999997</v>
      </c>
      <c r="I15" s="86">
        <f>$C$95*H15</f>
        <v>110773.48151104424</v>
      </c>
      <c r="J15" s="87">
        <f>References!$C$72*'DF Calc (Kitsap Co.)'!I15</f>
        <v>166.16022226656574</v>
      </c>
      <c r="K15" s="87">
        <f>J15/References!$G$78</f>
        <v>169.42590661660071</v>
      </c>
      <c r="L15" s="87">
        <f t="shared" si="4"/>
        <v>0.26145973243302578</v>
      </c>
      <c r="M15" s="88">
        <f>'Prop. Rates'!B56</f>
        <v>24.5</v>
      </c>
      <c r="N15" s="87">
        <f t="shared" si="5"/>
        <v>24.761459732433025</v>
      </c>
      <c r="O15" s="88">
        <f>'Prop. Rates'!D56</f>
        <v>24.761459732433025</v>
      </c>
      <c r="P15" s="87">
        <f t="shared" si="6"/>
        <v>15876</v>
      </c>
      <c r="Q15" s="87">
        <f t="shared" si="7"/>
        <v>16045.425906616601</v>
      </c>
      <c r="R15" s="87">
        <f t="shared" si="8"/>
        <v>169.42590661660142</v>
      </c>
      <c r="S15" s="188">
        <f>N15</f>
        <v>24.761459732433025</v>
      </c>
    </row>
    <row r="16" spans="1:19" s="70" customFormat="1">
      <c r="A16" s="280"/>
      <c r="B16" s="89">
        <v>21</v>
      </c>
      <c r="C16" s="82" t="s">
        <v>15</v>
      </c>
      <c r="D16" s="83">
        <v>29</v>
      </c>
      <c r="E16" s="84">
        <f>References!$B$10</f>
        <v>4.333333333333333</v>
      </c>
      <c r="F16" s="83">
        <f t="shared" si="2"/>
        <v>1508</v>
      </c>
      <c r="G16" s="198">
        <f>References!B26</f>
        <v>77</v>
      </c>
      <c r="H16" s="83">
        <f t="shared" si="3"/>
        <v>116116</v>
      </c>
      <c r="I16" s="86">
        <f>$C$95*H16</f>
        <v>89817.423461932398</v>
      </c>
      <c r="J16" s="87">
        <f>References!$C$72*'DF Calc (Kitsap Co.)'!I16</f>
        <v>134.72613519289808</v>
      </c>
      <c r="K16" s="87">
        <f>J16/References!$G$78</f>
        <v>137.37401941716394</v>
      </c>
      <c r="L16" s="87">
        <f t="shared" si="4"/>
        <v>0.39475292935966644</v>
      </c>
      <c r="M16" s="88">
        <f>'Prop. Rates'!B57</f>
        <v>30.79</v>
      </c>
      <c r="N16" s="87">
        <f t="shared" si="5"/>
        <v>31.184752929359664</v>
      </c>
      <c r="O16" s="88">
        <f>'Prop. Rates'!D57</f>
        <v>31.184752929359664</v>
      </c>
      <c r="P16" s="87">
        <f t="shared" si="6"/>
        <v>10714.92</v>
      </c>
      <c r="Q16" s="87">
        <f t="shared" si="7"/>
        <v>10852.294019417164</v>
      </c>
      <c r="R16" s="87">
        <f t="shared" si="8"/>
        <v>137.37401941716416</v>
      </c>
      <c r="S16" s="188">
        <f>N16</f>
        <v>31.184752929359664</v>
      </c>
    </row>
    <row r="17" spans="1:19" s="70" customFormat="1">
      <c r="A17" s="280"/>
      <c r="B17" s="89"/>
      <c r="C17" s="82"/>
      <c r="D17" s="83"/>
      <c r="E17" s="84"/>
      <c r="F17" s="83"/>
      <c r="G17" s="198"/>
      <c r="H17" s="83"/>
      <c r="I17" s="86"/>
      <c r="J17" s="87"/>
      <c r="K17" s="87"/>
      <c r="L17" s="87"/>
      <c r="M17" s="88"/>
      <c r="N17" s="87"/>
      <c r="O17" s="88"/>
      <c r="P17" s="87"/>
      <c r="Q17" s="87"/>
      <c r="R17" s="87"/>
      <c r="S17" s="188"/>
    </row>
    <row r="18" spans="1:19" s="70" customFormat="1">
      <c r="A18" s="280"/>
      <c r="B18" s="89">
        <v>21</v>
      </c>
      <c r="C18" s="82" t="s">
        <v>16</v>
      </c>
      <c r="D18" s="83">
        <v>225</v>
      </c>
      <c r="E18" s="84">
        <f>References!$B$11</f>
        <v>2.1666666666666665</v>
      </c>
      <c r="F18" s="83">
        <f t="shared" si="2"/>
        <v>5849.9999999999991</v>
      </c>
      <c r="G18" s="198">
        <f>References!B17</f>
        <v>34</v>
      </c>
      <c r="H18" s="83">
        <f t="shared" si="3"/>
        <v>198899.99999999997</v>
      </c>
      <c r="I18" s="86">
        <f>$C$95*H18</f>
        <v>153852.05765422812</v>
      </c>
      <c r="J18" s="87">
        <f>References!$C$72*'DF Calc (Kitsap Co.)'!I18</f>
        <v>230.77808648134132</v>
      </c>
      <c r="K18" s="87">
        <f>J18/References!$G$78</f>
        <v>235.31375918972324</v>
      </c>
      <c r="L18" s="87">
        <f t="shared" si="4"/>
        <v>8.715324414434196E-2</v>
      </c>
      <c r="M18" s="88">
        <f>'Prop. Rates'!B48</f>
        <v>8.2899999999999991</v>
      </c>
      <c r="N18" s="87">
        <f t="shared" si="5"/>
        <v>8.3771532441443419</v>
      </c>
      <c r="O18" s="88">
        <f>'Prop. Rates'!D48</f>
        <v>8.3771532441443419</v>
      </c>
      <c r="P18" s="87">
        <f t="shared" si="6"/>
        <v>22382.999999999996</v>
      </c>
      <c r="Q18" s="87">
        <f t="shared" si="7"/>
        <v>22618.313759189725</v>
      </c>
      <c r="R18" s="87">
        <f t="shared" si="8"/>
        <v>235.31375918972844</v>
      </c>
      <c r="S18" s="188">
        <f>N18</f>
        <v>8.3771532441443419</v>
      </c>
    </row>
    <row r="19" spans="1:19" s="70" customFormat="1">
      <c r="A19" s="280"/>
      <c r="B19" s="89">
        <v>21</v>
      </c>
      <c r="C19" s="82" t="s">
        <v>17</v>
      </c>
      <c r="D19" s="83">
        <v>24</v>
      </c>
      <c r="E19" s="84">
        <f>References!$B$11</f>
        <v>2.1666666666666665</v>
      </c>
      <c r="F19" s="83">
        <f t="shared" si="2"/>
        <v>624</v>
      </c>
      <c r="G19" s="199">
        <f>G8</f>
        <v>51</v>
      </c>
      <c r="H19" s="83">
        <f t="shared" si="3"/>
        <v>31824</v>
      </c>
      <c r="I19" s="86">
        <f>$C$95*H19</f>
        <v>24616.329224676501</v>
      </c>
      <c r="J19" s="87">
        <f>References!$C$72*'DF Calc (Kitsap Co.)'!I19</f>
        <v>36.924493837014616</v>
      </c>
      <c r="K19" s="87">
        <f>J19/References!$G$78</f>
        <v>37.650201470355725</v>
      </c>
      <c r="L19" s="87">
        <f t="shared" si="4"/>
        <v>0.13072986621651292</v>
      </c>
      <c r="M19" s="88">
        <f>'Prop. Rates'!B49</f>
        <v>13.24</v>
      </c>
      <c r="N19" s="87">
        <f t="shared" si="5"/>
        <v>13.370729866216513</v>
      </c>
      <c r="O19" s="88">
        <f>'Prop. Rates'!D49</f>
        <v>13.370729866216513</v>
      </c>
      <c r="P19" s="87">
        <f t="shared" si="6"/>
        <v>3813.12</v>
      </c>
      <c r="Q19" s="87">
        <f t="shared" si="7"/>
        <v>3850.7702014703555</v>
      </c>
      <c r="R19" s="87">
        <f t="shared" si="8"/>
        <v>37.650201470355569</v>
      </c>
      <c r="S19" s="188">
        <f>N19</f>
        <v>13.370729866216513</v>
      </c>
    </row>
    <row r="20" spans="1:19" s="70" customFormat="1">
      <c r="A20" s="280"/>
      <c r="B20" s="89"/>
      <c r="C20" s="82"/>
      <c r="D20" s="83"/>
      <c r="E20" s="84"/>
      <c r="F20" s="83"/>
      <c r="G20" s="199"/>
      <c r="H20" s="83"/>
      <c r="I20" s="86"/>
      <c r="J20" s="87"/>
      <c r="K20" s="87"/>
      <c r="L20" s="87"/>
      <c r="M20" s="88"/>
      <c r="N20" s="87"/>
      <c r="O20" s="88"/>
      <c r="P20" s="87"/>
      <c r="Q20" s="87"/>
      <c r="R20" s="87"/>
      <c r="S20" s="188"/>
    </row>
    <row r="21" spans="1:19" s="70" customFormat="1">
      <c r="A21" s="280"/>
      <c r="B21" s="89">
        <v>21</v>
      </c>
      <c r="C21" s="82" t="s">
        <v>18</v>
      </c>
      <c r="D21" s="83">
        <v>61</v>
      </c>
      <c r="E21" s="84">
        <f>References!$B$11</f>
        <v>2.1666666666666665</v>
      </c>
      <c r="F21" s="83">
        <f t="shared" si="2"/>
        <v>1586</v>
      </c>
      <c r="G21" s="199">
        <f>References!B23</f>
        <v>37</v>
      </c>
      <c r="H21" s="83">
        <f t="shared" si="3"/>
        <v>58682</v>
      </c>
      <c r="I21" s="86">
        <f>$C$95*H21</f>
        <v>45391.384853018681</v>
      </c>
      <c r="J21" s="87">
        <f>References!$C$72*'DF Calc (Kitsap Co.)'!I21</f>
        <v>68.087077279527762</v>
      </c>
      <c r="K21" s="87">
        <f>J21/References!$G$78</f>
        <v>69.425248953098745</v>
      </c>
      <c r="L21" s="87">
        <f t="shared" si="4"/>
        <v>9.484323627472506E-2</v>
      </c>
      <c r="M21" s="88">
        <f>'Prop. Rates'!B58</f>
        <v>9.89</v>
      </c>
      <c r="N21" s="87">
        <f t="shared" si="5"/>
        <v>9.9848432362747257</v>
      </c>
      <c r="O21" s="88">
        <f>'Prop. Rates'!D58</f>
        <v>9.9848432362747257</v>
      </c>
      <c r="P21" s="87">
        <f t="shared" si="6"/>
        <v>7239.4800000000014</v>
      </c>
      <c r="Q21" s="87">
        <f t="shared" si="7"/>
        <v>7308.9052489530986</v>
      </c>
      <c r="R21" s="87">
        <f t="shared" si="8"/>
        <v>69.425248953097253</v>
      </c>
      <c r="S21" s="188">
        <f>N21</f>
        <v>9.9848432362747257</v>
      </c>
    </row>
    <row r="22" spans="1:19" s="70" customFormat="1">
      <c r="A22" s="280"/>
      <c r="B22" s="89">
        <v>21</v>
      </c>
      <c r="C22" s="82" t="s">
        <v>19</v>
      </c>
      <c r="D22" s="83">
        <v>21</v>
      </c>
      <c r="E22" s="84">
        <f>References!$B$11</f>
        <v>2.1666666666666665</v>
      </c>
      <c r="F22" s="83">
        <f t="shared" si="2"/>
        <v>546</v>
      </c>
      <c r="G22" s="199">
        <f>References!$B$24</f>
        <v>48</v>
      </c>
      <c r="H22" s="83">
        <f t="shared" si="3"/>
        <v>26208</v>
      </c>
      <c r="I22" s="86">
        <f>$C$95*H22</f>
        <v>20272.271126204178</v>
      </c>
      <c r="J22" s="87">
        <f>References!$C$72*'DF Calc (Kitsap Co.)'!I22</f>
        <v>30.408406689306151</v>
      </c>
      <c r="K22" s="87">
        <f>J22/References!$G$78</f>
        <v>31.00604826970471</v>
      </c>
      <c r="L22" s="87">
        <f t="shared" si="4"/>
        <v>0.12303987408612979</v>
      </c>
      <c r="M22" s="88">
        <f>'Prop. Rates'!B59</f>
        <v>13.03</v>
      </c>
      <c r="N22" s="87">
        <f t="shared" si="5"/>
        <v>13.153039874086129</v>
      </c>
      <c r="O22" s="88">
        <f>'Prop. Rates'!D59</f>
        <v>13.153039874086129</v>
      </c>
      <c r="P22" s="87">
        <f t="shared" si="6"/>
        <v>3283.56</v>
      </c>
      <c r="Q22" s="87">
        <f t="shared" si="7"/>
        <v>3314.5660482697049</v>
      </c>
      <c r="R22" s="87">
        <f t="shared" si="8"/>
        <v>31.006048269704934</v>
      </c>
      <c r="S22" s="188">
        <f>N22</f>
        <v>13.153039874086129</v>
      </c>
    </row>
    <row r="23" spans="1:19" s="70" customFormat="1">
      <c r="A23" s="280"/>
      <c r="B23" s="89">
        <v>21</v>
      </c>
      <c r="C23" s="82" t="s">
        <v>20</v>
      </c>
      <c r="D23" s="83">
        <v>14</v>
      </c>
      <c r="E23" s="84">
        <f>References!$B$11</f>
        <v>2.1666666666666665</v>
      </c>
      <c r="F23" s="83">
        <f t="shared" si="2"/>
        <v>364</v>
      </c>
      <c r="G23" s="198">
        <f>References!B25</f>
        <v>51</v>
      </c>
      <c r="H23" s="83">
        <f t="shared" si="3"/>
        <v>18564</v>
      </c>
      <c r="I23" s="86">
        <f>$C$95*H23</f>
        <v>14359.525381061292</v>
      </c>
      <c r="J23" s="87">
        <f>References!$C$72*'DF Calc (Kitsap Co.)'!I23</f>
        <v>21.539288071591859</v>
      </c>
      <c r="K23" s="87">
        <f>J23/References!$G$78</f>
        <v>21.962617524374171</v>
      </c>
      <c r="L23" s="87">
        <f t="shared" si="4"/>
        <v>0.13072986621651292</v>
      </c>
      <c r="M23" s="88">
        <f>'Prop. Rates'!B60</f>
        <v>15.53</v>
      </c>
      <c r="N23" s="87">
        <f t="shared" si="5"/>
        <v>15.660729866216512</v>
      </c>
      <c r="O23" s="88">
        <f>'Prop. Rates'!D60</f>
        <v>15.660729866216512</v>
      </c>
      <c r="P23" s="87">
        <f t="shared" si="6"/>
        <v>2609.04</v>
      </c>
      <c r="Q23" s="87">
        <f t="shared" si="7"/>
        <v>2631.0026175243738</v>
      </c>
      <c r="R23" s="87">
        <f t="shared" si="8"/>
        <v>21.962617524373854</v>
      </c>
      <c r="S23" s="188">
        <f>N23</f>
        <v>15.660729866216512</v>
      </c>
    </row>
    <row r="24" spans="1:19" s="70" customFormat="1">
      <c r="A24" s="280"/>
      <c r="B24" s="89">
        <v>21</v>
      </c>
      <c r="C24" s="82" t="s">
        <v>21</v>
      </c>
      <c r="D24" s="83">
        <v>10</v>
      </c>
      <c r="E24" s="84">
        <f>References!$B$11</f>
        <v>2.1666666666666665</v>
      </c>
      <c r="F24" s="83">
        <f t="shared" si="2"/>
        <v>260</v>
      </c>
      <c r="G24" s="198">
        <f>References!B26</f>
        <v>77</v>
      </c>
      <c r="H24" s="83">
        <f t="shared" si="3"/>
        <v>20020</v>
      </c>
      <c r="I24" s="86">
        <f>$C$95*H24</f>
        <v>15485.762665850414</v>
      </c>
      <c r="J24" s="87">
        <f>References!$C$72*'DF Calc (Kitsap Co.)'!I24</f>
        <v>23.228643998775535</v>
      </c>
      <c r="K24" s="87">
        <f>J24/References!$G$78</f>
        <v>23.685175761579991</v>
      </c>
      <c r="L24" s="87">
        <f t="shared" si="4"/>
        <v>0.19737646467983325</v>
      </c>
      <c r="M24" s="88">
        <f>'Prop. Rates'!B61</f>
        <v>19.28</v>
      </c>
      <c r="N24" s="87">
        <f t="shared" si="5"/>
        <v>19.477376464679836</v>
      </c>
      <c r="O24" s="88">
        <f>'Prop. Rates'!D61</f>
        <v>19.477376464679836</v>
      </c>
      <c r="P24" s="87">
        <f t="shared" si="6"/>
        <v>2313.6000000000004</v>
      </c>
      <c r="Q24" s="87">
        <f t="shared" si="7"/>
        <v>2337.2851757615804</v>
      </c>
      <c r="R24" s="87">
        <f t="shared" si="8"/>
        <v>23.685175761580012</v>
      </c>
      <c r="S24" s="188">
        <f>N24</f>
        <v>19.477376464679836</v>
      </c>
    </row>
    <row r="25" spans="1:19" s="70" customFormat="1">
      <c r="A25" s="280"/>
      <c r="B25" s="89"/>
      <c r="C25" s="82"/>
      <c r="D25" s="83"/>
      <c r="E25" s="84"/>
      <c r="F25" s="83"/>
      <c r="G25" s="198"/>
      <c r="H25" s="83"/>
      <c r="I25" s="86"/>
      <c r="J25" s="87"/>
      <c r="K25" s="87"/>
      <c r="L25" s="87"/>
      <c r="M25" s="88"/>
      <c r="N25" s="87"/>
      <c r="O25" s="88"/>
      <c r="P25" s="87"/>
      <c r="Q25" s="87"/>
      <c r="R25" s="87"/>
      <c r="S25" s="188"/>
    </row>
    <row r="26" spans="1:19" s="70" customFormat="1">
      <c r="A26" s="280"/>
      <c r="B26" s="89">
        <v>21</v>
      </c>
      <c r="C26" s="82" t="s">
        <v>22</v>
      </c>
      <c r="D26" s="83">
        <v>38</v>
      </c>
      <c r="E26" s="84">
        <f>References!$B$12</f>
        <v>1</v>
      </c>
      <c r="F26" s="83">
        <f t="shared" si="2"/>
        <v>456</v>
      </c>
      <c r="G26" s="198">
        <f>References!B17</f>
        <v>34</v>
      </c>
      <c r="H26" s="83">
        <f t="shared" si="3"/>
        <v>15504</v>
      </c>
      <c r="I26" s="86">
        <f>$C$95*H26</f>
        <v>11992.570647919321</v>
      </c>
      <c r="J26" s="87">
        <f>References!$C$72*'DF Calc (Kitsap Co.)'!I26</f>
        <v>17.988855971878916</v>
      </c>
      <c r="K26" s="87">
        <f>J26/References!$G$78</f>
        <v>18.342405844532276</v>
      </c>
      <c r="L26" s="87">
        <f>K26/F26*E26</f>
        <v>4.022457422046552E-2</v>
      </c>
      <c r="M26" s="88">
        <f>'Prop. Rates'!B50</f>
        <v>4.6399999999999997</v>
      </c>
      <c r="N26" s="87">
        <f t="shared" si="5"/>
        <v>4.6802245742204649</v>
      </c>
      <c r="O26" s="88">
        <f>'Prop. Rates'!D50</f>
        <v>4.6802245742204649</v>
      </c>
      <c r="P26" s="87">
        <f t="shared" si="6"/>
        <v>2115.84</v>
      </c>
      <c r="Q26" s="87">
        <f t="shared" si="7"/>
        <v>2134.1824058445318</v>
      </c>
      <c r="R26" s="87">
        <f t="shared" si="8"/>
        <v>18.34240584453164</v>
      </c>
      <c r="S26" s="188">
        <f>N26</f>
        <v>4.6802245742204649</v>
      </c>
    </row>
    <row r="27" spans="1:19" s="70" customFormat="1">
      <c r="A27" s="280"/>
      <c r="B27" s="89">
        <v>21</v>
      </c>
      <c r="C27" s="82" t="s">
        <v>23</v>
      </c>
      <c r="D27" s="83">
        <v>9</v>
      </c>
      <c r="E27" s="84">
        <f>References!$B$12</f>
        <v>1</v>
      </c>
      <c r="F27" s="83">
        <f t="shared" si="2"/>
        <v>108</v>
      </c>
      <c r="G27" s="199">
        <f>References!B23</f>
        <v>37</v>
      </c>
      <c r="H27" s="83">
        <f t="shared" si="3"/>
        <v>3996</v>
      </c>
      <c r="I27" s="86">
        <f>$C$95*H27</f>
        <v>3090.9644162206919</v>
      </c>
      <c r="J27" s="87">
        <f>References!$C$72*'DF Calc (Kitsap Co.)'!I27</f>
        <v>4.6364466243310201</v>
      </c>
      <c r="K27" s="87">
        <f>J27/References!$G$78</f>
        <v>4.7275705466170646</v>
      </c>
      <c r="L27" s="87">
        <f t="shared" si="4"/>
        <v>4.3773801357565416E-2</v>
      </c>
      <c r="M27" s="88">
        <f>'Prop. Rates'!B62</f>
        <v>6</v>
      </c>
      <c r="N27" s="87">
        <f t="shared" si="5"/>
        <v>6.043773801357565</v>
      </c>
      <c r="O27" s="88">
        <f>'Prop. Rates'!D62</f>
        <v>6.043773801357565</v>
      </c>
      <c r="P27" s="87">
        <f t="shared" si="6"/>
        <v>648</v>
      </c>
      <c r="Q27" s="87">
        <f t="shared" si="7"/>
        <v>652.72757054661702</v>
      </c>
      <c r="R27" s="87">
        <f t="shared" si="8"/>
        <v>4.7275705466170166</v>
      </c>
      <c r="S27" s="188">
        <f>N27</f>
        <v>6.043773801357565</v>
      </c>
    </row>
    <row r="28" spans="1:19" s="70" customFormat="1">
      <c r="A28" s="280"/>
      <c r="B28" s="89">
        <v>21</v>
      </c>
      <c r="C28" s="82" t="s">
        <v>24</v>
      </c>
      <c r="D28" s="83">
        <v>0</v>
      </c>
      <c r="E28" s="84">
        <f>References!$B$12</f>
        <v>1</v>
      </c>
      <c r="F28" s="83">
        <v>12</v>
      </c>
      <c r="G28" s="199">
        <f>References!$B$24</f>
        <v>48</v>
      </c>
      <c r="H28" s="83">
        <f t="shared" si="3"/>
        <v>576</v>
      </c>
      <c r="I28" s="86">
        <f>$C$95*H28</f>
        <v>445.54442035613579</v>
      </c>
      <c r="J28" s="87">
        <f>References!$C$72*'DF Calc (Kitsap Co.)'!I28</f>
        <v>0.66831663053420121</v>
      </c>
      <c r="K28" s="87">
        <f>J28/References!$G$78</f>
        <v>0.68145161032318058</v>
      </c>
      <c r="L28" s="87">
        <f t="shared" si="4"/>
        <v>5.6787634193598384E-2</v>
      </c>
      <c r="M28" s="88">
        <f>'Prop. Rates'!B63</f>
        <v>7.5</v>
      </c>
      <c r="N28" s="87">
        <f t="shared" si="5"/>
        <v>7.556787634193598</v>
      </c>
      <c r="O28" s="88">
        <f>'Prop. Rates'!D63</f>
        <v>7.556787634193598</v>
      </c>
      <c r="P28" s="87">
        <f t="shared" si="6"/>
        <v>0</v>
      </c>
      <c r="Q28" s="87">
        <f t="shared" si="7"/>
        <v>0</v>
      </c>
      <c r="R28" s="87">
        <f t="shared" si="8"/>
        <v>0</v>
      </c>
      <c r="S28" s="188">
        <f>N28</f>
        <v>7.556787634193598</v>
      </c>
    </row>
    <row r="29" spans="1:19" s="70" customFormat="1">
      <c r="A29" s="280"/>
      <c r="B29" s="89">
        <v>21</v>
      </c>
      <c r="C29" s="82" t="s">
        <v>25</v>
      </c>
      <c r="D29" s="83">
        <v>2</v>
      </c>
      <c r="E29" s="84">
        <f>References!$B$12</f>
        <v>1</v>
      </c>
      <c r="F29" s="83">
        <f t="shared" si="2"/>
        <v>24</v>
      </c>
      <c r="G29" s="198">
        <f>References!B25</f>
        <v>51</v>
      </c>
      <c r="H29" s="83">
        <f t="shared" si="3"/>
        <v>1224</v>
      </c>
      <c r="I29" s="86">
        <f>$C$95*H29</f>
        <v>946.78189325678852</v>
      </c>
      <c r="J29" s="87">
        <f>References!$C$72*'DF Calc (Kitsap Co.)'!I29</f>
        <v>1.4201728398851774</v>
      </c>
      <c r="K29" s="87">
        <f>J29/References!$G$78</f>
        <v>1.4480846719367584</v>
      </c>
      <c r="L29" s="87">
        <f t="shared" si="4"/>
        <v>6.0336861330698266E-2</v>
      </c>
      <c r="M29" s="88">
        <f>'Prop. Rates'!B64</f>
        <v>8.84</v>
      </c>
      <c r="N29" s="87">
        <f t="shared" si="5"/>
        <v>8.9003368613306986</v>
      </c>
      <c r="O29" s="88">
        <f>'Prop. Rates'!D64</f>
        <v>8.9003368613306986</v>
      </c>
      <c r="P29" s="87">
        <f t="shared" si="6"/>
        <v>212.16</v>
      </c>
      <c r="Q29" s="87">
        <f t="shared" si="7"/>
        <v>213.60808467193675</v>
      </c>
      <c r="R29" s="87">
        <f t="shared" si="8"/>
        <v>1.4480846719367548</v>
      </c>
      <c r="S29" s="188">
        <f>N29</f>
        <v>8.9003368613306986</v>
      </c>
    </row>
    <row r="30" spans="1:19" s="70" customFormat="1">
      <c r="A30" s="280"/>
      <c r="B30" s="89">
        <v>21</v>
      </c>
      <c r="C30" s="82" t="s">
        <v>26</v>
      </c>
      <c r="D30" s="83">
        <v>1</v>
      </c>
      <c r="E30" s="84">
        <f>References!$B$12</f>
        <v>1</v>
      </c>
      <c r="F30" s="83">
        <f t="shared" si="2"/>
        <v>12</v>
      </c>
      <c r="G30" s="198">
        <f>References!B26</f>
        <v>77</v>
      </c>
      <c r="H30" s="83">
        <f t="shared" si="3"/>
        <v>924</v>
      </c>
      <c r="I30" s="86">
        <f>$C$95*H30</f>
        <v>714.72750765463445</v>
      </c>
      <c r="J30" s="87">
        <f>References!$C$72*'DF Calc (Kitsap Co.)'!I30</f>
        <v>1.0720912614819478</v>
      </c>
      <c r="K30" s="87">
        <f>J30/References!$G$78</f>
        <v>1.0931619582267689</v>
      </c>
      <c r="L30" s="87">
        <f t="shared" si="4"/>
        <v>9.1096829852230735E-2</v>
      </c>
      <c r="M30" s="88">
        <f>'Prop. Rates'!B65</f>
        <v>10.78</v>
      </c>
      <c r="N30" s="87">
        <f t="shared" si="5"/>
        <v>10.871096829852229</v>
      </c>
      <c r="O30" s="88">
        <f>'Prop. Rates'!D65</f>
        <v>10.871096829852229</v>
      </c>
      <c r="P30" s="87">
        <f t="shared" si="6"/>
        <v>129.35999999999999</v>
      </c>
      <c r="Q30" s="87">
        <f t="shared" si="7"/>
        <v>130.45316195822676</v>
      </c>
      <c r="R30" s="87">
        <f t="shared" si="8"/>
        <v>1.0931619582267729</v>
      </c>
      <c r="S30" s="188">
        <f>N30</f>
        <v>10.871096829852229</v>
      </c>
    </row>
    <row r="31" spans="1:19" s="70" customFormat="1">
      <c r="A31" s="280"/>
      <c r="B31" s="89"/>
      <c r="C31" s="82"/>
      <c r="D31" s="83"/>
      <c r="E31" s="84"/>
      <c r="F31" s="83"/>
      <c r="G31" s="198"/>
      <c r="H31" s="83"/>
      <c r="I31" s="86"/>
      <c r="J31" s="87"/>
      <c r="K31" s="87"/>
      <c r="L31" s="87"/>
      <c r="M31" s="88"/>
      <c r="N31" s="87"/>
      <c r="O31" s="88"/>
      <c r="P31" s="87"/>
      <c r="Q31" s="87"/>
      <c r="R31" s="87"/>
      <c r="S31" s="188"/>
    </row>
    <row r="32" spans="1:19" s="70" customFormat="1">
      <c r="A32" s="280"/>
      <c r="B32" s="89">
        <v>22</v>
      </c>
      <c r="C32" s="156" t="s">
        <v>27</v>
      </c>
      <c r="D32" s="83">
        <v>70</v>
      </c>
      <c r="E32" s="84">
        <f>References!$B$12</f>
        <v>1</v>
      </c>
      <c r="F32" s="83">
        <f t="shared" si="2"/>
        <v>840</v>
      </c>
      <c r="G32" s="198">
        <f>References!B17</f>
        <v>34</v>
      </c>
      <c r="H32" s="83">
        <f t="shared" si="3"/>
        <v>28560</v>
      </c>
      <c r="I32" s="86">
        <f>$C$95*H32</f>
        <v>22091.577509325067</v>
      </c>
      <c r="J32" s="87">
        <f>References!$C$72*'DF Calc (Kitsap Co.)'!I32</f>
        <v>33.137366263987474</v>
      </c>
      <c r="K32" s="87">
        <f>J32/References!$G$78</f>
        <v>33.788642345191029</v>
      </c>
      <c r="L32" s="87">
        <f>K32/F32</f>
        <v>4.0224574220465513E-2</v>
      </c>
      <c r="M32" s="88">
        <f>'Prop. Rates'!B78</f>
        <v>4.6399999999999997</v>
      </c>
      <c r="N32" s="87">
        <f t="shared" si="5"/>
        <v>4.6802245742204649</v>
      </c>
      <c r="O32" s="88">
        <f>'Prop. Rates'!D78</f>
        <v>4.6802245742204649</v>
      </c>
      <c r="P32" s="87">
        <f>F32*M32</f>
        <v>3897.6</v>
      </c>
      <c r="Q32" s="87">
        <f>F32*O32</f>
        <v>3931.3886423451904</v>
      </c>
      <c r="R32" s="87">
        <f t="shared" si="8"/>
        <v>33.78864234519051</v>
      </c>
      <c r="S32" s="188">
        <f>N32</f>
        <v>4.6802245742204649</v>
      </c>
    </row>
    <row r="33" spans="1:19" s="70" customFormat="1">
      <c r="A33" s="280"/>
      <c r="B33" s="89">
        <v>22</v>
      </c>
      <c r="C33" s="156" t="s">
        <v>28</v>
      </c>
      <c r="D33" s="83">
        <v>2</v>
      </c>
      <c r="E33" s="84">
        <f>References!$B$12</f>
        <v>1</v>
      </c>
      <c r="F33" s="83">
        <f t="shared" si="2"/>
        <v>24</v>
      </c>
      <c r="G33" s="199">
        <f>References!B23</f>
        <v>37</v>
      </c>
      <c r="H33" s="83">
        <f t="shared" si="3"/>
        <v>888</v>
      </c>
      <c r="I33" s="86">
        <f>$C$95*H33</f>
        <v>686.88098138237604</v>
      </c>
      <c r="J33" s="87">
        <f>References!$C$72*'DF Calc (Kitsap Co.)'!I33</f>
        <v>1.0303214720735603</v>
      </c>
      <c r="K33" s="87">
        <f>J33/References!$G$78</f>
        <v>1.0505712325815701</v>
      </c>
      <c r="L33" s="87">
        <f t="shared" ref="L33:L39" si="9">K33/F33</f>
        <v>4.3773801357565423E-2</v>
      </c>
      <c r="M33" s="88">
        <f>'Prop. Rates'!B80</f>
        <v>6</v>
      </c>
      <c r="N33" s="87">
        <f t="shared" si="5"/>
        <v>6.043773801357565</v>
      </c>
      <c r="O33" s="88">
        <f>'Prop. Rates'!D80</f>
        <v>6.043773801357565</v>
      </c>
      <c r="P33" s="87">
        <f t="shared" ref="P33:P39" si="10">F33*M33</f>
        <v>144</v>
      </c>
      <c r="Q33" s="87">
        <f t="shared" ref="Q33:Q39" si="11">F33*O33</f>
        <v>145.05057123258155</v>
      </c>
      <c r="R33" s="87">
        <f t="shared" si="8"/>
        <v>1.0505712325815466</v>
      </c>
      <c r="S33" s="188">
        <f>N33</f>
        <v>6.043773801357565</v>
      </c>
    </row>
    <row r="34" spans="1:19" s="70" customFormat="1">
      <c r="A34" s="280"/>
      <c r="B34" s="89">
        <v>22</v>
      </c>
      <c r="C34" s="156" t="s">
        <v>29</v>
      </c>
      <c r="D34" s="83">
        <v>3</v>
      </c>
      <c r="E34" s="84">
        <f>References!$B$12</f>
        <v>1</v>
      </c>
      <c r="F34" s="83">
        <f t="shared" si="2"/>
        <v>36</v>
      </c>
      <c r="G34" s="199">
        <f>References!$B$24</f>
        <v>48</v>
      </c>
      <c r="H34" s="83">
        <f t="shared" si="3"/>
        <v>1728</v>
      </c>
      <c r="I34" s="86">
        <f>$C$95*H34</f>
        <v>1336.6332610684074</v>
      </c>
      <c r="J34" s="87">
        <f>References!$C$72*'DF Calc (Kitsap Co.)'!I34</f>
        <v>2.0049498916026036</v>
      </c>
      <c r="K34" s="87">
        <f>J34/References!$G$78</f>
        <v>2.0443548309695414</v>
      </c>
      <c r="L34" s="87">
        <f t="shared" si="9"/>
        <v>5.678763419359837E-2</v>
      </c>
      <c r="M34" s="88">
        <f>'Prop. Rates'!B81</f>
        <v>7.5</v>
      </c>
      <c r="N34" s="87">
        <f t="shared" si="5"/>
        <v>7.556787634193598</v>
      </c>
      <c r="O34" s="88">
        <f>'Prop. Rates'!D81</f>
        <v>7.556787634193598</v>
      </c>
      <c r="P34" s="87">
        <f t="shared" si="10"/>
        <v>270</v>
      </c>
      <c r="Q34" s="87">
        <f t="shared" si="11"/>
        <v>272.04435483096955</v>
      </c>
      <c r="R34" s="87">
        <f t="shared" si="8"/>
        <v>2.0443548309695529</v>
      </c>
      <c r="S34" s="188">
        <f>N34</f>
        <v>7.556787634193598</v>
      </c>
    </row>
    <row r="35" spans="1:19" s="70" customFormat="1">
      <c r="A35" s="280"/>
      <c r="B35" s="89">
        <v>22</v>
      </c>
      <c r="C35" s="156" t="s">
        <v>30</v>
      </c>
      <c r="D35" s="83"/>
      <c r="E35" s="84">
        <f>References!$B$12</f>
        <v>1</v>
      </c>
      <c r="F35" s="83">
        <v>12</v>
      </c>
      <c r="G35" s="198">
        <f>References!B25</f>
        <v>51</v>
      </c>
      <c r="H35" s="83">
        <f t="shared" si="3"/>
        <v>612</v>
      </c>
      <c r="I35" s="86">
        <f>$C$95*H35</f>
        <v>473.39094662839426</v>
      </c>
      <c r="J35" s="87">
        <f>References!$C$72*'DF Calc (Kitsap Co.)'!I35</f>
        <v>0.7100864199425887</v>
      </c>
      <c r="K35" s="87">
        <f>J35/References!$G$78</f>
        <v>0.72404233596837919</v>
      </c>
      <c r="L35" s="87">
        <f t="shared" si="9"/>
        <v>6.0336861330698266E-2</v>
      </c>
      <c r="M35" s="88">
        <f>'Prop. Rates'!B82</f>
        <v>8.84</v>
      </c>
      <c r="N35" s="87">
        <f t="shared" si="5"/>
        <v>8.9003368613306986</v>
      </c>
      <c r="O35" s="88">
        <f>'Prop. Rates'!D82</f>
        <v>8.9003368613306986</v>
      </c>
      <c r="P35" s="87">
        <f t="shared" si="10"/>
        <v>106.08</v>
      </c>
      <c r="Q35" s="87">
        <f t="shared" si="11"/>
        <v>106.80404233596838</v>
      </c>
      <c r="R35" s="87">
        <f t="shared" si="8"/>
        <v>0.72404233596837742</v>
      </c>
      <c r="S35" s="188">
        <f>N35</f>
        <v>8.9003368613306986</v>
      </c>
    </row>
    <row r="36" spans="1:19" s="70" customFormat="1">
      <c r="A36" s="280"/>
      <c r="B36" s="89">
        <v>22</v>
      </c>
      <c r="C36" s="156" t="s">
        <v>31</v>
      </c>
      <c r="D36" s="83"/>
      <c r="E36" s="84">
        <f>References!$B$12</f>
        <v>1</v>
      </c>
      <c r="F36" s="83">
        <v>12</v>
      </c>
      <c r="G36" s="198">
        <f>References!B26</f>
        <v>77</v>
      </c>
      <c r="H36" s="83">
        <f t="shared" si="3"/>
        <v>924</v>
      </c>
      <c r="I36" s="86">
        <f>$C$95*H36</f>
        <v>714.72750765463445</v>
      </c>
      <c r="J36" s="87">
        <f>References!$C$72*'DF Calc (Kitsap Co.)'!I36</f>
        <v>1.0720912614819478</v>
      </c>
      <c r="K36" s="87">
        <f>J36/References!$G$78</f>
        <v>1.0931619582267689</v>
      </c>
      <c r="L36" s="87">
        <f t="shared" si="9"/>
        <v>9.1096829852230735E-2</v>
      </c>
      <c r="M36" s="88">
        <f>'Prop. Rates'!B83</f>
        <v>10.78</v>
      </c>
      <c r="N36" s="87">
        <f t="shared" si="5"/>
        <v>10.871096829852229</v>
      </c>
      <c r="O36" s="88">
        <f>'Prop. Rates'!D83</f>
        <v>10.871096829852229</v>
      </c>
      <c r="P36" s="87">
        <f t="shared" si="10"/>
        <v>129.35999999999999</v>
      </c>
      <c r="Q36" s="87">
        <f t="shared" si="11"/>
        <v>130.45316195822676</v>
      </c>
      <c r="R36" s="87">
        <f t="shared" si="8"/>
        <v>1.0931619582267729</v>
      </c>
      <c r="S36" s="188">
        <f>N36</f>
        <v>10.871096829852229</v>
      </c>
    </row>
    <row r="37" spans="1:19" s="70" customFormat="1">
      <c r="A37" s="280"/>
      <c r="B37" s="89"/>
      <c r="C37" s="156"/>
      <c r="D37" s="83"/>
      <c r="E37" s="84"/>
      <c r="F37" s="83"/>
      <c r="G37" s="198"/>
      <c r="H37" s="83"/>
      <c r="I37" s="86"/>
      <c r="J37" s="87"/>
      <c r="K37" s="87"/>
      <c r="L37" s="87"/>
      <c r="M37" s="88"/>
      <c r="N37" s="87"/>
      <c r="O37" s="88"/>
      <c r="P37" s="87"/>
      <c r="Q37" s="87"/>
      <c r="R37" s="87"/>
      <c r="S37" s="188"/>
    </row>
    <row r="38" spans="1:19" s="70" customFormat="1">
      <c r="A38" s="280"/>
      <c r="B38" s="89">
        <v>22</v>
      </c>
      <c r="C38" s="156" t="s">
        <v>33</v>
      </c>
      <c r="D38" s="83">
        <v>299</v>
      </c>
      <c r="E38" s="84">
        <f>References!$B$12</f>
        <v>1</v>
      </c>
      <c r="F38" s="83">
        <f t="shared" si="2"/>
        <v>3588</v>
      </c>
      <c r="G38" s="198">
        <f>References!B28</f>
        <v>34</v>
      </c>
      <c r="H38" s="83">
        <f t="shared" si="3"/>
        <v>121992</v>
      </c>
      <c r="I38" s="86">
        <f>$C$95*H38</f>
        <v>94362.595361259926</v>
      </c>
      <c r="J38" s="87">
        <f>References!$C$72*'DF Calc (Kitsap Co.)'!I38</f>
        <v>141.54389304188936</v>
      </c>
      <c r="K38" s="87">
        <f>J38/References!$G$78</f>
        <v>144.32577230303028</v>
      </c>
      <c r="L38" s="87">
        <f t="shared" si="9"/>
        <v>4.022457422046552E-2</v>
      </c>
      <c r="M38" s="88">
        <f>'Prop. Rates'!B77</f>
        <v>4.0999999999999996</v>
      </c>
      <c r="N38" s="87">
        <f t="shared" si="5"/>
        <v>4.1402245742204649</v>
      </c>
      <c r="O38" s="88">
        <f>'Prop. Rates'!D77</f>
        <v>4.1402245742204649</v>
      </c>
      <c r="P38" s="87">
        <f t="shared" si="10"/>
        <v>14710.8</v>
      </c>
      <c r="Q38" s="87">
        <f t="shared" si="11"/>
        <v>14855.125772303028</v>
      </c>
      <c r="R38" s="87">
        <f t="shared" si="8"/>
        <v>144.32577230302923</v>
      </c>
      <c r="S38" s="188">
        <f>N38</f>
        <v>4.1402245742204649</v>
      </c>
    </row>
    <row r="39" spans="1:19" s="70" customFormat="1">
      <c r="A39" s="280"/>
      <c r="B39" s="89">
        <v>22</v>
      </c>
      <c r="C39" s="156" t="s">
        <v>34</v>
      </c>
      <c r="D39" s="83">
        <v>22</v>
      </c>
      <c r="E39" s="84">
        <f>References!$B$12</f>
        <v>1</v>
      </c>
      <c r="F39" s="83">
        <f t="shared" si="2"/>
        <v>264</v>
      </c>
      <c r="G39" s="198">
        <f>References!B28</f>
        <v>34</v>
      </c>
      <c r="H39" s="83">
        <f t="shared" si="3"/>
        <v>8976</v>
      </c>
      <c r="I39" s="86">
        <f>$C$95*H39</f>
        <v>6943.0672172164495</v>
      </c>
      <c r="J39" s="87">
        <f>References!$C$72*'DF Calc (Kitsap Co.)'!I39</f>
        <v>10.414600825824635</v>
      </c>
      <c r="K39" s="87">
        <f>J39/References!$G$78</f>
        <v>10.619287594202897</v>
      </c>
      <c r="L39" s="87">
        <f t="shared" si="9"/>
        <v>4.022457422046552E-2</v>
      </c>
      <c r="M39" s="88">
        <f>'Prop. Rates'!B78</f>
        <v>4.6399999999999997</v>
      </c>
      <c r="N39" s="87">
        <f t="shared" si="5"/>
        <v>4.6802245742204649</v>
      </c>
      <c r="O39" s="88">
        <f>'Prop. Rates'!D78</f>
        <v>4.6802245742204649</v>
      </c>
      <c r="P39" s="87">
        <f t="shared" si="10"/>
        <v>1224.9599999999998</v>
      </c>
      <c r="Q39" s="87">
        <f t="shared" si="11"/>
        <v>1235.5792875942027</v>
      </c>
      <c r="R39" s="87">
        <f t="shared" si="8"/>
        <v>10.619287594202888</v>
      </c>
      <c r="S39" s="188">
        <f>N39</f>
        <v>4.6802245742204649</v>
      </c>
    </row>
    <row r="40" spans="1:19" s="70" customFormat="1">
      <c r="A40" s="280"/>
      <c r="B40" s="89"/>
      <c r="C40" s="81"/>
      <c r="D40" s="90"/>
      <c r="E40" s="84"/>
      <c r="F40" s="83"/>
      <c r="G40" s="199"/>
      <c r="H40" s="83"/>
      <c r="I40" s="86"/>
      <c r="J40" s="87"/>
      <c r="K40" s="87"/>
      <c r="L40" s="87"/>
      <c r="M40" s="92"/>
      <c r="N40" s="87"/>
      <c r="O40" s="87"/>
      <c r="P40" s="87"/>
      <c r="Q40" s="87"/>
      <c r="R40" s="87"/>
      <c r="S40" s="188"/>
    </row>
    <row r="41" spans="1:19" s="70" customFormat="1">
      <c r="A41" s="170"/>
      <c r="B41" s="171"/>
      <c r="C41" s="172" t="s">
        <v>36</v>
      </c>
      <c r="D41" s="173">
        <f>SUM(D6:D40)</f>
        <v>1959</v>
      </c>
      <c r="E41" s="174"/>
      <c r="F41" s="175">
        <f>SUM(F6:F40)</f>
        <v>74834</v>
      </c>
      <c r="G41" s="200"/>
      <c r="H41" s="177">
        <f>SUM(H6:H40)</f>
        <v>3064494</v>
      </c>
      <c r="I41" s="178">
        <f>SUM(I6:I40)</f>
        <v>2370430.907838292</v>
      </c>
      <c r="J41" s="179"/>
      <c r="K41" s="179"/>
      <c r="L41" s="179"/>
      <c r="M41" s="179"/>
      <c r="N41" s="179"/>
      <c r="O41" s="179"/>
      <c r="P41" s="180">
        <f>SUM(P6:P40)</f>
        <v>309582.47999999992</v>
      </c>
      <c r="Q41" s="180">
        <f>SUM(Q6:Q40)</f>
        <v>313207.32697048289</v>
      </c>
      <c r="R41" s="180">
        <f>SUM(R6:R40)</f>
        <v>3624.8469704829454</v>
      </c>
      <c r="S41" s="180"/>
    </row>
    <row r="42" spans="1:19" s="70" customFormat="1" ht="15" customHeight="1">
      <c r="A42" s="281" t="s">
        <v>187</v>
      </c>
      <c r="B42" s="89"/>
      <c r="C42" s="93" t="s">
        <v>38</v>
      </c>
      <c r="D42" s="83">
        <v>82</v>
      </c>
      <c r="E42" s="84">
        <f>References!$B$12</f>
        <v>1</v>
      </c>
      <c r="F42" s="83">
        <f t="shared" ref="F42:F47" si="12">D42*E42*12</f>
        <v>984</v>
      </c>
      <c r="G42" s="199">
        <f>References!B30</f>
        <v>29</v>
      </c>
      <c r="H42" s="95">
        <f t="shared" ref="H42:H47" si="13">F42*G42</f>
        <v>28536</v>
      </c>
      <c r="I42" s="86">
        <f t="shared" ref="I42:I47" si="14">$C$95*H42</f>
        <v>22073.013158476893</v>
      </c>
      <c r="J42" s="87">
        <f>References!$C$72*'DF Calc (Kitsap Co.)'!I42</f>
        <v>33.109519737715218</v>
      </c>
      <c r="K42" s="87">
        <f>J42/References!$G$78</f>
        <v>33.760248528094237</v>
      </c>
      <c r="L42" s="87">
        <f t="shared" ref="L42:L47" si="15">K42/F42</f>
        <v>3.4309195658632358E-2</v>
      </c>
      <c r="M42" s="87">
        <f>'Prop. Rates'!B173</f>
        <v>4.3600000000000003</v>
      </c>
      <c r="N42" s="87">
        <f t="shared" ref="N42:N47" si="16">L42+M42</f>
        <v>4.3943091956586331</v>
      </c>
      <c r="O42" s="96">
        <f>'Prop. Rates'!D173</f>
        <v>4.3943091956586331</v>
      </c>
      <c r="P42" s="87">
        <f t="shared" ref="P42:P47" si="17">F42*M42</f>
        <v>4290.2400000000007</v>
      </c>
      <c r="Q42" s="87">
        <f t="shared" ref="Q42:Q47" si="18">F42*O42</f>
        <v>4324.0002485280947</v>
      </c>
      <c r="R42" s="87">
        <f t="shared" ref="R42:R47" si="19">Q42-P42</f>
        <v>33.760248528094053</v>
      </c>
      <c r="S42" s="188">
        <f t="shared" ref="S42:S47" si="20">N42</f>
        <v>4.3943091956586331</v>
      </c>
    </row>
    <row r="43" spans="1:19" s="70" customFormat="1" ht="15" customHeight="1">
      <c r="A43" s="280"/>
      <c r="B43" s="89"/>
      <c r="C43" s="93" t="s">
        <v>40</v>
      </c>
      <c r="D43" s="83">
        <v>41</v>
      </c>
      <c r="E43" s="84">
        <f>References!$B$10</f>
        <v>4.333333333333333</v>
      </c>
      <c r="F43" s="83">
        <f t="shared" si="12"/>
        <v>2132</v>
      </c>
      <c r="G43" s="199">
        <f>References!B32</f>
        <v>250</v>
      </c>
      <c r="H43" s="95">
        <f t="shared" si="13"/>
        <v>533000</v>
      </c>
      <c r="I43" s="86">
        <f t="shared" si="14"/>
        <v>412283.29175316036</v>
      </c>
      <c r="J43" s="87">
        <f>References!$C$72*'DF Calc (Kitsap Co.)'!I43</f>
        <v>618.42493762973822</v>
      </c>
      <c r="K43" s="87">
        <f>J43/References!$G$78</f>
        <v>630.57935469141523</v>
      </c>
      <c r="L43" s="87">
        <f t="shared" si="15"/>
        <v>0.29576892809165817</v>
      </c>
      <c r="M43" s="87">
        <f>'Prop. Rates'!B131</f>
        <v>16.25</v>
      </c>
      <c r="N43" s="87">
        <f t="shared" si="16"/>
        <v>16.545768928091658</v>
      </c>
      <c r="O43" s="96">
        <f>'Prop. Rates'!D131</f>
        <v>16.545768928091658</v>
      </c>
      <c r="P43" s="87">
        <f t="shared" si="17"/>
        <v>34645</v>
      </c>
      <c r="Q43" s="87">
        <f t="shared" si="18"/>
        <v>35275.579354691414</v>
      </c>
      <c r="R43" s="87">
        <f t="shared" si="19"/>
        <v>630.57935469141376</v>
      </c>
      <c r="S43" s="188">
        <f t="shared" si="20"/>
        <v>16.545768928091658</v>
      </c>
    </row>
    <row r="44" spans="1:19" s="70" customFormat="1" ht="15" customHeight="1">
      <c r="A44" s="280"/>
      <c r="B44" s="89"/>
      <c r="C44" s="93" t="s">
        <v>41</v>
      </c>
      <c r="D44" s="83">
        <v>133</v>
      </c>
      <c r="E44" s="84">
        <f>References!$B$10</f>
        <v>4.333333333333333</v>
      </c>
      <c r="F44" s="83">
        <f t="shared" si="12"/>
        <v>6915.9999999999991</v>
      </c>
      <c r="G44" s="199">
        <f>References!B33</f>
        <v>324</v>
      </c>
      <c r="H44" s="95">
        <f t="shared" si="13"/>
        <v>2240783.9999999995</v>
      </c>
      <c r="I44" s="86">
        <f t="shared" si="14"/>
        <v>1733279.1812904568</v>
      </c>
      <c r="J44" s="87">
        <f>References!$C$72*'DF Calc (Kitsap Co.)'!I44</f>
        <v>2599.9187719356755</v>
      </c>
      <c r="K44" s="87">
        <f>J44/References!$G$78</f>
        <v>2651.0171270597525</v>
      </c>
      <c r="L44" s="87">
        <f t="shared" si="15"/>
        <v>0.38331653080678901</v>
      </c>
      <c r="M44" s="87">
        <f>'Prop. Rates'!B132</f>
        <v>21.29</v>
      </c>
      <c r="N44" s="87">
        <f t="shared" si="16"/>
        <v>21.673316530806787</v>
      </c>
      <c r="O44" s="96">
        <f>'Prop. Rates'!D132</f>
        <v>21.673316530806787</v>
      </c>
      <c r="P44" s="87">
        <f t="shared" si="17"/>
        <v>147241.63999999998</v>
      </c>
      <c r="Q44" s="87">
        <f t="shared" si="18"/>
        <v>149892.65712705971</v>
      </c>
      <c r="R44" s="87">
        <f t="shared" si="19"/>
        <v>2651.0171270597202</v>
      </c>
      <c r="S44" s="188">
        <f t="shared" si="20"/>
        <v>21.673316530806787</v>
      </c>
    </row>
    <row r="45" spans="1:19" s="70" customFormat="1" ht="15" customHeight="1">
      <c r="A45" s="280"/>
      <c r="B45" s="89"/>
      <c r="C45" s="93" t="s">
        <v>42</v>
      </c>
      <c r="D45" s="83">
        <v>2</v>
      </c>
      <c r="E45" s="84">
        <f>References!$B$11</f>
        <v>2.1666666666666665</v>
      </c>
      <c r="F45" s="83">
        <f t="shared" si="12"/>
        <v>52</v>
      </c>
      <c r="G45" s="199">
        <f>References!B31</f>
        <v>175</v>
      </c>
      <c r="H45" s="95">
        <f t="shared" si="13"/>
        <v>9100</v>
      </c>
      <c r="I45" s="86">
        <f t="shared" si="14"/>
        <v>7038.9830299320065</v>
      </c>
      <c r="J45" s="87">
        <f>References!$C$72*'DF Calc (Kitsap Co.)'!I45</f>
        <v>10.558474544897971</v>
      </c>
      <c r="K45" s="87">
        <f>J45/References!$G$78</f>
        <v>10.76598898253636</v>
      </c>
      <c r="L45" s="87">
        <f t="shared" si="15"/>
        <v>0.20703824966416076</v>
      </c>
      <c r="M45" s="87">
        <f>'Prop. Rates'!B130</f>
        <v>15.13</v>
      </c>
      <c r="N45" s="87">
        <f t="shared" si="16"/>
        <v>15.337038249664161</v>
      </c>
      <c r="O45" s="96">
        <f>N45</f>
        <v>15.337038249664161</v>
      </c>
      <c r="P45" s="87">
        <f t="shared" si="17"/>
        <v>786.76</v>
      </c>
      <c r="Q45" s="87">
        <f t="shared" si="18"/>
        <v>797.52598898253632</v>
      </c>
      <c r="R45" s="87">
        <f t="shared" si="19"/>
        <v>10.765988982536328</v>
      </c>
      <c r="S45" s="188">
        <f t="shared" si="20"/>
        <v>15.337038249664161</v>
      </c>
    </row>
    <row r="46" spans="1:19" s="70" customFormat="1" ht="15" customHeight="1">
      <c r="A46" s="280"/>
      <c r="B46" s="89"/>
      <c r="C46" s="93" t="s">
        <v>43</v>
      </c>
      <c r="D46" s="83">
        <v>60</v>
      </c>
      <c r="E46" s="84">
        <f>References!$B$11</f>
        <v>2.1666666666666665</v>
      </c>
      <c r="F46" s="83">
        <f t="shared" si="12"/>
        <v>1560</v>
      </c>
      <c r="G46" s="199">
        <f>References!B32</f>
        <v>250</v>
      </c>
      <c r="H46" s="95">
        <f t="shared" si="13"/>
        <v>390000</v>
      </c>
      <c r="I46" s="86">
        <f t="shared" si="14"/>
        <v>301670.70128280029</v>
      </c>
      <c r="J46" s="87">
        <f>References!$C$72*'DF Calc (Kitsap Co.)'!I46</f>
        <v>452.50605192419874</v>
      </c>
      <c r="K46" s="87">
        <f>J46/References!$G$78</f>
        <v>461.39952782298684</v>
      </c>
      <c r="L46" s="87">
        <f t="shared" si="15"/>
        <v>0.29576892809165822</v>
      </c>
      <c r="M46" s="87">
        <f>'Prop. Rates'!B131</f>
        <v>16.25</v>
      </c>
      <c r="N46" s="87">
        <f t="shared" si="16"/>
        <v>16.545768928091658</v>
      </c>
      <c r="O46" s="96">
        <f>N46</f>
        <v>16.545768928091658</v>
      </c>
      <c r="P46" s="87">
        <f t="shared" si="17"/>
        <v>25350</v>
      </c>
      <c r="Q46" s="87">
        <f t="shared" si="18"/>
        <v>25811.399527822985</v>
      </c>
      <c r="R46" s="87">
        <f t="shared" si="19"/>
        <v>461.39952782298496</v>
      </c>
      <c r="S46" s="188">
        <f t="shared" si="20"/>
        <v>16.545768928091658</v>
      </c>
    </row>
    <row r="47" spans="1:19" s="70" customFormat="1" ht="15" customHeight="1">
      <c r="A47" s="280"/>
      <c r="B47" s="89"/>
      <c r="C47" s="93" t="s">
        <v>44</v>
      </c>
      <c r="D47" s="83">
        <v>45</v>
      </c>
      <c r="E47" s="84">
        <f>References!$B$11</f>
        <v>2.1666666666666665</v>
      </c>
      <c r="F47" s="83">
        <f t="shared" si="12"/>
        <v>1170</v>
      </c>
      <c r="G47" s="199">
        <f>References!B33</f>
        <v>324</v>
      </c>
      <c r="H47" s="95">
        <f t="shared" si="13"/>
        <v>379080</v>
      </c>
      <c r="I47" s="86">
        <f t="shared" si="14"/>
        <v>293223.92164688185</v>
      </c>
      <c r="J47" s="87">
        <f>References!$C$72*'DF Calc (Kitsap Co.)'!I47</f>
        <v>439.83588247032111</v>
      </c>
      <c r="K47" s="87">
        <f>J47/References!$G$78</f>
        <v>448.48034104394316</v>
      </c>
      <c r="L47" s="87">
        <f t="shared" si="15"/>
        <v>0.38331653080678901</v>
      </c>
      <c r="M47" s="87">
        <f>'Prop. Rates'!B132</f>
        <v>21.29</v>
      </c>
      <c r="N47" s="87">
        <f t="shared" si="16"/>
        <v>21.673316530806787</v>
      </c>
      <c r="O47" s="96">
        <f>N47</f>
        <v>21.673316530806787</v>
      </c>
      <c r="P47" s="87">
        <f t="shared" si="17"/>
        <v>24909.3</v>
      </c>
      <c r="Q47" s="87">
        <f t="shared" si="18"/>
        <v>25357.780341043941</v>
      </c>
      <c r="R47" s="87">
        <f t="shared" si="19"/>
        <v>448.48034104394173</v>
      </c>
      <c r="S47" s="188">
        <f t="shared" si="20"/>
        <v>21.673316530806787</v>
      </c>
    </row>
    <row r="48" spans="1:19" s="70" customFormat="1">
      <c r="A48" s="280"/>
      <c r="B48" s="89"/>
      <c r="C48" s="97"/>
      <c r="D48" s="90"/>
      <c r="E48" s="90"/>
      <c r="F48" s="94"/>
      <c r="G48" s="199"/>
      <c r="H48" s="95"/>
      <c r="I48" s="86"/>
      <c r="J48" s="87"/>
      <c r="K48" s="87"/>
      <c r="L48" s="87"/>
      <c r="M48" s="96"/>
      <c r="N48" s="87"/>
      <c r="O48" s="96"/>
      <c r="P48" s="87"/>
      <c r="Q48" s="87"/>
      <c r="R48" s="87"/>
      <c r="S48" s="188"/>
    </row>
    <row r="49" spans="1:19" s="70" customFormat="1">
      <c r="A49" s="170"/>
      <c r="B49" s="151"/>
      <c r="C49" s="172" t="s">
        <v>36</v>
      </c>
      <c r="D49" s="173">
        <f>SUM(D42:D48)</f>
        <v>363</v>
      </c>
      <c r="E49" s="173"/>
      <c r="F49" s="173">
        <f>SUM(F42:F48)</f>
        <v>12814</v>
      </c>
      <c r="G49" s="173"/>
      <c r="H49" s="173">
        <f>SUM(H42:H48)</f>
        <v>3580499.9999999995</v>
      </c>
      <c r="I49" s="178">
        <f>SUM(I42:I48)</f>
        <v>2769569.092161708</v>
      </c>
      <c r="J49" s="180"/>
      <c r="K49" s="180"/>
      <c r="L49" s="180"/>
      <c r="M49" s="180"/>
      <c r="N49" s="180"/>
      <c r="O49" s="180"/>
      <c r="P49" s="180">
        <f>SUM(P42:P48)</f>
        <v>237222.93999999997</v>
      </c>
      <c r="Q49" s="180">
        <f>SUM(Q42:Q48)</f>
        <v>241458.94258812867</v>
      </c>
      <c r="R49" s="180">
        <f>SUM(R42:R48)</f>
        <v>4236.0025881286911</v>
      </c>
      <c r="S49" s="180"/>
    </row>
    <row r="50" spans="1:19">
      <c r="C50" s="99" t="s">
        <v>210</v>
      </c>
      <c r="D50" s="100">
        <f>D41+D49</f>
        <v>2322</v>
      </c>
      <c r="E50" s="100"/>
      <c r="F50" s="100">
        <f>F41+F49</f>
        <v>87648</v>
      </c>
      <c r="G50" s="201"/>
      <c r="H50" s="100">
        <f>H41+H49</f>
        <v>6644994</v>
      </c>
      <c r="I50" s="100">
        <f>I41+I49</f>
        <v>5140000</v>
      </c>
      <c r="J50" s="87"/>
      <c r="K50" s="101"/>
      <c r="L50" s="101"/>
      <c r="M50" s="101"/>
      <c r="N50" s="101"/>
      <c r="O50" s="101"/>
      <c r="P50" s="101">
        <f>P41+P49</f>
        <v>546805.41999999993</v>
      </c>
      <c r="Q50" s="101">
        <f>Q41+Q49</f>
        <v>554666.26955861156</v>
      </c>
      <c r="R50" s="101">
        <f>R41+R49</f>
        <v>7860.8495586116369</v>
      </c>
      <c r="S50" s="101"/>
    </row>
    <row r="51" spans="1:19">
      <c r="J51" s="104"/>
    </row>
    <row r="52" spans="1:19" ht="45">
      <c r="D52" s="167" t="s">
        <v>196</v>
      </c>
      <c r="E52" s="167" t="s">
        <v>197</v>
      </c>
      <c r="F52" s="167" t="s">
        <v>198</v>
      </c>
      <c r="G52" s="197" t="s">
        <v>62</v>
      </c>
      <c r="H52" s="167" t="s">
        <v>199</v>
      </c>
      <c r="I52" s="169" t="s">
        <v>200</v>
      </c>
      <c r="J52" s="167" t="s">
        <v>201</v>
      </c>
      <c r="K52" s="167" t="s">
        <v>202</v>
      </c>
      <c r="L52" s="167" t="s">
        <v>111</v>
      </c>
      <c r="M52" s="167" t="s">
        <v>203</v>
      </c>
      <c r="N52" s="167" t="s">
        <v>204</v>
      </c>
      <c r="O52" s="167" t="s">
        <v>205</v>
      </c>
    </row>
    <row r="53" spans="1:19">
      <c r="A53" s="181"/>
      <c r="B53" s="182"/>
      <c r="C53" s="183" t="s">
        <v>211</v>
      </c>
      <c r="D53" s="184"/>
      <c r="E53" s="181"/>
      <c r="F53" s="181"/>
      <c r="G53" s="203"/>
      <c r="H53" s="181"/>
      <c r="I53" s="185"/>
      <c r="J53" s="186"/>
      <c r="K53" s="181"/>
      <c r="L53" s="181"/>
      <c r="M53" s="181"/>
      <c r="N53" s="181"/>
      <c r="O53" s="181"/>
      <c r="Q53" s="81" t="s">
        <v>186</v>
      </c>
      <c r="R53" s="118">
        <f>R41</f>
        <v>3624.8469704829454</v>
      </c>
      <c r="S53" s="272">
        <f>R41/P41</f>
        <v>1.170882464176573E-2</v>
      </c>
    </row>
    <row r="54" spans="1:19" ht="15" customHeight="1">
      <c r="A54" s="280" t="s">
        <v>186</v>
      </c>
      <c r="C54" s="145" t="s">
        <v>174</v>
      </c>
      <c r="D54" s="106"/>
      <c r="E54" s="84">
        <f>References!$B$12</f>
        <v>1</v>
      </c>
      <c r="F54" s="83">
        <f>E54*References!$G$22</f>
        <v>12</v>
      </c>
      <c r="G54" s="204">
        <f>References!B28</f>
        <v>34</v>
      </c>
      <c r="H54" s="103">
        <f>F54*G54</f>
        <v>408</v>
      </c>
      <c r="I54" s="103">
        <f>$C$95*H54</f>
        <v>315.59396441892954</v>
      </c>
      <c r="J54" s="87">
        <f>References!$C$72*'DF Calc (Kitsap Co.)'!I54</f>
        <v>0.47339094662839254</v>
      </c>
      <c r="K54" s="87">
        <f>J54/References!$G$78</f>
        <v>0.48269489064558624</v>
      </c>
      <c r="L54" s="87">
        <f>K54/F54</f>
        <v>4.022457422046552E-2</v>
      </c>
      <c r="M54" s="87">
        <f>'Prop. Rates'!B11</f>
        <v>4.0999999999999996</v>
      </c>
      <c r="N54" s="87">
        <f>L54+M54</f>
        <v>4.1402245742204649</v>
      </c>
      <c r="O54" s="87">
        <f>'Prop. Rates'!D11</f>
        <v>4.1402245742204649</v>
      </c>
      <c r="P54" s="189"/>
      <c r="Q54" s="81" t="s">
        <v>187</v>
      </c>
      <c r="R54" s="118">
        <f>R49</f>
        <v>4236.0025881286911</v>
      </c>
      <c r="S54" s="272">
        <f>R49/P49</f>
        <v>1.7856631353311326E-2</v>
      </c>
    </row>
    <row r="55" spans="1:19" ht="15" customHeight="1">
      <c r="A55" s="280"/>
      <c r="B55" s="89">
        <v>21</v>
      </c>
      <c r="C55" s="82" t="s">
        <v>7</v>
      </c>
      <c r="D55" s="83">
        <v>0</v>
      </c>
      <c r="E55" s="84">
        <f>References!$B$10</f>
        <v>4.333333333333333</v>
      </c>
      <c r="F55" s="83">
        <f>E55*References!$G$22</f>
        <v>52</v>
      </c>
      <c r="G55" s="199">
        <f>References!B20</f>
        <v>97</v>
      </c>
      <c r="H55" s="83">
        <f>F55*G55</f>
        <v>5044</v>
      </c>
      <c r="I55" s="86">
        <f>$C$95*H55</f>
        <v>3901.6077365908836</v>
      </c>
      <c r="J55" s="87">
        <f>References!$C$72*'DF Calc (Kitsap Co.)'!I55</f>
        <v>5.8524116048863037</v>
      </c>
      <c r="K55" s="87">
        <f>J55/References!$G$78</f>
        <v>5.9674338931772963</v>
      </c>
      <c r="L55" s="87">
        <f>K55/F55*E55</f>
        <v>0.49728615776477469</v>
      </c>
      <c r="M55" s="87">
        <f>'Prop. Rates'!B44</f>
        <v>35.630000000000003</v>
      </c>
      <c r="N55" s="87">
        <f>L55+M55</f>
        <v>36.127286157764779</v>
      </c>
      <c r="O55" s="88">
        <f>'Prop. Rates'!D44</f>
        <v>36.127286157764779</v>
      </c>
      <c r="P55" s="87"/>
      <c r="Q55" s="87"/>
      <c r="R55" s="87"/>
      <c r="S55" s="272"/>
    </row>
    <row r="56" spans="1:19" ht="15" customHeight="1">
      <c r="A56" s="280"/>
      <c r="B56" s="89">
        <v>21</v>
      </c>
      <c r="C56" s="82" t="s">
        <v>8</v>
      </c>
      <c r="D56" s="83"/>
      <c r="E56" s="84">
        <f>References!$B$10</f>
        <v>4.333333333333333</v>
      </c>
      <c r="F56" s="83">
        <f>E56*References!$G$22</f>
        <v>52</v>
      </c>
      <c r="G56" s="199">
        <f>References!B21</f>
        <v>117</v>
      </c>
      <c r="H56" s="83">
        <f>F56*G56</f>
        <v>6084</v>
      </c>
      <c r="I56" s="86">
        <f>$C$95*H56</f>
        <v>4706.0629400116841</v>
      </c>
      <c r="J56" s="87">
        <f>References!$C$72*'DF Calc (Kitsap Co.)'!I56</f>
        <v>7.0590944100174999</v>
      </c>
      <c r="K56" s="87">
        <f>J56/References!$G$78</f>
        <v>7.1978326340385941</v>
      </c>
      <c r="L56" s="87">
        <f>K56/F56*E56</f>
        <v>0.59981938616988284</v>
      </c>
      <c r="M56" s="87">
        <f>'Prop. Rates'!B45</f>
        <v>42.54</v>
      </c>
      <c r="N56" s="87">
        <f>L56+M56</f>
        <v>43.139819386169883</v>
      </c>
      <c r="O56" s="88">
        <f>'Prop. Rates'!D45</f>
        <v>43.139819386169883</v>
      </c>
      <c r="P56" s="87"/>
      <c r="Q56" s="87"/>
      <c r="R56" s="87"/>
      <c r="S56" s="272"/>
    </row>
    <row r="57" spans="1:19" ht="15" customHeight="1">
      <c r="A57" s="280"/>
      <c r="B57" s="89">
        <v>21</v>
      </c>
      <c r="C57" s="82" t="s">
        <v>9</v>
      </c>
      <c r="D57" s="83">
        <v>0</v>
      </c>
      <c r="E57" s="84">
        <f>References!$B$10</f>
        <v>4.333333333333333</v>
      </c>
      <c r="F57" s="83">
        <f>E57*References!$G$22</f>
        <v>52</v>
      </c>
      <c r="G57" s="199">
        <f>References!B22</f>
        <v>157</v>
      </c>
      <c r="H57" s="83">
        <f>F57*G57</f>
        <v>8164</v>
      </c>
      <c r="I57" s="86">
        <f>$C$95*H57</f>
        <v>6314.9733468532859</v>
      </c>
      <c r="J57" s="87">
        <f>References!$C$72*'DF Calc (Kitsap Co.)'!I57</f>
        <v>9.4724600202798932</v>
      </c>
      <c r="K57" s="87">
        <f>J57/References!$G$78</f>
        <v>9.6586301157611913</v>
      </c>
      <c r="L57" s="87">
        <f>K57/F57*E57</f>
        <v>0.80488584298009924</v>
      </c>
      <c r="M57" s="87">
        <f>'Prop. Rates'!B46</f>
        <v>49.1</v>
      </c>
      <c r="N57" s="87">
        <f>L57+M57</f>
        <v>49.9048858429801</v>
      </c>
      <c r="O57" s="88">
        <f>'Prop. Rates'!D46</f>
        <v>49.9048858429801</v>
      </c>
      <c r="P57" s="87"/>
      <c r="Q57" s="274" t="s">
        <v>277</v>
      </c>
      <c r="R57" s="275">
        <v>1021</v>
      </c>
      <c r="S57" s="272"/>
    </row>
    <row r="58" spans="1:19">
      <c r="A58" s="282"/>
      <c r="B58" s="24"/>
      <c r="C58" s="109"/>
      <c r="D58" s="110"/>
      <c r="E58" s="111"/>
      <c r="F58" s="112"/>
      <c r="G58" s="205"/>
      <c r="H58" s="113"/>
      <c r="I58" s="113"/>
      <c r="J58" s="62"/>
      <c r="K58" s="62"/>
      <c r="L58" s="62"/>
      <c r="M58" s="114"/>
      <c r="N58" s="62"/>
      <c r="O58" s="114"/>
      <c r="P58" s="189"/>
      <c r="S58" s="272"/>
    </row>
    <row r="59" spans="1:19">
      <c r="A59" s="195"/>
      <c r="B59" s="98" t="s">
        <v>253</v>
      </c>
      <c r="C59" s="81" t="s">
        <v>147</v>
      </c>
      <c r="E59" s="84">
        <f>References!$B$12</f>
        <v>1</v>
      </c>
      <c r="F59" s="83">
        <f>E59*References!$G$22</f>
        <v>12</v>
      </c>
      <c r="G59" s="202">
        <f>References!$B$25</f>
        <v>51</v>
      </c>
      <c r="H59" s="103">
        <f t="shared" ref="H59:H65" si="21">F59*G59</f>
        <v>612</v>
      </c>
      <c r="I59" s="103">
        <f t="shared" ref="I59:I65" si="22">$C$95*H59</f>
        <v>473.39094662839426</v>
      </c>
      <c r="J59" s="87">
        <f>References!$C$72*'DF Calc (Kitsap Co.)'!I59</f>
        <v>0.7100864199425887</v>
      </c>
      <c r="K59" s="87">
        <f>J59/References!$G$78</f>
        <v>0.72404233596837919</v>
      </c>
      <c r="L59" s="87">
        <f>K59/F59</f>
        <v>6.0336861330698266E-2</v>
      </c>
      <c r="M59" s="87">
        <f>'Prop. Rates'!B100</f>
        <v>13.95</v>
      </c>
      <c r="N59" s="87">
        <f t="shared" ref="N59:N65" si="23">L59+M59</f>
        <v>14.010336861330698</v>
      </c>
      <c r="O59" s="87">
        <f>'Prop. Rates'!D100</f>
        <v>14.010336861330698</v>
      </c>
      <c r="P59" s="189"/>
      <c r="Q59" s="81" t="s">
        <v>278</v>
      </c>
      <c r="R59" s="273">
        <f>R57*References!B72</f>
        <v>3063</v>
      </c>
      <c r="S59" s="272">
        <f>References!D72</f>
        <v>4.4117647058823532E-2</v>
      </c>
    </row>
    <row r="60" spans="1:19">
      <c r="A60" s="195"/>
      <c r="B60" s="98" t="s">
        <v>253</v>
      </c>
      <c r="C60" s="81" t="s">
        <v>256</v>
      </c>
      <c r="E60" s="84">
        <f>References!$B$12</f>
        <v>1</v>
      </c>
      <c r="F60" s="83">
        <f>E60*References!$G$22</f>
        <v>12</v>
      </c>
      <c r="G60" s="202">
        <f>References!$B$25</f>
        <v>51</v>
      </c>
      <c r="H60" s="103">
        <f t="shared" si="21"/>
        <v>612</v>
      </c>
      <c r="I60" s="103">
        <f t="shared" si="22"/>
        <v>473.39094662839426</v>
      </c>
      <c r="J60" s="87">
        <f>References!$C$72*'DF Calc (Kitsap Co.)'!I60</f>
        <v>0.7100864199425887</v>
      </c>
      <c r="K60" s="87">
        <f>J60/References!$G$78</f>
        <v>0.72404233596837919</v>
      </c>
      <c r="L60" s="87">
        <f>K60/F60</f>
        <v>6.0336861330698266E-2</v>
      </c>
      <c r="M60" s="87">
        <f>'Prop. Rates'!B104</f>
        <v>4.3</v>
      </c>
      <c r="N60" s="87">
        <f t="shared" si="23"/>
        <v>4.3603368613306976</v>
      </c>
      <c r="O60" s="87">
        <f>'Prop. Rates'!D104</f>
        <v>4.3603368613306976</v>
      </c>
      <c r="P60" s="189"/>
      <c r="S60" s="272"/>
    </row>
    <row r="61" spans="1:19">
      <c r="A61" s="195"/>
      <c r="B61" s="98" t="s">
        <v>253</v>
      </c>
      <c r="C61" s="81" t="s">
        <v>257</v>
      </c>
      <c r="E61" s="84">
        <f>References!$B$10</f>
        <v>4.333333333333333</v>
      </c>
      <c r="F61" s="83">
        <f>E61*References!$G$22</f>
        <v>52</v>
      </c>
      <c r="G61" s="202">
        <f>References!$B$25</f>
        <v>51</v>
      </c>
      <c r="H61" s="103">
        <f t="shared" si="21"/>
        <v>2652</v>
      </c>
      <c r="I61" s="103">
        <f t="shared" si="22"/>
        <v>2051.3607687230419</v>
      </c>
      <c r="J61" s="87">
        <f>References!$C$72*'DF Calc (Kitsap Co.)'!I61</f>
        <v>3.0770411530845512</v>
      </c>
      <c r="K61" s="87">
        <f>J61/References!$G$78</f>
        <v>3.1375167891963103</v>
      </c>
      <c r="L61" s="87">
        <f>K61/F61*E61</f>
        <v>0.26145973243302584</v>
      </c>
      <c r="M61" s="87">
        <f>'Prop. Rates'!B105</f>
        <v>18.59</v>
      </c>
      <c r="N61" s="87">
        <f t="shared" si="23"/>
        <v>18.851459732433025</v>
      </c>
      <c r="O61" s="87">
        <f>'Prop. Rates'!D105</f>
        <v>18.851459732433025</v>
      </c>
      <c r="P61" s="189"/>
      <c r="S61" s="272"/>
    </row>
    <row r="62" spans="1:19">
      <c r="A62" s="195"/>
      <c r="B62" s="98" t="s">
        <v>253</v>
      </c>
      <c r="C62" s="81" t="s">
        <v>153</v>
      </c>
      <c r="E62" s="84">
        <f>References!$B$12</f>
        <v>1</v>
      </c>
      <c r="F62" s="83">
        <f>E62*References!$G$22</f>
        <v>12</v>
      </c>
      <c r="G62" s="202">
        <f>References!$B$46</f>
        <v>125</v>
      </c>
      <c r="H62" s="103">
        <f t="shared" si="21"/>
        <v>1500</v>
      </c>
      <c r="I62" s="103">
        <f t="shared" si="22"/>
        <v>1160.2719280107704</v>
      </c>
      <c r="J62" s="87">
        <f>References!$C$72*'DF Calc (Kitsap Co.)'!I62</f>
        <v>1.740407892016149</v>
      </c>
      <c r="K62" s="87">
        <f>J62/References!$G$78</f>
        <v>1.7746135685499493</v>
      </c>
      <c r="L62" s="87">
        <f>K62/F62</f>
        <v>0.14788446404582911</v>
      </c>
      <c r="M62" s="87">
        <f>'Prop. Rates'!B108</f>
        <v>25.2</v>
      </c>
      <c r="N62" s="87">
        <f t="shared" si="23"/>
        <v>25.34788446404583</v>
      </c>
      <c r="O62" s="87">
        <f>'Prop. Rates'!D108</f>
        <v>25.34788446404583</v>
      </c>
      <c r="P62" s="189"/>
    </row>
    <row r="63" spans="1:19">
      <c r="A63" s="195"/>
      <c r="B63" s="98" t="s">
        <v>253</v>
      </c>
      <c r="C63" s="81" t="s">
        <v>154</v>
      </c>
      <c r="E63" s="84">
        <f>References!$B$12</f>
        <v>1</v>
      </c>
      <c r="F63" s="83">
        <f>E63*References!$G$22</f>
        <v>12</v>
      </c>
      <c r="G63" s="202">
        <f>References!$B$46</f>
        <v>125</v>
      </c>
      <c r="H63" s="103">
        <f t="shared" si="21"/>
        <v>1500</v>
      </c>
      <c r="I63" s="103">
        <f t="shared" si="22"/>
        <v>1160.2719280107704</v>
      </c>
      <c r="J63" s="87">
        <f>References!$C$72*'DF Calc (Kitsap Co.)'!I63</f>
        <v>1.740407892016149</v>
      </c>
      <c r="K63" s="87">
        <f>J63/References!$G$78</f>
        <v>1.7746135685499493</v>
      </c>
      <c r="L63" s="87">
        <f>K63/F63</f>
        <v>0.14788446404582911</v>
      </c>
      <c r="M63" s="87">
        <f>'Prop. Rates'!B109</f>
        <v>25.2</v>
      </c>
      <c r="N63" s="87">
        <f t="shared" si="23"/>
        <v>25.34788446404583</v>
      </c>
      <c r="O63" s="87">
        <f>'Prop. Rates'!D109</f>
        <v>25.34788446404583</v>
      </c>
      <c r="P63" s="189"/>
    </row>
    <row r="64" spans="1:19">
      <c r="A64" s="195"/>
      <c r="B64" s="98" t="s">
        <v>253</v>
      </c>
      <c r="C64" s="81" t="s">
        <v>155</v>
      </c>
      <c r="E64" s="84">
        <f>References!$B$12</f>
        <v>1</v>
      </c>
      <c r="F64" s="83">
        <f>E64*References!$G$22</f>
        <v>12</v>
      </c>
      <c r="G64" s="202">
        <f>References!$B$46</f>
        <v>125</v>
      </c>
      <c r="H64" s="103">
        <f t="shared" si="21"/>
        <v>1500</v>
      </c>
      <c r="I64" s="103">
        <f t="shared" si="22"/>
        <v>1160.2719280107704</v>
      </c>
      <c r="J64" s="87">
        <f>References!$C$72*'DF Calc (Kitsap Co.)'!I64</f>
        <v>1.740407892016149</v>
      </c>
      <c r="K64" s="87">
        <f>J64/References!$G$78</f>
        <v>1.7746135685499493</v>
      </c>
      <c r="L64" s="87">
        <f>K64/F64</f>
        <v>0.14788446404582911</v>
      </c>
      <c r="M64" s="87">
        <f>'Prop. Rates'!B110</f>
        <v>25.2</v>
      </c>
      <c r="N64" s="87">
        <f t="shared" si="23"/>
        <v>25.34788446404583</v>
      </c>
      <c r="O64" s="87">
        <f>'Prop. Rates'!D110</f>
        <v>25.34788446404583</v>
      </c>
      <c r="P64" s="189"/>
    </row>
    <row r="65" spans="1:16">
      <c r="A65" s="195"/>
      <c r="B65" s="98" t="s">
        <v>253</v>
      </c>
      <c r="C65" s="81" t="s">
        <v>156</v>
      </c>
      <c r="E65" s="84">
        <f>References!$B$10</f>
        <v>4.333333333333333</v>
      </c>
      <c r="F65" s="83">
        <f>E65*References!$G$22</f>
        <v>52</v>
      </c>
      <c r="G65" s="202">
        <f>References!$B$46</f>
        <v>125</v>
      </c>
      <c r="H65" s="103">
        <f t="shared" si="21"/>
        <v>6500</v>
      </c>
      <c r="I65" s="103">
        <f t="shared" si="22"/>
        <v>5027.8450213800043</v>
      </c>
      <c r="J65" s="87">
        <f>References!$C$72*'DF Calc (Kitsap Co.)'!I65</f>
        <v>7.5417675320699784</v>
      </c>
      <c r="K65" s="87">
        <f>J65/References!$G$78</f>
        <v>7.6899921303831134</v>
      </c>
      <c r="L65" s="87">
        <f>K65/F65*E65</f>
        <v>0.64083267753192608</v>
      </c>
      <c r="M65" s="87">
        <f>'Prop. Rates'!B111</f>
        <v>29.24</v>
      </c>
      <c r="N65" s="87">
        <f t="shared" si="23"/>
        <v>29.880832677531924</v>
      </c>
      <c r="O65" s="87">
        <f>'Prop. Rates'!D111</f>
        <v>29.880832677531924</v>
      </c>
      <c r="P65" s="189"/>
    </row>
    <row r="66" spans="1:16">
      <c r="A66" s="195"/>
      <c r="B66" s="194"/>
      <c r="C66" s="218"/>
      <c r="D66" s="219"/>
      <c r="E66" s="90"/>
      <c r="F66" s="83"/>
      <c r="G66" s="204"/>
      <c r="H66" s="103"/>
      <c r="J66" s="87"/>
      <c r="K66" s="87"/>
      <c r="L66" s="87"/>
      <c r="M66" s="96"/>
      <c r="N66" s="87"/>
      <c r="O66" s="96"/>
      <c r="P66" s="189"/>
    </row>
    <row r="67" spans="1:16">
      <c r="A67" s="193"/>
      <c r="B67" s="98" t="s">
        <v>254</v>
      </c>
      <c r="C67" s="93" t="s">
        <v>258</v>
      </c>
      <c r="D67" s="83"/>
      <c r="E67" s="84">
        <f>References!$B$10</f>
        <v>4.333333333333333</v>
      </c>
      <c r="F67" s="83">
        <f>E67*References!$G$22</f>
        <v>52</v>
      </c>
      <c r="G67" s="199">
        <f>References!B31</f>
        <v>175</v>
      </c>
      <c r="H67" s="95">
        <f>F67*G67</f>
        <v>9100</v>
      </c>
      <c r="I67" s="86">
        <f t="shared" ref="I67:I72" si="24">$C$95*H67</f>
        <v>7038.9830299320065</v>
      </c>
      <c r="J67" s="87">
        <f>References!$C$72*'DF Calc (Kitsap Co.)'!I67</f>
        <v>10.558474544897971</v>
      </c>
      <c r="K67" s="87">
        <f>J67/References!$G$78</f>
        <v>10.76598898253636</v>
      </c>
      <c r="L67" s="87">
        <f>K67/F67</f>
        <v>0.20703824966416076</v>
      </c>
      <c r="M67" s="87">
        <f>'Prop. Rates'!B130</f>
        <v>15.13</v>
      </c>
      <c r="N67" s="87">
        <f>L67+M67</f>
        <v>15.337038249664161</v>
      </c>
      <c r="O67" s="96">
        <f>'Prop. Rates'!D130</f>
        <v>15.337038249664161</v>
      </c>
      <c r="P67" s="189"/>
    </row>
    <row r="68" spans="1:16">
      <c r="A68" s="280" t="s">
        <v>187</v>
      </c>
      <c r="B68" s="98" t="s">
        <v>255</v>
      </c>
      <c r="C68" s="105" t="s">
        <v>115</v>
      </c>
      <c r="D68" s="106"/>
      <c r="E68" s="84">
        <f>References!$B$12</f>
        <v>1</v>
      </c>
      <c r="F68" s="83">
        <f>E68*References!$G$22</f>
        <v>12</v>
      </c>
      <c r="G68" s="204">
        <f>References!B30</f>
        <v>29</v>
      </c>
      <c r="H68" s="103">
        <f>F68*G68</f>
        <v>348</v>
      </c>
      <c r="I68" s="103">
        <f t="shared" si="24"/>
        <v>269.18308729849872</v>
      </c>
      <c r="J68" s="87">
        <f>References!$C$72*'DF Calc (Kitsap Co.)'!I68</f>
        <v>0.40377463094774657</v>
      </c>
      <c r="K68" s="87">
        <f>J68/References!$G$78</f>
        <v>0.41171034790358824</v>
      </c>
      <c r="L68" s="87">
        <f>K68/F68*E68</f>
        <v>3.4309195658632351E-2</v>
      </c>
      <c r="M68" s="44">
        <f>'Prop. Rates'!B160</f>
        <v>3.99</v>
      </c>
      <c r="N68" s="87">
        <f>L68+M68</f>
        <v>4.024309195658633</v>
      </c>
      <c r="O68" s="44">
        <f>'Prop. Rates'!D160</f>
        <v>4.024309195658633</v>
      </c>
      <c r="P68" s="189"/>
    </row>
    <row r="69" spans="1:16">
      <c r="A69" s="280"/>
      <c r="B69" s="98" t="s">
        <v>255</v>
      </c>
      <c r="C69" s="105" t="s">
        <v>165</v>
      </c>
      <c r="D69" s="106"/>
      <c r="E69" s="84">
        <f>References!$B$12</f>
        <v>1</v>
      </c>
      <c r="F69" s="83">
        <f>E69*References!$G$22</f>
        <v>12</v>
      </c>
      <c r="G69" s="204">
        <f>References!B23</f>
        <v>37</v>
      </c>
      <c r="H69" s="103">
        <f t="shared" ref="H69:H78" si="25">F69*G69</f>
        <v>444</v>
      </c>
      <c r="I69" s="103">
        <f t="shared" si="24"/>
        <v>343.44049069118802</v>
      </c>
      <c r="J69" s="87">
        <f>References!$C$72*'DF Calc (Kitsap Co.)'!I69</f>
        <v>0.51516073603678014</v>
      </c>
      <c r="K69" s="87">
        <f>J69/References!$G$78</f>
        <v>0.52528561629078507</v>
      </c>
      <c r="L69" s="87">
        <f t="shared" ref="L69:L77" si="26">K69/F69</f>
        <v>4.3773801357565423E-2</v>
      </c>
      <c r="M69" s="44">
        <f>'Prop. Rates'!B161</f>
        <v>4.32</v>
      </c>
      <c r="N69" s="87">
        <f t="shared" ref="N69:N86" si="27">L69+M69</f>
        <v>4.3637738013575653</v>
      </c>
      <c r="O69" s="44">
        <f>'Prop. Rates'!D161</f>
        <v>4.3637738013575653</v>
      </c>
      <c r="P69" s="189"/>
    </row>
    <row r="70" spans="1:16">
      <c r="A70" s="280"/>
      <c r="B70" s="98" t="s">
        <v>255</v>
      </c>
      <c r="C70" s="105" t="s">
        <v>166</v>
      </c>
      <c r="D70" s="106"/>
      <c r="E70" s="84">
        <f>References!$B$12</f>
        <v>1</v>
      </c>
      <c r="F70" s="83">
        <f>E70*References!$G$22</f>
        <v>12</v>
      </c>
      <c r="G70" s="199">
        <f>References!$B$24</f>
        <v>48</v>
      </c>
      <c r="H70" s="103">
        <f t="shared" si="25"/>
        <v>576</v>
      </c>
      <c r="I70" s="103">
        <f t="shared" si="24"/>
        <v>445.54442035613579</v>
      </c>
      <c r="J70" s="87">
        <f>References!$C$72*'DF Calc (Kitsap Co.)'!I70</f>
        <v>0.66831663053420121</v>
      </c>
      <c r="K70" s="87">
        <f>J70/References!$G$78</f>
        <v>0.68145161032318058</v>
      </c>
      <c r="L70" s="87">
        <f t="shared" si="26"/>
        <v>5.6787634193598384E-2</v>
      </c>
      <c r="M70" s="44">
        <f>'Prop. Rates'!B162</f>
        <v>4.92</v>
      </c>
      <c r="N70" s="87">
        <f t="shared" si="27"/>
        <v>4.9767876341935979</v>
      </c>
      <c r="O70" s="44">
        <f>'Prop. Rates'!D162</f>
        <v>4.9767876341935979</v>
      </c>
      <c r="P70" s="189"/>
    </row>
    <row r="71" spans="1:16">
      <c r="A71" s="280"/>
      <c r="B71" s="98" t="s">
        <v>255</v>
      </c>
      <c r="C71" s="105" t="s">
        <v>167</v>
      </c>
      <c r="D71" s="106"/>
      <c r="E71" s="84">
        <f>References!$B$12</f>
        <v>1</v>
      </c>
      <c r="F71" s="83">
        <f>E71*References!$G$22</f>
        <v>12</v>
      </c>
      <c r="G71" s="204">
        <f>References!B25</f>
        <v>51</v>
      </c>
      <c r="H71" s="103">
        <f t="shared" si="25"/>
        <v>612</v>
      </c>
      <c r="I71" s="103">
        <f t="shared" si="24"/>
        <v>473.39094662839426</v>
      </c>
      <c r="J71" s="87">
        <f>References!$C$72*'DF Calc (Kitsap Co.)'!I71</f>
        <v>0.7100864199425887</v>
      </c>
      <c r="K71" s="87">
        <f>J71/References!$G$78</f>
        <v>0.72404233596837919</v>
      </c>
      <c r="L71" s="87">
        <f t="shared" si="26"/>
        <v>6.0336861330698266E-2</v>
      </c>
      <c r="M71" s="44">
        <f>'Prop. Rates'!B163</f>
        <v>5.88</v>
      </c>
      <c r="N71" s="87">
        <f t="shared" si="27"/>
        <v>5.9403368613306977</v>
      </c>
      <c r="O71" s="44">
        <f>'Prop. Rates'!D163</f>
        <v>5.9403368613306977</v>
      </c>
      <c r="P71" s="189"/>
    </row>
    <row r="72" spans="1:16">
      <c r="A72" s="280"/>
      <c r="B72" s="98" t="s">
        <v>255</v>
      </c>
      <c r="C72" s="105" t="s">
        <v>168</v>
      </c>
      <c r="D72" s="106"/>
      <c r="E72" s="84">
        <f>References!$B$12</f>
        <v>1</v>
      </c>
      <c r="F72" s="83">
        <f>E72*References!$G$22</f>
        <v>12</v>
      </c>
      <c r="G72" s="204">
        <f>References!B26</f>
        <v>77</v>
      </c>
      <c r="H72" s="103">
        <f t="shared" si="25"/>
        <v>924</v>
      </c>
      <c r="I72" s="103">
        <f t="shared" si="24"/>
        <v>714.72750765463445</v>
      </c>
      <c r="J72" s="87">
        <f>References!$C$72*'DF Calc (Kitsap Co.)'!I72</f>
        <v>1.0720912614819478</v>
      </c>
      <c r="K72" s="87">
        <f>J72/References!$G$78</f>
        <v>1.0931619582267689</v>
      </c>
      <c r="L72" s="87">
        <f t="shared" si="26"/>
        <v>9.1096829852230735E-2</v>
      </c>
      <c r="M72" s="44">
        <f>'Prop. Rates'!B164</f>
        <v>7.38</v>
      </c>
      <c r="N72" s="87">
        <f t="shared" si="27"/>
        <v>7.4710968298522307</v>
      </c>
      <c r="O72" s="44">
        <f>'Prop. Rates'!D164</f>
        <v>7.4710968298522307</v>
      </c>
      <c r="P72" s="189"/>
    </row>
    <row r="73" spans="1:16">
      <c r="A73" s="280"/>
      <c r="C73" t="s">
        <v>231</v>
      </c>
      <c r="D73" s="106"/>
      <c r="E73" s="84">
        <f>References!$B$12</f>
        <v>1</v>
      </c>
      <c r="F73" s="83">
        <f>E73*References!$G$22</f>
        <v>12</v>
      </c>
      <c r="G73" s="204">
        <f>References!B17</f>
        <v>34</v>
      </c>
      <c r="H73" s="103">
        <f t="shared" si="25"/>
        <v>408</v>
      </c>
      <c r="I73" s="103">
        <f t="shared" ref="I73:I86" si="28">$C$95*H73</f>
        <v>315.59396441892954</v>
      </c>
      <c r="J73" s="87">
        <f>References!$C$72*'DF Calc (Kitsap Co.)'!I73</f>
        <v>0.47339094662839254</v>
      </c>
      <c r="K73" s="87">
        <f>J73/References!$G$78</f>
        <v>0.48269489064558624</v>
      </c>
      <c r="L73" s="87">
        <f t="shared" si="26"/>
        <v>4.022457422046552E-2</v>
      </c>
      <c r="M73" s="44">
        <f>'Prop. Rates'!B167</f>
        <v>14.11</v>
      </c>
      <c r="N73" s="87">
        <f t="shared" si="27"/>
        <v>14.150224574220465</v>
      </c>
      <c r="O73" s="44">
        <f>'Prop. Rates'!D167</f>
        <v>14.150224574220465</v>
      </c>
      <c r="P73" s="189"/>
    </row>
    <row r="74" spans="1:16">
      <c r="A74" s="280"/>
      <c r="C74" t="s">
        <v>232</v>
      </c>
      <c r="D74" s="106"/>
      <c r="E74" s="84">
        <f>References!$B$12</f>
        <v>1</v>
      </c>
      <c r="F74" s="83">
        <f>E74*References!$G$22</f>
        <v>12</v>
      </c>
      <c r="G74" s="204">
        <f>References!B23</f>
        <v>37</v>
      </c>
      <c r="H74" s="103">
        <f t="shared" si="25"/>
        <v>444</v>
      </c>
      <c r="I74" s="103">
        <f t="shared" si="28"/>
        <v>343.44049069118802</v>
      </c>
      <c r="J74" s="87">
        <f>References!$C$72*'DF Calc (Kitsap Co.)'!I74</f>
        <v>0.51516073603678014</v>
      </c>
      <c r="K74" s="87">
        <f>J74/References!$G$78</f>
        <v>0.52528561629078507</v>
      </c>
      <c r="L74" s="87">
        <f t="shared" si="26"/>
        <v>4.3773801357565423E-2</v>
      </c>
      <c r="M74" s="44">
        <f>'Prop. Rates'!B168</f>
        <v>14.43</v>
      </c>
      <c r="N74" s="87">
        <f t="shared" si="27"/>
        <v>14.473773801357565</v>
      </c>
      <c r="O74" s="44">
        <f>'Prop. Rates'!D168</f>
        <v>14.473773801357565</v>
      </c>
      <c r="P74" s="189"/>
    </row>
    <row r="75" spans="1:16">
      <c r="A75" s="280"/>
      <c r="C75" t="s">
        <v>233</v>
      </c>
      <c r="D75" s="106"/>
      <c r="E75" s="84">
        <f>References!$B$12</f>
        <v>1</v>
      </c>
      <c r="F75" s="83">
        <f>E75*References!$G$22</f>
        <v>12</v>
      </c>
      <c r="G75" s="263">
        <f>References!$B$24</f>
        <v>48</v>
      </c>
      <c r="H75" s="103">
        <f t="shared" si="25"/>
        <v>576</v>
      </c>
      <c r="I75" s="103">
        <f t="shared" si="28"/>
        <v>445.54442035613579</v>
      </c>
      <c r="J75" s="87">
        <f>References!$C$72*'DF Calc (Kitsap Co.)'!I75</f>
        <v>0.66831663053420121</v>
      </c>
      <c r="K75" s="87">
        <f>J75/References!$G$78</f>
        <v>0.68145161032318058</v>
      </c>
      <c r="L75" s="87">
        <f t="shared" si="26"/>
        <v>5.6787634193598384E-2</v>
      </c>
      <c r="M75" s="44">
        <f>'Prop. Rates'!B169</f>
        <v>15.04</v>
      </c>
      <c r="N75" s="87">
        <f t="shared" si="27"/>
        <v>15.096787634193598</v>
      </c>
      <c r="O75" s="44">
        <f>'Prop. Rates'!D169</f>
        <v>15.096787634193598</v>
      </c>
      <c r="P75" s="189"/>
    </row>
    <row r="76" spans="1:16">
      <c r="A76" s="280"/>
      <c r="C76" t="s">
        <v>234</v>
      </c>
      <c r="D76" s="106"/>
      <c r="E76" s="84">
        <f>References!$B$12</f>
        <v>1</v>
      </c>
      <c r="F76" s="83">
        <f>E76*References!$G$22</f>
        <v>12</v>
      </c>
      <c r="G76" s="207">
        <f>References!B25</f>
        <v>51</v>
      </c>
      <c r="H76" s="103">
        <f t="shared" si="25"/>
        <v>612</v>
      </c>
      <c r="I76" s="103">
        <f t="shared" si="28"/>
        <v>473.39094662839426</v>
      </c>
      <c r="J76" s="87">
        <f>References!$C$72*'DF Calc (Kitsap Co.)'!I76</f>
        <v>0.7100864199425887</v>
      </c>
      <c r="K76" s="87">
        <f>J76/References!$G$78</f>
        <v>0.72404233596837919</v>
      </c>
      <c r="L76" s="87">
        <f t="shared" si="26"/>
        <v>6.0336861330698266E-2</v>
      </c>
      <c r="M76" s="44">
        <f>'Prop. Rates'!B170</f>
        <v>16</v>
      </c>
      <c r="N76" s="87">
        <f t="shared" si="27"/>
        <v>16.060336861330697</v>
      </c>
      <c r="O76" s="44">
        <f>'Prop. Rates'!D170</f>
        <v>16.060336861330697</v>
      </c>
      <c r="P76" s="189"/>
    </row>
    <row r="77" spans="1:16">
      <c r="A77" s="280"/>
      <c r="C77" t="s">
        <v>235</v>
      </c>
      <c r="D77" s="106"/>
      <c r="E77" s="84">
        <f>References!$B$12</f>
        <v>1</v>
      </c>
      <c r="F77" s="83">
        <f>E77*References!$G$22</f>
        <v>12</v>
      </c>
      <c r="G77" s="207">
        <f>References!B26</f>
        <v>77</v>
      </c>
      <c r="H77" s="103">
        <f t="shared" si="25"/>
        <v>924</v>
      </c>
      <c r="I77" s="103">
        <f t="shared" si="28"/>
        <v>714.72750765463445</v>
      </c>
      <c r="J77" s="87">
        <f>References!$C$72*'DF Calc (Kitsap Co.)'!I77</f>
        <v>1.0720912614819478</v>
      </c>
      <c r="K77" s="87">
        <f>J77/References!$G$78</f>
        <v>1.0931619582267689</v>
      </c>
      <c r="L77" s="87">
        <f t="shared" si="26"/>
        <v>9.1096829852230735E-2</v>
      </c>
      <c r="M77" s="44">
        <f>'Prop. Rates'!B171</f>
        <v>17.489999999999998</v>
      </c>
      <c r="N77" s="87">
        <f t="shared" si="27"/>
        <v>17.581096829852228</v>
      </c>
      <c r="O77" s="44">
        <f>'Prop. Rates'!D171</f>
        <v>17.581096829852228</v>
      </c>
      <c r="P77" s="189"/>
    </row>
    <row r="78" spans="1:16">
      <c r="A78" s="280"/>
      <c r="C78" s="145" t="s">
        <v>45</v>
      </c>
      <c r="D78" s="107"/>
      <c r="E78" s="84">
        <f>References!$B$12</f>
        <v>1</v>
      </c>
      <c r="F78" s="83">
        <f>E78*References!$G$22</f>
        <v>12</v>
      </c>
      <c r="G78" s="204">
        <f>References!B46</f>
        <v>125</v>
      </c>
      <c r="H78" s="103">
        <f t="shared" si="25"/>
        <v>1500</v>
      </c>
      <c r="I78" s="103">
        <f t="shared" si="28"/>
        <v>1160.2719280107704</v>
      </c>
      <c r="J78" s="87">
        <f>References!$C$72*'DF Calc (Kitsap Co.)'!I78</f>
        <v>1.740407892016149</v>
      </c>
      <c r="K78" s="87">
        <f>J78/References!$G$78</f>
        <v>1.7746135685499493</v>
      </c>
      <c r="L78" s="87">
        <f>K78/F78</f>
        <v>0.14788446404582911</v>
      </c>
      <c r="M78" s="44">
        <f>'Prop. Rates'!B127</f>
        <v>15.62</v>
      </c>
      <c r="N78" s="87">
        <f t="shared" si="27"/>
        <v>15.767884464045828</v>
      </c>
      <c r="O78" s="44">
        <f>'Prop. Rates'!D127</f>
        <v>15.683549092656351</v>
      </c>
      <c r="P78" s="189"/>
    </row>
    <row r="79" spans="1:16">
      <c r="A79" s="280"/>
      <c r="C79" s="105" t="s">
        <v>178</v>
      </c>
      <c r="D79" s="106"/>
      <c r="E79" s="84">
        <f>References!$B$12</f>
        <v>1</v>
      </c>
      <c r="F79" s="83">
        <f>E79*References!$G$22</f>
        <v>12</v>
      </c>
      <c r="G79" s="204">
        <f>G68</f>
        <v>29</v>
      </c>
      <c r="H79" s="103">
        <f>F79*G79</f>
        <v>348</v>
      </c>
      <c r="I79" s="103">
        <f>$C$95*H79</f>
        <v>269.18308729849872</v>
      </c>
      <c r="J79" s="87">
        <f>References!$C$72*'DF Calc (Kitsap Co.)'!I79</f>
        <v>0.40377463094774657</v>
      </c>
      <c r="K79" s="87">
        <f>J79/References!$G$78</f>
        <v>0.41171034790358824</v>
      </c>
      <c r="L79" s="87">
        <f>K79/F79</f>
        <v>3.4309195658632351E-2</v>
      </c>
      <c r="M79" s="44">
        <f>'Prop. Rates'!B173</f>
        <v>4.3600000000000003</v>
      </c>
      <c r="N79" s="87">
        <f>L79+M79</f>
        <v>4.3943091956586331</v>
      </c>
      <c r="O79" s="44">
        <f>'Prop. Rates'!D173</f>
        <v>4.3943091956586331</v>
      </c>
      <c r="P79" s="189"/>
    </row>
    <row r="80" spans="1:16">
      <c r="A80" s="280"/>
      <c r="C80" s="105" t="s">
        <v>185</v>
      </c>
      <c r="D80" s="106">
        <v>0</v>
      </c>
      <c r="E80" s="106">
        <f>References!B10</f>
        <v>4.333333333333333</v>
      </c>
      <c r="F80" s="83">
        <f>E80*References!$G$22</f>
        <v>52</v>
      </c>
      <c r="G80" s="204">
        <f>References!$B$30</f>
        <v>29</v>
      </c>
      <c r="H80" s="103">
        <f t="shared" ref="H80:H86" si="29">F80*G80</f>
        <v>1508</v>
      </c>
      <c r="I80" s="103">
        <f t="shared" si="28"/>
        <v>1166.460044960161</v>
      </c>
      <c r="J80" s="87">
        <f>References!$C$72*'DF Calc (Kitsap Co.)'!I80</f>
        <v>1.7496900674402349</v>
      </c>
      <c r="K80" s="87">
        <f>J80/References!$G$78</f>
        <v>1.7840781742488823</v>
      </c>
      <c r="L80" s="87">
        <f>K80/F80*E80</f>
        <v>0.14867318118740686</v>
      </c>
      <c r="M80" s="44">
        <f>'Prop. Rates'!B174</f>
        <v>17.309999999999999</v>
      </c>
      <c r="N80" s="87">
        <f t="shared" si="27"/>
        <v>17.458673181187404</v>
      </c>
      <c r="O80" s="44">
        <f>'Prop. Rates'!D174</f>
        <v>17.458673181187404</v>
      </c>
      <c r="P80" s="189"/>
    </row>
    <row r="81" spans="1:18">
      <c r="A81" s="280"/>
      <c r="C81" s="105" t="s">
        <v>179</v>
      </c>
      <c r="D81" s="106"/>
      <c r="E81" s="84">
        <f>References!$B$12</f>
        <v>1</v>
      </c>
      <c r="F81" s="83">
        <f>E81*References!$G$22</f>
        <v>12</v>
      </c>
      <c r="G81" s="204">
        <f>References!$B$30</f>
        <v>29</v>
      </c>
      <c r="H81" s="103">
        <f t="shared" si="29"/>
        <v>348</v>
      </c>
      <c r="I81" s="103">
        <f t="shared" si="28"/>
        <v>269.18308729849872</v>
      </c>
      <c r="J81" s="87">
        <f>References!$C$72*'DF Calc (Kitsap Co.)'!I81</f>
        <v>0.40377463094774657</v>
      </c>
      <c r="K81" s="87">
        <f>J81/References!$G$78</f>
        <v>0.41171034790358824</v>
      </c>
      <c r="L81" s="87">
        <f t="shared" ref="L81:L86" si="30">K81/F81*E81</f>
        <v>3.4309195658632351E-2</v>
      </c>
      <c r="M81" s="44">
        <f>'Prop. Rates'!B175</f>
        <v>3.67</v>
      </c>
      <c r="N81" s="87">
        <f t="shared" si="27"/>
        <v>3.7043091956586323</v>
      </c>
      <c r="O81" s="44">
        <f>'Prop. Rates'!D175</f>
        <v>3.7043091956586323</v>
      </c>
      <c r="P81" s="189"/>
    </row>
    <row r="82" spans="1:18">
      <c r="A82" s="280"/>
      <c r="C82" s="105" t="s">
        <v>180</v>
      </c>
      <c r="D82" s="106"/>
      <c r="E82" s="84">
        <f>References!$B$12</f>
        <v>1</v>
      </c>
      <c r="F82" s="83">
        <f>E82*References!$G$22</f>
        <v>12</v>
      </c>
      <c r="G82" s="204">
        <f>References!$B$30</f>
        <v>29</v>
      </c>
      <c r="H82" s="103">
        <f t="shared" si="29"/>
        <v>348</v>
      </c>
      <c r="I82" s="103">
        <f t="shared" si="28"/>
        <v>269.18308729849872</v>
      </c>
      <c r="J82" s="87">
        <f>References!$C$72*'DF Calc (Kitsap Co.)'!I82</f>
        <v>0.40377463094774657</v>
      </c>
      <c r="K82" s="87">
        <f>J82/References!$G$78</f>
        <v>0.41171034790358824</v>
      </c>
      <c r="L82" s="87">
        <f t="shared" si="30"/>
        <v>3.4309195658632351E-2</v>
      </c>
      <c r="M82" s="44">
        <f>'Prop. Rates'!B176</f>
        <v>3.99</v>
      </c>
      <c r="N82" s="87">
        <f t="shared" si="27"/>
        <v>4.024309195658633</v>
      </c>
      <c r="O82" s="44">
        <f>'Prop. Rates'!D176</f>
        <v>4.024309195658633</v>
      </c>
      <c r="P82" s="189"/>
    </row>
    <row r="83" spans="1:18">
      <c r="A83" s="280"/>
      <c r="C83" s="105" t="s">
        <v>181</v>
      </c>
      <c r="D83" s="106">
        <v>0</v>
      </c>
      <c r="E83" s="106">
        <f>References!$B$10</f>
        <v>4.333333333333333</v>
      </c>
      <c r="F83" s="83">
        <f>E83*References!$G$22</f>
        <v>52</v>
      </c>
      <c r="G83" s="204">
        <f>References!B23</f>
        <v>37</v>
      </c>
      <c r="H83" s="103">
        <f t="shared" si="29"/>
        <v>1924</v>
      </c>
      <c r="I83" s="103">
        <f t="shared" si="28"/>
        <v>1488.2421263284814</v>
      </c>
      <c r="J83" s="87">
        <f>References!$C$72*'DF Calc (Kitsap Co.)'!I83</f>
        <v>2.2323631894927138</v>
      </c>
      <c r="K83" s="87">
        <f>J83/References!$G$78</f>
        <v>2.2762376705934018</v>
      </c>
      <c r="L83" s="87">
        <f>K83/F83*E83</f>
        <v>0.18968647254945012</v>
      </c>
      <c r="M83" s="44">
        <f>'Prop. Rates'!B178</f>
        <v>18.71</v>
      </c>
      <c r="N83" s="87">
        <f t="shared" si="27"/>
        <v>18.899686472549451</v>
      </c>
      <c r="O83" s="220">
        <f>'Prop. Rates'!D178</f>
        <v>18.899686472549451</v>
      </c>
      <c r="P83" s="189"/>
    </row>
    <row r="84" spans="1:18">
      <c r="A84" s="280"/>
      <c r="C84" s="105" t="s">
        <v>182</v>
      </c>
      <c r="D84" s="106">
        <v>0</v>
      </c>
      <c r="E84" s="106">
        <f>References!$B$10</f>
        <v>4.333333333333333</v>
      </c>
      <c r="F84" s="83">
        <f>E84*References!$G$22</f>
        <v>52</v>
      </c>
      <c r="G84" s="199">
        <f>References!$B$24</f>
        <v>48</v>
      </c>
      <c r="H84" s="103">
        <f t="shared" si="29"/>
        <v>2496</v>
      </c>
      <c r="I84" s="103">
        <f t="shared" si="28"/>
        <v>1930.6924882099217</v>
      </c>
      <c r="J84" s="87">
        <f>References!$C$72*'DF Calc (Kitsap Co.)'!I84</f>
        <v>2.8960387323148717</v>
      </c>
      <c r="K84" s="87">
        <f>J84/References!$G$78</f>
        <v>2.9529569780671157</v>
      </c>
      <c r="L84" s="87">
        <f t="shared" si="30"/>
        <v>0.24607974817225961</v>
      </c>
      <c r="M84" s="44">
        <f>'Prop. Rates'!B179</f>
        <v>21.32</v>
      </c>
      <c r="N84" s="87">
        <f t="shared" si="27"/>
        <v>21.56607974817226</v>
      </c>
      <c r="O84" s="220">
        <f>'Prop. Rates'!D179</f>
        <v>21.56607974817226</v>
      </c>
      <c r="P84" s="189"/>
    </row>
    <row r="85" spans="1:18">
      <c r="A85" s="280"/>
      <c r="C85" s="105" t="s">
        <v>183</v>
      </c>
      <c r="D85" s="106">
        <v>0</v>
      </c>
      <c r="E85" s="106">
        <f>References!$B$10</f>
        <v>4.333333333333333</v>
      </c>
      <c r="F85" s="83">
        <f>E85*References!$G$22</f>
        <v>52</v>
      </c>
      <c r="G85" s="204">
        <f>References!B25</f>
        <v>51</v>
      </c>
      <c r="H85" s="103">
        <f t="shared" si="29"/>
        <v>2652</v>
      </c>
      <c r="I85" s="103">
        <f t="shared" si="28"/>
        <v>2051.3607687230419</v>
      </c>
      <c r="J85" s="87">
        <f>References!$C$72*'DF Calc (Kitsap Co.)'!I85</f>
        <v>3.0770411530845512</v>
      </c>
      <c r="K85" s="87">
        <f>J85/References!$G$78</f>
        <v>3.1375167891963103</v>
      </c>
      <c r="L85" s="87">
        <f t="shared" si="30"/>
        <v>0.26145973243302584</v>
      </c>
      <c r="M85" s="44">
        <f>'Prop. Rates'!B180</f>
        <v>25.45</v>
      </c>
      <c r="N85" s="87">
        <f t="shared" si="27"/>
        <v>25.711459732433024</v>
      </c>
      <c r="O85" s="220">
        <f>'Prop. Rates'!D180</f>
        <v>25.711459732433024</v>
      </c>
      <c r="P85" s="189"/>
    </row>
    <row r="86" spans="1:18">
      <c r="A86" s="280"/>
      <c r="C86" s="105" t="s">
        <v>184</v>
      </c>
      <c r="D86" s="106">
        <v>0</v>
      </c>
      <c r="E86" s="106">
        <f>References!$B$10</f>
        <v>4.333333333333333</v>
      </c>
      <c r="F86" s="83">
        <f>E86*References!$G$22</f>
        <v>52</v>
      </c>
      <c r="G86" s="204">
        <f>References!B26</f>
        <v>77</v>
      </c>
      <c r="H86" s="103">
        <f t="shared" si="29"/>
        <v>4004</v>
      </c>
      <c r="I86" s="103">
        <f t="shared" si="28"/>
        <v>3097.1525331700827</v>
      </c>
      <c r="J86" s="87">
        <f>References!$C$72*'DF Calc (Kitsap Co.)'!I86</f>
        <v>4.6457287997551067</v>
      </c>
      <c r="K86" s="87">
        <f>J86/References!$G$78</f>
        <v>4.7370351523159977</v>
      </c>
      <c r="L86" s="87">
        <f t="shared" si="30"/>
        <v>0.39475292935966644</v>
      </c>
      <c r="M86" s="44">
        <f>'Prop. Rates'!B181</f>
        <v>31.96</v>
      </c>
      <c r="N86" s="87">
        <f t="shared" si="27"/>
        <v>32.35475292935967</v>
      </c>
      <c r="O86" s="220">
        <f>'Prop. Rates'!D181</f>
        <v>32.35475292935967</v>
      </c>
      <c r="P86" s="189"/>
    </row>
    <row r="87" spans="1:18">
      <c r="A87" s="280"/>
      <c r="B87" s="23"/>
      <c r="C87" s="115"/>
      <c r="D87" s="110"/>
      <c r="E87" s="116"/>
      <c r="F87" s="113"/>
      <c r="G87" s="205"/>
      <c r="H87" s="113"/>
      <c r="I87" s="113"/>
      <c r="J87" s="62"/>
      <c r="K87" s="62"/>
      <c r="L87" s="62"/>
      <c r="M87" s="117"/>
      <c r="N87" s="62"/>
      <c r="O87" s="114"/>
      <c r="R87" s="118"/>
    </row>
    <row r="88" spans="1:18">
      <c r="A88" s="70"/>
      <c r="B88" s="192"/>
      <c r="C88" s="70"/>
      <c r="D88" s="119"/>
      <c r="E88" s="90"/>
      <c r="F88" s="83"/>
      <c r="G88" s="204"/>
      <c r="H88" s="83"/>
      <c r="I88" s="86"/>
      <c r="J88" s="87"/>
      <c r="K88" s="87"/>
      <c r="L88" s="87"/>
      <c r="M88" s="96"/>
      <c r="N88" s="87"/>
      <c r="O88" s="96"/>
    </row>
    <row r="89" spans="1:18" ht="15.75" thickBot="1">
      <c r="A89" s="120"/>
      <c r="C89" s="121"/>
    </row>
    <row r="90" spans="1:18">
      <c r="A90" s="120"/>
      <c r="B90" s="283" t="s">
        <v>212</v>
      </c>
      <c r="C90" s="283"/>
      <c r="D90" s="81"/>
      <c r="E90" s="70"/>
      <c r="F90" s="70"/>
      <c r="H90" s="123" t="s">
        <v>213</v>
      </c>
    </row>
    <row r="91" spans="1:18">
      <c r="A91" s="120"/>
      <c r="B91" s="81"/>
      <c r="C91" s="124" t="s">
        <v>36</v>
      </c>
      <c r="D91" s="81"/>
      <c r="E91" s="125"/>
      <c r="F91" s="125"/>
      <c r="H91" s="126" t="s">
        <v>214</v>
      </c>
      <c r="J91" s="127"/>
      <c r="P91" s="102"/>
      <c r="Q91" s="127"/>
    </row>
    <row r="92" spans="1:18" ht="15.75" thickBot="1">
      <c r="A92" s="120"/>
      <c r="B92" s="81" t="s">
        <v>215</v>
      </c>
      <c r="C92" s="128">
        <f>References!B78</f>
        <v>2570</v>
      </c>
      <c r="D92" s="81"/>
      <c r="E92" s="103"/>
      <c r="F92" s="103"/>
      <c r="G92" s="208"/>
      <c r="H92" s="130" t="s">
        <v>216</v>
      </c>
      <c r="I92" s="83"/>
      <c r="J92" s="127"/>
      <c r="P92" s="102"/>
      <c r="Q92" s="44"/>
    </row>
    <row r="93" spans="1:18">
      <c r="A93" s="120"/>
      <c r="B93" s="81" t="s">
        <v>217</v>
      </c>
      <c r="C93" s="131">
        <f>C92*2000</f>
        <v>5140000</v>
      </c>
      <c r="D93" s="81"/>
      <c r="E93" s="131"/>
      <c r="F93" s="131"/>
      <c r="G93" s="209"/>
      <c r="H93" s="132"/>
      <c r="J93" s="127"/>
      <c r="Q93" s="44"/>
    </row>
    <row r="94" spans="1:18">
      <c r="A94" s="120"/>
      <c r="B94" s="81" t="s">
        <v>218</v>
      </c>
      <c r="C94" s="131">
        <f>F50</f>
        <v>87648</v>
      </c>
      <c r="D94" s="81"/>
      <c r="E94" s="103"/>
      <c r="F94" s="103"/>
      <c r="G94" s="206"/>
      <c r="I94" s="83"/>
      <c r="J94" s="127"/>
      <c r="P94" s="102"/>
      <c r="Q94" s="44"/>
    </row>
    <row r="95" spans="1:18">
      <c r="B95" s="45" t="s">
        <v>219</v>
      </c>
      <c r="C95" s="133">
        <f>C93/$H$50</f>
        <v>0.77351461867384685</v>
      </c>
      <c r="D95" s="81"/>
      <c r="E95" s="133"/>
      <c r="F95" s="133"/>
      <c r="G95" s="210"/>
      <c r="H95" s="134"/>
      <c r="J95" s="127"/>
      <c r="M95" s="135"/>
      <c r="N95" s="135"/>
      <c r="O95" s="135"/>
      <c r="P95" s="136"/>
      <c r="Q95" s="136"/>
    </row>
    <row r="96" spans="1:18">
      <c r="E96" s="127"/>
      <c r="G96" s="211"/>
      <c r="H96" s="108"/>
      <c r="J96" s="127"/>
      <c r="M96" s="118"/>
      <c r="N96" s="138"/>
      <c r="O96" s="138"/>
      <c r="P96" s="122"/>
      <c r="Q96" s="134"/>
    </row>
    <row r="97" spans="2:17">
      <c r="D97" s="139"/>
      <c r="E97" s="140"/>
      <c r="G97" s="211"/>
      <c r="H97" s="108"/>
      <c r="J97" s="127"/>
      <c r="M97" s="118"/>
      <c r="N97" s="138"/>
      <c r="O97" s="138"/>
      <c r="P97" s="122"/>
      <c r="Q97" s="134"/>
    </row>
    <row r="98" spans="2:17">
      <c r="B98" s="279"/>
      <c r="C98" s="279"/>
      <c r="D98" s="279"/>
      <c r="E98" s="140"/>
      <c r="G98" s="211"/>
      <c r="H98" s="108"/>
      <c r="J98" s="127"/>
      <c r="M98" s="118"/>
      <c r="N98" s="138"/>
      <c r="O98" s="138"/>
      <c r="P98" s="122"/>
      <c r="Q98" s="134"/>
    </row>
    <row r="99" spans="2:17">
      <c r="B99" s="70"/>
      <c r="C99" s="143"/>
      <c r="D99" s="70"/>
      <c r="I99" s="81"/>
    </row>
    <row r="100" spans="2:17">
      <c r="B100" s="70"/>
      <c r="C100" s="141"/>
      <c r="D100" s="142"/>
      <c r="E100" s="127"/>
      <c r="I100" s="81"/>
    </row>
    <row r="101" spans="2:17">
      <c r="B101" s="144"/>
      <c r="C101" s="141"/>
      <c r="D101" s="142"/>
      <c r="I101" s="81"/>
    </row>
    <row r="102" spans="2:17">
      <c r="B102" s="144"/>
      <c r="C102" s="141"/>
      <c r="D102" s="142"/>
      <c r="I102" s="81"/>
    </row>
    <row r="103" spans="2:17">
      <c r="D103" s="81"/>
    </row>
  </sheetData>
  <mergeCells count="6">
    <mergeCell ref="B98:D98"/>
    <mergeCell ref="A6:A40"/>
    <mergeCell ref="A42:A48"/>
    <mergeCell ref="A54:A58"/>
    <mergeCell ref="A68:A87"/>
    <mergeCell ref="B90:C90"/>
  </mergeCells>
  <pageMargins left="0.7" right="0.7" top="0.75" bottom="0.75" header="0.3" footer="0.3"/>
  <pageSetup scale="46" fitToHeight="0" orientation="landscape" r:id="rId1"/>
  <headerFooter>
    <oddFooter xml:space="preserve">&amp;R&amp;P of &amp;N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H181"/>
  <sheetViews>
    <sheetView topLeftCell="A43" zoomScale="90" zoomScaleNormal="90" workbookViewId="0">
      <selection activeCell="N150" sqref="N150"/>
    </sheetView>
  </sheetViews>
  <sheetFormatPr defaultRowHeight="15"/>
  <cols>
    <col min="1" max="1" width="29.140625" customWidth="1"/>
    <col min="2" max="2" width="11.140625" customWidth="1"/>
    <col min="3" max="3" width="10.7109375" customWidth="1"/>
    <col min="4" max="4" width="10.28515625" bestFit="1" customWidth="1"/>
  </cols>
  <sheetData>
    <row r="1" spans="1:8" ht="20.25" customHeight="1">
      <c r="A1" s="268" t="s">
        <v>271</v>
      </c>
      <c r="B1" s="269"/>
      <c r="C1" s="270"/>
      <c r="D1" s="270"/>
    </row>
    <row r="2" spans="1:8" ht="18" customHeight="1">
      <c r="A2" s="27"/>
      <c r="B2" s="269"/>
      <c r="C2" s="270"/>
      <c r="D2" s="270" t="s">
        <v>267</v>
      </c>
    </row>
    <row r="3" spans="1:8" ht="15" customHeight="1">
      <c r="B3" s="269" t="s">
        <v>266</v>
      </c>
      <c r="C3" s="270"/>
      <c r="D3" s="271" t="s">
        <v>269</v>
      </c>
    </row>
    <row r="4" spans="1:8" ht="21">
      <c r="A4" s="154" t="s">
        <v>230</v>
      </c>
      <c r="B4" s="271" t="s">
        <v>272</v>
      </c>
      <c r="C4" s="270" t="s">
        <v>267</v>
      </c>
      <c r="D4" s="271" t="s">
        <v>274</v>
      </c>
    </row>
    <row r="5" spans="1:8" ht="15.75">
      <c r="A5" s="27"/>
      <c r="B5" s="271" t="s">
        <v>273</v>
      </c>
      <c r="C5" s="270" t="s">
        <v>268</v>
      </c>
      <c r="D5" s="271" t="s">
        <v>270</v>
      </c>
      <c r="E5" s="147"/>
    </row>
    <row r="6" spans="1:8">
      <c r="A6" s="27" t="s">
        <v>112</v>
      </c>
      <c r="B6" t="s">
        <v>1</v>
      </c>
      <c r="D6" t="s">
        <v>1</v>
      </c>
    </row>
    <row r="7" spans="1:8">
      <c r="A7" s="163" t="s">
        <v>176</v>
      </c>
      <c r="B7" s="164"/>
      <c r="C7" s="164"/>
      <c r="D7" s="164"/>
      <c r="E7" s="163" t="s">
        <v>169</v>
      </c>
    </row>
    <row r="8" spans="1:8">
      <c r="A8" t="s">
        <v>113</v>
      </c>
      <c r="B8" s="148">
        <v>4.4000000000000004</v>
      </c>
      <c r="C8" s="25">
        <f>'DF Calc (Mason Co.)'!L56</f>
        <v>1.7285353202527984E-2</v>
      </c>
      <c r="D8" s="148">
        <f>B8+C8</f>
        <v>4.4172853532025282</v>
      </c>
      <c r="F8" s="148"/>
      <c r="H8" s="147"/>
    </row>
    <row r="9" spans="1:8">
      <c r="B9" s="148"/>
      <c r="C9" s="25"/>
      <c r="D9" s="148"/>
      <c r="F9" s="148"/>
      <c r="H9" s="147"/>
    </row>
    <row r="10" spans="1:8">
      <c r="A10" s="212" t="s">
        <v>241</v>
      </c>
      <c r="B10" s="213"/>
      <c r="C10" s="213"/>
      <c r="D10" s="213"/>
      <c r="E10" s="212" t="s">
        <v>240</v>
      </c>
      <c r="F10" s="148"/>
      <c r="H10" s="147"/>
    </row>
    <row r="11" spans="1:8">
      <c r="A11" s="159" t="s">
        <v>113</v>
      </c>
      <c r="B11" s="148">
        <v>4.0999999999999996</v>
      </c>
      <c r="C11" s="25">
        <f>'DF Calc (Kitsap Co.)'!L54</f>
        <v>4.022457422046552E-2</v>
      </c>
      <c r="D11" s="148">
        <f>B11+C11</f>
        <v>4.1402245742204649</v>
      </c>
      <c r="F11" s="148"/>
      <c r="H11" s="147"/>
    </row>
    <row r="12" spans="1:8">
      <c r="B12" s="148"/>
      <c r="C12" s="25"/>
      <c r="D12" s="148"/>
      <c r="E12" s="27"/>
      <c r="F12" s="148"/>
    </row>
    <row r="13" spans="1:8">
      <c r="A13" s="163" t="s">
        <v>114</v>
      </c>
      <c r="B13" s="165"/>
      <c r="C13" s="166"/>
      <c r="D13" s="165"/>
      <c r="E13" s="163" t="s">
        <v>169</v>
      </c>
      <c r="F13" s="148"/>
    </row>
    <row r="14" spans="1:8">
      <c r="A14" t="s">
        <v>115</v>
      </c>
      <c r="B14" s="148">
        <v>15.54</v>
      </c>
      <c r="C14" s="25">
        <f>'DF Calc (Mason Co.)'!L7</f>
        <v>7.4903197210954606E-2</v>
      </c>
      <c r="D14" s="148">
        <f t="shared" ref="D14:D24" si="0">B14+C14</f>
        <v>15.614903197210953</v>
      </c>
      <c r="F14" s="148"/>
    </row>
    <row r="15" spans="1:8">
      <c r="A15" t="s">
        <v>116</v>
      </c>
      <c r="B15" s="148">
        <v>23.22</v>
      </c>
      <c r="C15" s="25">
        <f>'DF Calc (Mason Co.)'!L8</f>
        <v>0.11235479581643186</v>
      </c>
      <c r="D15" s="148">
        <f t="shared" si="0"/>
        <v>23.332354795816432</v>
      </c>
      <c r="E15" s="27"/>
      <c r="F15" s="148"/>
    </row>
    <row r="16" spans="1:8">
      <c r="A16" t="s">
        <v>117</v>
      </c>
      <c r="B16" s="148">
        <v>31.3</v>
      </c>
      <c r="C16" s="25">
        <f>'DF Calc (Mason Co.)'!L9</f>
        <v>0.16963371133069127</v>
      </c>
      <c r="D16" s="148">
        <f t="shared" si="0"/>
        <v>31.46963371133069</v>
      </c>
      <c r="E16" s="27"/>
      <c r="F16" s="148"/>
    </row>
    <row r="17" spans="1:6">
      <c r="A17" t="s">
        <v>118</v>
      </c>
      <c r="B17" s="155">
        <v>40.15</v>
      </c>
      <c r="C17" s="25">
        <f>'DF Calc (Mason Co.)'!L10</f>
        <v>0.21369441557242927</v>
      </c>
      <c r="D17" s="148">
        <f t="shared" si="0"/>
        <v>40.363694415572425</v>
      </c>
      <c r="E17" s="27"/>
      <c r="F17" s="148"/>
    </row>
    <row r="18" spans="1:6">
      <c r="A18" t="s">
        <v>119</v>
      </c>
      <c r="B18" s="155">
        <v>48.02</v>
      </c>
      <c r="C18" s="25">
        <f>'DF Calc (Mason Co.)'!L11</f>
        <v>0.25775511981416721</v>
      </c>
      <c r="D18" s="148">
        <f t="shared" si="0"/>
        <v>48.277755119814174</v>
      </c>
      <c r="E18" s="27"/>
      <c r="F18" s="148"/>
    </row>
    <row r="19" spans="1:6">
      <c r="A19" t="s">
        <v>120</v>
      </c>
      <c r="B19" s="155">
        <v>55.72</v>
      </c>
      <c r="C19" s="25">
        <f>'DF Calc (Mason Co.)'!L12</f>
        <v>0.34587652829764326</v>
      </c>
      <c r="D19" s="148">
        <f t="shared" si="0"/>
        <v>56.065876528297643</v>
      </c>
      <c r="E19" s="27"/>
      <c r="F19" s="148"/>
    </row>
    <row r="20" spans="1:6">
      <c r="A20" t="s">
        <v>121</v>
      </c>
      <c r="B20" s="148">
        <v>20.88</v>
      </c>
      <c r="C20" s="25">
        <f>'DF Calc (Mason Co.)'!L13</f>
        <v>0.10574569018017119</v>
      </c>
      <c r="D20" s="148">
        <f t="shared" si="0"/>
        <v>20.98574569018017</v>
      </c>
      <c r="E20" s="27"/>
      <c r="F20" s="148"/>
    </row>
    <row r="21" spans="1:6">
      <c r="A21" t="s">
        <v>122</v>
      </c>
      <c r="B21" s="148">
        <v>8.9</v>
      </c>
      <c r="C21" s="25">
        <f>'DF Calc (Mason Co.)'!L23</f>
        <v>4.0756151423607646E-2</v>
      </c>
      <c r="D21" s="148">
        <f t="shared" si="0"/>
        <v>8.9407561514236082</v>
      </c>
      <c r="E21" s="27"/>
      <c r="F21" s="148"/>
    </row>
    <row r="22" spans="1:6">
      <c r="A22" t="s">
        <v>123</v>
      </c>
      <c r="B22" s="148">
        <v>14.3</v>
      </c>
      <c r="C22" s="25">
        <f>'DF Calc (Mason Co.)'!L22</f>
        <v>5.6177397908215937E-2</v>
      </c>
      <c r="D22" s="148">
        <f t="shared" si="0"/>
        <v>14.356177397908217</v>
      </c>
      <c r="E22" s="27"/>
      <c r="F22" s="148"/>
    </row>
    <row r="23" spans="1:6">
      <c r="A23" t="s">
        <v>124</v>
      </c>
      <c r="B23" s="148">
        <v>4.92</v>
      </c>
      <c r="C23" s="25">
        <f>'DF Calc (Mason Co.)'!L28</f>
        <v>1.7285353202527984E-2</v>
      </c>
      <c r="D23" s="148">
        <f t="shared" si="0"/>
        <v>4.9372853532025278</v>
      </c>
      <c r="E23" s="27"/>
      <c r="F23" s="148"/>
    </row>
    <row r="24" spans="1:6">
      <c r="A24" t="s">
        <v>125</v>
      </c>
      <c r="B24" s="148">
        <v>13.12</v>
      </c>
      <c r="C24" s="25">
        <f>'DF Calc (Mason Co.)'!L6</f>
        <v>4.4060704241737997E-2</v>
      </c>
      <c r="D24" s="148">
        <f t="shared" si="0"/>
        <v>13.164060704241738</v>
      </c>
      <c r="E24" s="27"/>
      <c r="F24" s="148"/>
    </row>
    <row r="25" spans="1:6">
      <c r="A25" t="s">
        <v>1</v>
      </c>
      <c r="B25" s="148"/>
      <c r="C25" s="25"/>
      <c r="D25" s="148"/>
      <c r="E25" s="27"/>
      <c r="F25" s="148"/>
    </row>
    <row r="26" spans="1:6">
      <c r="A26" s="27" t="s">
        <v>126</v>
      </c>
      <c r="B26" s="148"/>
      <c r="C26" s="25"/>
      <c r="D26" s="148"/>
      <c r="E26" s="27"/>
      <c r="F26" s="148"/>
    </row>
    <row r="27" spans="1:6">
      <c r="A27" t="s">
        <v>127</v>
      </c>
      <c r="B27" s="148">
        <v>17.84</v>
      </c>
      <c r="C27" s="25">
        <f>'DF Calc (Mason Co.)'!L16</f>
        <v>8.1512302847215293E-2</v>
      </c>
      <c r="D27" s="148">
        <f t="shared" ref="D27:D38" si="1">B27+C27</f>
        <v>17.921512302847216</v>
      </c>
      <c r="E27" s="27"/>
      <c r="F27" s="148"/>
    </row>
    <row r="28" spans="1:6">
      <c r="A28" t="s">
        <v>128</v>
      </c>
      <c r="B28" s="148">
        <v>22.64</v>
      </c>
      <c r="C28" s="25">
        <f>'DF Calc (Mason Co.)'!L17</f>
        <v>0.10574569018017117</v>
      </c>
      <c r="D28" s="148">
        <f t="shared" si="1"/>
        <v>22.745745690180172</v>
      </c>
      <c r="E28" s="27"/>
      <c r="F28" s="148"/>
    </row>
    <row r="29" spans="1:6">
      <c r="A29" t="s">
        <v>129</v>
      </c>
      <c r="B29" s="148">
        <v>27.74</v>
      </c>
      <c r="C29" s="25">
        <f>'DF Calc (Mason Co.)'!L18</f>
        <v>0.11235479581643189</v>
      </c>
      <c r="D29" s="148">
        <f t="shared" si="1"/>
        <v>27.852354795816431</v>
      </c>
      <c r="E29" s="27"/>
      <c r="F29" s="148"/>
    </row>
    <row r="30" spans="1:6">
      <c r="A30" t="s">
        <v>130</v>
      </c>
      <c r="B30" s="148">
        <v>34.450000000000003</v>
      </c>
      <c r="C30" s="25">
        <f>'DF Calc (Mason Co.)'!L19</f>
        <v>0.16963371133069127</v>
      </c>
      <c r="D30" s="148">
        <f t="shared" si="1"/>
        <v>34.619633711330692</v>
      </c>
      <c r="E30" s="27"/>
      <c r="F30" s="148"/>
    </row>
    <row r="31" spans="1:6">
      <c r="A31" t="s">
        <v>131</v>
      </c>
      <c r="B31" s="148">
        <v>10.63</v>
      </c>
      <c r="C31" s="25">
        <f>'DF Calc (Mason Co.)'!L21</f>
        <v>3.7451598605477289E-2</v>
      </c>
      <c r="D31" s="148">
        <f t="shared" si="1"/>
        <v>10.667451598605478</v>
      </c>
      <c r="E31" s="27"/>
      <c r="F31" s="148"/>
    </row>
    <row r="32" spans="1:6">
      <c r="A32" t="s">
        <v>132</v>
      </c>
      <c r="B32" s="148">
        <v>14.07</v>
      </c>
      <c r="C32" s="25">
        <f>'DF Calc (Mason Co.)'!L24</f>
        <v>5.2872845090085593E-2</v>
      </c>
      <c r="D32" s="148">
        <f t="shared" si="1"/>
        <v>14.122872845090086</v>
      </c>
      <c r="E32" s="27"/>
      <c r="F32" s="148"/>
    </row>
    <row r="33" spans="1:6">
      <c r="A33" t="s">
        <v>133</v>
      </c>
      <c r="B33" s="148">
        <v>16.809999999999999</v>
      </c>
      <c r="C33" s="25">
        <f>'DF Calc (Mason Co.)'!L25</f>
        <v>5.6177397908215944E-2</v>
      </c>
      <c r="D33" s="148">
        <f t="shared" si="1"/>
        <v>16.866177397908213</v>
      </c>
      <c r="E33" s="27"/>
      <c r="F33" s="148"/>
    </row>
    <row r="34" spans="1:6">
      <c r="A34" t="s">
        <v>134</v>
      </c>
      <c r="B34" s="148">
        <v>21</v>
      </c>
      <c r="C34" s="25">
        <f>'DF Calc (Mason Co.)'!L26</f>
        <v>8.4816855665345636E-2</v>
      </c>
      <c r="D34" s="148">
        <f t="shared" si="1"/>
        <v>21.084816855665345</v>
      </c>
      <c r="E34" s="27"/>
      <c r="F34" s="148"/>
    </row>
    <row r="35" spans="1:6">
      <c r="A35" t="s">
        <v>135</v>
      </c>
      <c r="B35" s="148">
        <v>6.34</v>
      </c>
      <c r="C35" s="25">
        <f>'DF Calc (Mason Co.)'!L35</f>
        <v>1.881053142628045E-2</v>
      </c>
      <c r="D35" s="148">
        <f t="shared" si="1"/>
        <v>6.3588105314262799</v>
      </c>
      <c r="E35" s="27"/>
      <c r="F35" s="148"/>
    </row>
    <row r="36" spans="1:6">
      <c r="A36" t="s">
        <v>136</v>
      </c>
      <c r="B36" s="148">
        <v>7.95</v>
      </c>
      <c r="C36" s="25">
        <f>'DF Calc (Mason Co.)'!L36</f>
        <v>2.4402851580039506E-2</v>
      </c>
      <c r="D36" s="148">
        <f t="shared" si="1"/>
        <v>7.9744028515800398</v>
      </c>
      <c r="E36" s="27"/>
      <c r="F36" s="148"/>
    </row>
    <row r="37" spans="1:6">
      <c r="A37" t="s">
        <v>137</v>
      </c>
      <c r="B37" s="148">
        <v>9.39</v>
      </c>
      <c r="C37" s="25">
        <f>'DF Calc (Mason Co.)'!L37</f>
        <v>2.5928029803791972E-2</v>
      </c>
      <c r="D37" s="148">
        <f t="shared" si="1"/>
        <v>9.4159280298037924</v>
      </c>
      <c r="E37" s="27"/>
      <c r="F37" s="148"/>
    </row>
    <row r="38" spans="1:6">
      <c r="A38" t="s">
        <v>138</v>
      </c>
      <c r="B38" s="148">
        <v>11.55</v>
      </c>
      <c r="C38" s="25">
        <f>'DF Calc (Mason Co.)'!L38</f>
        <v>3.9146241076313371E-2</v>
      </c>
      <c r="D38" s="148">
        <f t="shared" si="1"/>
        <v>11.589146241076314</v>
      </c>
      <c r="E38" s="27"/>
      <c r="F38" s="148"/>
    </row>
    <row r="39" spans="1:6">
      <c r="B39" s="148"/>
      <c r="C39" s="25"/>
      <c r="D39" s="148"/>
      <c r="E39" s="27"/>
      <c r="F39" s="148"/>
    </row>
    <row r="40" spans="1:6">
      <c r="A40" s="212" t="s">
        <v>242</v>
      </c>
      <c r="B40" s="214"/>
      <c r="C40" s="215"/>
      <c r="D40" s="214"/>
      <c r="E40" s="212" t="s">
        <v>240</v>
      </c>
      <c r="F40" s="148"/>
    </row>
    <row r="41" spans="1:6">
      <c r="A41" t="s">
        <v>115</v>
      </c>
      <c r="B41" s="148">
        <v>14.33</v>
      </c>
      <c r="C41" s="25">
        <f>'DF Calc (Kitsap Co.)'!L7</f>
        <v>0.17430648828868386</v>
      </c>
      <c r="D41" s="148">
        <f t="shared" ref="D41:D65" si="2">B41+C41</f>
        <v>14.504306488288684</v>
      </c>
      <c r="F41" s="148"/>
    </row>
    <row r="42" spans="1:6">
      <c r="A42" t="s">
        <v>116</v>
      </c>
      <c r="B42" s="148">
        <v>21.08</v>
      </c>
      <c r="C42" s="25">
        <f>'DF Calc (Kitsap Co.)'!L8</f>
        <v>0.26145973243302584</v>
      </c>
      <c r="D42" s="148">
        <f t="shared" si="2"/>
        <v>21.341459732433023</v>
      </c>
      <c r="E42" s="27"/>
      <c r="F42" s="148"/>
    </row>
    <row r="43" spans="1:6">
      <c r="A43" t="s">
        <v>117</v>
      </c>
      <c r="B43" s="148">
        <v>27.97</v>
      </c>
      <c r="C43" s="25">
        <f>'DF Calc (Kitsap Co.)'!L9</f>
        <v>0.39475292935966644</v>
      </c>
      <c r="D43" s="148">
        <f t="shared" si="2"/>
        <v>28.364752929359664</v>
      </c>
      <c r="E43" s="27"/>
      <c r="F43" s="148"/>
    </row>
    <row r="44" spans="1:6">
      <c r="A44" s="159" t="s">
        <v>118</v>
      </c>
      <c r="B44" s="148">
        <v>35.630000000000003</v>
      </c>
      <c r="C44" s="25">
        <f>'DF Calc (Kitsap Co.)'!L55</f>
        <v>0.49728615776477469</v>
      </c>
      <c r="D44" s="148">
        <f t="shared" si="2"/>
        <v>36.127286157764779</v>
      </c>
      <c r="E44" s="27"/>
      <c r="F44" s="148"/>
    </row>
    <row r="45" spans="1:6">
      <c r="A45" s="159" t="s">
        <v>119</v>
      </c>
      <c r="B45" s="148">
        <v>42.54</v>
      </c>
      <c r="C45" s="25">
        <f>'DF Calc (Kitsap Co.)'!L56</f>
        <v>0.59981938616988284</v>
      </c>
      <c r="D45" s="148">
        <f t="shared" si="2"/>
        <v>43.139819386169883</v>
      </c>
      <c r="E45" s="27"/>
      <c r="F45" s="148"/>
    </row>
    <row r="46" spans="1:6">
      <c r="A46" s="159" t="s">
        <v>120</v>
      </c>
      <c r="B46" s="148">
        <v>49.1</v>
      </c>
      <c r="C46" s="25">
        <f>'DF Calc (Kitsap Co.)'!L57</f>
        <v>0.80488584298009924</v>
      </c>
      <c r="D46" s="148">
        <f t="shared" si="2"/>
        <v>49.9048858429801</v>
      </c>
      <c r="E46" s="27"/>
      <c r="F46" s="148"/>
    </row>
    <row r="47" spans="1:6">
      <c r="A47" t="s">
        <v>121</v>
      </c>
      <c r="B47" s="148">
        <v>18.78</v>
      </c>
      <c r="C47" s="25">
        <f>'DF Calc (Kitsap Co.)'!L10</f>
        <v>0.24607974817225961</v>
      </c>
      <c r="D47" s="148">
        <f t="shared" si="2"/>
        <v>19.026079748172261</v>
      </c>
      <c r="E47" s="27"/>
      <c r="F47" s="148"/>
    </row>
    <row r="48" spans="1:6">
      <c r="A48" t="s">
        <v>122</v>
      </c>
      <c r="B48" s="148">
        <v>8.2899999999999991</v>
      </c>
      <c r="C48" s="25">
        <f>'DF Calc (Kitsap Co.)'!L18</f>
        <v>8.715324414434196E-2</v>
      </c>
      <c r="D48" s="148">
        <f t="shared" si="2"/>
        <v>8.3771532441443419</v>
      </c>
      <c r="E48" s="27"/>
      <c r="F48" s="148"/>
    </row>
    <row r="49" spans="1:6">
      <c r="A49" t="s">
        <v>123</v>
      </c>
      <c r="B49" s="148">
        <v>13.24</v>
      </c>
      <c r="C49" s="25">
        <f>'DF Calc (Kitsap Co.)'!L19</f>
        <v>0.13072986621651292</v>
      </c>
      <c r="D49" s="148">
        <f t="shared" si="2"/>
        <v>13.370729866216513</v>
      </c>
      <c r="E49" s="27"/>
      <c r="F49" s="148"/>
    </row>
    <row r="50" spans="1:6">
      <c r="A50" t="s">
        <v>124</v>
      </c>
      <c r="B50" s="148">
        <v>4.6399999999999997</v>
      </c>
      <c r="C50" s="25">
        <f>'DF Calc (Kitsap Co.)'!L26</f>
        <v>4.022457422046552E-2</v>
      </c>
      <c r="D50" s="148">
        <f t="shared" si="2"/>
        <v>4.6802245742204649</v>
      </c>
      <c r="E50" s="27"/>
      <c r="F50" s="148"/>
    </row>
    <row r="51" spans="1:6">
      <c r="A51" t="s">
        <v>125</v>
      </c>
      <c r="B51" s="148">
        <v>12.22</v>
      </c>
      <c r="C51" s="25">
        <f>'DF Calc (Kitsap Co.)'!L6</f>
        <v>0.10253322840510816</v>
      </c>
      <c r="D51" s="148">
        <f t="shared" si="2"/>
        <v>12.322533228405108</v>
      </c>
      <c r="E51" s="27"/>
      <c r="F51" s="148"/>
    </row>
    <row r="52" spans="1:6">
      <c r="A52" t="s">
        <v>1</v>
      </c>
      <c r="B52" s="148"/>
      <c r="C52" s="25"/>
      <c r="D52" s="148"/>
      <c r="E52" s="27"/>
      <c r="F52" s="148"/>
    </row>
    <row r="53" spans="1:6">
      <c r="A53" s="27" t="s">
        <v>126</v>
      </c>
      <c r="B53" s="148"/>
      <c r="C53" s="25"/>
      <c r="D53" s="148"/>
      <c r="E53" s="27"/>
      <c r="F53" s="148"/>
    </row>
    <row r="54" spans="1:6">
      <c r="A54" t="s">
        <v>127</v>
      </c>
      <c r="B54" s="148">
        <v>16.39</v>
      </c>
      <c r="C54" s="25">
        <f>'DF Calc (Kitsap Co.)'!L13</f>
        <v>0.18968647254945012</v>
      </c>
      <c r="D54" s="148">
        <f t="shared" si="2"/>
        <v>16.579686472549451</v>
      </c>
      <c r="E54" s="27"/>
      <c r="F54" s="148"/>
    </row>
    <row r="55" spans="1:6">
      <c r="A55" t="s">
        <v>128</v>
      </c>
      <c r="B55" s="148">
        <v>20.43</v>
      </c>
      <c r="C55" s="25">
        <f>'DF Calc (Kitsap Co.)'!L14</f>
        <v>0.24607974817225958</v>
      </c>
      <c r="D55" s="148">
        <f t="shared" si="2"/>
        <v>20.67607974817226</v>
      </c>
      <c r="E55" s="27"/>
      <c r="F55" s="148"/>
    </row>
    <row r="56" spans="1:6">
      <c r="A56" t="s">
        <v>129</v>
      </c>
      <c r="B56" s="148">
        <v>24.5</v>
      </c>
      <c r="C56" s="25">
        <f>'DF Calc (Kitsap Co.)'!L15</f>
        <v>0.26145973243302578</v>
      </c>
      <c r="D56" s="148">
        <f t="shared" si="2"/>
        <v>24.761459732433025</v>
      </c>
      <c r="E56" s="27"/>
      <c r="F56" s="148"/>
    </row>
    <row r="57" spans="1:6">
      <c r="A57" t="s">
        <v>130</v>
      </c>
      <c r="B57" s="148">
        <v>30.79</v>
      </c>
      <c r="C57" s="25">
        <f>'DF Calc (Kitsap Co.)'!L16</f>
        <v>0.39475292935966644</v>
      </c>
      <c r="D57" s="148">
        <f t="shared" si="2"/>
        <v>31.184752929359664</v>
      </c>
      <c r="E57" s="27"/>
      <c r="F57" s="148"/>
    </row>
    <row r="58" spans="1:6">
      <c r="A58" t="s">
        <v>131</v>
      </c>
      <c r="B58" s="148">
        <v>9.89</v>
      </c>
      <c r="C58" s="25">
        <f>'DF Calc (Kitsap Co.)'!L21</f>
        <v>9.484323627472506E-2</v>
      </c>
      <c r="D58" s="148">
        <f t="shared" si="2"/>
        <v>9.9848432362747257</v>
      </c>
      <c r="E58" s="27"/>
      <c r="F58" s="148"/>
    </row>
    <row r="59" spans="1:6">
      <c r="A59" t="s">
        <v>132</v>
      </c>
      <c r="B59" s="148">
        <v>13.03</v>
      </c>
      <c r="C59" s="25">
        <f>'DF Calc (Kitsap Co.)'!L22</f>
        <v>0.12303987408612979</v>
      </c>
      <c r="D59" s="148">
        <f t="shared" si="2"/>
        <v>13.153039874086129</v>
      </c>
      <c r="E59" s="27"/>
      <c r="F59" s="148"/>
    </row>
    <row r="60" spans="1:6">
      <c r="A60" t="s">
        <v>133</v>
      </c>
      <c r="B60" s="148">
        <v>15.53</v>
      </c>
      <c r="C60" s="25">
        <f>'DF Calc (Kitsap Co.)'!L23</f>
        <v>0.13072986621651292</v>
      </c>
      <c r="D60" s="148">
        <f t="shared" si="2"/>
        <v>15.660729866216512</v>
      </c>
      <c r="E60" s="27"/>
      <c r="F60" s="148"/>
    </row>
    <row r="61" spans="1:6">
      <c r="A61" t="s">
        <v>134</v>
      </c>
      <c r="B61" s="148">
        <v>19.28</v>
      </c>
      <c r="C61" s="25">
        <f>'DF Calc (Kitsap Co.)'!L24</f>
        <v>0.19737646467983325</v>
      </c>
      <c r="D61" s="148">
        <f t="shared" si="2"/>
        <v>19.477376464679836</v>
      </c>
      <c r="E61" s="27"/>
      <c r="F61" s="148"/>
    </row>
    <row r="62" spans="1:6">
      <c r="A62" t="s">
        <v>135</v>
      </c>
      <c r="B62" s="148">
        <v>6</v>
      </c>
      <c r="C62" s="25">
        <f>'DF Calc (Kitsap Co.)'!L27</f>
        <v>4.3773801357565416E-2</v>
      </c>
      <c r="D62" s="148">
        <f t="shared" si="2"/>
        <v>6.043773801357565</v>
      </c>
      <c r="E62" s="27"/>
      <c r="F62" s="148"/>
    </row>
    <row r="63" spans="1:6">
      <c r="A63" t="s">
        <v>136</v>
      </c>
      <c r="B63" s="148">
        <v>7.5</v>
      </c>
      <c r="C63" s="25">
        <f>'DF Calc (Kitsap Co.)'!L28</f>
        <v>5.6787634193598384E-2</v>
      </c>
      <c r="D63" s="148">
        <f t="shared" si="2"/>
        <v>7.556787634193598</v>
      </c>
      <c r="E63" s="27"/>
      <c r="F63" s="148"/>
    </row>
    <row r="64" spans="1:6">
      <c r="A64" t="s">
        <v>137</v>
      </c>
      <c r="B64" s="148">
        <v>8.84</v>
      </c>
      <c r="C64" s="25">
        <f>'DF Calc (Kitsap Co.)'!L29</f>
        <v>6.0336861330698266E-2</v>
      </c>
      <c r="D64" s="148">
        <f t="shared" si="2"/>
        <v>8.9003368613306986</v>
      </c>
      <c r="E64" s="27"/>
      <c r="F64" s="148"/>
    </row>
    <row r="65" spans="1:6">
      <c r="A65" t="s">
        <v>138</v>
      </c>
      <c r="B65" s="148">
        <v>10.78</v>
      </c>
      <c r="C65" s="25">
        <f>'DF Calc (Kitsap Co.)'!L30</f>
        <v>9.1096829852230735E-2</v>
      </c>
      <c r="D65" s="148">
        <f t="shared" si="2"/>
        <v>10.871096829852229</v>
      </c>
      <c r="E65" s="27"/>
      <c r="F65" s="148"/>
    </row>
    <row r="66" spans="1:6">
      <c r="B66" s="148"/>
      <c r="C66" s="25"/>
      <c r="D66" s="148"/>
      <c r="E66" s="27"/>
      <c r="F66" s="148"/>
    </row>
    <row r="67" spans="1:6">
      <c r="A67" s="163" t="s">
        <v>139</v>
      </c>
      <c r="B67" s="165"/>
      <c r="C67" s="166"/>
      <c r="D67" s="165"/>
      <c r="E67" s="163" t="s">
        <v>169</v>
      </c>
      <c r="F67" s="148"/>
    </row>
    <row r="68" spans="1:6">
      <c r="A68" t="s">
        <v>140</v>
      </c>
      <c r="B68" s="148">
        <v>4.4000000000000004</v>
      </c>
      <c r="C68" s="25">
        <f>'DF Calc (Mason Co.)'!L39</f>
        <v>1.7285353202527984E-2</v>
      </c>
      <c r="D68" s="148">
        <f>B68+C68</f>
        <v>4.4172853532025282</v>
      </c>
      <c r="E68" s="27"/>
      <c r="F68" s="148"/>
    </row>
    <row r="69" spans="1:6">
      <c r="A69" t="s">
        <v>141</v>
      </c>
      <c r="B69" s="148">
        <v>4.92</v>
      </c>
      <c r="C69" s="25">
        <f>'DF Calc (Mason Co.)'!L28</f>
        <v>1.7285353202527984E-2</v>
      </c>
      <c r="D69" s="148">
        <f>B69+C69</f>
        <v>4.9372853532025278</v>
      </c>
      <c r="E69" s="27"/>
      <c r="F69" s="148"/>
    </row>
    <row r="70" spans="1:6">
      <c r="B70" s="148"/>
      <c r="C70" s="25"/>
      <c r="D70" s="148"/>
      <c r="E70" s="27"/>
      <c r="F70" s="148"/>
    </row>
    <row r="71" spans="1:6">
      <c r="A71" t="s">
        <v>142</v>
      </c>
      <c r="B71" s="148">
        <v>6.34</v>
      </c>
      <c r="C71" s="25">
        <f>'DF Calc (Mason Co.)'!L35</f>
        <v>1.881053142628045E-2</v>
      </c>
      <c r="D71" s="148">
        <f>B71+C71</f>
        <v>6.3588105314262799</v>
      </c>
      <c r="E71" s="27"/>
      <c r="F71" s="148"/>
    </row>
    <row r="72" spans="1:6">
      <c r="A72" t="s">
        <v>143</v>
      </c>
      <c r="B72" s="148">
        <v>7.95</v>
      </c>
      <c r="C72" s="25">
        <f>'DF Calc (Mason Co.)'!L36</f>
        <v>2.4402851580039506E-2</v>
      </c>
      <c r="D72" s="148">
        <f>B72+C72</f>
        <v>7.9744028515800398</v>
      </c>
      <c r="E72" s="27"/>
      <c r="F72" s="148"/>
    </row>
    <row r="73" spans="1:6">
      <c r="A73" t="s">
        <v>144</v>
      </c>
      <c r="B73" s="148">
        <v>9.39</v>
      </c>
      <c r="C73" s="25">
        <f>'DF Calc (Mason Co.)'!L37</f>
        <v>2.5928029803791972E-2</v>
      </c>
      <c r="D73" s="148">
        <f>B73+C73</f>
        <v>9.4159280298037924</v>
      </c>
      <c r="E73" s="27"/>
      <c r="F73" s="148"/>
    </row>
    <row r="74" spans="1:6">
      <c r="A74" t="s">
        <v>145</v>
      </c>
      <c r="B74" s="148">
        <v>11.55</v>
      </c>
      <c r="C74" s="25">
        <f>'DF Calc (Mason Co.)'!L38</f>
        <v>3.9146241076313371E-2</v>
      </c>
      <c r="D74" s="148">
        <f>B74+C74</f>
        <v>11.589146241076314</v>
      </c>
      <c r="E74" s="27"/>
      <c r="F74" s="148"/>
    </row>
    <row r="75" spans="1:6">
      <c r="B75" s="148"/>
      <c r="C75" s="25"/>
      <c r="D75" s="148"/>
      <c r="E75" s="27"/>
      <c r="F75" s="148"/>
    </row>
    <row r="76" spans="1:6">
      <c r="A76" s="212" t="s">
        <v>243</v>
      </c>
      <c r="B76" s="214"/>
      <c r="C76" s="215"/>
      <c r="D76" s="214"/>
      <c r="E76" s="212" t="s">
        <v>240</v>
      </c>
      <c r="F76" s="148"/>
    </row>
    <row r="77" spans="1:6">
      <c r="A77" t="s">
        <v>140</v>
      </c>
      <c r="B77" s="148">
        <v>4.0999999999999996</v>
      </c>
      <c r="C77" s="25">
        <f>'DF Calc (Kitsap Co.)'!L38</f>
        <v>4.022457422046552E-2</v>
      </c>
      <c r="D77" s="148">
        <f>B77+C77</f>
        <v>4.1402245742204649</v>
      </c>
      <c r="E77" s="27"/>
      <c r="F77" s="148"/>
    </row>
    <row r="78" spans="1:6">
      <c r="A78" t="s">
        <v>141</v>
      </c>
      <c r="B78" s="148">
        <v>4.6399999999999997</v>
      </c>
      <c r="C78" s="25">
        <f>'DF Calc (Kitsap Co.)'!L39</f>
        <v>4.022457422046552E-2</v>
      </c>
      <c r="D78" s="148">
        <f>B78+C78</f>
        <v>4.6802245742204649</v>
      </c>
      <c r="E78" s="27"/>
      <c r="F78" s="148"/>
    </row>
    <row r="79" spans="1:6">
      <c r="B79" s="148"/>
      <c r="C79" s="25"/>
      <c r="D79" s="148"/>
      <c r="E79" s="27"/>
      <c r="F79" s="148"/>
    </row>
    <row r="80" spans="1:6">
      <c r="A80" t="s">
        <v>142</v>
      </c>
      <c r="B80" s="148">
        <v>6</v>
      </c>
      <c r="C80" s="25">
        <f>'DF Calc (Kitsap Co.)'!L33</f>
        <v>4.3773801357565423E-2</v>
      </c>
      <c r="D80" s="148">
        <f>B80+C80</f>
        <v>6.043773801357565</v>
      </c>
      <c r="E80" s="27"/>
      <c r="F80" s="148"/>
    </row>
    <row r="81" spans="1:6">
      <c r="A81" t="s">
        <v>143</v>
      </c>
      <c r="B81" s="148">
        <v>7.5</v>
      </c>
      <c r="C81" s="25">
        <f>'DF Calc (Kitsap Co.)'!L34</f>
        <v>5.678763419359837E-2</v>
      </c>
      <c r="D81" s="148">
        <f>B81+C81</f>
        <v>7.556787634193598</v>
      </c>
      <c r="E81" s="27"/>
      <c r="F81" s="148"/>
    </row>
    <row r="82" spans="1:6">
      <c r="A82" t="s">
        <v>144</v>
      </c>
      <c r="B82" s="148">
        <v>8.84</v>
      </c>
      <c r="C82" s="25">
        <f>'DF Calc (Kitsap Co.)'!L35</f>
        <v>6.0336861330698266E-2</v>
      </c>
      <c r="D82" s="148">
        <f>B82+C82</f>
        <v>8.9003368613306986</v>
      </c>
      <c r="E82" s="27"/>
      <c r="F82" s="148"/>
    </row>
    <row r="83" spans="1:6">
      <c r="A83" t="s">
        <v>145</v>
      </c>
      <c r="B83" s="148">
        <v>10.78</v>
      </c>
      <c r="C83" s="25">
        <f>'DF Calc (Kitsap Co.)'!L36</f>
        <v>9.1096829852230735E-2</v>
      </c>
      <c r="D83" s="148">
        <f>B83+C83</f>
        <v>10.871096829852229</v>
      </c>
      <c r="E83" s="27"/>
      <c r="F83" s="148"/>
    </row>
    <row r="84" spans="1:6">
      <c r="B84" s="148"/>
      <c r="C84" s="25"/>
      <c r="D84" s="148"/>
      <c r="E84" s="27"/>
      <c r="F84" s="148"/>
    </row>
    <row r="85" spans="1:6">
      <c r="A85" s="163" t="s">
        <v>146</v>
      </c>
      <c r="B85" s="165"/>
      <c r="C85" s="166"/>
      <c r="D85" s="165"/>
      <c r="E85" s="163" t="s">
        <v>169</v>
      </c>
      <c r="F85" s="148"/>
    </row>
    <row r="86" spans="1:6">
      <c r="A86" t="s">
        <v>147</v>
      </c>
      <c r="B86" s="148">
        <v>14.51</v>
      </c>
      <c r="C86" s="25">
        <f>'DF Calc (Mason Co.)'!L57</f>
        <v>2.5928029803791979E-2</v>
      </c>
      <c r="D86" s="148">
        <f>B86+C86</f>
        <v>14.535928029803792</v>
      </c>
      <c r="E86" s="27"/>
      <c r="F86" s="148"/>
    </row>
    <row r="87" spans="1:6">
      <c r="A87" t="s">
        <v>148</v>
      </c>
      <c r="B87" s="148">
        <v>19.670000000000002</v>
      </c>
      <c r="C87" s="25">
        <f>C86</f>
        <v>2.5928029803791979E-2</v>
      </c>
      <c r="D87" s="148">
        <f>B87+C87</f>
        <v>19.695928029803795</v>
      </c>
      <c r="E87" s="27"/>
      <c r="F87" s="148"/>
    </row>
    <row r="88" spans="1:6">
      <c r="B88" s="148"/>
      <c r="C88" s="25"/>
      <c r="D88" s="148"/>
      <c r="E88" s="27"/>
      <c r="F88" s="148"/>
    </row>
    <row r="89" spans="1:6">
      <c r="A89" s="163" t="s">
        <v>149</v>
      </c>
      <c r="B89" s="165"/>
      <c r="C89" s="166"/>
      <c r="D89" s="165"/>
      <c r="E89" s="163" t="s">
        <v>169</v>
      </c>
      <c r="F89" s="148"/>
    </row>
    <row r="90" spans="1:6">
      <c r="A90" t="s">
        <v>150</v>
      </c>
      <c r="B90" s="148">
        <v>4.8</v>
      </c>
      <c r="C90" s="25">
        <f>'DF Calc (Mason Co.)'!L59</f>
        <v>2.5928029803791979E-2</v>
      </c>
      <c r="D90" s="148">
        <f>B90+C90</f>
        <v>4.8259280298037917</v>
      </c>
      <c r="E90" s="27"/>
      <c r="F90" s="148"/>
    </row>
    <row r="91" spans="1:6">
      <c r="A91" t="s">
        <v>222</v>
      </c>
      <c r="B91" s="148">
        <v>20.5</v>
      </c>
      <c r="C91" s="25">
        <f>'DF Calc (Mason Co.)'!L60</f>
        <v>0.11235479581643187</v>
      </c>
      <c r="D91" s="148">
        <f>B91+C91</f>
        <v>20.612354795816433</v>
      </c>
      <c r="E91" s="27"/>
      <c r="F91" s="148"/>
    </row>
    <row r="92" spans="1:6">
      <c r="B92" s="148"/>
      <c r="C92" s="25"/>
      <c r="D92" s="148"/>
      <c r="E92" s="27"/>
      <c r="F92" s="148"/>
    </row>
    <row r="93" spans="1:6">
      <c r="A93" s="163" t="s">
        <v>152</v>
      </c>
      <c r="B93" s="165"/>
      <c r="C93" s="166"/>
      <c r="D93" s="165"/>
      <c r="E93" s="163" t="s">
        <v>169</v>
      </c>
      <c r="F93" s="148"/>
    </row>
    <row r="94" spans="1:6">
      <c r="A94" s="159" t="s">
        <v>153</v>
      </c>
      <c r="B94" s="155">
        <v>27.42</v>
      </c>
      <c r="C94" s="160">
        <f>'DF Calc (Mason Co.)'!L61</f>
        <v>6.3549092656352876E-2</v>
      </c>
      <c r="D94" s="148">
        <f>B94+C94</f>
        <v>27.483549092656354</v>
      </c>
      <c r="E94" s="27"/>
      <c r="F94" s="148"/>
    </row>
    <row r="95" spans="1:6">
      <c r="A95" s="159" t="s">
        <v>154</v>
      </c>
      <c r="B95" s="155">
        <v>27.42</v>
      </c>
      <c r="C95" s="160">
        <f>'DF Calc (Mason Co.)'!L62</f>
        <v>6.3549092656352876E-2</v>
      </c>
      <c r="D95" s="148">
        <f>B95+C95</f>
        <v>27.483549092656354</v>
      </c>
      <c r="E95" s="27"/>
      <c r="F95" s="148"/>
    </row>
    <row r="96" spans="1:6">
      <c r="A96" s="159" t="s">
        <v>155</v>
      </c>
      <c r="B96" s="155">
        <v>27.42</v>
      </c>
      <c r="C96" s="160">
        <f>'DF Calc (Mason Co.)'!L63</f>
        <v>6.3549092656352876E-2</v>
      </c>
      <c r="D96" s="148">
        <f>B96+C96</f>
        <v>27.483549092656354</v>
      </c>
      <c r="E96" s="27"/>
      <c r="F96" s="148"/>
    </row>
    <row r="97" spans="1:6">
      <c r="A97" s="159" t="s">
        <v>156</v>
      </c>
      <c r="B97" s="155">
        <v>31.16</v>
      </c>
      <c r="C97" s="160">
        <f>'DF Calc (Mason Co.)'!L64</f>
        <v>6.3549092656352876E-2</v>
      </c>
      <c r="D97" s="148">
        <f>B97+C97</f>
        <v>31.223549092656352</v>
      </c>
      <c r="E97" s="27"/>
      <c r="F97" s="148"/>
    </row>
    <row r="98" spans="1:6">
      <c r="B98" s="148"/>
      <c r="C98" s="25"/>
      <c r="D98" s="148"/>
      <c r="E98" s="27"/>
      <c r="F98" s="148"/>
    </row>
    <row r="99" spans="1:6">
      <c r="A99" s="212" t="s">
        <v>244</v>
      </c>
      <c r="B99" s="214"/>
      <c r="C99" s="215"/>
      <c r="D99" s="214"/>
      <c r="E99" s="212" t="s">
        <v>240</v>
      </c>
      <c r="F99" s="148"/>
    </row>
    <row r="100" spans="1:6">
      <c r="A100" s="159" t="s">
        <v>147</v>
      </c>
      <c r="B100" s="148">
        <v>13.95</v>
      </c>
      <c r="C100" s="25">
        <f>'DF Calc (Kitsap Co.)'!L59</f>
        <v>6.0336861330698266E-2</v>
      </c>
      <c r="D100" s="148">
        <f>B100+C100</f>
        <v>14.010336861330698</v>
      </c>
      <c r="E100" s="27"/>
      <c r="F100" s="148"/>
    </row>
    <row r="101" spans="1:6">
      <c r="A101" s="159" t="s">
        <v>148</v>
      </c>
      <c r="B101" s="148">
        <v>19.11</v>
      </c>
      <c r="C101" s="25">
        <f>C100</f>
        <v>6.0336861330698266E-2</v>
      </c>
      <c r="D101" s="148">
        <f>B101+C101</f>
        <v>19.170336861330696</v>
      </c>
      <c r="E101" s="27"/>
      <c r="F101" s="148"/>
    </row>
    <row r="102" spans="1:6">
      <c r="B102" s="148"/>
      <c r="C102" s="25"/>
      <c r="D102" s="148"/>
      <c r="E102" s="27"/>
      <c r="F102" s="148"/>
    </row>
    <row r="103" spans="1:6">
      <c r="A103" s="212" t="s">
        <v>245</v>
      </c>
      <c r="B103" s="214"/>
      <c r="C103" s="215"/>
      <c r="D103" s="214"/>
      <c r="E103" s="212" t="s">
        <v>240</v>
      </c>
      <c r="F103" s="148"/>
    </row>
    <row r="104" spans="1:6">
      <c r="A104" s="159" t="s">
        <v>150</v>
      </c>
      <c r="B104" s="148">
        <v>4.3</v>
      </c>
      <c r="C104" s="25">
        <f>'DF Calc (Kitsap Co.)'!L60</f>
        <v>6.0336861330698266E-2</v>
      </c>
      <c r="D104" s="148">
        <f>B104+C104</f>
        <v>4.3603368613306976</v>
      </c>
      <c r="E104" s="27"/>
      <c r="F104" s="148"/>
    </row>
    <row r="105" spans="1:6">
      <c r="A105" s="159" t="s">
        <v>222</v>
      </c>
      <c r="B105" s="148">
        <v>18.59</v>
      </c>
      <c r="C105" s="25">
        <f>'DF Calc (Kitsap Co.)'!L61</f>
        <v>0.26145973243302584</v>
      </c>
      <c r="D105" s="148">
        <f>B105+C105</f>
        <v>18.851459732433025</v>
      </c>
      <c r="E105" s="27"/>
      <c r="F105" s="148"/>
    </row>
    <row r="106" spans="1:6">
      <c r="B106" s="148"/>
      <c r="C106" s="25"/>
      <c r="D106" s="148"/>
      <c r="E106" s="27"/>
      <c r="F106" s="148"/>
    </row>
    <row r="107" spans="1:6">
      <c r="A107" s="212" t="s">
        <v>246</v>
      </c>
      <c r="B107" s="214"/>
      <c r="C107" s="215"/>
      <c r="D107" s="214"/>
      <c r="E107" s="212" t="s">
        <v>240</v>
      </c>
      <c r="F107" s="148"/>
    </row>
    <row r="108" spans="1:6">
      <c r="A108" s="159" t="s">
        <v>153</v>
      </c>
      <c r="B108" s="155">
        <v>25.2</v>
      </c>
      <c r="C108" s="160">
        <f>'DF Calc (Kitsap Co.)'!L62</f>
        <v>0.14788446404582911</v>
      </c>
      <c r="D108" s="148">
        <f>B108+C108</f>
        <v>25.34788446404583</v>
      </c>
      <c r="E108" s="27"/>
      <c r="F108" s="148"/>
    </row>
    <row r="109" spans="1:6">
      <c r="A109" s="159" t="s">
        <v>154</v>
      </c>
      <c r="B109" s="155">
        <f>B108</f>
        <v>25.2</v>
      </c>
      <c r="C109" s="160">
        <f>'DF Calc (Kitsap Co.)'!L63</f>
        <v>0.14788446404582911</v>
      </c>
      <c r="D109" s="148">
        <f>B109+C109</f>
        <v>25.34788446404583</v>
      </c>
      <c r="E109" s="27"/>
      <c r="F109" s="148"/>
    </row>
    <row r="110" spans="1:6">
      <c r="A110" s="159" t="s">
        <v>155</v>
      </c>
      <c r="B110" s="155">
        <f>B108</f>
        <v>25.2</v>
      </c>
      <c r="C110" s="160">
        <f>'DF Calc (Kitsap Co.)'!L64</f>
        <v>0.14788446404582911</v>
      </c>
      <c r="D110" s="148">
        <f>B110+C110</f>
        <v>25.34788446404583</v>
      </c>
      <c r="E110" s="27"/>
      <c r="F110" s="148"/>
    </row>
    <row r="111" spans="1:6">
      <c r="A111" s="159" t="s">
        <v>156</v>
      </c>
      <c r="B111" s="155">
        <v>29.24</v>
      </c>
      <c r="C111" s="160">
        <f>'DF Calc (Kitsap Co.)'!L65</f>
        <v>0.64083267753192608</v>
      </c>
      <c r="D111" s="148">
        <f>B111+C111</f>
        <v>29.880832677531924</v>
      </c>
      <c r="E111" s="27"/>
      <c r="F111" s="148"/>
    </row>
    <row r="112" spans="1:6">
      <c r="A112" s="159"/>
      <c r="B112" s="148"/>
      <c r="C112" s="25"/>
      <c r="D112" s="148"/>
      <c r="E112" s="27"/>
      <c r="F112" s="148"/>
    </row>
    <row r="113" spans="1:6">
      <c r="A113" s="163" t="s">
        <v>157</v>
      </c>
      <c r="B113" s="165"/>
      <c r="C113" s="166"/>
      <c r="D113" s="165"/>
      <c r="E113" s="163" t="s">
        <v>169</v>
      </c>
      <c r="F113" s="148"/>
    </row>
    <row r="114" spans="1:6">
      <c r="A114" t="s">
        <v>158</v>
      </c>
      <c r="B114" s="148">
        <v>15.62</v>
      </c>
      <c r="C114" s="25">
        <f>'DF Calc (Mason Co.)'!L76</f>
        <v>6.3549092656352876E-2</v>
      </c>
      <c r="D114" s="148">
        <f>B114+C114</f>
        <v>15.683549092656351</v>
      </c>
      <c r="E114" s="27"/>
      <c r="F114" s="148"/>
    </row>
    <row r="115" spans="1:6">
      <c r="A115" t="s">
        <v>159</v>
      </c>
      <c r="B115" s="148">
        <v>15.62</v>
      </c>
      <c r="C115" s="25">
        <f>C114</f>
        <v>6.3549092656352876E-2</v>
      </c>
      <c r="D115" s="148">
        <f>B115+C115</f>
        <v>15.683549092656351</v>
      </c>
      <c r="E115" s="27"/>
      <c r="F115" s="148"/>
    </row>
    <row r="116" spans="1:6">
      <c r="B116" s="148"/>
      <c r="C116" s="25"/>
      <c r="D116" s="148"/>
      <c r="E116" s="27"/>
      <c r="F116" s="148"/>
    </row>
    <row r="117" spans="1:6">
      <c r="A117" s="212" t="s">
        <v>247</v>
      </c>
      <c r="B117" s="214"/>
      <c r="C117" s="215"/>
      <c r="D117" s="214"/>
      <c r="E117" s="212" t="s">
        <v>240</v>
      </c>
      <c r="F117" s="148"/>
    </row>
    <row r="118" spans="1:6">
      <c r="A118" s="159" t="s">
        <v>158</v>
      </c>
      <c r="B118" s="148">
        <v>14.2</v>
      </c>
      <c r="C118" s="25">
        <f>'DF Calc (Kitsap Co.)'!L78</f>
        <v>0.14788446404582911</v>
      </c>
      <c r="D118" s="148">
        <f>B118+C118</f>
        <v>14.347884464045828</v>
      </c>
      <c r="E118" s="27"/>
      <c r="F118" s="148"/>
    </row>
    <row r="119" spans="1:6">
      <c r="A119" s="159" t="s">
        <v>159</v>
      </c>
      <c r="B119" s="148">
        <v>14.2</v>
      </c>
      <c r="C119" s="25">
        <f>C118</f>
        <v>0.14788446404582911</v>
      </c>
      <c r="D119" s="148">
        <f>B119+C119</f>
        <v>14.347884464045828</v>
      </c>
      <c r="E119" s="27"/>
      <c r="F119" s="148"/>
    </row>
    <row r="120" spans="1:6">
      <c r="B120" s="148"/>
      <c r="C120" s="25"/>
      <c r="D120" s="148"/>
      <c r="E120" s="27"/>
      <c r="F120" s="148"/>
    </row>
    <row r="121" spans="1:6" ht="21">
      <c r="A121" s="154" t="s">
        <v>223</v>
      </c>
      <c r="C121" s="25"/>
      <c r="E121" s="27"/>
    </row>
    <row r="122" spans="1:6">
      <c r="A122" s="27"/>
      <c r="C122" s="25"/>
      <c r="E122" s="27"/>
    </row>
    <row r="123" spans="1:6">
      <c r="A123" s="163" t="s">
        <v>160</v>
      </c>
      <c r="B123" s="164"/>
      <c r="C123" s="166"/>
      <c r="D123" s="164"/>
      <c r="E123" s="163" t="s">
        <v>169</v>
      </c>
    </row>
    <row r="124" spans="1:6">
      <c r="A124" t="s">
        <v>161</v>
      </c>
      <c r="B124" s="148">
        <v>16.78</v>
      </c>
      <c r="C124" s="25">
        <f>'DF Calc (Mason Co.)'!L44</f>
        <v>8.8968729718894038E-2</v>
      </c>
      <c r="D124" s="148">
        <f>B124+C124</f>
        <v>16.868968729718894</v>
      </c>
      <c r="E124" s="27"/>
      <c r="F124" s="148"/>
    </row>
    <row r="125" spans="1:6">
      <c r="A125" t="s">
        <v>162</v>
      </c>
      <c r="B125" s="148">
        <v>18.440000000000001</v>
      </c>
      <c r="C125" s="25">
        <f>'DF Calc (Mason Co.)'!L45</f>
        <v>0.12709818531270575</v>
      </c>
      <c r="D125" s="148">
        <f>B125+C125</f>
        <v>18.567098185312705</v>
      </c>
      <c r="E125" s="27"/>
      <c r="F125" s="148"/>
    </row>
    <row r="126" spans="1:6">
      <c r="A126" t="s">
        <v>163</v>
      </c>
      <c r="B126" s="148">
        <v>24.39</v>
      </c>
      <c r="C126" s="25">
        <f>'DF Calc (Mason Co.)'!L46</f>
        <v>0.16471924816526667</v>
      </c>
      <c r="D126" s="148">
        <f>B126+C126</f>
        <v>24.554719248165267</v>
      </c>
      <c r="E126" s="27"/>
      <c r="F126" s="148"/>
    </row>
    <row r="127" spans="1:6">
      <c r="A127" t="s">
        <v>224</v>
      </c>
      <c r="B127" s="148">
        <v>15.62</v>
      </c>
      <c r="C127" s="25">
        <f>'DF Calc (Mason Co.)'!L76</f>
        <v>6.3549092656352876E-2</v>
      </c>
      <c r="D127" s="148">
        <f>B127+C127</f>
        <v>15.683549092656351</v>
      </c>
      <c r="E127" s="27"/>
      <c r="F127" s="148"/>
    </row>
    <row r="128" spans="1:6">
      <c r="B128" s="148"/>
      <c r="C128" s="25"/>
      <c r="D128" s="148"/>
      <c r="E128" s="27"/>
      <c r="F128" s="148"/>
    </row>
    <row r="129" spans="1:6">
      <c r="A129" s="212" t="s">
        <v>248</v>
      </c>
      <c r="B129" s="213"/>
      <c r="C129" s="215"/>
      <c r="D129" s="213"/>
      <c r="E129" s="212" t="s">
        <v>240</v>
      </c>
      <c r="F129" s="148"/>
    </row>
    <row r="130" spans="1:6">
      <c r="A130" s="159" t="s">
        <v>161</v>
      </c>
      <c r="B130" s="148">
        <v>15.13</v>
      </c>
      <c r="C130" s="25">
        <f>'DF Calc (Kitsap Co.)'!L45</f>
        <v>0.20703824966416076</v>
      </c>
      <c r="D130" s="148">
        <f>B130+C130</f>
        <v>15.337038249664161</v>
      </c>
      <c r="E130" s="27"/>
      <c r="F130" s="148"/>
    </row>
    <row r="131" spans="1:6">
      <c r="A131" t="s">
        <v>162</v>
      </c>
      <c r="B131" s="148">
        <v>16.25</v>
      </c>
      <c r="C131" s="25">
        <f>'DF Calc (Kitsap Co.)'!L43</f>
        <v>0.29576892809165817</v>
      </c>
      <c r="D131" s="148">
        <f>B131+C131</f>
        <v>16.545768928091658</v>
      </c>
      <c r="E131" s="27"/>
      <c r="F131" s="148"/>
    </row>
    <row r="132" spans="1:6">
      <c r="A132" t="s">
        <v>163</v>
      </c>
      <c r="B132" s="148">
        <v>21.29</v>
      </c>
      <c r="C132" s="25">
        <f>'DF Calc (Kitsap Co.)'!L44</f>
        <v>0.38331653080678901</v>
      </c>
      <c r="D132" s="148">
        <f>B132+C132</f>
        <v>21.673316530806787</v>
      </c>
      <c r="E132" s="27"/>
      <c r="F132" s="148"/>
    </row>
    <row r="133" spans="1:6">
      <c r="A133" s="159" t="s">
        <v>224</v>
      </c>
      <c r="B133" s="148">
        <v>14.2</v>
      </c>
      <c r="C133" s="25">
        <f>'DF Calc (Kitsap Co.)'!L78</f>
        <v>0.14788446404582911</v>
      </c>
      <c r="D133" s="148">
        <f>B133+C133</f>
        <v>14.347884464045828</v>
      </c>
      <c r="E133" s="27"/>
      <c r="F133" s="148"/>
    </row>
    <row r="134" spans="1:6">
      <c r="B134" s="148"/>
      <c r="C134" s="25"/>
      <c r="D134" s="148"/>
      <c r="E134" s="27"/>
      <c r="F134" s="148"/>
    </row>
    <row r="135" spans="1:6">
      <c r="A135" s="163" t="s">
        <v>164</v>
      </c>
      <c r="B135" s="165"/>
      <c r="C135" s="166"/>
      <c r="D135" s="165"/>
      <c r="E135" s="163" t="s">
        <v>169</v>
      </c>
      <c r="F135" s="148"/>
    </row>
    <row r="136" spans="1:6">
      <c r="A136" t="s">
        <v>115</v>
      </c>
      <c r="B136" s="148">
        <v>4.28</v>
      </c>
      <c r="C136" s="25">
        <f>'DF Calc (Mason Co.)'!L66</f>
        <v>1.474338949627387E-2</v>
      </c>
      <c r="D136" s="148">
        <f>B136+C136</f>
        <v>4.2947433894962739</v>
      </c>
      <c r="E136" s="27"/>
      <c r="F136" s="148"/>
    </row>
    <row r="137" spans="1:6">
      <c r="A137" t="s">
        <v>165</v>
      </c>
      <c r="B137" s="148">
        <v>4.62</v>
      </c>
      <c r="C137" s="25">
        <f>'DF Calc (Mason Co.)'!L67</f>
        <v>1.881053142628045E-2</v>
      </c>
      <c r="D137" s="148">
        <f>B137+C137</f>
        <v>4.6388105314262802</v>
      </c>
      <c r="E137" s="27"/>
      <c r="F137" s="148"/>
    </row>
    <row r="138" spans="1:6">
      <c r="A138" t="s">
        <v>166</v>
      </c>
      <c r="B138" s="148">
        <v>5.45</v>
      </c>
      <c r="C138" s="25">
        <f>'DF Calc (Mason Co.)'!L68</f>
        <v>2.4402851580039506E-2</v>
      </c>
      <c r="D138" s="148">
        <f>B138+C138</f>
        <v>5.4744028515800398</v>
      </c>
      <c r="E138" s="27"/>
      <c r="F138" s="148"/>
    </row>
    <row r="139" spans="1:6">
      <c r="A139" t="s">
        <v>167</v>
      </c>
      <c r="B139" s="148">
        <v>6.45</v>
      </c>
      <c r="C139" s="25">
        <f>'DF Calc (Mason Co.)'!L69</f>
        <v>2.5928029803791979E-2</v>
      </c>
      <c r="D139" s="148">
        <f>B139+C139</f>
        <v>6.475928029803792</v>
      </c>
      <c r="E139" s="27"/>
      <c r="F139" s="148"/>
    </row>
    <row r="140" spans="1:6">
      <c r="A140" t="s">
        <v>168</v>
      </c>
      <c r="B140" s="148">
        <v>8.0500000000000007</v>
      </c>
      <c r="C140" s="25">
        <f>'DF Calc (Mason Co.)'!L70</f>
        <v>3.9146241076313378E-2</v>
      </c>
      <c r="D140" s="148">
        <f>B140+C140</f>
        <v>8.089146241076314</v>
      </c>
      <c r="E140" s="27"/>
      <c r="F140" s="148"/>
    </row>
    <row r="141" spans="1:6">
      <c r="B141" s="148"/>
      <c r="C141" s="25"/>
      <c r="D141" s="148"/>
      <c r="E141" s="27"/>
      <c r="F141" s="148"/>
    </row>
    <row r="142" spans="1:6">
      <c r="A142" s="27" t="s">
        <v>148</v>
      </c>
      <c r="B142" s="148"/>
      <c r="C142" s="25"/>
      <c r="D142" s="148"/>
      <c r="E142" s="27"/>
      <c r="F142" s="148"/>
    </row>
    <row r="143" spans="1:6">
      <c r="A143" t="s">
        <v>115</v>
      </c>
      <c r="B143" s="148">
        <v>13.21</v>
      </c>
      <c r="C143" s="25">
        <f>'DF Calc (Mason Co.)'!L71</f>
        <v>1.474338949627387E-2</v>
      </c>
      <c r="D143" s="148">
        <f>B143+C143</f>
        <v>13.224743389496275</v>
      </c>
      <c r="E143" s="27"/>
      <c r="F143" s="148"/>
    </row>
    <row r="144" spans="1:6">
      <c r="A144" t="s">
        <v>165</v>
      </c>
      <c r="B144" s="148">
        <v>14.73</v>
      </c>
      <c r="C144" s="25">
        <f>'DF Calc (Mason Co.)'!L72</f>
        <v>1.881053142628045E-2</v>
      </c>
      <c r="D144" s="148">
        <f>B144+C144</f>
        <v>14.748810531426281</v>
      </c>
      <c r="E144" s="27"/>
      <c r="F144" s="148"/>
    </row>
    <row r="145" spans="1:6">
      <c r="A145" t="s">
        <v>166</v>
      </c>
      <c r="B145" s="148">
        <v>15.56</v>
      </c>
      <c r="C145" s="25">
        <f>'DF Calc (Mason Co.)'!L73</f>
        <v>2.4402851580039506E-2</v>
      </c>
      <c r="D145" s="148">
        <f>B145+C145</f>
        <v>15.584402851580039</v>
      </c>
      <c r="E145" s="27"/>
      <c r="F145" s="148"/>
    </row>
    <row r="146" spans="1:6">
      <c r="A146" t="s">
        <v>167</v>
      </c>
      <c r="B146" s="148">
        <v>16.559999999999999</v>
      </c>
      <c r="C146" s="25">
        <f>'DF Calc (Mason Co.)'!L74</f>
        <v>2.5928029803791979E-2</v>
      </c>
      <c r="D146" s="148">
        <f>B146+C146</f>
        <v>16.585928029803792</v>
      </c>
      <c r="E146" s="27"/>
      <c r="F146" s="148"/>
    </row>
    <row r="147" spans="1:6">
      <c r="A147" t="s">
        <v>168</v>
      </c>
      <c r="B147" s="148">
        <v>18.16</v>
      </c>
      <c r="C147" s="25">
        <f>'DF Calc (Mason Co.)'!L75</f>
        <v>3.9146241076313378E-2</v>
      </c>
      <c r="D147" s="148">
        <f>B147+C147</f>
        <v>18.199146241076313</v>
      </c>
      <c r="E147" s="27"/>
      <c r="F147" s="148"/>
    </row>
    <row r="148" spans="1:6">
      <c r="B148" s="148"/>
      <c r="C148" s="25"/>
      <c r="D148" s="148"/>
      <c r="E148" s="27"/>
      <c r="F148" s="148"/>
    </row>
    <row r="149" spans="1:6">
      <c r="A149" t="s">
        <v>225</v>
      </c>
      <c r="B149" s="148">
        <v>4.6399999999999997</v>
      </c>
      <c r="C149" s="25">
        <f>'DF Calc (Mason Co.)'!L77</f>
        <v>1.474338949627387E-2</v>
      </c>
      <c r="D149" s="148">
        <f>B149+C149</f>
        <v>4.6547433894962733</v>
      </c>
      <c r="E149" s="27"/>
      <c r="F149" s="148"/>
    </row>
    <row r="150" spans="1:6">
      <c r="A150" t="s">
        <v>226</v>
      </c>
      <c r="B150" s="148">
        <v>18.54</v>
      </c>
      <c r="C150" s="25">
        <f>'DF Calc (Mason Co.)'!L78</f>
        <v>6.3888021150520086E-2</v>
      </c>
      <c r="D150" s="148">
        <f>B150+C150</f>
        <v>18.603888021150521</v>
      </c>
      <c r="E150" s="27"/>
      <c r="F150" s="148"/>
    </row>
    <row r="151" spans="1:6">
      <c r="A151" t="s">
        <v>227</v>
      </c>
      <c r="B151" s="148">
        <v>3.95</v>
      </c>
      <c r="C151" s="267">
        <f>'DF Calc (Mason Co.)'!L79</f>
        <v>1.474338949627387E-2</v>
      </c>
      <c r="D151" s="148">
        <f>B151+C151</f>
        <v>3.9647433894962743</v>
      </c>
      <c r="E151" s="27"/>
      <c r="F151" s="148"/>
    </row>
    <row r="152" spans="1:6">
      <c r="A152" t="s">
        <v>228</v>
      </c>
      <c r="B152" s="148">
        <v>4.28</v>
      </c>
      <c r="C152" s="25">
        <f>'DF Calc (Mason Co.)'!L80</f>
        <v>1.474338949627387E-2</v>
      </c>
      <c r="D152" s="148">
        <f>B152+C152</f>
        <v>4.2947433894962739</v>
      </c>
      <c r="E152" s="27"/>
      <c r="F152" s="148"/>
    </row>
    <row r="153" spans="1:6">
      <c r="A153" t="s">
        <v>229</v>
      </c>
      <c r="B153" s="148"/>
      <c r="C153" s="25"/>
      <c r="D153" s="155"/>
      <c r="E153" s="27"/>
      <c r="F153" s="148"/>
    </row>
    <row r="154" spans="1:6">
      <c r="A154" s="149" t="s">
        <v>165</v>
      </c>
      <c r="B154" s="148">
        <v>19.829999999999998</v>
      </c>
      <c r="C154" s="25">
        <f>'DF Calc (Mason Co.)'!L81</f>
        <v>8.1512302847215279E-2</v>
      </c>
      <c r="D154" s="155">
        <f>B154+C154</f>
        <v>19.911512302847214</v>
      </c>
      <c r="E154" s="27"/>
      <c r="F154" s="148"/>
    </row>
    <row r="155" spans="1:6">
      <c r="A155" s="149" t="s">
        <v>166</v>
      </c>
      <c r="B155" s="148">
        <v>23.33</v>
      </c>
      <c r="C155" s="25">
        <f>'DF Calc (Mason Co.)'!L82</f>
        <v>0.10574569018017119</v>
      </c>
      <c r="D155" s="155">
        <f>B155+C155</f>
        <v>23.43574569018017</v>
      </c>
      <c r="E155" s="27"/>
      <c r="F155" s="148"/>
    </row>
    <row r="156" spans="1:6">
      <c r="A156" s="149" t="s">
        <v>167</v>
      </c>
      <c r="B156" s="148">
        <v>27.64</v>
      </c>
      <c r="C156" s="25">
        <f>'DF Calc (Mason Co.)'!L83</f>
        <v>0.11235479581643187</v>
      </c>
      <c r="D156" s="155">
        <f>B156+C156</f>
        <v>27.752354795816434</v>
      </c>
      <c r="E156" s="27"/>
      <c r="F156" s="148"/>
    </row>
    <row r="157" spans="1:6">
      <c r="A157" s="149" t="s">
        <v>168</v>
      </c>
      <c r="B157" s="148">
        <v>34.450000000000003</v>
      </c>
      <c r="C157" s="25">
        <f>'DF Calc (Mason Co.)'!L84</f>
        <v>0.16963371133069127</v>
      </c>
      <c r="D157" s="155">
        <f>B157+C157</f>
        <v>34.619633711330692</v>
      </c>
      <c r="E157" s="27"/>
      <c r="F157" s="148"/>
    </row>
    <row r="158" spans="1:6">
      <c r="B158" s="148"/>
      <c r="C158" s="25"/>
      <c r="D158" s="148"/>
      <c r="E158" s="27"/>
      <c r="F158" s="148"/>
    </row>
    <row r="159" spans="1:6">
      <c r="A159" s="212" t="s">
        <v>249</v>
      </c>
      <c r="B159" s="214"/>
      <c r="C159" s="215"/>
      <c r="D159" s="214"/>
      <c r="E159" s="212" t="s">
        <v>240</v>
      </c>
    </row>
    <row r="160" spans="1:6">
      <c r="A160" s="159" t="s">
        <v>115</v>
      </c>
      <c r="B160" s="148">
        <v>3.99</v>
      </c>
      <c r="C160" s="25">
        <f>'DF Calc (Kitsap Co.)'!L68</f>
        <v>3.4309195658632351E-2</v>
      </c>
      <c r="D160" s="148">
        <f>B160+C160</f>
        <v>4.024309195658633</v>
      </c>
      <c r="E160" s="27"/>
    </row>
    <row r="161" spans="1:5">
      <c r="A161" s="159" t="s">
        <v>165</v>
      </c>
      <c r="B161" s="148">
        <v>4.32</v>
      </c>
      <c r="C161" s="25">
        <f>'DF Calc (Kitsap Co.)'!L69</f>
        <v>4.3773801357565423E-2</v>
      </c>
      <c r="D161" s="148">
        <f>B161+C161</f>
        <v>4.3637738013575653</v>
      </c>
      <c r="E161" s="27"/>
    </row>
    <row r="162" spans="1:5">
      <c r="A162" s="159" t="s">
        <v>166</v>
      </c>
      <c r="B162" s="148">
        <v>4.92</v>
      </c>
      <c r="C162" s="25">
        <f>'DF Calc (Kitsap Co.)'!L70</f>
        <v>5.6787634193598384E-2</v>
      </c>
      <c r="D162" s="148">
        <f>B162+C162</f>
        <v>4.9767876341935979</v>
      </c>
      <c r="E162" s="27"/>
    </row>
    <row r="163" spans="1:5">
      <c r="A163" s="159" t="s">
        <v>167</v>
      </c>
      <c r="B163" s="148">
        <v>5.88</v>
      </c>
      <c r="C163" s="25">
        <f>'DF Calc (Kitsap Co.)'!L71</f>
        <v>6.0336861330698266E-2</v>
      </c>
      <c r="D163" s="148">
        <f>B163+C163</f>
        <v>5.9403368613306977</v>
      </c>
      <c r="E163" s="27"/>
    </row>
    <row r="164" spans="1:5">
      <c r="A164" s="159" t="s">
        <v>168</v>
      </c>
      <c r="B164" s="148">
        <v>7.38</v>
      </c>
      <c r="C164" s="25">
        <f>'DF Calc (Kitsap Co.)'!L72</f>
        <v>9.1096829852230735E-2</v>
      </c>
      <c r="D164" s="148">
        <f>B164+C164</f>
        <v>7.4710968298522307</v>
      </c>
      <c r="E164" s="27"/>
    </row>
    <row r="165" spans="1:5">
      <c r="A165" s="159"/>
      <c r="B165" s="148"/>
      <c r="C165" s="25"/>
      <c r="D165" s="148"/>
      <c r="E165" s="27"/>
    </row>
    <row r="166" spans="1:5">
      <c r="A166" s="27" t="s">
        <v>148</v>
      </c>
      <c r="B166" s="148"/>
      <c r="C166" s="25"/>
      <c r="D166" s="148"/>
      <c r="E166" s="27"/>
    </row>
    <row r="167" spans="1:5">
      <c r="A167" s="159" t="s">
        <v>115</v>
      </c>
      <c r="B167" s="148">
        <v>14.11</v>
      </c>
      <c r="C167" s="25">
        <f>'DF Calc (Kitsap Co.)'!L73</f>
        <v>4.022457422046552E-2</v>
      </c>
      <c r="D167" s="148">
        <f>B167+C167</f>
        <v>14.150224574220465</v>
      </c>
      <c r="E167" s="27"/>
    </row>
    <row r="168" spans="1:5">
      <c r="A168" s="159" t="s">
        <v>165</v>
      </c>
      <c r="B168" s="148">
        <v>14.43</v>
      </c>
      <c r="C168" s="25">
        <f>'DF Calc (Kitsap Co.)'!L74</f>
        <v>4.3773801357565423E-2</v>
      </c>
      <c r="D168" s="148">
        <f>B168+C168</f>
        <v>14.473773801357565</v>
      </c>
      <c r="E168" s="27"/>
    </row>
    <row r="169" spans="1:5">
      <c r="A169" s="159" t="s">
        <v>166</v>
      </c>
      <c r="B169" s="148">
        <v>15.04</v>
      </c>
      <c r="C169" s="25">
        <f>'DF Calc (Kitsap Co.)'!L75</f>
        <v>5.6787634193598384E-2</v>
      </c>
      <c r="D169" s="148">
        <f>B169+C169</f>
        <v>15.096787634193598</v>
      </c>
      <c r="E169" s="27"/>
    </row>
    <row r="170" spans="1:5">
      <c r="A170" s="159" t="s">
        <v>167</v>
      </c>
      <c r="B170" s="148">
        <v>16</v>
      </c>
      <c r="C170" s="25">
        <f>'DF Calc (Kitsap Co.)'!L76</f>
        <v>6.0336861330698266E-2</v>
      </c>
      <c r="D170" s="148">
        <f>B170+C170</f>
        <v>16.060336861330697</v>
      </c>
      <c r="E170" s="27"/>
    </row>
    <row r="171" spans="1:5">
      <c r="A171" s="159" t="s">
        <v>168</v>
      </c>
      <c r="B171" s="148">
        <v>17.489999999999998</v>
      </c>
      <c r="C171" s="25">
        <f>'DF Calc (Kitsap Co.)'!L77</f>
        <v>9.1096829852230735E-2</v>
      </c>
      <c r="D171" s="148">
        <f>B171+C171</f>
        <v>17.581096829852228</v>
      </c>
      <c r="E171" s="27"/>
    </row>
    <row r="172" spans="1:5">
      <c r="A172" s="159"/>
      <c r="B172" s="148"/>
      <c r="C172" s="25"/>
      <c r="D172" s="148"/>
      <c r="E172" s="27"/>
    </row>
    <row r="173" spans="1:5">
      <c r="A173" s="159" t="s">
        <v>225</v>
      </c>
      <c r="B173" s="148">
        <v>4.3600000000000003</v>
      </c>
      <c r="C173" s="25">
        <f>'DF Calc (Kitsap Co.)'!L79</f>
        <v>3.4309195658632351E-2</v>
      </c>
      <c r="D173" s="148">
        <f>B173+C173</f>
        <v>4.3943091956586331</v>
      </c>
      <c r="E173" s="27"/>
    </row>
    <row r="174" spans="1:5">
      <c r="A174" s="159" t="s">
        <v>226</v>
      </c>
      <c r="B174" s="148">
        <v>17.309999999999999</v>
      </c>
      <c r="C174" s="25">
        <f>'DF Calc (Kitsap Co.)'!L80</f>
        <v>0.14867318118740686</v>
      </c>
      <c r="D174" s="148">
        <f>B174+C174</f>
        <v>17.458673181187404</v>
      </c>
      <c r="E174" s="27"/>
    </row>
    <row r="175" spans="1:5">
      <c r="A175" s="159" t="s">
        <v>227</v>
      </c>
      <c r="B175" s="148">
        <v>3.67</v>
      </c>
      <c r="C175" s="25">
        <f>'DF Calc (Kitsap Co.)'!L81</f>
        <v>3.4309195658632351E-2</v>
      </c>
      <c r="D175" s="148">
        <f>B175+C175</f>
        <v>3.7043091956586323</v>
      </c>
      <c r="E175" s="27"/>
    </row>
    <row r="176" spans="1:5">
      <c r="A176" s="159" t="s">
        <v>228</v>
      </c>
      <c r="B176" s="148">
        <v>3.99</v>
      </c>
      <c r="C176" s="25">
        <f>'DF Calc (Kitsap Co.)'!L82</f>
        <v>3.4309195658632351E-2</v>
      </c>
      <c r="D176" s="148">
        <f>B176+C176</f>
        <v>4.024309195658633</v>
      </c>
      <c r="E176" s="27"/>
    </row>
    <row r="177" spans="1:5">
      <c r="A177" s="159" t="s">
        <v>229</v>
      </c>
      <c r="B177" s="148"/>
      <c r="C177" s="25"/>
      <c r="D177" s="148"/>
      <c r="E177" s="27"/>
    </row>
    <row r="178" spans="1:5">
      <c r="A178" s="264" t="s">
        <v>165</v>
      </c>
      <c r="B178" s="148">
        <v>18.71</v>
      </c>
      <c r="C178" s="25">
        <f>'DF Calc (Kitsap Co.)'!L83</f>
        <v>0.18968647254945012</v>
      </c>
      <c r="D178" s="148">
        <f>B178+C178</f>
        <v>18.899686472549451</v>
      </c>
      <c r="E178" s="27"/>
    </row>
    <row r="179" spans="1:5">
      <c r="A179" s="264" t="s">
        <v>166</v>
      </c>
      <c r="B179" s="148">
        <v>21.32</v>
      </c>
      <c r="C179" s="25">
        <f>'DF Calc (Kitsap Co.)'!L84</f>
        <v>0.24607974817225961</v>
      </c>
      <c r="D179" s="148">
        <f>B179+C179</f>
        <v>21.56607974817226</v>
      </c>
      <c r="E179" s="27"/>
    </row>
    <row r="180" spans="1:5">
      <c r="A180" s="264" t="s">
        <v>167</v>
      </c>
      <c r="B180" s="148">
        <v>25.45</v>
      </c>
      <c r="C180" s="25">
        <f>'DF Calc (Kitsap Co.)'!L85</f>
        <v>0.26145973243302584</v>
      </c>
      <c r="D180" s="148">
        <f>B180+C180</f>
        <v>25.711459732433024</v>
      </c>
      <c r="E180" s="27"/>
    </row>
    <row r="181" spans="1:5">
      <c r="A181" s="264" t="s">
        <v>168</v>
      </c>
      <c r="B181" s="148">
        <v>31.96</v>
      </c>
      <c r="C181" s="25">
        <f>'DF Calc (Kitsap Co.)'!L86</f>
        <v>0.39475292935966644</v>
      </c>
      <c r="D181" s="148">
        <f>B181+C181</f>
        <v>32.35475292935967</v>
      </c>
      <c r="E181" s="27"/>
    </row>
  </sheetData>
  <pageMargins left="0.7" right="0.7" top="0.98958333333333304" bottom="0.75" header="0.3" footer="0.3"/>
  <pageSetup scale="99" fitToHeight="4" orientation="portrait" r:id="rId1"/>
  <headerFooter>
    <oddFooter xml:space="preserve">&amp;R&amp;P of &amp;N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Z102"/>
  <sheetViews>
    <sheetView zoomScaleNormal="100" workbookViewId="0">
      <selection activeCell="G33" sqref="G33"/>
    </sheetView>
  </sheetViews>
  <sheetFormatPr defaultColWidth="18.5703125" defaultRowHeight="11.25"/>
  <cols>
    <col min="1" max="1" width="29.28515625" style="2" bestFit="1" customWidth="1"/>
    <col min="2" max="2" width="13.42578125" style="2" customWidth="1"/>
    <col min="3" max="3" width="9.28515625" style="2" customWidth="1"/>
    <col min="4" max="4" width="9.5703125" style="2" customWidth="1"/>
    <col min="5" max="5" width="12.7109375" style="2" customWidth="1"/>
    <col min="6" max="6" width="9" style="2" customWidth="1"/>
    <col min="7" max="7" width="12.28515625" style="2" customWidth="1"/>
    <col min="8" max="8" width="11.28515625" style="2" customWidth="1"/>
    <col min="9" max="9" width="9.7109375" style="2" customWidth="1"/>
    <col min="10" max="11" width="11.28515625" style="2" customWidth="1"/>
    <col min="12" max="12" width="7.7109375" style="3" customWidth="1"/>
    <col min="13" max="13" width="9.28515625" style="2" customWidth="1"/>
    <col min="14" max="14" width="13.7109375" style="2" customWidth="1"/>
    <col min="15" max="15" width="10.42578125" style="2" hidden="1" customWidth="1"/>
    <col min="16" max="16" width="9" style="2" hidden="1" customWidth="1"/>
    <col min="17" max="17" width="11.7109375" style="2" hidden="1" customWidth="1"/>
    <col min="18" max="18" width="8.28515625" style="2" hidden="1" customWidth="1"/>
    <col min="19" max="19" width="2.5703125" style="2" hidden="1" customWidth="1"/>
    <col min="20" max="20" width="11.28515625" style="2" hidden="1" customWidth="1"/>
    <col min="21" max="21" width="10" style="2" hidden="1" customWidth="1"/>
    <col min="22" max="22" width="7" style="2" hidden="1" customWidth="1"/>
    <col min="23" max="23" width="3.5703125" style="2" customWidth="1"/>
    <col min="24" max="24" width="12.5703125" style="2" customWidth="1"/>
    <col min="25" max="25" width="15.28515625" style="2" customWidth="1"/>
    <col min="26" max="26" width="11.7109375" style="2" customWidth="1"/>
    <col min="27" max="16384" width="18.5703125" style="2"/>
  </cols>
  <sheetData>
    <row r="1" spans="1:26">
      <c r="A1" s="1" t="s">
        <v>0</v>
      </c>
    </row>
    <row r="2" spans="1:26">
      <c r="A2" s="1" t="s">
        <v>238</v>
      </c>
    </row>
    <row r="3" spans="1:26">
      <c r="A3" s="1" t="s">
        <v>265</v>
      </c>
    </row>
    <row r="4" spans="1:26">
      <c r="A4" s="1"/>
      <c r="F4" s="46"/>
    </row>
    <row r="5" spans="1:26" s="6" customFormat="1" ht="39" customHeight="1">
      <c r="B5" s="234" t="s">
        <v>172</v>
      </c>
      <c r="C5" s="31" t="s">
        <v>170</v>
      </c>
      <c r="D5" s="32" t="s">
        <v>109</v>
      </c>
      <c r="E5" s="32"/>
      <c r="F5" s="32"/>
      <c r="G5" s="32"/>
      <c r="H5" s="32"/>
      <c r="I5" s="32"/>
      <c r="J5" s="32"/>
      <c r="K5" s="32"/>
      <c r="L5" s="33"/>
      <c r="M5" s="31"/>
      <c r="N5" s="31"/>
      <c r="O5" s="7"/>
      <c r="X5" s="31"/>
      <c r="Y5" s="31"/>
      <c r="Z5" s="49"/>
    </row>
    <row r="6" spans="1:26" ht="12" thickBot="1">
      <c r="A6" s="8" t="s">
        <v>2</v>
      </c>
      <c r="T6" s="5"/>
      <c r="U6" s="5"/>
      <c r="V6" s="9"/>
    </row>
    <row r="7" spans="1:26" ht="12" thickTop="1">
      <c r="A7" s="10" t="s">
        <v>3</v>
      </c>
      <c r="B7" s="11">
        <v>14</v>
      </c>
      <c r="C7" s="12">
        <f>[12]References!$B$9</f>
        <v>4.333333333333333</v>
      </c>
      <c r="D7" s="11">
        <f t="shared" ref="D7:D19" si="0">B7*C7*12</f>
        <v>728</v>
      </c>
      <c r="E7" s="235"/>
      <c r="F7" s="19"/>
      <c r="G7" s="19"/>
      <c r="H7" s="236"/>
      <c r="I7" s="235"/>
      <c r="J7" s="235"/>
      <c r="K7" s="235"/>
      <c r="L7" s="237"/>
      <c r="M7" s="235"/>
      <c r="N7" s="235"/>
      <c r="O7" s="4"/>
      <c r="P7" s="5"/>
      <c r="Q7" s="5"/>
      <c r="R7" s="9"/>
      <c r="T7" s="5"/>
      <c r="U7" s="5"/>
      <c r="V7" s="9"/>
      <c r="X7" s="47"/>
      <c r="Y7" s="47"/>
    </row>
    <row r="8" spans="1:26">
      <c r="A8" s="10" t="s">
        <v>4</v>
      </c>
      <c r="B8" s="11">
        <v>2338</v>
      </c>
      <c r="C8" s="12">
        <f>[12]References!$B$9</f>
        <v>4.333333333333333</v>
      </c>
      <c r="D8" s="11">
        <f t="shared" si="0"/>
        <v>121575.99999999999</v>
      </c>
      <c r="E8" s="235"/>
      <c r="F8" s="19"/>
      <c r="G8" s="19"/>
      <c r="H8" s="236"/>
      <c r="I8" s="235"/>
      <c r="J8" s="235"/>
      <c r="K8" s="235"/>
      <c r="L8" s="237"/>
      <c r="M8" s="235"/>
      <c r="N8" s="235"/>
      <c r="O8" s="4"/>
      <c r="P8" s="5"/>
      <c r="Q8" s="5"/>
      <c r="R8" s="9"/>
      <c r="T8" s="5"/>
      <c r="U8" s="5"/>
      <c r="V8" s="9"/>
      <c r="X8" s="47"/>
      <c r="Y8" s="47"/>
    </row>
    <row r="9" spans="1:26">
      <c r="A9" s="10" t="s">
        <v>5</v>
      </c>
      <c r="B9" s="11">
        <v>457</v>
      </c>
      <c r="C9" s="12">
        <f>[12]References!$B$9</f>
        <v>4.333333333333333</v>
      </c>
      <c r="D9" s="11">
        <f t="shared" si="0"/>
        <v>23764</v>
      </c>
      <c r="E9" s="235"/>
      <c r="F9" s="19"/>
      <c r="G9" s="19"/>
      <c r="H9" s="236"/>
      <c r="I9" s="235"/>
      <c r="J9" s="235"/>
      <c r="K9" s="235"/>
      <c r="L9" s="237"/>
      <c r="M9" s="235"/>
      <c r="N9" s="235"/>
      <c r="O9" s="4"/>
      <c r="P9" s="5"/>
      <c r="Q9" s="5"/>
      <c r="R9" s="9"/>
      <c r="T9" s="5"/>
      <c r="U9" s="5"/>
      <c r="V9" s="9"/>
      <c r="X9" s="47"/>
      <c r="Y9" s="47"/>
    </row>
    <row r="10" spans="1:26">
      <c r="A10" s="10" t="s">
        <v>6</v>
      </c>
      <c r="B10" s="11">
        <v>32</v>
      </c>
      <c r="C10" s="12">
        <f>[12]References!$B$9</f>
        <v>4.333333333333333</v>
      </c>
      <c r="D10" s="11">
        <f t="shared" si="0"/>
        <v>1664</v>
      </c>
      <c r="E10" s="235"/>
      <c r="F10" s="19"/>
      <c r="G10" s="19"/>
      <c r="H10" s="236"/>
      <c r="I10" s="235"/>
      <c r="J10" s="235"/>
      <c r="K10" s="235"/>
      <c r="L10" s="237"/>
      <c r="M10" s="235"/>
      <c r="N10" s="235"/>
      <c r="O10" s="4"/>
      <c r="P10" s="5"/>
      <c r="Q10" s="5"/>
      <c r="R10" s="9"/>
      <c r="T10" s="5"/>
      <c r="U10" s="5"/>
      <c r="V10" s="9"/>
      <c r="X10" s="47"/>
      <c r="Y10" s="47"/>
    </row>
    <row r="11" spans="1:26">
      <c r="A11" s="10" t="s">
        <v>7</v>
      </c>
      <c r="B11" s="11">
        <v>4</v>
      </c>
      <c r="C11" s="12">
        <f>[12]References!$B$9</f>
        <v>4.333333333333333</v>
      </c>
      <c r="D11" s="11">
        <f t="shared" si="0"/>
        <v>208</v>
      </c>
      <c r="E11" s="235"/>
      <c r="F11" s="19"/>
      <c r="G11" s="19"/>
      <c r="H11" s="236"/>
      <c r="I11" s="235"/>
      <c r="J11" s="235"/>
      <c r="K11" s="235"/>
      <c r="L11" s="237"/>
      <c r="M11" s="235"/>
      <c r="N11" s="235"/>
      <c r="O11" s="4"/>
      <c r="P11" s="5"/>
      <c r="Q11" s="5"/>
      <c r="R11" s="9"/>
      <c r="T11" s="5"/>
      <c r="U11" s="5"/>
      <c r="V11" s="9"/>
      <c r="X11" s="47"/>
      <c r="Y11" s="47"/>
    </row>
    <row r="12" spans="1:26">
      <c r="A12" s="10" t="s">
        <v>8</v>
      </c>
      <c r="B12" s="11">
        <v>1</v>
      </c>
      <c r="C12" s="12">
        <f>[12]References!$B$9</f>
        <v>4.333333333333333</v>
      </c>
      <c r="D12" s="11">
        <f t="shared" si="0"/>
        <v>52</v>
      </c>
      <c r="E12" s="235"/>
      <c r="F12" s="19"/>
      <c r="G12" s="19"/>
      <c r="H12" s="236"/>
      <c r="I12" s="235"/>
      <c r="J12" s="235"/>
      <c r="K12" s="235"/>
      <c r="L12" s="237"/>
      <c r="M12" s="235"/>
      <c r="N12" s="235"/>
      <c r="O12" s="4"/>
      <c r="P12" s="5"/>
      <c r="Q12" s="5"/>
      <c r="R12" s="9"/>
      <c r="T12" s="5"/>
      <c r="U12" s="5"/>
      <c r="V12" s="9"/>
      <c r="X12" s="47"/>
      <c r="Y12" s="47"/>
    </row>
    <row r="13" spans="1:26">
      <c r="A13" s="10" t="s">
        <v>9</v>
      </c>
      <c r="B13" s="11">
        <v>2</v>
      </c>
      <c r="C13" s="12">
        <f>[12]References!$B$9</f>
        <v>4.333333333333333</v>
      </c>
      <c r="D13" s="11">
        <f t="shared" si="0"/>
        <v>104</v>
      </c>
      <c r="E13" s="235"/>
      <c r="F13" s="19"/>
      <c r="G13" s="19"/>
      <c r="H13" s="236"/>
      <c r="I13" s="235"/>
      <c r="J13" s="235"/>
      <c r="K13" s="235"/>
      <c r="L13" s="237"/>
      <c r="M13" s="235"/>
      <c r="N13" s="235"/>
      <c r="O13" s="4"/>
      <c r="P13" s="5"/>
      <c r="Q13" s="5"/>
      <c r="R13" s="9"/>
      <c r="T13" s="5"/>
      <c r="U13" s="5"/>
      <c r="V13" s="9"/>
      <c r="X13" s="47"/>
      <c r="Y13" s="47"/>
    </row>
    <row r="14" spans="1:26">
      <c r="A14" s="10" t="s">
        <v>10</v>
      </c>
      <c r="B14" s="11">
        <v>774</v>
      </c>
      <c r="C14" s="12">
        <f>[12]References!$B$9</f>
        <v>4.333333333333333</v>
      </c>
      <c r="D14" s="11">
        <f t="shared" si="0"/>
        <v>40247.999999999993</v>
      </c>
      <c r="E14" s="235"/>
      <c r="F14" s="19"/>
      <c r="G14" s="19"/>
      <c r="H14" s="236"/>
      <c r="I14" s="235"/>
      <c r="J14" s="235"/>
      <c r="K14" s="235"/>
      <c r="L14" s="237"/>
      <c r="M14" s="235"/>
      <c r="N14" s="235"/>
      <c r="O14" s="4"/>
      <c r="P14" s="5"/>
      <c r="Q14" s="5"/>
      <c r="R14" s="9"/>
      <c r="T14" s="5"/>
      <c r="U14" s="5"/>
      <c r="V14" s="9"/>
      <c r="X14" s="47"/>
      <c r="Y14" s="47"/>
    </row>
    <row r="15" spans="1:26">
      <c r="A15" s="10" t="s">
        <v>11</v>
      </c>
      <c r="B15" s="11">
        <v>500</v>
      </c>
      <c r="C15" s="12">
        <f>[12]References!$B$9</f>
        <v>4.333333333333333</v>
      </c>
      <c r="D15" s="11">
        <f t="shared" si="0"/>
        <v>26000</v>
      </c>
      <c r="E15" s="235"/>
      <c r="F15" s="19"/>
      <c r="G15" s="19"/>
      <c r="H15" s="236"/>
      <c r="I15" s="235"/>
      <c r="J15" s="235"/>
      <c r="K15" s="235"/>
      <c r="L15" s="237"/>
      <c r="M15" s="235"/>
      <c r="N15" s="235"/>
      <c r="O15" s="4"/>
      <c r="P15" s="5"/>
      <c r="Q15" s="5"/>
      <c r="R15" s="9"/>
      <c r="T15" s="5"/>
      <c r="U15" s="5"/>
      <c r="V15" s="9"/>
      <c r="X15" s="47"/>
      <c r="Y15" s="47"/>
    </row>
    <row r="16" spans="1:26">
      <c r="A16" s="10" t="s">
        <v>12</v>
      </c>
      <c r="B16" s="11">
        <v>22</v>
      </c>
      <c r="C16" s="12">
        <f>[12]References!$B$9</f>
        <v>4.333333333333333</v>
      </c>
      <c r="D16" s="11">
        <f t="shared" si="0"/>
        <v>1144</v>
      </c>
      <c r="E16" s="235"/>
      <c r="F16" s="19"/>
      <c r="G16" s="19"/>
      <c r="H16" s="236"/>
      <c r="I16" s="235"/>
      <c r="J16" s="235"/>
      <c r="K16" s="235"/>
      <c r="L16" s="237"/>
      <c r="M16" s="235"/>
      <c r="N16" s="235"/>
      <c r="O16" s="4"/>
      <c r="P16" s="5"/>
      <c r="Q16" s="5"/>
      <c r="R16" s="9"/>
      <c r="T16" s="5"/>
      <c r="U16" s="5"/>
      <c r="V16" s="9"/>
      <c r="X16" s="47"/>
      <c r="Y16" s="47"/>
    </row>
    <row r="17" spans="1:25">
      <c r="A17" s="10" t="s">
        <v>13</v>
      </c>
      <c r="B17" s="11">
        <v>299</v>
      </c>
      <c r="C17" s="12">
        <f>[12]References!$B$9</f>
        <v>4.333333333333333</v>
      </c>
      <c r="D17" s="11">
        <f t="shared" si="0"/>
        <v>15547.999999999998</v>
      </c>
      <c r="E17" s="235"/>
      <c r="F17" s="19"/>
      <c r="G17" s="19"/>
      <c r="H17" s="236"/>
      <c r="I17" s="235"/>
      <c r="J17" s="235"/>
      <c r="K17" s="235"/>
      <c r="L17" s="237"/>
      <c r="M17" s="235"/>
      <c r="N17" s="235"/>
      <c r="O17" s="4"/>
      <c r="P17" s="5"/>
      <c r="Q17" s="5"/>
      <c r="R17" s="9"/>
      <c r="T17" s="5"/>
      <c r="U17" s="5"/>
      <c r="V17" s="9"/>
      <c r="X17" s="47"/>
      <c r="Y17" s="47"/>
    </row>
    <row r="18" spans="1:25">
      <c r="A18" s="10" t="s">
        <v>14</v>
      </c>
      <c r="B18" s="11">
        <v>261</v>
      </c>
      <c r="C18" s="12">
        <f>[12]References!$B$9</f>
        <v>4.333333333333333</v>
      </c>
      <c r="D18" s="11">
        <f t="shared" si="0"/>
        <v>13572</v>
      </c>
      <c r="E18" s="235"/>
      <c r="F18" s="19"/>
      <c r="G18" s="19"/>
      <c r="H18" s="236"/>
      <c r="I18" s="235"/>
      <c r="J18" s="235"/>
      <c r="K18" s="235"/>
      <c r="L18" s="237"/>
      <c r="M18" s="235"/>
      <c r="N18" s="235"/>
      <c r="O18" s="4"/>
      <c r="P18" s="5"/>
      <c r="Q18" s="5"/>
      <c r="R18" s="9"/>
      <c r="T18" s="5"/>
      <c r="U18" s="5"/>
      <c r="V18" s="9"/>
      <c r="X18" s="47"/>
      <c r="Y18" s="47"/>
    </row>
    <row r="19" spans="1:25">
      <c r="A19" s="10" t="s">
        <v>15</v>
      </c>
      <c r="B19" s="11">
        <v>77</v>
      </c>
      <c r="C19" s="12">
        <f>[12]References!$B$9</f>
        <v>4.333333333333333</v>
      </c>
      <c r="D19" s="11">
        <f t="shared" si="0"/>
        <v>4003.9999999999995</v>
      </c>
      <c r="E19" s="235"/>
      <c r="F19" s="19"/>
      <c r="G19" s="19"/>
      <c r="H19" s="236"/>
      <c r="I19" s="235"/>
      <c r="J19" s="235"/>
      <c r="K19" s="235"/>
      <c r="L19" s="237"/>
      <c r="M19" s="235"/>
      <c r="N19" s="235"/>
      <c r="O19" s="4"/>
      <c r="P19" s="5"/>
      <c r="Q19" s="5"/>
      <c r="R19" s="9"/>
      <c r="T19" s="5"/>
      <c r="U19" s="5"/>
      <c r="V19" s="9"/>
      <c r="X19" s="47"/>
      <c r="Y19" s="47"/>
    </row>
    <row r="20" spans="1:25">
      <c r="A20" s="10"/>
      <c r="B20" s="11"/>
      <c r="C20" s="11"/>
      <c r="D20" s="11"/>
      <c r="E20" s="19"/>
      <c r="F20" s="19"/>
      <c r="G20" s="19"/>
      <c r="H20" s="19"/>
      <c r="I20" s="19"/>
      <c r="J20" s="19"/>
      <c r="K20" s="19"/>
      <c r="L20" s="237"/>
      <c r="M20" s="19"/>
      <c r="N20" s="19"/>
      <c r="O20" s="4"/>
      <c r="P20" s="5"/>
      <c r="Q20" s="5"/>
      <c r="R20" s="9"/>
      <c r="T20" s="5"/>
      <c r="U20" s="5"/>
      <c r="V20" s="9"/>
      <c r="X20" s="47"/>
      <c r="Y20" s="47"/>
    </row>
    <row r="21" spans="1:25">
      <c r="A21" s="10" t="s">
        <v>16</v>
      </c>
      <c r="B21" s="11">
        <v>1451</v>
      </c>
      <c r="C21" s="12">
        <f>[12]References!$B$10</f>
        <v>2.1666666666666665</v>
      </c>
      <c r="D21" s="11">
        <f t="shared" ref="D21:D26" si="1">B21*C21*12</f>
        <v>37726</v>
      </c>
      <c r="E21" s="235"/>
      <c r="F21" s="19"/>
      <c r="G21" s="19"/>
      <c r="H21" s="236"/>
      <c r="I21" s="235"/>
      <c r="J21" s="235"/>
      <c r="K21" s="235"/>
      <c r="L21" s="237"/>
      <c r="M21" s="235"/>
      <c r="N21" s="235"/>
      <c r="O21" s="4"/>
      <c r="P21" s="5"/>
      <c r="Q21" s="5"/>
      <c r="R21" s="9"/>
      <c r="T21" s="5"/>
      <c r="U21" s="5"/>
      <c r="V21" s="9"/>
      <c r="X21" s="47"/>
      <c r="Y21" s="47"/>
    </row>
    <row r="22" spans="1:25">
      <c r="A22" s="10" t="s">
        <v>17</v>
      </c>
      <c r="B22" s="11">
        <v>139</v>
      </c>
      <c r="C22" s="12">
        <f>[12]References!$B$10</f>
        <v>2.1666666666666665</v>
      </c>
      <c r="D22" s="11">
        <f t="shared" si="1"/>
        <v>3613.9999999999995</v>
      </c>
      <c r="E22" s="235"/>
      <c r="F22" s="19"/>
      <c r="G22" s="19"/>
      <c r="H22" s="236"/>
      <c r="I22" s="235"/>
      <c r="J22" s="235"/>
      <c r="K22" s="235"/>
      <c r="L22" s="237"/>
      <c r="M22" s="235"/>
      <c r="N22" s="235"/>
      <c r="O22" s="4"/>
      <c r="P22" s="5"/>
      <c r="Q22" s="5"/>
      <c r="R22" s="9"/>
      <c r="T22" s="5"/>
      <c r="U22" s="5"/>
      <c r="V22" s="9"/>
      <c r="X22" s="47"/>
      <c r="Y22" s="47"/>
    </row>
    <row r="23" spans="1:25">
      <c r="A23" s="10" t="s">
        <v>18</v>
      </c>
      <c r="B23" s="11">
        <v>469</v>
      </c>
      <c r="C23" s="12">
        <f>[12]References!$B$10</f>
        <v>2.1666666666666665</v>
      </c>
      <c r="D23" s="11">
        <f t="shared" si="1"/>
        <v>12194</v>
      </c>
      <c r="E23" s="235"/>
      <c r="F23" s="19"/>
      <c r="G23" s="19"/>
      <c r="H23" s="236"/>
      <c r="I23" s="235"/>
      <c r="J23" s="235"/>
      <c r="K23" s="235"/>
      <c r="L23" s="237"/>
      <c r="M23" s="235"/>
      <c r="N23" s="235"/>
      <c r="O23" s="4"/>
      <c r="P23" s="5"/>
      <c r="Q23" s="5"/>
      <c r="R23" s="9"/>
      <c r="T23" s="5"/>
      <c r="U23" s="5"/>
      <c r="V23" s="9"/>
      <c r="X23" s="47"/>
      <c r="Y23" s="47"/>
    </row>
    <row r="24" spans="1:25">
      <c r="A24" s="10" t="s">
        <v>19</v>
      </c>
      <c r="B24" s="11">
        <v>104</v>
      </c>
      <c r="C24" s="12">
        <f>[12]References!$B$10</f>
        <v>2.1666666666666665</v>
      </c>
      <c r="D24" s="11">
        <f t="shared" si="1"/>
        <v>2704</v>
      </c>
      <c r="E24" s="235"/>
      <c r="F24" s="19"/>
      <c r="G24" s="19"/>
      <c r="H24" s="236"/>
      <c r="I24" s="235"/>
      <c r="J24" s="235"/>
      <c r="K24" s="235"/>
      <c r="L24" s="237"/>
      <c r="M24" s="235"/>
      <c r="N24" s="235"/>
      <c r="O24" s="4"/>
      <c r="P24" s="5"/>
      <c r="Q24" s="5"/>
      <c r="R24" s="9"/>
      <c r="T24" s="5"/>
      <c r="U24" s="5"/>
      <c r="V24" s="9"/>
      <c r="X24" s="47"/>
      <c r="Y24" s="47"/>
    </row>
    <row r="25" spans="1:25">
      <c r="A25" s="10" t="s">
        <v>20</v>
      </c>
      <c r="B25" s="11">
        <v>92</v>
      </c>
      <c r="C25" s="12">
        <f>[12]References!$B$10</f>
        <v>2.1666666666666665</v>
      </c>
      <c r="D25" s="11">
        <f t="shared" si="1"/>
        <v>2392</v>
      </c>
      <c r="E25" s="235"/>
      <c r="F25" s="19"/>
      <c r="G25" s="19"/>
      <c r="H25" s="236"/>
      <c r="I25" s="235"/>
      <c r="J25" s="235"/>
      <c r="K25" s="235"/>
      <c r="L25" s="237"/>
      <c r="M25" s="235"/>
      <c r="N25" s="235"/>
      <c r="O25" s="4"/>
      <c r="P25" s="5"/>
      <c r="Q25" s="5"/>
      <c r="R25" s="9"/>
      <c r="T25" s="5"/>
      <c r="U25" s="5"/>
      <c r="V25" s="9"/>
      <c r="X25" s="47"/>
      <c r="Y25" s="47"/>
    </row>
    <row r="26" spans="1:25">
      <c r="A26" s="10" t="s">
        <v>21</v>
      </c>
      <c r="B26" s="11">
        <v>32</v>
      </c>
      <c r="C26" s="12">
        <f>[12]References!$B$10</f>
        <v>2.1666666666666665</v>
      </c>
      <c r="D26" s="11">
        <f t="shared" si="1"/>
        <v>832</v>
      </c>
      <c r="E26" s="235"/>
      <c r="F26" s="19"/>
      <c r="G26" s="19"/>
      <c r="H26" s="236"/>
      <c r="I26" s="235"/>
      <c r="J26" s="235"/>
      <c r="K26" s="235"/>
      <c r="L26" s="237"/>
      <c r="M26" s="235"/>
      <c r="N26" s="235"/>
      <c r="O26" s="4"/>
      <c r="P26" s="5"/>
      <c r="Q26" s="5"/>
      <c r="R26" s="9"/>
      <c r="T26" s="5"/>
      <c r="U26" s="5"/>
      <c r="V26" s="9"/>
      <c r="X26" s="47"/>
      <c r="Y26" s="47"/>
    </row>
    <row r="27" spans="1:25">
      <c r="A27" s="10"/>
      <c r="B27" s="11"/>
      <c r="C27" s="11"/>
      <c r="D27" s="11"/>
      <c r="E27" s="19"/>
      <c r="F27" s="19"/>
      <c r="G27" s="19"/>
      <c r="H27" s="19"/>
      <c r="I27" s="19"/>
      <c r="J27" s="19"/>
      <c r="K27" s="19"/>
      <c r="L27" s="237"/>
      <c r="M27" s="19"/>
      <c r="N27" s="19"/>
      <c r="O27" s="4"/>
      <c r="P27" s="5"/>
      <c r="Q27" s="5"/>
      <c r="R27" s="9"/>
      <c r="T27" s="5"/>
      <c r="U27" s="5"/>
      <c r="V27" s="9"/>
      <c r="X27" s="47"/>
      <c r="Y27" s="47"/>
    </row>
    <row r="28" spans="1:25">
      <c r="A28" s="10" t="s">
        <v>22</v>
      </c>
      <c r="B28" s="11">
        <v>215</v>
      </c>
      <c r="C28" s="12">
        <f>[12]References!$B$11</f>
        <v>1</v>
      </c>
      <c r="D28" s="11">
        <f>B28*C28*12</f>
        <v>2580</v>
      </c>
      <c r="E28" s="235"/>
      <c r="F28" s="19"/>
      <c r="G28" s="19"/>
      <c r="H28" s="236"/>
      <c r="I28" s="235"/>
      <c r="J28" s="235"/>
      <c r="K28" s="235"/>
      <c r="L28" s="237"/>
      <c r="M28" s="235"/>
      <c r="N28" s="235"/>
      <c r="O28" s="4"/>
      <c r="P28" s="5"/>
      <c r="Q28" s="5"/>
      <c r="R28" s="9"/>
      <c r="T28" s="5"/>
      <c r="U28" s="5"/>
      <c r="V28" s="9"/>
      <c r="X28" s="47"/>
      <c r="Y28" s="47"/>
    </row>
    <row r="29" spans="1:25">
      <c r="A29" s="10" t="s">
        <v>23</v>
      </c>
      <c r="B29" s="11">
        <v>63</v>
      </c>
      <c r="C29" s="12">
        <f>[12]References!$B$11</f>
        <v>1</v>
      </c>
      <c r="D29" s="11">
        <f>B29*C29*12</f>
        <v>756</v>
      </c>
      <c r="E29" s="235"/>
      <c r="F29" s="19"/>
      <c r="G29" s="19"/>
      <c r="H29" s="236"/>
      <c r="I29" s="235"/>
      <c r="J29" s="235"/>
      <c r="K29" s="235"/>
      <c r="L29" s="237"/>
      <c r="M29" s="235"/>
      <c r="N29" s="235"/>
      <c r="O29" s="4"/>
      <c r="P29" s="5"/>
      <c r="Q29" s="5"/>
      <c r="R29" s="9"/>
      <c r="T29" s="5"/>
      <c r="U29" s="5"/>
      <c r="V29" s="9"/>
      <c r="X29" s="47"/>
      <c r="Y29" s="47"/>
    </row>
    <row r="30" spans="1:25">
      <c r="A30" s="10" t="s">
        <v>24</v>
      </c>
      <c r="B30" s="11">
        <v>4</v>
      </c>
      <c r="C30" s="12">
        <f>[12]References!$B$11</f>
        <v>1</v>
      </c>
      <c r="D30" s="11">
        <f>B30*C30*12</f>
        <v>48</v>
      </c>
      <c r="E30" s="235"/>
      <c r="F30" s="19"/>
      <c r="G30" s="19"/>
      <c r="H30" s="236"/>
      <c r="I30" s="235"/>
      <c r="J30" s="235"/>
      <c r="K30" s="235"/>
      <c r="L30" s="237"/>
      <c r="M30" s="235"/>
      <c r="N30" s="235"/>
      <c r="O30" s="4"/>
      <c r="P30" s="5"/>
      <c r="Q30" s="5"/>
      <c r="R30" s="9"/>
      <c r="T30" s="5"/>
      <c r="U30" s="5"/>
      <c r="V30" s="9"/>
      <c r="X30" s="47"/>
      <c r="Y30" s="47"/>
    </row>
    <row r="31" spans="1:25">
      <c r="A31" s="10" t="s">
        <v>25</v>
      </c>
      <c r="B31" s="11">
        <v>4</v>
      </c>
      <c r="C31" s="12">
        <f>[12]References!$B$11</f>
        <v>1</v>
      </c>
      <c r="D31" s="11">
        <f>B31*C31*12</f>
        <v>48</v>
      </c>
      <c r="E31" s="235"/>
      <c r="F31" s="19"/>
      <c r="G31" s="19"/>
      <c r="H31" s="236"/>
      <c r="I31" s="235"/>
      <c r="J31" s="235"/>
      <c r="K31" s="235"/>
      <c r="L31" s="237"/>
      <c r="M31" s="235"/>
      <c r="N31" s="235"/>
      <c r="O31" s="4"/>
      <c r="P31" s="5"/>
      <c r="Q31" s="5"/>
      <c r="R31" s="9"/>
      <c r="T31" s="5"/>
      <c r="U31" s="5"/>
      <c r="V31" s="9"/>
      <c r="X31" s="47"/>
      <c r="Y31" s="47"/>
    </row>
    <row r="32" spans="1:25">
      <c r="A32" s="10" t="s">
        <v>26</v>
      </c>
      <c r="B32" s="11">
        <v>6</v>
      </c>
      <c r="C32" s="12">
        <f>[12]References!$B$11</f>
        <v>1</v>
      </c>
      <c r="D32" s="11">
        <f>B32*C32*12</f>
        <v>72</v>
      </c>
      <c r="E32" s="235"/>
      <c r="F32" s="19"/>
      <c r="G32" s="19"/>
      <c r="H32" s="236"/>
      <c r="I32" s="235"/>
      <c r="J32" s="235"/>
      <c r="K32" s="235"/>
      <c r="L32" s="237"/>
      <c r="M32" s="235"/>
      <c r="N32" s="235"/>
      <c r="O32" s="4"/>
      <c r="P32" s="5"/>
      <c r="Q32" s="5"/>
      <c r="R32" s="9"/>
      <c r="T32" s="5"/>
      <c r="U32" s="5"/>
      <c r="V32" s="9"/>
      <c r="X32" s="47"/>
      <c r="Y32" s="47"/>
    </row>
    <row r="33" spans="1:26">
      <c r="A33" s="10"/>
      <c r="B33" s="11"/>
      <c r="C33" s="11"/>
      <c r="D33" s="11"/>
      <c r="E33" s="235"/>
      <c r="F33" s="19"/>
      <c r="G33" s="19"/>
      <c r="H33" s="19"/>
      <c r="I33" s="19"/>
      <c r="J33" s="19"/>
      <c r="K33" s="19"/>
      <c r="L33" s="237"/>
      <c r="M33" s="19"/>
      <c r="N33" s="19"/>
      <c r="O33" s="4"/>
      <c r="P33" s="5"/>
      <c r="Q33" s="5"/>
      <c r="R33" s="9"/>
      <c r="T33" s="5"/>
      <c r="U33" s="5"/>
      <c r="V33" s="9"/>
      <c r="X33" s="47"/>
      <c r="Y33" s="47"/>
    </row>
    <row r="34" spans="1:26">
      <c r="A34" s="10" t="s">
        <v>27</v>
      </c>
      <c r="B34" s="11">
        <v>267</v>
      </c>
      <c r="C34" s="12">
        <f>[12]References!$B$11</f>
        <v>1</v>
      </c>
      <c r="D34" s="11">
        <f>B34*C34*12</f>
        <v>3204</v>
      </c>
      <c r="E34" s="235"/>
      <c r="F34" s="19"/>
      <c r="G34" s="19"/>
      <c r="H34" s="236"/>
      <c r="I34" s="235"/>
      <c r="J34" s="235"/>
      <c r="K34" s="235"/>
      <c r="L34" s="237"/>
      <c r="M34" s="235"/>
      <c r="N34" s="235"/>
      <c r="O34" s="4"/>
      <c r="P34" s="5"/>
      <c r="Q34" s="5"/>
      <c r="R34" s="9"/>
      <c r="T34" s="5"/>
      <c r="U34" s="5"/>
      <c r="V34" s="9"/>
      <c r="X34" s="47"/>
      <c r="Y34" s="47"/>
    </row>
    <row r="35" spans="1:26">
      <c r="A35" s="10" t="s">
        <v>28</v>
      </c>
      <c r="B35" s="11">
        <v>98</v>
      </c>
      <c r="C35" s="12">
        <f>[12]References!$B$11</f>
        <v>1</v>
      </c>
      <c r="D35" s="11">
        <f>B35*C35*12</f>
        <v>1176</v>
      </c>
      <c r="E35" s="235"/>
      <c r="F35" s="19"/>
      <c r="G35" s="19"/>
      <c r="H35" s="236"/>
      <c r="I35" s="235"/>
      <c r="J35" s="235"/>
      <c r="K35" s="235"/>
      <c r="L35" s="237"/>
      <c r="M35" s="235"/>
      <c r="N35" s="235"/>
      <c r="O35" s="4"/>
      <c r="P35" s="5"/>
      <c r="Q35" s="5"/>
      <c r="R35" s="9"/>
      <c r="T35" s="5"/>
      <c r="U35" s="5"/>
      <c r="V35" s="9"/>
      <c r="X35" s="47"/>
      <c r="Y35" s="47"/>
    </row>
    <row r="36" spans="1:26">
      <c r="A36" s="10" t="s">
        <v>29</v>
      </c>
      <c r="B36" s="11">
        <v>12</v>
      </c>
      <c r="C36" s="12">
        <f>[12]References!$B$11</f>
        <v>1</v>
      </c>
      <c r="D36" s="11">
        <f>B36*C36*12</f>
        <v>144</v>
      </c>
      <c r="E36" s="235"/>
      <c r="F36" s="19"/>
      <c r="G36" s="19"/>
      <c r="H36" s="236"/>
      <c r="I36" s="235"/>
      <c r="J36" s="235"/>
      <c r="K36" s="235"/>
      <c r="L36" s="237"/>
      <c r="M36" s="235"/>
      <c r="N36" s="235"/>
      <c r="O36" s="4"/>
      <c r="P36" s="5"/>
      <c r="Q36" s="5"/>
      <c r="R36" s="9"/>
      <c r="T36" s="5"/>
      <c r="U36" s="5"/>
      <c r="V36" s="9"/>
      <c r="X36" s="47"/>
      <c r="Y36" s="47"/>
    </row>
    <row r="37" spans="1:26">
      <c r="A37" s="10" t="s">
        <v>30</v>
      </c>
      <c r="B37" s="11">
        <v>15</v>
      </c>
      <c r="C37" s="12">
        <f>[12]References!$B$11</f>
        <v>1</v>
      </c>
      <c r="D37" s="11">
        <f>B37*C37*12</f>
        <v>180</v>
      </c>
      <c r="E37" s="235"/>
      <c r="F37" s="19"/>
      <c r="G37" s="19"/>
      <c r="H37" s="236"/>
      <c r="I37" s="235"/>
      <c r="J37" s="235"/>
      <c r="K37" s="235"/>
      <c r="L37" s="237"/>
      <c r="M37" s="235"/>
      <c r="N37" s="235"/>
      <c r="O37" s="4"/>
      <c r="P37" s="5"/>
      <c r="Q37" s="5"/>
      <c r="R37" s="9"/>
      <c r="T37" s="5"/>
      <c r="U37" s="5"/>
      <c r="V37" s="9"/>
      <c r="X37" s="47"/>
      <c r="Y37" s="47"/>
    </row>
    <row r="38" spans="1:26">
      <c r="A38" s="10" t="s">
        <v>31</v>
      </c>
      <c r="B38" s="11">
        <v>6</v>
      </c>
      <c r="C38" s="12">
        <f>[12]References!$B$11</f>
        <v>1</v>
      </c>
      <c r="D38" s="11">
        <f>B38*C38*12</f>
        <v>72</v>
      </c>
      <c r="E38" s="235"/>
      <c r="F38" s="19"/>
      <c r="G38" s="19"/>
      <c r="H38" s="236"/>
      <c r="I38" s="235"/>
      <c r="J38" s="235"/>
      <c r="K38" s="235"/>
      <c r="L38" s="237"/>
      <c r="M38" s="235"/>
      <c r="N38" s="235"/>
      <c r="O38" s="4"/>
      <c r="P38" s="5"/>
      <c r="Q38" s="5"/>
      <c r="R38" s="9"/>
      <c r="T38" s="5"/>
      <c r="U38" s="5"/>
      <c r="V38" s="9"/>
      <c r="X38" s="47"/>
      <c r="Y38" s="47"/>
    </row>
    <row r="39" spans="1:26">
      <c r="A39" s="10"/>
      <c r="B39" s="11"/>
      <c r="C39" s="11"/>
      <c r="D39" s="11"/>
      <c r="E39" s="19"/>
      <c r="F39" s="19"/>
      <c r="G39" s="19"/>
      <c r="H39" s="19"/>
      <c r="I39" s="235"/>
      <c r="J39" s="235"/>
      <c r="K39" s="19"/>
      <c r="L39" s="237"/>
      <c r="M39" s="19"/>
      <c r="N39" s="19"/>
      <c r="O39" s="4"/>
      <c r="P39" s="5"/>
      <c r="Q39" s="5"/>
      <c r="R39" s="9"/>
      <c r="T39" s="5"/>
      <c r="U39" s="5"/>
      <c r="V39" s="9"/>
      <c r="X39" s="47"/>
      <c r="Y39" s="47"/>
    </row>
    <row r="40" spans="1:26">
      <c r="A40" s="10" t="s">
        <v>32</v>
      </c>
      <c r="B40" s="11">
        <v>0</v>
      </c>
      <c r="C40" s="12">
        <f>[12]References!$B$11</f>
        <v>1</v>
      </c>
      <c r="D40" s="11">
        <f>B40*C40*12</f>
        <v>0</v>
      </c>
      <c r="E40" s="19"/>
      <c r="F40" s="19"/>
      <c r="G40" s="19"/>
      <c r="H40" s="19"/>
      <c r="I40" s="235"/>
      <c r="J40" s="235"/>
      <c r="K40" s="19"/>
      <c r="L40" s="237"/>
      <c r="M40" s="19"/>
      <c r="N40" s="235"/>
      <c r="O40" s="4"/>
      <c r="P40" s="5"/>
      <c r="Q40" s="5"/>
      <c r="R40" s="9"/>
      <c r="T40" s="5"/>
      <c r="U40" s="5"/>
      <c r="V40" s="9"/>
      <c r="X40" s="47"/>
      <c r="Y40" s="47"/>
    </row>
    <row r="41" spans="1:26">
      <c r="A41" s="13" t="s">
        <v>33</v>
      </c>
      <c r="B41" s="11">
        <v>1019</v>
      </c>
      <c r="C41" s="12">
        <f>[12]References!$B$11</f>
        <v>1</v>
      </c>
      <c r="D41" s="11">
        <f>B41*C41*12</f>
        <v>12228</v>
      </c>
      <c r="E41" s="235"/>
      <c r="F41" s="19"/>
      <c r="G41" s="19"/>
      <c r="H41" s="236"/>
      <c r="I41" s="235"/>
      <c r="J41" s="235"/>
      <c r="K41" s="235"/>
      <c r="L41" s="237"/>
      <c r="M41" s="235"/>
      <c r="N41" s="235"/>
      <c r="O41" s="4"/>
      <c r="P41" s="5"/>
      <c r="Q41" s="5"/>
      <c r="R41" s="9"/>
      <c r="T41" s="5"/>
      <c r="U41" s="5"/>
      <c r="V41" s="9"/>
      <c r="X41" s="47"/>
      <c r="Y41" s="47"/>
    </row>
    <row r="42" spans="1:26">
      <c r="A42" s="10" t="s">
        <v>34</v>
      </c>
      <c r="B42" s="11">
        <v>96</v>
      </c>
      <c r="C42" s="12">
        <f>[12]References!$B$11</f>
        <v>1</v>
      </c>
      <c r="D42" s="11">
        <f>B42*C42*12</f>
        <v>1152</v>
      </c>
      <c r="E42" s="235"/>
      <c r="F42" s="19"/>
      <c r="G42" s="19"/>
      <c r="H42" s="236"/>
      <c r="I42" s="235"/>
      <c r="J42" s="235"/>
      <c r="K42" s="235"/>
      <c r="L42" s="237"/>
      <c r="M42" s="235"/>
      <c r="N42" s="235"/>
      <c r="O42" s="4"/>
      <c r="P42" s="5"/>
      <c r="Q42" s="5"/>
      <c r="R42" s="9"/>
      <c r="T42" s="5"/>
      <c r="U42" s="5"/>
      <c r="V42" s="9"/>
      <c r="X42" s="47"/>
      <c r="Y42" s="47"/>
    </row>
    <row r="43" spans="1:26" s="1" customFormat="1">
      <c r="A43" s="14" t="s">
        <v>35</v>
      </c>
      <c r="B43" s="15">
        <f>SUM(B7:B42)</f>
        <v>8873</v>
      </c>
      <c r="C43" s="15"/>
      <c r="D43" s="15">
        <f>SUM(D7:D42)</f>
        <v>329734</v>
      </c>
      <c r="E43" s="238"/>
      <c r="F43" s="239"/>
      <c r="G43" s="239"/>
      <c r="H43" s="239"/>
      <c r="I43" s="238"/>
      <c r="J43" s="238"/>
      <c r="K43" s="239"/>
      <c r="L43" s="239"/>
      <c r="M43" s="239"/>
      <c r="N43" s="238"/>
      <c r="O43" s="16"/>
      <c r="P43" s="17"/>
      <c r="Q43" s="17"/>
      <c r="R43" s="18"/>
      <c r="T43" s="17"/>
      <c r="U43" s="17"/>
      <c r="V43" s="18"/>
      <c r="X43" s="48"/>
      <c r="Y43" s="48"/>
      <c r="Z43" s="48"/>
    </row>
    <row r="44" spans="1:26">
      <c r="A44" s="1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4"/>
      <c r="P44" s="5"/>
      <c r="Q44" s="5"/>
      <c r="R44" s="9"/>
      <c r="T44" s="5"/>
      <c r="U44" s="5"/>
      <c r="V44" s="9"/>
    </row>
    <row r="45" spans="1:26" ht="12" thickBot="1">
      <c r="A45" s="8" t="s">
        <v>37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20"/>
      <c r="M45" s="19"/>
      <c r="N45" s="19"/>
      <c r="O45" s="5"/>
    </row>
    <row r="46" spans="1:26" ht="12" thickTop="1">
      <c r="A46" s="34" t="s">
        <v>38</v>
      </c>
      <c r="B46" s="35">
        <v>141</v>
      </c>
      <c r="C46" s="36">
        <f>[12]References!$B$11</f>
        <v>1</v>
      </c>
      <c r="D46" s="35">
        <f>B46*C46*12</f>
        <v>1692</v>
      </c>
      <c r="E46" s="235"/>
      <c r="F46" s="19"/>
      <c r="G46" s="19"/>
      <c r="H46" s="236"/>
      <c r="I46" s="240"/>
      <c r="J46" s="240"/>
      <c r="K46" s="235"/>
      <c r="L46" s="237"/>
      <c r="M46" s="235"/>
      <c r="N46" s="235"/>
      <c r="O46" s="4"/>
      <c r="P46" s="5"/>
      <c r="Q46" s="5"/>
      <c r="R46" s="9"/>
      <c r="T46" s="5"/>
      <c r="U46" s="5"/>
      <c r="V46" s="9"/>
      <c r="X46" s="47"/>
      <c r="Y46" s="47"/>
    </row>
    <row r="47" spans="1:26">
      <c r="A47" s="34"/>
      <c r="B47" s="35"/>
      <c r="C47" s="35"/>
      <c r="D47" s="35"/>
      <c r="E47" s="19"/>
      <c r="F47" s="19"/>
      <c r="G47" s="19"/>
      <c r="H47" s="19"/>
      <c r="I47" s="19"/>
      <c r="J47" s="19"/>
      <c r="K47" s="19"/>
      <c r="L47" s="237"/>
      <c r="M47" s="241"/>
      <c r="N47" s="241"/>
      <c r="O47" s="4"/>
      <c r="P47" s="21"/>
      <c r="Q47" s="21"/>
      <c r="R47" s="22"/>
      <c r="X47" s="47"/>
      <c r="Y47" s="47"/>
    </row>
    <row r="48" spans="1:26">
      <c r="A48" s="34" t="s">
        <v>39</v>
      </c>
      <c r="B48" s="35">
        <v>1</v>
      </c>
      <c r="C48" s="36">
        <f>[12]References!$B$9</f>
        <v>4.333333333333333</v>
      </c>
      <c r="D48" s="35">
        <f>B48*C48*12</f>
        <v>52</v>
      </c>
      <c r="E48" s="235"/>
      <c r="F48" s="19"/>
      <c r="G48" s="19"/>
      <c r="H48" s="236"/>
      <c r="I48" s="240"/>
      <c r="J48" s="240"/>
      <c r="K48" s="235"/>
      <c r="L48" s="237"/>
      <c r="M48" s="235"/>
      <c r="N48" s="242"/>
      <c r="O48" s="4"/>
      <c r="P48" s="5"/>
      <c r="Q48" s="5"/>
      <c r="R48" s="9"/>
      <c r="T48" s="5"/>
      <c r="U48" s="5"/>
      <c r="V48" s="9"/>
      <c r="X48" s="47"/>
      <c r="Y48" s="47"/>
    </row>
    <row r="49" spans="1:26">
      <c r="A49" s="34" t="s">
        <v>40</v>
      </c>
      <c r="B49" s="35">
        <v>75</v>
      </c>
      <c r="C49" s="36">
        <f>[12]References!$B$9</f>
        <v>4.333333333333333</v>
      </c>
      <c r="D49" s="35">
        <f>B49*C49*12</f>
        <v>3900</v>
      </c>
      <c r="E49" s="235"/>
      <c r="F49" s="19"/>
      <c r="G49" s="19"/>
      <c r="H49" s="236"/>
      <c r="I49" s="240"/>
      <c r="J49" s="240"/>
      <c r="K49" s="235"/>
      <c r="L49" s="237"/>
      <c r="M49" s="235"/>
      <c r="N49" s="242"/>
      <c r="O49" s="4"/>
      <c r="P49" s="5"/>
      <c r="Q49" s="5"/>
      <c r="R49" s="9"/>
      <c r="T49" s="5"/>
      <c r="U49" s="5"/>
      <c r="V49" s="9"/>
      <c r="X49" s="47"/>
      <c r="Y49" s="47"/>
    </row>
    <row r="50" spans="1:26">
      <c r="A50" s="34" t="s">
        <v>41</v>
      </c>
      <c r="B50" s="35">
        <f>223+8</f>
        <v>231</v>
      </c>
      <c r="C50" s="36">
        <f>[12]References!$B$9</f>
        <v>4.333333333333333</v>
      </c>
      <c r="D50" s="35">
        <f>B50*C50*12</f>
        <v>12011.999999999998</v>
      </c>
      <c r="E50" s="235"/>
      <c r="F50" s="19"/>
      <c r="G50" s="19"/>
      <c r="H50" s="236"/>
      <c r="I50" s="240"/>
      <c r="J50" s="240"/>
      <c r="K50" s="235"/>
      <c r="L50" s="237"/>
      <c r="M50" s="235"/>
      <c r="N50" s="242"/>
      <c r="O50" s="4"/>
      <c r="P50" s="5"/>
      <c r="Q50" s="5"/>
      <c r="R50" s="9"/>
      <c r="T50" s="5"/>
      <c r="U50" s="5"/>
      <c r="V50" s="9"/>
      <c r="X50" s="47"/>
      <c r="Y50" s="47"/>
    </row>
    <row r="51" spans="1:26">
      <c r="A51" s="34" t="s">
        <v>1</v>
      </c>
      <c r="B51" s="35"/>
      <c r="C51" s="35"/>
      <c r="D51" s="35"/>
      <c r="E51" s="19"/>
      <c r="F51" s="19"/>
      <c r="G51" s="19"/>
      <c r="H51" s="19"/>
      <c r="I51" s="19"/>
      <c r="J51" s="19"/>
      <c r="K51" s="19"/>
      <c r="L51" s="237"/>
      <c r="M51" s="241"/>
      <c r="N51" s="241"/>
      <c r="O51" s="4"/>
      <c r="P51" s="5"/>
      <c r="Q51" s="5"/>
      <c r="R51" s="9"/>
      <c r="T51" s="5"/>
      <c r="U51" s="5"/>
      <c r="V51" s="9"/>
      <c r="X51" s="47"/>
      <c r="Y51" s="47"/>
    </row>
    <row r="52" spans="1:26">
      <c r="A52" s="34" t="s">
        <v>42</v>
      </c>
      <c r="B52" s="35">
        <v>7</v>
      </c>
      <c r="C52" s="36">
        <f>[12]References!$B$10</f>
        <v>2.1666666666666665</v>
      </c>
      <c r="D52" s="35">
        <f>B52*C52*12</f>
        <v>182</v>
      </c>
      <c r="E52" s="235"/>
      <c r="F52" s="19"/>
      <c r="G52" s="19"/>
      <c r="H52" s="236"/>
      <c r="I52" s="240"/>
      <c r="J52" s="240"/>
      <c r="K52" s="235"/>
      <c r="L52" s="237"/>
      <c r="M52" s="235"/>
      <c r="N52" s="242"/>
      <c r="O52" s="4"/>
      <c r="P52" s="5"/>
      <c r="Q52" s="5"/>
      <c r="R52" s="9"/>
      <c r="T52" s="5"/>
      <c r="U52" s="5"/>
      <c r="V52" s="9"/>
      <c r="X52" s="47"/>
      <c r="Y52" s="47"/>
    </row>
    <row r="53" spans="1:26">
      <c r="A53" s="34" t="s">
        <v>43</v>
      </c>
      <c r="B53" s="35">
        <v>181</v>
      </c>
      <c r="C53" s="36">
        <f>[12]References!$B$10</f>
        <v>2.1666666666666665</v>
      </c>
      <c r="D53" s="35">
        <f>B53*C53*12</f>
        <v>4706</v>
      </c>
      <c r="E53" s="235"/>
      <c r="F53" s="19"/>
      <c r="G53" s="19"/>
      <c r="H53" s="236"/>
      <c r="I53" s="240"/>
      <c r="J53" s="240"/>
      <c r="K53" s="235"/>
      <c r="L53" s="237"/>
      <c r="M53" s="235"/>
      <c r="N53" s="242"/>
      <c r="O53" s="4"/>
      <c r="P53" s="5"/>
      <c r="Q53" s="5"/>
      <c r="R53" s="9"/>
      <c r="T53" s="5"/>
      <c r="U53" s="5"/>
      <c r="V53" s="9"/>
      <c r="X53" s="47"/>
      <c r="Y53" s="47"/>
    </row>
    <row r="54" spans="1:26">
      <c r="A54" s="34" t="s">
        <v>44</v>
      </c>
      <c r="B54" s="35">
        <v>109</v>
      </c>
      <c r="C54" s="36">
        <f>[12]References!$B$10</f>
        <v>2.1666666666666665</v>
      </c>
      <c r="D54" s="35">
        <f>B54*C54*12</f>
        <v>2834</v>
      </c>
      <c r="E54" s="235"/>
      <c r="F54" s="19"/>
      <c r="G54" s="19"/>
      <c r="H54" s="236"/>
      <c r="I54" s="240"/>
      <c r="J54" s="240"/>
      <c r="K54" s="235"/>
      <c r="L54" s="237"/>
      <c r="M54" s="235"/>
      <c r="N54" s="242"/>
      <c r="O54" s="4"/>
      <c r="P54" s="5"/>
      <c r="Q54" s="5"/>
      <c r="R54" s="9"/>
      <c r="T54" s="5"/>
      <c r="U54" s="5"/>
      <c r="V54" s="9"/>
      <c r="X54" s="47"/>
      <c r="Y54" s="47"/>
    </row>
    <row r="55" spans="1:26">
      <c r="A55" s="34" t="s">
        <v>1</v>
      </c>
      <c r="B55" s="35"/>
      <c r="C55" s="35"/>
      <c r="D55" s="35"/>
      <c r="E55" s="19"/>
      <c r="F55" s="19"/>
      <c r="G55" s="19"/>
      <c r="H55" s="19"/>
      <c r="I55" s="19"/>
      <c r="J55" s="19"/>
      <c r="K55" s="19"/>
      <c r="L55" s="237"/>
      <c r="M55" s="241"/>
      <c r="N55" s="241"/>
      <c r="O55" s="4"/>
      <c r="P55" s="5"/>
      <c r="Q55" s="5"/>
      <c r="R55" s="9"/>
      <c r="T55" s="5"/>
      <c r="U55" s="5"/>
      <c r="V55" s="9"/>
    </row>
    <row r="56" spans="1:26" s="1" customFormat="1">
      <c r="A56" s="37" t="s">
        <v>35</v>
      </c>
      <c r="B56" s="38">
        <f>SUM(B46:B55)</f>
        <v>745</v>
      </c>
      <c r="C56" s="38"/>
      <c r="D56" s="38">
        <f>SUM(D46:D55)</f>
        <v>25378</v>
      </c>
      <c r="E56" s="41"/>
      <c r="F56" s="40"/>
      <c r="G56" s="40"/>
      <c r="H56" s="40"/>
      <c r="I56" s="41"/>
      <c r="J56" s="41"/>
      <c r="K56" s="40"/>
      <c r="L56" s="42"/>
      <c r="M56" s="41"/>
      <c r="N56" s="41"/>
      <c r="O56" s="40"/>
      <c r="P56" s="40"/>
      <c r="Q56" s="40"/>
      <c r="R56" s="243"/>
      <c r="S56" s="43"/>
      <c r="T56" s="40"/>
      <c r="U56" s="40"/>
      <c r="V56" s="243"/>
      <c r="W56" s="43"/>
      <c r="X56" s="244"/>
      <c r="Y56" s="244"/>
      <c r="Z56" s="244"/>
    </row>
    <row r="57" spans="1:26" s="1" customFormat="1">
      <c r="A57" s="39" t="s">
        <v>171</v>
      </c>
      <c r="B57" s="40"/>
      <c r="C57" s="40"/>
      <c r="D57" s="40"/>
      <c r="E57" s="41"/>
      <c r="F57" s="40"/>
      <c r="G57" s="40"/>
      <c r="H57" s="40"/>
      <c r="I57" s="41"/>
      <c r="J57" s="41"/>
      <c r="K57" s="40"/>
      <c r="L57" s="42"/>
      <c r="M57" s="41"/>
      <c r="N57" s="41"/>
      <c r="O57" s="40"/>
      <c r="P57" s="40"/>
      <c r="Q57" s="40"/>
      <c r="R57" s="243"/>
      <c r="S57" s="43"/>
      <c r="T57" s="40"/>
      <c r="U57" s="40"/>
      <c r="V57" s="243"/>
      <c r="W57" s="43"/>
      <c r="X57" s="244"/>
      <c r="Y57" s="244"/>
      <c r="Z57" s="244"/>
    </row>
    <row r="58" spans="1:26" s="1" customFormat="1">
      <c r="A58" s="39"/>
      <c r="B58" s="40"/>
      <c r="C58" s="40"/>
      <c r="D58" s="40"/>
      <c r="E58" s="41"/>
      <c r="F58" s="40"/>
      <c r="G58" s="40"/>
      <c r="H58" s="40"/>
      <c r="I58" s="41"/>
      <c r="J58" s="41"/>
      <c r="K58" s="40"/>
      <c r="L58" s="42"/>
      <c r="M58" s="41"/>
      <c r="N58" s="41"/>
      <c r="O58" s="40"/>
      <c r="P58" s="40"/>
      <c r="Q58" s="40"/>
      <c r="R58" s="243"/>
      <c r="S58" s="43"/>
      <c r="T58" s="40"/>
      <c r="U58" s="40"/>
      <c r="V58" s="243"/>
      <c r="W58" s="43"/>
      <c r="X58" s="43"/>
      <c r="Y58" s="43"/>
      <c r="Z58" s="43"/>
    </row>
    <row r="59" spans="1:26" s="1" customFormat="1" ht="12" thickBot="1">
      <c r="A59" s="8" t="s">
        <v>173</v>
      </c>
      <c r="B59" s="40"/>
      <c r="C59" s="40"/>
      <c r="D59" s="40"/>
      <c r="E59" s="41"/>
      <c r="F59" s="40"/>
      <c r="G59" s="40"/>
      <c r="H59" s="40"/>
      <c r="I59" s="41"/>
      <c r="J59" s="41"/>
      <c r="K59" s="40"/>
      <c r="L59" s="42"/>
      <c r="M59" s="41"/>
      <c r="N59" s="41"/>
      <c r="O59" s="40"/>
      <c r="P59" s="40"/>
      <c r="Q59" s="40"/>
      <c r="R59" s="243"/>
      <c r="S59" s="43"/>
      <c r="T59" s="40"/>
      <c r="U59" s="40"/>
      <c r="V59" s="243"/>
      <c r="W59" s="43"/>
      <c r="X59" s="43"/>
      <c r="Y59" s="43"/>
      <c r="Z59" s="43"/>
    </row>
    <row r="60" spans="1:26" s="1" customFormat="1" ht="12" thickTop="1">
      <c r="A60" s="34" t="s">
        <v>174</v>
      </c>
      <c r="B60" s="35">
        <v>0</v>
      </c>
      <c r="C60" s="36">
        <v>1</v>
      </c>
      <c r="D60" s="35">
        <f>C60*12</f>
        <v>12</v>
      </c>
      <c r="E60" s="242"/>
      <c r="F60" s="241"/>
      <c r="G60" s="241"/>
      <c r="H60" s="245"/>
      <c r="I60" s="246"/>
      <c r="J60" s="246"/>
      <c r="K60" s="242"/>
      <c r="L60" s="247"/>
      <c r="M60" s="242"/>
      <c r="N60" s="41"/>
      <c r="O60" s="40"/>
      <c r="P60" s="40"/>
      <c r="Q60" s="40"/>
      <c r="R60" s="243"/>
      <c r="S60" s="43"/>
      <c r="T60" s="40"/>
      <c r="U60" s="40"/>
      <c r="V60" s="243"/>
      <c r="W60" s="43"/>
      <c r="X60" s="43"/>
      <c r="Y60" s="43"/>
      <c r="Z60" s="43"/>
    </row>
    <row r="61" spans="1:26" s="1" customFormat="1">
      <c r="A61" s="43"/>
      <c r="B61" s="40"/>
      <c r="C61" s="40"/>
      <c r="D61" s="40"/>
      <c r="E61" s="41"/>
      <c r="F61" s="40"/>
      <c r="G61" s="40"/>
      <c r="H61" s="40"/>
      <c r="I61" s="41"/>
      <c r="J61" s="41"/>
      <c r="K61" s="40"/>
      <c r="L61" s="42"/>
      <c r="M61" s="41"/>
      <c r="N61" s="41"/>
      <c r="O61" s="40"/>
      <c r="P61" s="40"/>
      <c r="Q61" s="40"/>
      <c r="R61" s="243"/>
      <c r="S61" s="43"/>
      <c r="T61" s="40"/>
      <c r="U61" s="40"/>
      <c r="V61" s="243"/>
      <c r="W61" s="43"/>
      <c r="X61" s="43"/>
      <c r="Y61" s="43"/>
      <c r="Z61" s="43"/>
    </row>
    <row r="62" spans="1:26" s="1" customFormat="1">
      <c r="A62" s="34" t="s">
        <v>147</v>
      </c>
      <c r="B62" s="35">
        <v>0</v>
      </c>
      <c r="C62" s="36">
        <v>1</v>
      </c>
      <c r="D62" s="35">
        <f t="shared" ref="D62:D68" si="2">C62*12</f>
        <v>12</v>
      </c>
      <c r="E62" s="242"/>
      <c r="F62" s="241"/>
      <c r="G62" s="241"/>
      <c r="H62" s="245"/>
      <c r="I62" s="246"/>
      <c r="J62" s="246"/>
      <c r="K62" s="242"/>
      <c r="L62" s="247"/>
      <c r="M62" s="242"/>
      <c r="N62" s="41"/>
      <c r="O62" s="40"/>
      <c r="P62" s="40"/>
      <c r="Q62" s="40"/>
      <c r="R62" s="243"/>
      <c r="S62" s="43"/>
      <c r="T62" s="40"/>
      <c r="U62" s="40"/>
      <c r="V62" s="243"/>
      <c r="W62" s="43"/>
      <c r="X62" s="43"/>
      <c r="Y62" s="43"/>
      <c r="Z62" s="43"/>
    </row>
    <row r="63" spans="1:26" s="1" customFormat="1">
      <c r="A63" s="34" t="s">
        <v>175</v>
      </c>
      <c r="B63" s="35">
        <v>0</v>
      </c>
      <c r="C63" s="36">
        <v>1</v>
      </c>
      <c r="D63" s="35">
        <f t="shared" si="2"/>
        <v>12</v>
      </c>
      <c r="E63" s="242"/>
      <c r="F63" s="241"/>
      <c r="G63" s="241"/>
      <c r="H63" s="245"/>
      <c r="I63" s="246"/>
      <c r="J63" s="246"/>
      <c r="K63" s="242"/>
      <c r="L63" s="247"/>
      <c r="M63" s="242"/>
      <c r="N63" s="41"/>
      <c r="O63" s="40"/>
      <c r="P63" s="40"/>
      <c r="Q63" s="40"/>
      <c r="R63" s="243"/>
      <c r="S63" s="43"/>
      <c r="T63" s="40"/>
      <c r="U63" s="40"/>
      <c r="V63" s="243"/>
      <c r="W63" s="43"/>
      <c r="X63" s="43"/>
      <c r="Y63" s="43"/>
      <c r="Z63" s="43"/>
    </row>
    <row r="64" spans="1:26" s="1" customFormat="1">
      <c r="A64" s="39"/>
      <c r="B64" s="40"/>
      <c r="C64" s="40"/>
      <c r="D64" s="40"/>
      <c r="E64" s="41"/>
      <c r="F64" s="40"/>
      <c r="G64" s="40"/>
      <c r="H64" s="40"/>
      <c r="I64" s="41"/>
      <c r="J64" s="41"/>
      <c r="K64" s="40"/>
      <c r="L64" s="42"/>
      <c r="M64" s="41"/>
      <c r="N64" s="41"/>
      <c r="O64" s="40"/>
      <c r="P64" s="40"/>
      <c r="Q64" s="40"/>
      <c r="R64" s="243"/>
      <c r="S64" s="43"/>
      <c r="T64" s="40"/>
      <c r="U64" s="40"/>
      <c r="V64" s="243"/>
      <c r="W64" s="43"/>
      <c r="X64" s="43"/>
      <c r="Y64" s="43"/>
      <c r="Z64" s="43"/>
    </row>
    <row r="65" spans="1:26" s="1" customFormat="1">
      <c r="A65" s="34" t="s">
        <v>150</v>
      </c>
      <c r="B65" s="35">
        <v>0</v>
      </c>
      <c r="C65" s="36">
        <v>1</v>
      </c>
      <c r="D65" s="35">
        <f t="shared" si="2"/>
        <v>12</v>
      </c>
      <c r="E65" s="242"/>
      <c r="F65" s="241"/>
      <c r="G65" s="241"/>
      <c r="H65" s="245"/>
      <c r="I65" s="246"/>
      <c r="J65" s="246"/>
      <c r="K65" s="242"/>
      <c r="L65" s="247"/>
      <c r="M65" s="242"/>
      <c r="N65" s="41"/>
      <c r="O65" s="40"/>
      <c r="P65" s="40"/>
      <c r="Q65" s="40"/>
      <c r="R65" s="243"/>
      <c r="S65" s="43"/>
      <c r="T65" s="40"/>
      <c r="U65" s="40"/>
      <c r="V65" s="243"/>
      <c r="W65" s="43"/>
      <c r="X65" s="43"/>
      <c r="Y65" s="43"/>
      <c r="Z65" s="43"/>
    </row>
    <row r="66" spans="1:26" s="1" customFormat="1">
      <c r="A66" s="34" t="s">
        <v>151</v>
      </c>
      <c r="B66" s="35">
        <v>0</v>
      </c>
      <c r="C66" s="36">
        <v>4.33</v>
      </c>
      <c r="D66" s="35">
        <f t="shared" si="2"/>
        <v>51.96</v>
      </c>
      <c r="E66" s="242"/>
      <c r="F66" s="241"/>
      <c r="G66" s="241"/>
      <c r="H66" s="245"/>
      <c r="I66" s="246"/>
      <c r="J66" s="246"/>
      <c r="K66" s="242"/>
      <c r="L66" s="247"/>
      <c r="M66" s="242"/>
      <c r="N66" s="41"/>
      <c r="O66" s="40"/>
      <c r="P66" s="40"/>
      <c r="Q66" s="40"/>
      <c r="R66" s="243"/>
      <c r="S66" s="43"/>
      <c r="T66" s="40"/>
      <c r="U66" s="40"/>
      <c r="V66" s="243"/>
      <c r="W66" s="43"/>
      <c r="X66" s="43"/>
      <c r="Y66" s="43"/>
      <c r="Z66" s="43"/>
    </row>
    <row r="67" spans="1:26" s="1" customFormat="1">
      <c r="A67" s="39"/>
      <c r="B67" s="40"/>
      <c r="C67" s="40"/>
      <c r="D67" s="40"/>
      <c r="E67" s="41"/>
      <c r="F67" s="40"/>
      <c r="G67" s="40"/>
      <c r="H67" s="40"/>
      <c r="I67" s="41"/>
      <c r="J67" s="41"/>
      <c r="K67" s="40"/>
      <c r="L67" s="42"/>
      <c r="M67" s="41"/>
      <c r="N67" s="43"/>
      <c r="O67" s="40"/>
      <c r="P67" s="40"/>
      <c r="Q67" s="40"/>
      <c r="R67" s="243"/>
      <c r="S67" s="43"/>
      <c r="T67" s="40"/>
      <c r="U67" s="40"/>
      <c r="V67" s="243"/>
      <c r="W67" s="43"/>
      <c r="X67" s="43"/>
      <c r="Y67" s="43"/>
      <c r="Z67" s="43"/>
    </row>
    <row r="68" spans="1:26">
      <c r="A68" s="34" t="s">
        <v>45</v>
      </c>
      <c r="B68" s="35">
        <v>0</v>
      </c>
      <c r="C68" s="36">
        <f>[12]References!$B$11</f>
        <v>1</v>
      </c>
      <c r="D68" s="35">
        <f t="shared" si="2"/>
        <v>12</v>
      </c>
      <c r="E68" s="241"/>
      <c r="F68" s="241"/>
      <c r="G68" s="241"/>
      <c r="H68" s="245"/>
      <c r="I68" s="246"/>
      <c r="J68" s="246"/>
      <c r="K68" s="242"/>
      <c r="L68" s="247"/>
      <c r="M68" s="242"/>
      <c r="N68" s="41"/>
      <c r="O68" s="248"/>
      <c r="P68" s="249"/>
      <c r="Q68" s="249"/>
      <c r="R68" s="250"/>
      <c r="S68" s="251"/>
      <c r="T68" s="249"/>
      <c r="U68" s="249"/>
      <c r="V68" s="250"/>
      <c r="W68" s="251"/>
      <c r="X68" s="251"/>
      <c r="Y68" s="251"/>
      <c r="Z68" s="251"/>
    </row>
    <row r="69" spans="1:26" s="1" customFormat="1">
      <c r="A69" s="39"/>
      <c r="B69" s="40"/>
      <c r="C69" s="40"/>
      <c r="D69" s="40"/>
      <c r="E69" s="41"/>
      <c r="F69" s="40"/>
      <c r="G69" s="40"/>
      <c r="H69" s="40"/>
      <c r="I69" s="41"/>
      <c r="J69" s="41"/>
      <c r="K69" s="40"/>
      <c r="L69" s="42"/>
      <c r="M69" s="41"/>
      <c r="N69" s="41"/>
      <c r="O69" s="40"/>
      <c r="P69" s="40"/>
      <c r="Q69" s="40"/>
      <c r="R69" s="243"/>
      <c r="S69" s="43"/>
      <c r="T69" s="40"/>
      <c r="U69" s="40"/>
      <c r="V69" s="243"/>
      <c r="W69" s="43"/>
      <c r="X69" s="43"/>
      <c r="Y69" s="43"/>
      <c r="Z69" s="43"/>
    </row>
    <row r="70" spans="1:26" s="1" customFormat="1">
      <c r="A70" s="39" t="s">
        <v>177</v>
      </c>
      <c r="B70" s="40"/>
      <c r="C70" s="40"/>
      <c r="D70" s="40"/>
      <c r="E70" s="41"/>
      <c r="F70" s="40"/>
      <c r="G70" s="40"/>
      <c r="H70" s="40"/>
      <c r="I70" s="41"/>
      <c r="J70" s="41"/>
      <c r="K70" s="40"/>
      <c r="L70" s="42"/>
      <c r="M70" s="41"/>
      <c r="N70" s="41"/>
      <c r="O70" s="40"/>
      <c r="P70" s="40"/>
      <c r="Q70" s="40"/>
      <c r="R70" s="243"/>
      <c r="S70" s="43"/>
      <c r="T70" s="40"/>
      <c r="U70" s="40"/>
      <c r="V70" s="243"/>
      <c r="W70" s="43"/>
      <c r="X70" s="43"/>
      <c r="Y70" s="43"/>
      <c r="Z70" s="43"/>
    </row>
    <row r="71" spans="1:26" s="1" customFormat="1">
      <c r="A71" s="34" t="s">
        <v>115</v>
      </c>
      <c r="B71" s="35">
        <v>0</v>
      </c>
      <c r="C71" s="36">
        <v>1</v>
      </c>
      <c r="D71" s="35">
        <f>C71*12</f>
        <v>12</v>
      </c>
      <c r="E71" s="242"/>
      <c r="F71" s="241"/>
      <c r="G71" s="241"/>
      <c r="H71" s="245"/>
      <c r="I71" s="246"/>
      <c r="J71" s="246"/>
      <c r="K71" s="242"/>
      <c r="L71" s="247"/>
      <c r="M71" s="242"/>
      <c r="N71" s="41"/>
      <c r="O71" s="40"/>
      <c r="P71" s="40"/>
      <c r="Q71" s="40"/>
      <c r="R71" s="243"/>
      <c r="S71" s="43"/>
      <c r="T71" s="40"/>
      <c r="U71" s="40"/>
      <c r="V71" s="243"/>
      <c r="W71" s="43"/>
      <c r="X71" s="43"/>
      <c r="Y71" s="43"/>
      <c r="Z71" s="43"/>
    </row>
    <row r="72" spans="1:26" s="1" customFormat="1">
      <c r="A72" s="34" t="s">
        <v>165</v>
      </c>
      <c r="B72" s="35">
        <v>0</v>
      </c>
      <c r="C72" s="36">
        <v>1</v>
      </c>
      <c r="D72" s="35">
        <f t="shared" ref="D72:D83" si="3">C72*12</f>
        <v>12</v>
      </c>
      <c r="E72" s="242"/>
      <c r="F72" s="241"/>
      <c r="G72" s="241"/>
      <c r="H72" s="245"/>
      <c r="I72" s="246"/>
      <c r="J72" s="246"/>
      <c r="K72" s="242"/>
      <c r="L72" s="247"/>
      <c r="M72" s="242"/>
      <c r="N72" s="41"/>
      <c r="O72" s="40"/>
      <c r="P72" s="40"/>
      <c r="Q72" s="40"/>
      <c r="R72" s="243"/>
      <c r="S72" s="43"/>
      <c r="T72" s="40"/>
      <c r="U72" s="40"/>
      <c r="V72" s="243"/>
      <c r="W72" s="43"/>
      <c r="X72" s="43"/>
      <c r="Y72" s="43"/>
      <c r="Z72" s="43"/>
    </row>
    <row r="73" spans="1:26" s="1" customFormat="1">
      <c r="A73" s="34" t="s">
        <v>166</v>
      </c>
      <c r="B73" s="35">
        <v>0</v>
      </c>
      <c r="C73" s="36">
        <v>1</v>
      </c>
      <c r="D73" s="35">
        <f t="shared" si="3"/>
        <v>12</v>
      </c>
      <c r="E73" s="242"/>
      <c r="F73" s="241"/>
      <c r="G73" s="241"/>
      <c r="H73" s="245"/>
      <c r="I73" s="246"/>
      <c r="J73" s="246"/>
      <c r="K73" s="242"/>
      <c r="L73" s="247"/>
      <c r="M73" s="242"/>
      <c r="N73" s="41"/>
      <c r="O73" s="40"/>
      <c r="P73" s="40"/>
      <c r="Q73" s="40"/>
      <c r="R73" s="243"/>
      <c r="S73" s="43"/>
      <c r="T73" s="40"/>
      <c r="U73" s="40"/>
      <c r="V73" s="243"/>
      <c r="W73" s="43"/>
      <c r="X73" s="43"/>
      <c r="Y73" s="43"/>
      <c r="Z73" s="43"/>
    </row>
    <row r="74" spans="1:26" s="1" customFormat="1">
      <c r="A74" s="34" t="s">
        <v>167</v>
      </c>
      <c r="B74" s="35">
        <v>0</v>
      </c>
      <c r="C74" s="36">
        <v>1</v>
      </c>
      <c r="D74" s="35">
        <f t="shared" si="3"/>
        <v>12</v>
      </c>
      <c r="E74" s="242"/>
      <c r="F74" s="241"/>
      <c r="G74" s="241"/>
      <c r="H74" s="245"/>
      <c r="I74" s="246"/>
      <c r="J74" s="246"/>
      <c r="K74" s="242"/>
      <c r="L74" s="247"/>
      <c r="M74" s="242"/>
      <c r="N74" s="41"/>
      <c r="O74" s="40"/>
      <c r="P74" s="40"/>
      <c r="Q74" s="40"/>
      <c r="R74" s="243"/>
      <c r="S74" s="43"/>
      <c r="T74" s="40"/>
      <c r="U74" s="40"/>
      <c r="V74" s="243"/>
      <c r="W74" s="43"/>
      <c r="X74" s="43"/>
      <c r="Y74" s="43"/>
      <c r="Z74" s="43"/>
    </row>
    <row r="75" spans="1:26" s="1" customFormat="1">
      <c r="A75" s="34" t="s">
        <v>168</v>
      </c>
      <c r="B75" s="35">
        <v>0</v>
      </c>
      <c r="C75" s="36">
        <v>1</v>
      </c>
      <c r="D75" s="35">
        <f t="shared" si="3"/>
        <v>12</v>
      </c>
      <c r="E75" s="242"/>
      <c r="F75" s="241"/>
      <c r="G75" s="241"/>
      <c r="H75" s="245"/>
      <c r="I75" s="246"/>
      <c r="J75" s="246"/>
      <c r="K75" s="242"/>
      <c r="L75" s="247"/>
      <c r="M75" s="242"/>
      <c r="N75" s="41"/>
      <c r="O75" s="40"/>
      <c r="P75" s="40"/>
      <c r="Q75" s="40"/>
      <c r="R75" s="243"/>
      <c r="S75" s="43"/>
      <c r="T75" s="40"/>
      <c r="U75" s="40"/>
      <c r="V75" s="243"/>
      <c r="W75" s="43"/>
      <c r="X75" s="43"/>
      <c r="Y75" s="43"/>
      <c r="Z75" s="43"/>
    </row>
    <row r="76" spans="1:26" s="1" customFormat="1">
      <c r="A76" s="34" t="s">
        <v>178</v>
      </c>
      <c r="B76" s="35">
        <v>0</v>
      </c>
      <c r="C76" s="36">
        <v>1</v>
      </c>
      <c r="D76" s="35">
        <f t="shared" si="3"/>
        <v>12</v>
      </c>
      <c r="E76" s="242"/>
      <c r="F76" s="241"/>
      <c r="G76" s="241"/>
      <c r="H76" s="245"/>
      <c r="I76" s="246"/>
      <c r="J76" s="246"/>
      <c r="K76" s="242"/>
      <c r="L76" s="247"/>
      <c r="M76" s="242"/>
      <c r="N76" s="41"/>
      <c r="O76" s="40"/>
      <c r="P76" s="40"/>
      <c r="Q76" s="40"/>
      <c r="R76" s="243"/>
      <c r="S76" s="43"/>
      <c r="T76" s="40"/>
      <c r="U76" s="40"/>
      <c r="V76" s="243"/>
      <c r="W76" s="43"/>
      <c r="X76" s="43"/>
      <c r="Y76" s="43"/>
      <c r="Z76" s="43"/>
    </row>
    <row r="77" spans="1:26" s="1" customFormat="1">
      <c r="A77" s="34" t="s">
        <v>185</v>
      </c>
      <c r="B77" s="35">
        <v>0</v>
      </c>
      <c r="C77" s="36">
        <v>4.33</v>
      </c>
      <c r="D77" s="35">
        <f t="shared" si="3"/>
        <v>51.96</v>
      </c>
      <c r="E77" s="242"/>
      <c r="F77" s="241"/>
      <c r="G77" s="241"/>
      <c r="H77" s="245"/>
      <c r="I77" s="246"/>
      <c r="J77" s="246"/>
      <c r="K77" s="242"/>
      <c r="L77" s="247"/>
      <c r="M77" s="242"/>
      <c r="N77" s="41"/>
      <c r="O77" s="40"/>
      <c r="P77" s="40"/>
      <c r="Q77" s="40"/>
      <c r="R77" s="243"/>
      <c r="S77" s="43"/>
      <c r="T77" s="40"/>
      <c r="U77" s="40"/>
      <c r="V77" s="243"/>
      <c r="W77" s="43"/>
      <c r="X77" s="43"/>
      <c r="Y77" s="43"/>
      <c r="Z77" s="43"/>
    </row>
    <row r="78" spans="1:26" s="1" customFormat="1">
      <c r="A78" s="34" t="s">
        <v>179</v>
      </c>
      <c r="B78" s="35">
        <v>0</v>
      </c>
      <c r="C78" s="36">
        <v>1</v>
      </c>
      <c r="D78" s="35">
        <f t="shared" si="3"/>
        <v>12</v>
      </c>
      <c r="E78" s="242"/>
      <c r="F78" s="241"/>
      <c r="G78" s="241"/>
      <c r="H78" s="245"/>
      <c r="I78" s="246"/>
      <c r="J78" s="246"/>
      <c r="K78" s="242"/>
      <c r="L78" s="247"/>
      <c r="M78" s="242"/>
      <c r="N78" s="41"/>
      <c r="O78" s="40"/>
      <c r="P78" s="40"/>
      <c r="Q78" s="40"/>
      <c r="R78" s="243"/>
      <c r="S78" s="43"/>
      <c r="T78" s="40"/>
      <c r="U78" s="40"/>
      <c r="V78" s="243"/>
      <c r="W78" s="43"/>
      <c r="X78" s="43"/>
      <c r="Y78" s="43"/>
      <c r="Z78" s="43"/>
    </row>
    <row r="79" spans="1:26" s="1" customFormat="1">
      <c r="A79" s="34" t="s">
        <v>180</v>
      </c>
      <c r="B79" s="35">
        <v>0</v>
      </c>
      <c r="C79" s="36">
        <v>1</v>
      </c>
      <c r="D79" s="35">
        <f t="shared" si="3"/>
        <v>12</v>
      </c>
      <c r="E79" s="242"/>
      <c r="F79" s="241"/>
      <c r="G79" s="241"/>
      <c r="H79" s="245"/>
      <c r="I79" s="246"/>
      <c r="J79" s="246"/>
      <c r="K79" s="242"/>
      <c r="L79" s="247"/>
      <c r="M79" s="242"/>
      <c r="N79" s="41"/>
      <c r="O79" s="40"/>
      <c r="P79" s="40"/>
      <c r="Q79" s="40"/>
      <c r="R79" s="243"/>
      <c r="S79" s="43"/>
      <c r="T79" s="40"/>
      <c r="U79" s="40"/>
      <c r="V79" s="243"/>
      <c r="W79" s="43"/>
      <c r="X79" s="43"/>
      <c r="Y79" s="43"/>
      <c r="Z79" s="43"/>
    </row>
    <row r="80" spans="1:26" s="1" customFormat="1">
      <c r="A80" s="34" t="s">
        <v>181</v>
      </c>
      <c r="B80" s="35">
        <v>0</v>
      </c>
      <c r="C80" s="36">
        <v>4.33</v>
      </c>
      <c r="D80" s="35">
        <f t="shared" si="3"/>
        <v>51.96</v>
      </c>
      <c r="E80" s="242"/>
      <c r="F80" s="241"/>
      <c r="G80" s="241"/>
      <c r="H80" s="245"/>
      <c r="I80" s="246"/>
      <c r="J80" s="246"/>
      <c r="K80" s="242"/>
      <c r="L80" s="247"/>
      <c r="M80" s="242"/>
      <c r="N80" s="41"/>
      <c r="O80" s="40"/>
      <c r="P80" s="40"/>
      <c r="Q80" s="40"/>
      <c r="R80" s="243"/>
      <c r="S80" s="43"/>
      <c r="T80" s="40"/>
      <c r="U80" s="40"/>
      <c r="V80" s="243"/>
      <c r="W80" s="43"/>
      <c r="X80" s="43"/>
      <c r="Y80" s="43"/>
      <c r="Z80" s="43"/>
    </row>
    <row r="81" spans="1:26" s="1" customFormat="1">
      <c r="A81" s="34" t="s">
        <v>182</v>
      </c>
      <c r="B81" s="35">
        <v>0</v>
      </c>
      <c r="C81" s="36">
        <v>4.33</v>
      </c>
      <c r="D81" s="35">
        <f t="shared" si="3"/>
        <v>51.96</v>
      </c>
      <c r="E81" s="242"/>
      <c r="F81" s="241"/>
      <c r="G81" s="241"/>
      <c r="H81" s="245"/>
      <c r="I81" s="246"/>
      <c r="J81" s="246"/>
      <c r="K81" s="242"/>
      <c r="L81" s="247"/>
      <c r="M81" s="242"/>
      <c r="N81" s="41"/>
      <c r="O81" s="40"/>
      <c r="P81" s="40"/>
      <c r="Q81" s="40"/>
      <c r="R81" s="243"/>
      <c r="S81" s="43"/>
      <c r="T81" s="40"/>
      <c r="U81" s="40"/>
      <c r="V81" s="243"/>
      <c r="W81" s="43"/>
      <c r="X81" s="43"/>
      <c r="Y81" s="43"/>
      <c r="Z81" s="43"/>
    </row>
    <row r="82" spans="1:26" s="1" customFormat="1">
      <c r="A82" s="34" t="s">
        <v>183</v>
      </c>
      <c r="B82" s="35">
        <v>0</v>
      </c>
      <c r="C82" s="36">
        <v>4.33</v>
      </c>
      <c r="D82" s="35">
        <f t="shared" si="3"/>
        <v>51.96</v>
      </c>
      <c r="E82" s="242"/>
      <c r="F82" s="241"/>
      <c r="G82" s="241"/>
      <c r="H82" s="245"/>
      <c r="I82" s="246"/>
      <c r="J82" s="246"/>
      <c r="K82" s="242"/>
      <c r="L82" s="247"/>
      <c r="M82" s="242"/>
      <c r="N82" s="41"/>
      <c r="O82" s="40"/>
      <c r="P82" s="40"/>
      <c r="Q82" s="40"/>
      <c r="R82" s="243"/>
      <c r="S82" s="43"/>
      <c r="T82" s="40"/>
      <c r="U82" s="40"/>
      <c r="V82" s="243"/>
      <c r="W82" s="43"/>
      <c r="X82" s="43"/>
      <c r="Y82" s="43"/>
      <c r="Z82" s="43"/>
    </row>
    <row r="83" spans="1:26" s="1" customFormat="1">
      <c r="A83" s="34" t="s">
        <v>184</v>
      </c>
      <c r="B83" s="35">
        <v>0</v>
      </c>
      <c r="C83" s="36">
        <v>4.33</v>
      </c>
      <c r="D83" s="35">
        <f t="shared" si="3"/>
        <v>51.96</v>
      </c>
      <c r="E83" s="242"/>
      <c r="F83" s="241"/>
      <c r="G83" s="241"/>
      <c r="H83" s="245"/>
      <c r="I83" s="246"/>
      <c r="J83" s="246"/>
      <c r="K83" s="242"/>
      <c r="L83" s="247"/>
      <c r="M83" s="242"/>
      <c r="N83" s="41"/>
      <c r="O83" s="40"/>
      <c r="P83" s="40"/>
      <c r="Q83" s="40"/>
      <c r="R83" s="243"/>
      <c r="S83" s="43"/>
      <c r="T83" s="40"/>
      <c r="U83" s="40"/>
      <c r="V83" s="243"/>
      <c r="W83" s="43"/>
      <c r="X83" s="43"/>
      <c r="Y83" s="43"/>
      <c r="Z83" s="43"/>
    </row>
    <row r="84" spans="1:26" s="1" customFormat="1">
      <c r="A84" s="39"/>
      <c r="B84" s="40"/>
      <c r="C84" s="40"/>
      <c r="D84" s="40"/>
      <c r="E84" s="41"/>
      <c r="F84" s="40"/>
      <c r="G84" s="40"/>
      <c r="H84" s="40"/>
      <c r="I84" s="41"/>
      <c r="J84" s="41"/>
      <c r="K84" s="40"/>
      <c r="L84" s="42"/>
      <c r="M84" s="41"/>
      <c r="N84" s="41"/>
      <c r="O84" s="40"/>
      <c r="P84" s="40"/>
      <c r="Q84" s="40"/>
      <c r="R84" s="243"/>
      <c r="S84" s="43"/>
      <c r="T84" s="40"/>
      <c r="U84" s="40"/>
      <c r="V84" s="243"/>
      <c r="W84" s="43"/>
      <c r="X84" s="43"/>
      <c r="Y84" s="43"/>
      <c r="Z84" s="43"/>
    </row>
    <row r="85" spans="1:26" s="1" customFormat="1">
      <c r="A85" s="39"/>
      <c r="B85" s="40"/>
      <c r="C85" s="40"/>
      <c r="D85" s="40"/>
      <c r="E85" s="41"/>
      <c r="F85" s="40"/>
      <c r="G85" s="40"/>
      <c r="H85" s="40"/>
      <c r="I85" s="41"/>
      <c r="J85" s="41"/>
      <c r="K85" s="40"/>
      <c r="L85" s="42"/>
      <c r="M85" s="41"/>
      <c r="N85" s="41"/>
      <c r="O85" s="40"/>
      <c r="P85" s="40"/>
      <c r="Q85" s="40"/>
      <c r="R85" s="243"/>
      <c r="S85" s="43"/>
      <c r="T85" s="40"/>
      <c r="U85" s="40"/>
      <c r="V85" s="243"/>
      <c r="W85" s="43"/>
      <c r="X85" s="43"/>
      <c r="Y85" s="43"/>
      <c r="Z85" s="43"/>
    </row>
    <row r="86" spans="1:26">
      <c r="E86" s="251"/>
      <c r="F86" s="251"/>
      <c r="G86" s="251"/>
      <c r="H86" s="251"/>
      <c r="I86" s="251"/>
      <c r="J86" s="251"/>
      <c r="K86" s="251"/>
      <c r="L86" s="252"/>
      <c r="M86" s="251"/>
      <c r="N86" s="251"/>
      <c r="O86" s="251"/>
      <c r="P86" s="253"/>
      <c r="Q86" s="254"/>
      <c r="R86" s="251"/>
      <c r="S86" s="251"/>
      <c r="T86" s="253"/>
      <c r="U86" s="254"/>
      <c r="V86" s="251"/>
      <c r="W86" s="251"/>
      <c r="X86" s="251"/>
      <c r="Y86" s="251"/>
      <c r="Z86" s="251"/>
    </row>
    <row r="87" spans="1:26">
      <c r="E87" s="251"/>
      <c r="F87" s="251"/>
      <c r="G87" s="255"/>
      <c r="H87" s="256"/>
      <c r="I87" s="256"/>
      <c r="J87" s="256"/>
      <c r="K87" s="256"/>
      <c r="L87" s="252"/>
      <c r="M87" s="251"/>
      <c r="N87" s="251"/>
      <c r="O87" s="251"/>
      <c r="P87" s="251"/>
      <c r="Q87" s="251"/>
      <c r="R87" s="251"/>
      <c r="S87" s="251"/>
      <c r="T87" s="251"/>
      <c r="U87" s="251"/>
      <c r="V87" s="251"/>
      <c r="W87" s="251"/>
      <c r="X87" s="251"/>
      <c r="Y87" s="251"/>
      <c r="Z87" s="251"/>
    </row>
    <row r="88" spans="1:26">
      <c r="E88" s="251"/>
      <c r="F88" s="251"/>
      <c r="G88" s="255"/>
      <c r="H88" s="257"/>
      <c r="I88" s="257"/>
      <c r="J88" s="257"/>
      <c r="K88" s="257"/>
      <c r="L88" s="252"/>
      <c r="M88" s="251"/>
      <c r="N88" s="251"/>
      <c r="O88" s="251"/>
      <c r="P88" s="251"/>
      <c r="Q88" s="251"/>
      <c r="R88" s="251"/>
      <c r="S88" s="251"/>
      <c r="T88" s="248"/>
      <c r="U88" s="248"/>
      <c r="V88" s="251"/>
      <c r="W88" s="251"/>
      <c r="X88" s="251"/>
      <c r="Y88" s="251"/>
      <c r="Z88" s="251"/>
    </row>
    <row r="89" spans="1:26">
      <c r="E89" s="251"/>
      <c r="F89" s="251"/>
      <c r="G89" s="251"/>
      <c r="H89" s="251"/>
      <c r="I89" s="251"/>
      <c r="J89" s="251"/>
      <c r="K89" s="251"/>
      <c r="L89" s="252"/>
      <c r="M89" s="251"/>
      <c r="N89" s="251"/>
      <c r="O89" s="251"/>
      <c r="P89" s="251"/>
      <c r="Q89" s="251"/>
      <c r="R89" s="251"/>
      <c r="S89" s="251"/>
      <c r="T89" s="251"/>
      <c r="U89" s="251"/>
      <c r="V89" s="251"/>
      <c r="W89" s="251"/>
      <c r="X89" s="251"/>
      <c r="Y89" s="251"/>
      <c r="Z89" s="251"/>
    </row>
    <row r="90" spans="1:26">
      <c r="E90" s="251"/>
      <c r="F90" s="251"/>
      <c r="G90" s="251"/>
      <c r="H90" s="251"/>
      <c r="I90" s="256"/>
      <c r="J90" s="256"/>
      <c r="K90" s="258"/>
      <c r="L90" s="256"/>
      <c r="M90" s="251"/>
      <c r="N90" s="251"/>
      <c r="O90" s="251"/>
      <c r="P90" s="251"/>
      <c r="Q90" s="251"/>
      <c r="R90" s="251"/>
      <c r="S90" s="251"/>
      <c r="T90" s="259"/>
      <c r="U90" s="251"/>
      <c r="V90" s="251"/>
      <c r="W90" s="251"/>
      <c r="X90" s="251"/>
      <c r="Y90" s="251"/>
      <c r="Z90" s="251"/>
    </row>
    <row r="91" spans="1:26">
      <c r="E91" s="251"/>
      <c r="F91" s="251"/>
      <c r="G91" s="260"/>
      <c r="H91" s="261"/>
      <c r="I91" s="257"/>
      <c r="J91" s="257"/>
      <c r="K91" s="257"/>
      <c r="L91" s="251"/>
      <c r="M91" s="251"/>
      <c r="N91" s="251"/>
      <c r="O91" s="251"/>
      <c r="P91" s="251"/>
      <c r="Q91" s="251"/>
      <c r="R91" s="251"/>
      <c r="S91" s="251"/>
      <c r="T91" s="251"/>
      <c r="U91" s="251"/>
      <c r="V91" s="251"/>
      <c r="W91" s="251"/>
      <c r="X91" s="251"/>
      <c r="Y91" s="251"/>
      <c r="Z91" s="251"/>
    </row>
    <row r="92" spans="1:26">
      <c r="E92" s="251"/>
      <c r="F92" s="251"/>
      <c r="G92" s="260"/>
      <c r="H92" s="261"/>
      <c r="I92" s="251"/>
      <c r="J92" s="251"/>
      <c r="K92" s="251"/>
      <c r="L92" s="252"/>
      <c r="M92" s="251"/>
      <c r="N92" s="251"/>
      <c r="O92" s="251"/>
      <c r="P92" s="251"/>
      <c r="Q92" s="251"/>
      <c r="R92" s="251"/>
      <c r="S92" s="251"/>
      <c r="T92" s="259"/>
      <c r="U92" s="251"/>
      <c r="V92" s="251"/>
      <c r="W92" s="251"/>
      <c r="X92" s="251"/>
      <c r="Y92" s="251"/>
      <c r="Z92" s="251"/>
    </row>
    <row r="93" spans="1:26">
      <c r="E93" s="251"/>
      <c r="F93" s="251"/>
      <c r="G93" s="260"/>
      <c r="H93" s="261"/>
      <c r="I93" s="251"/>
      <c r="J93" s="251"/>
      <c r="K93" s="251"/>
      <c r="L93" s="252"/>
      <c r="M93" s="251"/>
      <c r="N93" s="251"/>
      <c r="O93" s="251"/>
      <c r="P93" s="251"/>
      <c r="Q93" s="251"/>
      <c r="R93" s="251"/>
      <c r="S93" s="251"/>
      <c r="T93" s="251"/>
      <c r="U93" s="251"/>
      <c r="V93" s="251"/>
      <c r="W93" s="251"/>
      <c r="X93" s="251"/>
      <c r="Y93" s="251"/>
      <c r="Z93" s="251"/>
    </row>
    <row r="94" spans="1:26">
      <c r="E94" s="251"/>
      <c r="F94" s="251"/>
      <c r="G94" s="260"/>
      <c r="H94" s="43"/>
      <c r="I94" s="251"/>
      <c r="J94" s="251"/>
      <c r="K94" s="251"/>
      <c r="L94" s="252"/>
      <c r="M94" s="251"/>
      <c r="N94" s="251"/>
      <c r="O94" s="251"/>
      <c r="P94" s="251"/>
      <c r="Q94" s="251"/>
      <c r="R94" s="251"/>
      <c r="S94" s="251"/>
      <c r="T94" s="251"/>
      <c r="U94" s="251"/>
      <c r="V94" s="251"/>
      <c r="W94" s="251"/>
      <c r="X94" s="251"/>
      <c r="Y94" s="251"/>
      <c r="Z94" s="251"/>
    </row>
    <row r="95" spans="1:26">
      <c r="E95" s="251"/>
      <c r="F95" s="251"/>
      <c r="G95" s="43"/>
      <c r="H95" s="262"/>
      <c r="I95" s="251"/>
      <c r="J95" s="251"/>
      <c r="K95" s="251"/>
      <c r="L95" s="252"/>
      <c r="M95" s="251"/>
      <c r="N95" s="251"/>
      <c r="O95" s="251"/>
      <c r="P95" s="251"/>
      <c r="Q95" s="251"/>
      <c r="R95" s="251"/>
      <c r="S95" s="251"/>
      <c r="T95" s="251"/>
      <c r="U95" s="251"/>
      <c r="V95" s="251"/>
      <c r="W95" s="251"/>
      <c r="X95" s="251"/>
      <c r="Y95" s="251"/>
      <c r="Z95" s="251"/>
    </row>
    <row r="96" spans="1:26">
      <c r="E96" s="251"/>
      <c r="F96" s="251"/>
      <c r="G96" s="251"/>
      <c r="H96" s="251"/>
      <c r="I96" s="251"/>
      <c r="J96" s="251"/>
      <c r="K96" s="251"/>
      <c r="L96" s="252"/>
      <c r="M96" s="251"/>
      <c r="N96" s="251"/>
      <c r="O96" s="251"/>
      <c r="P96" s="251"/>
      <c r="Q96" s="251"/>
      <c r="R96" s="251"/>
      <c r="S96" s="251"/>
      <c r="T96" s="251"/>
      <c r="U96" s="251"/>
      <c r="V96" s="251"/>
      <c r="W96" s="251"/>
      <c r="X96" s="251"/>
      <c r="Y96" s="251"/>
      <c r="Z96" s="251"/>
    </row>
    <row r="97" spans="5:26">
      <c r="E97" s="251"/>
      <c r="F97" s="251"/>
      <c r="G97" s="251"/>
      <c r="H97" s="251"/>
      <c r="I97" s="251"/>
      <c r="J97" s="251"/>
      <c r="K97" s="251"/>
      <c r="L97" s="252"/>
      <c r="M97" s="251"/>
      <c r="N97" s="251"/>
      <c r="O97" s="251"/>
      <c r="P97" s="251"/>
      <c r="Q97" s="251"/>
      <c r="R97" s="251"/>
      <c r="S97" s="251"/>
      <c r="T97" s="251"/>
      <c r="U97" s="251"/>
      <c r="V97" s="251"/>
      <c r="W97" s="251"/>
      <c r="X97" s="251"/>
      <c r="Y97" s="251"/>
      <c r="Z97" s="251"/>
    </row>
    <row r="98" spans="5:26">
      <c r="E98" s="251"/>
      <c r="F98" s="251"/>
      <c r="G98" s="251"/>
      <c r="H98" s="251"/>
      <c r="I98" s="252"/>
      <c r="J98" s="251"/>
      <c r="K98" s="251"/>
      <c r="L98" s="251"/>
      <c r="M98" s="251"/>
      <c r="N98" s="251"/>
      <c r="O98" s="251"/>
      <c r="P98" s="251"/>
      <c r="Q98" s="251"/>
      <c r="R98" s="251"/>
      <c r="S98" s="251"/>
      <c r="T98" s="251"/>
      <c r="U98" s="251"/>
      <c r="V98" s="251"/>
      <c r="W98" s="251"/>
      <c r="X98" s="251"/>
      <c r="Y98" s="251"/>
      <c r="Z98" s="251"/>
    </row>
    <row r="99" spans="5:26">
      <c r="E99" s="251"/>
      <c r="F99" s="251"/>
      <c r="G99" s="251"/>
      <c r="H99" s="251"/>
      <c r="I99" s="252"/>
      <c r="J99" s="251"/>
      <c r="K99" s="251"/>
      <c r="L99" s="251"/>
      <c r="M99" s="251"/>
      <c r="N99" s="251"/>
      <c r="O99" s="251"/>
      <c r="P99" s="251"/>
      <c r="Q99" s="251"/>
      <c r="R99" s="251"/>
      <c r="S99" s="251"/>
      <c r="T99" s="251"/>
      <c r="U99" s="251"/>
      <c r="V99" s="251"/>
      <c r="W99" s="251"/>
      <c r="X99" s="251"/>
      <c r="Y99" s="251"/>
      <c r="Z99" s="251"/>
    </row>
    <row r="100" spans="5:26">
      <c r="E100" s="251"/>
      <c r="F100" s="251"/>
      <c r="G100" s="251"/>
      <c r="H100" s="251"/>
      <c r="I100" s="252"/>
      <c r="J100" s="251"/>
      <c r="K100" s="251"/>
      <c r="L100" s="251"/>
      <c r="M100" s="251"/>
      <c r="N100" s="251"/>
      <c r="O100" s="251"/>
      <c r="P100" s="251"/>
      <c r="Q100" s="251"/>
      <c r="R100" s="251"/>
      <c r="S100" s="251"/>
      <c r="T100" s="251"/>
      <c r="U100" s="251"/>
      <c r="V100" s="251"/>
      <c r="W100" s="251"/>
      <c r="X100" s="251"/>
      <c r="Y100" s="251"/>
      <c r="Z100" s="251"/>
    </row>
    <row r="101" spans="5:26">
      <c r="E101" s="251"/>
      <c r="F101" s="251"/>
      <c r="G101" s="251"/>
      <c r="H101" s="251"/>
      <c r="I101" s="252"/>
      <c r="J101" s="251"/>
      <c r="K101" s="251"/>
      <c r="L101" s="251"/>
      <c r="M101" s="251"/>
      <c r="N101" s="251"/>
      <c r="O101" s="251"/>
      <c r="P101" s="251"/>
      <c r="Q101" s="251"/>
      <c r="R101" s="251"/>
      <c r="S101" s="251"/>
      <c r="T101" s="251"/>
      <c r="U101" s="251"/>
      <c r="V101" s="251"/>
      <c r="W101" s="251"/>
      <c r="X101" s="251"/>
      <c r="Y101" s="251"/>
      <c r="Z101" s="251"/>
    </row>
    <row r="102" spans="5:26">
      <c r="E102" s="251"/>
      <c r="F102" s="251"/>
      <c r="G102" s="251"/>
      <c r="H102" s="251"/>
      <c r="I102" s="251"/>
      <c r="J102" s="251"/>
      <c r="K102" s="251"/>
      <c r="L102" s="252"/>
      <c r="M102" s="251"/>
      <c r="N102" s="251"/>
      <c r="O102" s="251"/>
      <c r="P102" s="251"/>
      <c r="Q102" s="251"/>
      <c r="R102" s="251"/>
      <c r="S102" s="251"/>
      <c r="T102" s="251"/>
      <c r="U102" s="251"/>
      <c r="V102" s="251"/>
      <c r="W102" s="251"/>
      <c r="X102" s="251"/>
      <c r="Y102" s="251"/>
      <c r="Z102" s="251"/>
    </row>
  </sheetData>
  <pageMargins left="0.7" right="0.7" top="0.75" bottom="0.75" header="0.3" footer="0.3"/>
  <pageSetup scale="99" fitToHeight="0" pageOrder="overThenDown" orientation="portrait" r:id="rId1"/>
  <headerFooter alignWithMargins="0">
    <oddHeader xml:space="preserve">&amp;C
</oddHeader>
    <oddFooter xml:space="preserve">&amp;R&amp;P of &amp;N    </oddFooter>
  </headerFooter>
  <rowBreaks count="2" manualBreakCount="2">
    <brk id="44" max="3" man="1"/>
    <brk id="85" max="52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2016-11-08T08:00:00+00:00</OpenedDate>
    <Date1 xmlns="dc463f71-b30c-4ab2-9473-d307f9d35888">2016-11-08T08:00:00+00:00</Date1>
    <IsDocumentOrder xmlns="dc463f71-b30c-4ab2-9473-d307f9d35888" xsi:nil="true"/>
    <IsHighlyConfidential xmlns="dc463f71-b30c-4ab2-9473-d307f9d35888">false</IsHighlyConfidential>
    <CaseCompanyNames xmlns="dc463f71-b30c-4ab2-9473-d307f9d35888">Mason County Garbage Co., Inc.</CaseCompanyNames>
    <DocketNumber xmlns="dc463f71-b30c-4ab2-9473-d307f9d35888">161193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C33EC5328594841B1C9CEE8EA6515AC" ma:contentTypeVersion="96" ma:contentTypeDescription="" ma:contentTypeScope="" ma:versionID="4f5c6940cd48a46879eb3e0cc409c0e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932966-AEE5-471D-83A0-CA1328691E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C421D1-438D-4690-B6CE-026FAC219A51}">
  <ds:schemaRefs>
    <ds:schemaRef ds:uri="http://purl.org/dc/elements/1.1/"/>
    <ds:schemaRef ds:uri="http://schemas.openxmlformats.org/package/2006/metadata/core-properties"/>
    <ds:schemaRef ds:uri="7429f450-94b4-4416-870d-2c1407281566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8CD0467-EC4F-4465-B59F-E1B5EC8D21EB}"/>
</file>

<file path=customXml/itemProps4.xml><?xml version="1.0" encoding="utf-8"?>
<ds:datastoreItem xmlns:ds="http://schemas.openxmlformats.org/officeDocument/2006/customXml" ds:itemID="{044332A3-C8FA-4D31-B324-849E9174FC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References</vt:lpstr>
      <vt:lpstr>DF Calc (Mason Co.)</vt:lpstr>
      <vt:lpstr>DF Calc (Kitsap Co.)</vt:lpstr>
      <vt:lpstr>Prop. Rates</vt:lpstr>
      <vt:lpstr>Co Cust Cnt</vt:lpstr>
      <vt:lpstr>'Co Cust Cnt'!Print_Area</vt:lpstr>
      <vt:lpstr>'DF Calc (Mason Co.)'!Print_Area</vt:lpstr>
      <vt:lpstr>'Co Cust Cnt'!Print_Titles</vt:lpstr>
      <vt:lpstr>'DF Calc (Mason Co.)'!Print_Titles</vt:lpstr>
    </vt:vector>
  </TitlesOfParts>
  <Company>Waste Connections,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WCNX</dc:creator>
  <cp:lastModifiedBy>Heather Garland</cp:lastModifiedBy>
  <cp:lastPrinted>2016-11-08T22:55:18Z</cp:lastPrinted>
  <dcterms:created xsi:type="dcterms:W3CDTF">2014-10-29T22:31:20Z</dcterms:created>
  <dcterms:modified xsi:type="dcterms:W3CDTF">2016-11-08T22:56:24Z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0x0101006E56B4D1795A2E4DB2F0B01679ED314A006C33EC5328594841B1C9CEE8EA6515AC</vt:lpwstr>
  </property>
  <property fmtid="{D5CDD505-2E9C-101B-9397-08002B2CF9AE}" pid="3" name="_docset_NoMedatataSyncRequired">
    <vt:lpwstr>False</vt:lpwstr>
  </property>
</Properties>
</file>