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 activeTab="3"/>
  </bookViews>
  <sheets>
    <sheet name="Com'l Priceout" sheetId="1" r:id="rId1"/>
    <sheet name="Res'l Priceout" sheetId="3" r:id="rId2"/>
    <sheet name="Revenue &amp; Expense Adj." sheetId="2" r:id="rId3"/>
    <sheet name="Gross up Factor" sheetId="4" r:id="rId4"/>
  </sheets>
  <externalReferences>
    <externalReference r:id="rId5"/>
  </externalReferences>
  <definedNames>
    <definedName name="_xlnm.Print_Area" localSheetId="0">'Com''l Priceout'!$A$10:$P$100</definedName>
    <definedName name="_xlnm.Print_Area" localSheetId="3">'Gross up Factor'!$A$1:$H$24</definedName>
    <definedName name="_xlnm.Print_Area" localSheetId="1">'Res''l Priceout'!$A$1:$P$34</definedName>
    <definedName name="_xlnm.Print_Area" localSheetId="2">'Revenue &amp; Expense Adj.'!$A$1:$K$31</definedName>
    <definedName name="_xlnm.Print_Titles" localSheetId="0">'Com''l Priceout'!$1:$9</definedName>
  </definedNames>
  <calcPr calcId="145621" iterate="1"/>
</workbook>
</file>

<file path=xl/calcChain.xml><?xml version="1.0" encoding="utf-8"?>
<calcChain xmlns="http://schemas.openxmlformats.org/spreadsheetml/2006/main">
  <c r="L105" i="1" l="1"/>
  <c r="G105" i="1"/>
  <c r="I105" i="1"/>
  <c r="E105" i="1"/>
  <c r="G103" i="1"/>
  <c r="I103" i="1"/>
  <c r="E103" i="1"/>
  <c r="C29" i="4" l="1"/>
  <c r="G11" i="2"/>
  <c r="H12" i="3"/>
  <c r="H29" i="3"/>
  <c r="H32" i="3"/>
  <c r="H14" i="3"/>
  <c r="P9" i="3"/>
  <c r="M10" i="1"/>
  <c r="G34" i="3" l="1"/>
  <c r="E100" i="1"/>
  <c r="O35" i="3" l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12" i="3"/>
  <c r="D7" i="4"/>
  <c r="B7" i="4"/>
  <c r="C10" i="4" s="1"/>
  <c r="G6" i="4"/>
  <c r="C6" i="4"/>
  <c r="G5" i="4"/>
  <c r="G8" i="4" s="1"/>
  <c r="G13" i="4" s="1"/>
  <c r="B16" i="4" s="1"/>
  <c r="C5" i="4"/>
  <c r="G27" i="2"/>
  <c r="H27" i="2" s="1"/>
  <c r="G18" i="2"/>
  <c r="H18" i="2" s="1"/>
  <c r="G32" i="3"/>
  <c r="N32" i="3"/>
  <c r="G29" i="3"/>
  <c r="N27" i="3"/>
  <c r="N28" i="3" s="1"/>
  <c r="H27" i="3"/>
  <c r="J27" i="3" s="1"/>
  <c r="L27" i="3" s="1"/>
  <c r="G27" i="3"/>
  <c r="H26" i="3"/>
  <c r="G26" i="3"/>
  <c r="G25" i="3"/>
  <c r="H24" i="3"/>
  <c r="N23" i="3"/>
  <c r="N24" i="3" s="1"/>
  <c r="H23" i="3"/>
  <c r="G23" i="3"/>
  <c r="H21" i="3"/>
  <c r="N20" i="3"/>
  <c r="N13" i="3" s="1"/>
  <c r="H20" i="3"/>
  <c r="G20" i="3"/>
  <c r="H19" i="3"/>
  <c r="J19" i="3" s="1"/>
  <c r="L19" i="3" s="1"/>
  <c r="G19" i="3"/>
  <c r="H18" i="3"/>
  <c r="G18" i="3"/>
  <c r="N17" i="3"/>
  <c r="N18" i="3" s="1"/>
  <c r="N19" i="3" s="1"/>
  <c r="O19" i="3" s="1"/>
  <c r="P19" i="3" s="1"/>
  <c r="H17" i="3"/>
  <c r="J17" i="3" s="1"/>
  <c r="L17" i="3" s="1"/>
  <c r="G17" i="3"/>
  <c r="H16" i="3"/>
  <c r="G16" i="3"/>
  <c r="O16" i="3"/>
  <c r="P16" i="3" s="1"/>
  <c r="H15" i="3"/>
  <c r="G15" i="3"/>
  <c r="N14" i="3"/>
  <c r="N15" i="3" s="1"/>
  <c r="G14" i="3"/>
  <c r="H13" i="3"/>
  <c r="J13" i="3" s="1"/>
  <c r="L13" i="3" s="1"/>
  <c r="G13" i="3"/>
  <c r="N12" i="3"/>
  <c r="D28" i="2"/>
  <c r="E96" i="1"/>
  <c r="E94" i="1"/>
  <c r="E93" i="1"/>
  <c r="E73" i="1"/>
  <c r="E72" i="1"/>
  <c r="E59" i="1"/>
  <c r="E48" i="1"/>
  <c r="E42" i="1"/>
  <c r="E38" i="1"/>
  <c r="E33" i="1"/>
  <c r="E32" i="1"/>
  <c r="F24" i="1"/>
  <c r="H24" i="1" s="1"/>
  <c r="J24" i="1" s="1"/>
  <c r="E24" i="1"/>
  <c r="E21" i="1"/>
  <c r="E12" i="1"/>
  <c r="C7" i="4" l="1"/>
  <c r="H19" i="2"/>
  <c r="P35" i="3" s="1"/>
  <c r="H28" i="2"/>
  <c r="I27" i="2"/>
  <c r="K27" i="2" s="1"/>
  <c r="K28" i="2" s="1"/>
  <c r="O23" i="3"/>
  <c r="P23" i="3" s="1"/>
  <c r="O27" i="3"/>
  <c r="P27" i="3" s="1"/>
  <c r="O17" i="3"/>
  <c r="P17" i="3" s="1"/>
  <c r="O20" i="3"/>
  <c r="P20" i="3" s="1"/>
  <c r="I20" i="3"/>
  <c r="I15" i="3"/>
  <c r="K15" i="3" s="1"/>
  <c r="O14" i="3"/>
  <c r="P14" i="3" s="1"/>
  <c r="O15" i="3"/>
  <c r="P15" i="3" s="1"/>
  <c r="I23" i="3"/>
  <c r="K23" i="3" s="1"/>
  <c r="J15" i="3"/>
  <c r="L15" i="3" s="1"/>
  <c r="I12" i="3"/>
  <c r="I13" i="3"/>
  <c r="K13" i="3" s="1"/>
  <c r="G22" i="3"/>
  <c r="I29" i="3"/>
  <c r="K29" i="3" s="1"/>
  <c r="I27" i="3"/>
  <c r="K27" i="3" s="1"/>
  <c r="O18" i="3"/>
  <c r="P18" i="3" s="1"/>
  <c r="O13" i="3"/>
  <c r="P13" i="3" s="1"/>
  <c r="N21" i="3"/>
  <c r="O21" i="3" s="1"/>
  <c r="P21" i="3" s="1"/>
  <c r="G28" i="3"/>
  <c r="C30" i="3"/>
  <c r="J16" i="3"/>
  <c r="L16" i="3" s="1"/>
  <c r="I16" i="3"/>
  <c r="I17" i="3"/>
  <c r="K17" i="3" s="1"/>
  <c r="O28" i="3"/>
  <c r="P28" i="3" s="1"/>
  <c r="N29" i="3"/>
  <c r="O29" i="3" s="1"/>
  <c r="P29" i="3" s="1"/>
  <c r="J12" i="3"/>
  <c r="L12" i="3" s="1"/>
  <c r="I18" i="3"/>
  <c r="K18" i="3" s="1"/>
  <c r="J18" i="3"/>
  <c r="L18" i="3" s="1"/>
  <c r="J14" i="3"/>
  <c r="L14" i="3" s="1"/>
  <c r="I14" i="3"/>
  <c r="K14" i="3" s="1"/>
  <c r="J21" i="3"/>
  <c r="L21" i="3" s="1"/>
  <c r="I21" i="3"/>
  <c r="J24" i="3"/>
  <c r="L24" i="3" s="1"/>
  <c r="I24" i="3"/>
  <c r="B30" i="3"/>
  <c r="O12" i="3"/>
  <c r="P12" i="3" s="1"/>
  <c r="I19" i="3"/>
  <c r="K19" i="3" s="1"/>
  <c r="O24" i="3"/>
  <c r="P24" i="3" s="1"/>
  <c r="N25" i="3"/>
  <c r="J20" i="3"/>
  <c r="L20" i="3" s="1"/>
  <c r="G21" i="3"/>
  <c r="H22" i="3"/>
  <c r="J23" i="3"/>
  <c r="L23" i="3" s="1"/>
  <c r="G24" i="3"/>
  <c r="H25" i="3"/>
  <c r="I26" i="3"/>
  <c r="K26" i="3" s="1"/>
  <c r="H28" i="3"/>
  <c r="G12" i="3"/>
  <c r="J26" i="3"/>
  <c r="L26" i="3" s="1"/>
  <c r="J32" i="3"/>
  <c r="L32" i="3" s="1"/>
  <c r="F15" i="1"/>
  <c r="G15" i="1" s="1"/>
  <c r="F27" i="2"/>
  <c r="D19" i="2"/>
  <c r="F18" i="2"/>
  <c r="I18" i="2" s="1"/>
  <c r="I19" i="2" s="1"/>
  <c r="F95" i="1"/>
  <c r="G95" i="1" s="1"/>
  <c r="F38" i="1"/>
  <c r="G38" i="1" s="1"/>
  <c r="I38" i="1" s="1"/>
  <c r="F48" i="1"/>
  <c r="G48" i="1" s="1"/>
  <c r="I48" i="1" s="1"/>
  <c r="F59" i="1"/>
  <c r="F93" i="1"/>
  <c r="G93" i="1" s="1"/>
  <c r="I93" i="1" s="1"/>
  <c r="F49" i="1"/>
  <c r="H49" i="1" s="1"/>
  <c r="J49" i="1" s="1"/>
  <c r="F96" i="1"/>
  <c r="G96" i="1" s="1"/>
  <c r="I96" i="1" s="1"/>
  <c r="F21" i="1"/>
  <c r="G21" i="1" s="1"/>
  <c r="I21" i="1" s="1"/>
  <c r="F32" i="1"/>
  <c r="G32" i="1" s="1"/>
  <c r="I32" i="1" s="1"/>
  <c r="F41" i="1"/>
  <c r="G41" i="1" s="1"/>
  <c r="F81" i="1"/>
  <c r="G81" i="1" s="1"/>
  <c r="F12" i="1"/>
  <c r="G12" i="1" s="1"/>
  <c r="I12" i="1" s="1"/>
  <c r="F58" i="1"/>
  <c r="G58" i="1" s="1"/>
  <c r="F72" i="1"/>
  <c r="G72" i="1" s="1"/>
  <c r="I72" i="1" s="1"/>
  <c r="F82" i="1"/>
  <c r="G82" i="1" s="1"/>
  <c r="F94" i="1"/>
  <c r="G94" i="1" s="1"/>
  <c r="I94" i="1" s="1"/>
  <c r="F26" i="1"/>
  <c r="E26" i="1"/>
  <c r="E34" i="1"/>
  <c r="E35" i="1" s="1"/>
  <c r="F34" i="1"/>
  <c r="F17" i="1"/>
  <c r="E17" i="1"/>
  <c r="E15" i="1"/>
  <c r="F42" i="1"/>
  <c r="F61" i="1"/>
  <c r="E61" i="1"/>
  <c r="E16" i="1"/>
  <c r="G24" i="1"/>
  <c r="E25" i="1"/>
  <c r="F33" i="1"/>
  <c r="E41" i="1"/>
  <c r="E50" i="1"/>
  <c r="F50" i="1"/>
  <c r="F74" i="1"/>
  <c r="E74" i="1"/>
  <c r="F16" i="1"/>
  <c r="F25" i="1"/>
  <c r="E49" i="1"/>
  <c r="F73" i="1"/>
  <c r="E58" i="1"/>
  <c r="G59" i="1"/>
  <c r="I59" i="1" s="1"/>
  <c r="E60" i="1"/>
  <c r="H59" i="1"/>
  <c r="J59" i="1" s="1"/>
  <c r="F60" i="1"/>
  <c r="F83" i="1"/>
  <c r="E83" i="1"/>
  <c r="E82" i="1"/>
  <c r="E95" i="1"/>
  <c r="E97" i="1" s="1"/>
  <c r="E81" i="1"/>
  <c r="H95" i="1" l="1"/>
  <c r="J95" i="1" s="1"/>
  <c r="H93" i="1"/>
  <c r="J93" i="1" s="1"/>
  <c r="H72" i="1"/>
  <c r="J72" i="1" s="1"/>
  <c r="H96" i="1"/>
  <c r="J96" i="1" s="1"/>
  <c r="H41" i="1"/>
  <c r="J41" i="1" s="1"/>
  <c r="G30" i="3"/>
  <c r="Q23" i="3"/>
  <c r="R23" i="3" s="1"/>
  <c r="S23" i="3" s="1"/>
  <c r="Q17" i="3"/>
  <c r="R17" i="3" s="1"/>
  <c r="S17" i="3" s="1"/>
  <c r="H32" i="1"/>
  <c r="J32" i="1" s="1"/>
  <c r="G49" i="1"/>
  <c r="I49" i="1" s="1"/>
  <c r="H82" i="1"/>
  <c r="J82" i="1" s="1"/>
  <c r="H48" i="1"/>
  <c r="J48" i="1" s="1"/>
  <c r="B15" i="4"/>
  <c r="B17" i="4" s="1"/>
  <c r="B19" i="4" s="1"/>
  <c r="I28" i="2"/>
  <c r="J29" i="3"/>
  <c r="L29" i="3" s="1"/>
  <c r="Q20" i="3"/>
  <c r="R20" i="3" s="1"/>
  <c r="S20" i="3" s="1"/>
  <c r="K20" i="3"/>
  <c r="Q15" i="3"/>
  <c r="R15" i="3" s="1"/>
  <c r="S15" i="3" s="1"/>
  <c r="Q27" i="3"/>
  <c r="R27" i="3" s="1"/>
  <c r="S27" i="3" s="1"/>
  <c r="Q21" i="3"/>
  <c r="R21" i="3" s="1"/>
  <c r="S21" i="3" s="1"/>
  <c r="Q24" i="3"/>
  <c r="R24" i="3" s="1"/>
  <c r="S24" i="3" s="1"/>
  <c r="N22" i="3"/>
  <c r="O22" i="3" s="1"/>
  <c r="P22" i="3" s="1"/>
  <c r="Q29" i="3"/>
  <c r="R29" i="3" s="1"/>
  <c r="S29" i="3" s="1"/>
  <c r="K24" i="3"/>
  <c r="O25" i="3"/>
  <c r="P25" i="3" s="1"/>
  <c r="N26" i="3"/>
  <c r="O26" i="3" s="1"/>
  <c r="K12" i="3"/>
  <c r="Q14" i="3"/>
  <c r="R14" i="3" s="1"/>
  <c r="S14" i="3" s="1"/>
  <c r="Q18" i="3"/>
  <c r="R18" i="3" s="1"/>
  <c r="S18" i="3" s="1"/>
  <c r="J28" i="3"/>
  <c r="L28" i="3" s="1"/>
  <c r="I28" i="3"/>
  <c r="K28" i="3" s="1"/>
  <c r="K21" i="3"/>
  <c r="J25" i="3"/>
  <c r="L25" i="3" s="1"/>
  <c r="I25" i="3"/>
  <c r="K25" i="3" s="1"/>
  <c r="J22" i="3"/>
  <c r="L22" i="3" s="1"/>
  <c r="I22" i="3"/>
  <c r="K22" i="3" s="1"/>
  <c r="Q16" i="3"/>
  <c r="R16" i="3" s="1"/>
  <c r="S16" i="3" s="1"/>
  <c r="K16" i="3"/>
  <c r="Q19" i="3"/>
  <c r="R19" i="3" s="1"/>
  <c r="S19" i="3" s="1"/>
  <c r="I58" i="1"/>
  <c r="H15" i="1"/>
  <c r="J15" i="1" s="1"/>
  <c r="H94" i="1"/>
  <c r="J94" i="1" s="1"/>
  <c r="H38" i="1"/>
  <c r="J38" i="1" s="1"/>
  <c r="H12" i="1"/>
  <c r="J12" i="1" s="1"/>
  <c r="H21" i="1"/>
  <c r="J21" i="1" s="1"/>
  <c r="H81" i="1"/>
  <c r="J81" i="1" s="1"/>
  <c r="F19" i="2"/>
  <c r="F28" i="2"/>
  <c r="H58" i="1"/>
  <c r="J58" i="1" s="1"/>
  <c r="I95" i="1"/>
  <c r="I97" i="1" s="1"/>
  <c r="I82" i="1"/>
  <c r="E43" i="1"/>
  <c r="F43" i="1"/>
  <c r="G74" i="1"/>
  <c r="I74" i="1" s="1"/>
  <c r="H74" i="1"/>
  <c r="J74" i="1" s="1"/>
  <c r="H33" i="1"/>
  <c r="J33" i="1" s="1"/>
  <c r="G33" i="1"/>
  <c r="I41" i="1"/>
  <c r="E18" i="1"/>
  <c r="H17" i="1"/>
  <c r="J17" i="1" s="1"/>
  <c r="G17" i="1"/>
  <c r="I17" i="1" s="1"/>
  <c r="H26" i="1"/>
  <c r="J26" i="1" s="1"/>
  <c r="G26" i="1"/>
  <c r="I26" i="1" s="1"/>
  <c r="I15" i="1"/>
  <c r="G97" i="1"/>
  <c r="I81" i="1"/>
  <c r="H25" i="1"/>
  <c r="J25" i="1" s="1"/>
  <c r="G25" i="1"/>
  <c r="I25" i="1" s="1"/>
  <c r="E75" i="1"/>
  <c r="F75" i="1"/>
  <c r="H34" i="1"/>
  <c r="J34" i="1" s="1"/>
  <c r="G34" i="1"/>
  <c r="I34" i="1" s="1"/>
  <c r="E27" i="1"/>
  <c r="F27" i="1"/>
  <c r="H83" i="1"/>
  <c r="J83" i="1" s="1"/>
  <c r="G83" i="1"/>
  <c r="I83" i="1" s="1"/>
  <c r="H60" i="1"/>
  <c r="J60" i="1" s="1"/>
  <c r="G60" i="1"/>
  <c r="H16" i="1"/>
  <c r="J16" i="1" s="1"/>
  <c r="G16" i="1"/>
  <c r="H50" i="1"/>
  <c r="J50" i="1" s="1"/>
  <c r="G50" i="1"/>
  <c r="H61" i="1"/>
  <c r="J61" i="1" s="1"/>
  <c r="G61" i="1"/>
  <c r="I61" i="1" s="1"/>
  <c r="F84" i="1"/>
  <c r="E84" i="1"/>
  <c r="H73" i="1"/>
  <c r="J73" i="1" s="1"/>
  <c r="G73" i="1"/>
  <c r="F51" i="1"/>
  <c r="E51" i="1"/>
  <c r="I24" i="1"/>
  <c r="F62" i="1"/>
  <c r="E62" i="1"/>
  <c r="G42" i="1"/>
  <c r="I42" i="1" s="1"/>
  <c r="H42" i="1"/>
  <c r="J42" i="1" s="1"/>
  <c r="P26" i="3" l="1"/>
  <c r="Q26" i="3" s="1"/>
  <c r="R26" i="3" s="1"/>
  <c r="S26" i="3" s="1"/>
  <c r="O30" i="3"/>
  <c r="Q28" i="3"/>
  <c r="R28" i="3" s="1"/>
  <c r="S28" i="3" s="1"/>
  <c r="P30" i="3"/>
  <c r="Q12" i="3"/>
  <c r="R12" i="3" s="1"/>
  <c r="S12" i="3" s="1"/>
  <c r="Q22" i="3"/>
  <c r="R22" i="3" s="1"/>
  <c r="S22" i="3" s="1"/>
  <c r="I30" i="3"/>
  <c r="Q25" i="3"/>
  <c r="R25" i="3" s="1"/>
  <c r="S25" i="3" s="1"/>
  <c r="K30" i="3"/>
  <c r="H62" i="1"/>
  <c r="J62" i="1" s="1"/>
  <c r="G62" i="1"/>
  <c r="I62" i="1" s="1"/>
  <c r="G51" i="1"/>
  <c r="I51" i="1" s="1"/>
  <c r="H51" i="1"/>
  <c r="J51" i="1" s="1"/>
  <c r="E52" i="1"/>
  <c r="F52" i="1"/>
  <c r="H84" i="1"/>
  <c r="J84" i="1" s="1"/>
  <c r="G84" i="1"/>
  <c r="I84" i="1" s="1"/>
  <c r="I60" i="1"/>
  <c r="F28" i="1"/>
  <c r="E28" i="1"/>
  <c r="E29" i="1" s="1"/>
  <c r="G43" i="1"/>
  <c r="I43" i="1" s="1"/>
  <c r="H43" i="1"/>
  <c r="J43" i="1" s="1"/>
  <c r="F85" i="1"/>
  <c r="E85" i="1"/>
  <c r="H75" i="1"/>
  <c r="J75" i="1" s="1"/>
  <c r="G75" i="1"/>
  <c r="I75" i="1" s="1"/>
  <c r="E44" i="1"/>
  <c r="E45" i="1" s="1"/>
  <c r="F44" i="1"/>
  <c r="F63" i="1"/>
  <c r="E63" i="1"/>
  <c r="I16" i="1"/>
  <c r="I18" i="1" s="1"/>
  <c r="G18" i="1"/>
  <c r="H27" i="1"/>
  <c r="J27" i="1" s="1"/>
  <c r="G27" i="1"/>
  <c r="I27" i="1" s="1"/>
  <c r="F76" i="1"/>
  <c r="E76" i="1"/>
  <c r="I33" i="1"/>
  <c r="I35" i="1" s="1"/>
  <c r="G35" i="1"/>
  <c r="I73" i="1"/>
  <c r="I50" i="1"/>
  <c r="G76" i="1" l="1"/>
  <c r="I76" i="1" s="1"/>
  <c r="H76" i="1"/>
  <c r="J76" i="1" s="1"/>
  <c r="F53" i="1"/>
  <c r="E53" i="1"/>
  <c r="E77" i="1"/>
  <c r="E78" i="1" s="1"/>
  <c r="F77" i="1"/>
  <c r="H63" i="1"/>
  <c r="J63" i="1" s="1"/>
  <c r="G63" i="1"/>
  <c r="I63" i="1" s="1"/>
  <c r="F64" i="1"/>
  <c r="E64" i="1"/>
  <c r="H85" i="1"/>
  <c r="J85" i="1" s="1"/>
  <c r="G85" i="1"/>
  <c r="G44" i="1"/>
  <c r="I44" i="1" s="1"/>
  <c r="I45" i="1" s="1"/>
  <c r="H44" i="1"/>
  <c r="J44" i="1" s="1"/>
  <c r="F86" i="1"/>
  <c r="E86" i="1"/>
  <c r="G28" i="1"/>
  <c r="I28" i="1" s="1"/>
  <c r="I29" i="1" s="1"/>
  <c r="H28" i="1"/>
  <c r="J28" i="1" s="1"/>
  <c r="H52" i="1"/>
  <c r="J52" i="1" s="1"/>
  <c r="G52" i="1"/>
  <c r="G45" i="1" l="1"/>
  <c r="H86" i="1"/>
  <c r="J86" i="1" s="1"/>
  <c r="G86" i="1"/>
  <c r="I86" i="1" s="1"/>
  <c r="I85" i="1"/>
  <c r="H64" i="1"/>
  <c r="J64" i="1" s="1"/>
  <c r="G64" i="1"/>
  <c r="I64" i="1" s="1"/>
  <c r="G53" i="1"/>
  <c r="I53" i="1" s="1"/>
  <c r="H53" i="1"/>
  <c r="J53" i="1" s="1"/>
  <c r="I52" i="1"/>
  <c r="F87" i="1"/>
  <c r="E87" i="1"/>
  <c r="F65" i="1"/>
  <c r="E65" i="1"/>
  <c r="E54" i="1"/>
  <c r="E55" i="1" s="1"/>
  <c r="F54" i="1"/>
  <c r="H77" i="1"/>
  <c r="J77" i="1" s="1"/>
  <c r="G77" i="1"/>
  <c r="G29" i="1"/>
  <c r="H65" i="1" l="1"/>
  <c r="J65" i="1" s="1"/>
  <c r="G65" i="1"/>
  <c r="F66" i="1"/>
  <c r="E66" i="1"/>
  <c r="H87" i="1"/>
  <c r="J87" i="1" s="1"/>
  <c r="G87" i="1"/>
  <c r="F88" i="1"/>
  <c r="E88" i="1"/>
  <c r="H54" i="1"/>
  <c r="J54" i="1" s="1"/>
  <c r="G54" i="1"/>
  <c r="I77" i="1"/>
  <c r="I78" i="1" s="1"/>
  <c r="G78" i="1"/>
  <c r="I54" i="1" l="1"/>
  <c r="I55" i="1" s="1"/>
  <c r="G55" i="1"/>
  <c r="H88" i="1"/>
  <c r="J88" i="1" s="1"/>
  <c r="G88" i="1"/>
  <c r="I88" i="1" s="1"/>
  <c r="I65" i="1"/>
  <c r="F89" i="1"/>
  <c r="E89" i="1"/>
  <c r="E90" i="1" s="1"/>
  <c r="I87" i="1"/>
  <c r="H66" i="1"/>
  <c r="J66" i="1" s="1"/>
  <c r="G66" i="1"/>
  <c r="I66" i="1" s="1"/>
  <c r="F67" i="1"/>
  <c r="E67" i="1"/>
  <c r="H67" i="1" l="1"/>
  <c r="J67" i="1" s="1"/>
  <c r="G67" i="1"/>
  <c r="I67" i="1" s="1"/>
  <c r="H89" i="1"/>
  <c r="J89" i="1" s="1"/>
  <c r="G89" i="1"/>
  <c r="F68" i="1"/>
  <c r="E68" i="1"/>
  <c r="E69" i="1" s="1"/>
  <c r="H68" i="1" l="1"/>
  <c r="J68" i="1" s="1"/>
  <c r="G68" i="1"/>
  <c r="I89" i="1"/>
  <c r="I90" i="1" s="1"/>
  <c r="G90" i="1"/>
  <c r="I68" i="1" l="1"/>
  <c r="I69" i="1" s="1"/>
  <c r="I100" i="1" s="1"/>
  <c r="C27" i="4" s="1"/>
  <c r="G69" i="1"/>
  <c r="G100" i="1" s="1"/>
  <c r="L12" i="1" l="1"/>
  <c r="L15" i="1"/>
  <c r="M15" i="1" s="1"/>
  <c r="L16" i="1"/>
  <c r="L18" i="1" s="1"/>
  <c r="L17" i="1"/>
  <c r="L21" i="1"/>
  <c r="M21" i="1" s="1"/>
  <c r="N21" i="1" s="1"/>
  <c r="O21" i="1" s="1"/>
  <c r="P21" i="1" s="1"/>
  <c r="L24" i="1"/>
  <c r="M24" i="1" s="1"/>
  <c r="L25" i="1"/>
  <c r="L26" i="1"/>
  <c r="L27" i="1"/>
  <c r="M27" i="1" s="1"/>
  <c r="N27" i="1" s="1"/>
  <c r="O27" i="1" s="1"/>
  <c r="P27" i="1" s="1"/>
  <c r="L28" i="1"/>
  <c r="M28" i="1" s="1"/>
  <c r="N28" i="1" s="1"/>
  <c r="O28" i="1" s="1"/>
  <c r="P28" i="1" s="1"/>
  <c r="L32" i="1"/>
  <c r="M32" i="1" s="1"/>
  <c r="L33" i="1"/>
  <c r="M33" i="1" s="1"/>
  <c r="N33" i="1" s="1"/>
  <c r="O33" i="1" s="1"/>
  <c r="P33" i="1" s="1"/>
  <c r="L34" i="1"/>
  <c r="M34" i="1" s="1"/>
  <c r="L38" i="1"/>
  <c r="L41" i="1"/>
  <c r="M41" i="1" s="1"/>
  <c r="L42" i="1"/>
  <c r="M42" i="1" s="1"/>
  <c r="N42" i="1" s="1"/>
  <c r="O42" i="1" s="1"/>
  <c r="P42" i="1" s="1"/>
  <c r="L43" i="1"/>
  <c r="L44" i="1"/>
  <c r="L48" i="1"/>
  <c r="M48" i="1" s="1"/>
  <c r="L49" i="1"/>
  <c r="M49" i="1" s="1"/>
  <c r="N49" i="1" s="1"/>
  <c r="O49" i="1" s="1"/>
  <c r="P49" i="1" s="1"/>
  <c r="L50" i="1"/>
  <c r="M50" i="1" s="1"/>
  <c r="L51" i="1"/>
  <c r="L52" i="1"/>
  <c r="M52" i="1" s="1"/>
  <c r="N52" i="1" s="1"/>
  <c r="O52" i="1" s="1"/>
  <c r="P52" i="1" s="1"/>
  <c r="L53" i="1"/>
  <c r="M53" i="1" s="1"/>
  <c r="N53" i="1" s="1"/>
  <c r="O53" i="1" s="1"/>
  <c r="P53" i="1" s="1"/>
  <c r="L54" i="1"/>
  <c r="L58" i="1"/>
  <c r="M58" i="1" s="1"/>
  <c r="L59" i="1"/>
  <c r="M59" i="1" s="1"/>
  <c r="L60" i="1"/>
  <c r="L61" i="1"/>
  <c r="L62" i="1"/>
  <c r="M62" i="1" s="1"/>
  <c r="N62" i="1" s="1"/>
  <c r="O62" i="1" s="1"/>
  <c r="P62" i="1" s="1"/>
  <c r="L63" i="1"/>
  <c r="L64" i="1"/>
  <c r="L65" i="1"/>
  <c r="M65" i="1" s="1"/>
  <c r="N65" i="1" s="1"/>
  <c r="O65" i="1" s="1"/>
  <c r="P65" i="1" s="1"/>
  <c r="L66" i="1"/>
  <c r="M66" i="1" s="1"/>
  <c r="N66" i="1" s="1"/>
  <c r="O66" i="1" s="1"/>
  <c r="P66" i="1" s="1"/>
  <c r="L67" i="1"/>
  <c r="L68" i="1"/>
  <c r="M68" i="1" s="1"/>
  <c r="N68" i="1" s="1"/>
  <c r="O68" i="1" s="1"/>
  <c r="P68" i="1" s="1"/>
  <c r="L72" i="1"/>
  <c r="M72" i="1" s="1"/>
  <c r="L73" i="1"/>
  <c r="L74" i="1"/>
  <c r="M74" i="1" s="1"/>
  <c r="N74" i="1" s="1"/>
  <c r="O74" i="1" s="1"/>
  <c r="P74" i="1" s="1"/>
  <c r="L75" i="1"/>
  <c r="M75" i="1" s="1"/>
  <c r="N75" i="1" s="1"/>
  <c r="O75" i="1" s="1"/>
  <c r="P75" i="1" s="1"/>
  <c r="L76" i="1"/>
  <c r="L77" i="1"/>
  <c r="M77" i="1" s="1"/>
  <c r="N77" i="1" s="1"/>
  <c r="O77" i="1" s="1"/>
  <c r="P77" i="1" s="1"/>
  <c r="L81" i="1"/>
  <c r="M81" i="1" s="1"/>
  <c r="L82" i="1"/>
  <c r="L83" i="1"/>
  <c r="M83" i="1" s="1"/>
  <c r="N83" i="1" s="1"/>
  <c r="O83" i="1" s="1"/>
  <c r="P83" i="1" s="1"/>
  <c r="L84" i="1"/>
  <c r="M84" i="1" s="1"/>
  <c r="N84" i="1" s="1"/>
  <c r="O84" i="1" s="1"/>
  <c r="P84" i="1" s="1"/>
  <c r="L85" i="1"/>
  <c r="L86" i="1"/>
  <c r="L87" i="1"/>
  <c r="M87" i="1" s="1"/>
  <c r="N87" i="1" s="1"/>
  <c r="O87" i="1" s="1"/>
  <c r="P87" i="1" s="1"/>
  <c r="L88" i="1"/>
  <c r="M88" i="1" s="1"/>
  <c r="N88" i="1" s="1"/>
  <c r="O88" i="1" s="1"/>
  <c r="P88" i="1" s="1"/>
  <c r="L89" i="1"/>
  <c r="L93" i="1"/>
  <c r="M93" i="1" s="1"/>
  <c r="L94" i="1"/>
  <c r="M94" i="1" s="1"/>
  <c r="L95" i="1"/>
  <c r="L96" i="1"/>
  <c r="M96" i="1" l="1"/>
  <c r="N96" i="1" s="1"/>
  <c r="O96" i="1" s="1"/>
  <c r="P96" i="1" s="1"/>
  <c r="M95" i="1"/>
  <c r="N95" i="1" s="1"/>
  <c r="O95" i="1" s="1"/>
  <c r="P95" i="1" s="1"/>
  <c r="M86" i="1"/>
  <c r="N86" i="1" s="1"/>
  <c r="O86" i="1" s="1"/>
  <c r="P86" i="1" s="1"/>
  <c r="M73" i="1"/>
  <c r="N73" i="1" s="1"/>
  <c r="O73" i="1" s="1"/>
  <c r="P73" i="1" s="1"/>
  <c r="M67" i="1"/>
  <c r="N67" i="1" s="1"/>
  <c r="O67" i="1" s="1"/>
  <c r="P67" i="1" s="1"/>
  <c r="M43" i="1"/>
  <c r="N43" i="1" s="1"/>
  <c r="O43" i="1" s="1"/>
  <c r="P43" i="1" s="1"/>
  <c r="M38" i="1"/>
  <c r="N38" i="1" s="1"/>
  <c r="O38" i="1" s="1"/>
  <c r="P38" i="1" s="1"/>
  <c r="M25" i="1"/>
  <c r="N25" i="1" s="1"/>
  <c r="O25" i="1" s="1"/>
  <c r="P25" i="1" s="1"/>
  <c r="M12" i="1"/>
  <c r="N12" i="1" s="1"/>
  <c r="O12" i="1" s="1"/>
  <c r="P12" i="1" s="1"/>
  <c r="M85" i="1"/>
  <c r="N85" i="1" s="1"/>
  <c r="O85" i="1" s="1"/>
  <c r="P85" i="1" s="1"/>
  <c r="M64" i="1"/>
  <c r="N64" i="1" s="1"/>
  <c r="O64" i="1" s="1"/>
  <c r="P64" i="1" s="1"/>
  <c r="M61" i="1"/>
  <c r="N61" i="1" s="1"/>
  <c r="O61" i="1" s="1"/>
  <c r="P61" i="1" s="1"/>
  <c r="M54" i="1"/>
  <c r="N54" i="1" s="1"/>
  <c r="O54" i="1" s="1"/>
  <c r="P54" i="1" s="1"/>
  <c r="L29" i="1"/>
  <c r="M17" i="1"/>
  <c r="N17" i="1" s="1"/>
  <c r="O17" i="1" s="1"/>
  <c r="P17" i="1" s="1"/>
  <c r="M82" i="1"/>
  <c r="N82" i="1" s="1"/>
  <c r="O82" i="1" s="1"/>
  <c r="P82" i="1" s="1"/>
  <c r="M63" i="1"/>
  <c r="N63" i="1" s="1"/>
  <c r="O63" i="1" s="1"/>
  <c r="P63" i="1" s="1"/>
  <c r="M60" i="1"/>
  <c r="N60" i="1" s="1"/>
  <c r="O60" i="1" s="1"/>
  <c r="P60" i="1" s="1"/>
  <c r="M51" i="1"/>
  <c r="N51" i="1" s="1"/>
  <c r="O51" i="1" s="1"/>
  <c r="P51" i="1" s="1"/>
  <c r="M26" i="1"/>
  <c r="N26" i="1" s="1"/>
  <c r="O26" i="1" s="1"/>
  <c r="P26" i="1" s="1"/>
  <c r="M16" i="1"/>
  <c r="N16" i="1" s="1"/>
  <c r="O16" i="1" s="1"/>
  <c r="P16" i="1" s="1"/>
  <c r="M89" i="1"/>
  <c r="N89" i="1" s="1"/>
  <c r="O89" i="1" s="1"/>
  <c r="P89" i="1" s="1"/>
  <c r="M76" i="1"/>
  <c r="N76" i="1" s="1"/>
  <c r="O76" i="1" s="1"/>
  <c r="P76" i="1" s="1"/>
  <c r="M44" i="1"/>
  <c r="N44" i="1" s="1"/>
  <c r="O44" i="1" s="1"/>
  <c r="P44" i="1" s="1"/>
  <c r="N50" i="1"/>
  <c r="O50" i="1" s="1"/>
  <c r="P50" i="1" s="1"/>
  <c r="L55" i="1"/>
  <c r="L90" i="1"/>
  <c r="L78" i="1"/>
  <c r="N58" i="1"/>
  <c r="O58" i="1" s="1"/>
  <c r="P58" i="1" s="1"/>
  <c r="N32" i="1"/>
  <c r="O32" i="1" s="1"/>
  <c r="P32" i="1" s="1"/>
  <c r="N93" i="1"/>
  <c r="O93" i="1" s="1"/>
  <c r="P93" i="1" s="1"/>
  <c r="N34" i="1"/>
  <c r="O34" i="1" s="1"/>
  <c r="P34" i="1" s="1"/>
  <c r="L35" i="1"/>
  <c r="N48" i="1"/>
  <c r="O48" i="1" s="1"/>
  <c r="P48" i="1" s="1"/>
  <c r="L45" i="1"/>
  <c r="N24" i="1"/>
  <c r="O24" i="1" s="1"/>
  <c r="P24" i="1" s="1"/>
  <c r="N94" i="1"/>
  <c r="O94" i="1" s="1"/>
  <c r="P94" i="1" s="1"/>
  <c r="L97" i="1"/>
  <c r="N15" i="1"/>
  <c r="O15" i="1" s="1"/>
  <c r="P15" i="1" s="1"/>
  <c r="N59" i="1"/>
  <c r="O59" i="1" s="1"/>
  <c r="P59" i="1" s="1"/>
  <c r="L69" i="1"/>
  <c r="M18" i="1" l="1"/>
  <c r="M29" i="1"/>
  <c r="M55" i="1"/>
  <c r="M45" i="1"/>
  <c r="N41" i="1"/>
  <c r="O41" i="1" s="1"/>
  <c r="P41" i="1" s="1"/>
  <c r="M35" i="1"/>
  <c r="N72" i="1"/>
  <c r="O72" i="1" s="1"/>
  <c r="P72" i="1" s="1"/>
  <c r="M78" i="1"/>
  <c r="M97" i="1"/>
  <c r="M69" i="1"/>
  <c r="N81" i="1"/>
  <c r="O81" i="1" s="1"/>
  <c r="P81" i="1" s="1"/>
  <c r="M90" i="1"/>
  <c r="L100" i="1"/>
  <c r="D11" i="2" s="1"/>
  <c r="D12" i="2" l="1"/>
  <c r="D21" i="2" s="1"/>
  <c r="F11" i="2"/>
  <c r="F12" i="2" s="1"/>
  <c r="F21" i="2" s="1"/>
  <c r="F31" i="2" s="1"/>
  <c r="H11" i="2"/>
  <c r="M100" i="1"/>
  <c r="O32" i="3"/>
  <c r="H12" i="2" l="1"/>
  <c r="H21" i="2" s="1"/>
  <c r="H31" i="2" s="1"/>
  <c r="I11" i="2"/>
  <c r="I12" i="2" s="1"/>
  <c r="I21" i="2" s="1"/>
  <c r="I31" i="2" s="1"/>
  <c r="C12" i="4"/>
  <c r="D31" i="2"/>
  <c r="P32" i="3"/>
  <c r="O34" i="3"/>
  <c r="I32" i="3"/>
  <c r="I34" i="3" s="1"/>
  <c r="K32" i="3" l="1"/>
  <c r="K34" i="3" s="1"/>
  <c r="C28" i="4" s="1"/>
  <c r="C30" i="4" s="1"/>
  <c r="Q32" i="3"/>
  <c r="R32" i="3" s="1"/>
  <c r="S32" i="3" s="1"/>
  <c r="P34" i="3"/>
  <c r="I4" i="1"/>
  <c r="G10" i="4"/>
  <c r="C11" i="4"/>
  <c r="G11" i="4"/>
  <c r="C13" i="4"/>
  <c r="G15" i="4"/>
  <c r="B20" i="4"/>
  <c r="C24" i="4"/>
  <c r="I4" i="3"/>
  <c r="J11" i="2"/>
  <c r="K11" i="2"/>
  <c r="K12" i="2"/>
  <c r="J18" i="2"/>
  <c r="K18" i="2"/>
  <c r="K19" i="2"/>
  <c r="K21" i="2"/>
  <c r="K31" i="2"/>
</calcChain>
</file>

<file path=xl/sharedStrings.xml><?xml version="1.0" encoding="utf-8"?>
<sst xmlns="http://schemas.openxmlformats.org/spreadsheetml/2006/main" count="204" uniqueCount="138">
  <si>
    <t>Commercial</t>
  </si>
  <si>
    <t>Commercial Priceout</t>
  </si>
  <si>
    <t>North Sound</t>
  </si>
  <si>
    <t>Total</t>
  </si>
  <si>
    <t>Pro Forma</t>
  </si>
  <si>
    <t>%</t>
  </si>
  <si>
    <t>Average</t>
  </si>
  <si>
    <t xml:space="preserve"># of </t>
  </si>
  <si>
    <t>Current</t>
  </si>
  <si>
    <t>Annual</t>
  </si>
  <si>
    <t>Proposed</t>
  </si>
  <si>
    <t>Price</t>
  </si>
  <si>
    <t>Revenue</t>
  </si>
  <si>
    <t>INC.</t>
  </si>
  <si>
    <t>lbs./</t>
  </si>
  <si>
    <t>Disposal</t>
  </si>
  <si>
    <t>Row Labels</t>
  </si>
  <si>
    <t>Containers</t>
  </si>
  <si>
    <t>Freq.</t>
  </si>
  <si>
    <t>Rate</t>
  </si>
  <si>
    <t>Diff.</t>
  </si>
  <si>
    <t>(DEC.)</t>
  </si>
  <si>
    <t>Can/YD</t>
  </si>
  <si>
    <t>Tons</t>
  </si>
  <si>
    <t>fee</t>
  </si>
  <si>
    <t>Service</t>
  </si>
  <si>
    <t>Total King County</t>
  </si>
  <si>
    <t>1AM 1-32 GAL CAN MSW</t>
  </si>
  <si>
    <t>CM1 35 GAL CART MSW 1X WK</t>
  </si>
  <si>
    <t>CET 15-35 GAL CARTS MSW</t>
  </si>
  <si>
    <t>CFT 16-35 GAL CARTS MSW</t>
  </si>
  <si>
    <t>1DM 1-64 GAL CART MSW</t>
  </si>
  <si>
    <t>EME 96 GAL CART MSW EOW</t>
  </si>
  <si>
    <t>1EM 1-96 GAL CART MSW</t>
  </si>
  <si>
    <t>2EM 2-96 GAL CARTS MSW</t>
  </si>
  <si>
    <t>3EM 3-96 GAL CARTS MSW</t>
  </si>
  <si>
    <t>4EM 4-96 GAL CARTS MSW</t>
  </si>
  <si>
    <t>111 1-1 YD 1X PER WEEK</t>
  </si>
  <si>
    <t>211 2-1 YD 1X PER WEEK</t>
  </si>
  <si>
    <t>112 1-1 YD 2X PER WEEK</t>
  </si>
  <si>
    <t>151 1-1.5 YD 1X PER WEEK</t>
  </si>
  <si>
    <t>121 1-2 YD 1X PER WEEK</t>
  </si>
  <si>
    <t>321 3-2 YD 1X PER WEEK</t>
  </si>
  <si>
    <t>122 1-2 YD 2X PER WEEK</t>
  </si>
  <si>
    <t>123 1-2 YD 3X PER WEEK</t>
  </si>
  <si>
    <t>131 1-3 YD 1X PER WEEK</t>
  </si>
  <si>
    <t>231 2-3 YD 1X PER WEEK</t>
  </si>
  <si>
    <t>331 3-3 YD 1X PER WEEK</t>
  </si>
  <si>
    <t>531 5-3 YD 1X PER WEEK</t>
  </si>
  <si>
    <t>132 1-3 YD 2X PER WEEK</t>
  </si>
  <si>
    <t>233 2-3 YD 3X PER WEEK</t>
  </si>
  <si>
    <t>134 1-3 YD 4X PER WEEK</t>
  </si>
  <si>
    <t>141 1-4 YD 1X PER WEEK</t>
  </si>
  <si>
    <t>241 2-4 YD 1X PER WEEK</t>
  </si>
  <si>
    <t>341 3-4 YD 1X PER WEEK</t>
  </si>
  <si>
    <t>441 4-4 YD 1X PER WEEK</t>
  </si>
  <si>
    <t>641 6-4 YD 1X PER WEEK</t>
  </si>
  <si>
    <t>142 1-4 YD 2X PER WEEK</t>
  </si>
  <si>
    <t>242 2-4 YD 2X PER WEEK</t>
  </si>
  <si>
    <t>143 1-4 YD 3X PER WEEK</t>
  </si>
  <si>
    <t>443 4-4 YD 3X PER WEEK</t>
  </si>
  <si>
    <t>144 1-4 YD 4X PER WEEK</t>
  </si>
  <si>
    <t>146 1-4 YD 6X PER WEEK</t>
  </si>
  <si>
    <t>161 1-6 YD 1X PER WEEK</t>
  </si>
  <si>
    <t>261 2-6 YD 1X PER WEEK</t>
  </si>
  <si>
    <t>461 4-6 YD 1X PER WEEK</t>
  </si>
  <si>
    <t>162 1-6 YD 2X PER WEEK</t>
  </si>
  <si>
    <t>562 5-6 YD 2X PER WEEK</t>
  </si>
  <si>
    <t>163 1-6 YD 3X PER WEEK</t>
  </si>
  <si>
    <t>181 1-8 YD 1X PER WEEK</t>
  </si>
  <si>
    <t>281 2-8 YD 1X PER WEEK</t>
  </si>
  <si>
    <t>481 4-8 YD 1X PER WEEK</t>
  </si>
  <si>
    <t>182 1-8 YD 2X PER WEEK</t>
  </si>
  <si>
    <t>282 2-8 YD 2X PER WEEK</t>
  </si>
  <si>
    <t>183 1-8 YD 3X PER WEEK</t>
  </si>
  <si>
    <t>283 2-8 YD 3X PER WEEK</t>
  </si>
  <si>
    <t>184 1-8 YD 4X PER WEEK</t>
  </si>
  <si>
    <t>185 1-8 YD 5X PER WEEK</t>
  </si>
  <si>
    <t>2C1 2 YD COMPACTOR 1X WK</t>
  </si>
  <si>
    <t>3C1 3 YD COMPACTOR 1X WK</t>
  </si>
  <si>
    <t>3C2 3 YD COMPACTOR 2X WK</t>
  </si>
  <si>
    <t>6C2 6 YD COMPACTOR 2X WK</t>
  </si>
  <si>
    <t>January 1, 2014 - December 31, 2014</t>
  </si>
  <si>
    <t>Cost</t>
  </si>
  <si>
    <t>Regulated</t>
  </si>
  <si>
    <t>King County</t>
  </si>
  <si>
    <t>Residential</t>
  </si>
  <si>
    <t>Roll Off</t>
  </si>
  <si>
    <t>TG-151382</t>
  </si>
  <si>
    <t>Residential Priceout</t>
  </si>
  <si>
    <t>Customers</t>
  </si>
  <si>
    <t>Spread</t>
  </si>
  <si>
    <t>C3M 32 GAL CAN MSW 1X MO</t>
  </si>
  <si>
    <t>T5M 35 GAL CART MSW 1X MO</t>
  </si>
  <si>
    <t>C21 1-20 GAL MINI CAN MSW</t>
  </si>
  <si>
    <t>C2T 20 GAL CART MSW</t>
  </si>
  <si>
    <t>C31 1-32 GAL CAN MSW</t>
  </si>
  <si>
    <t>C32 2-32 GAL CANS MSW</t>
  </si>
  <si>
    <t>C33 3-32 GAL CANS MSW</t>
  </si>
  <si>
    <t>C34 4-32 GAL CANS MSW</t>
  </si>
  <si>
    <t>T51 1-35 GAL CART MSW</t>
  </si>
  <si>
    <t>T52 2-35 GAL CARTS MSW</t>
  </si>
  <si>
    <t>T61 1-64 GAL CART MSW</t>
  </si>
  <si>
    <t>T62 2-64 GAL CARTS MSW</t>
  </si>
  <si>
    <t>T63 3-64 GAL CARTS MSW</t>
  </si>
  <si>
    <t>T64 4-64 GAL CARTS MSW</t>
  </si>
  <si>
    <t>T91 1-96 GAL CART MSW</t>
  </si>
  <si>
    <t>T92 2-96 GAL CARTS MSW</t>
  </si>
  <si>
    <t>T93 3-96 GAL CARTS MSW</t>
  </si>
  <si>
    <t>Extras</t>
  </si>
  <si>
    <t>T53 3-35 GAL CARTS MSW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</si>
  <si>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</si>
  <si>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</si>
  <si>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</si>
  <si>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</si>
  <si>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</si>
  <si>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</si>
  <si>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</si>
  <si>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</si>
  <si>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</si>
  <si>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Transfer Station</t>
  </si>
  <si>
    <t>Increase per ton</t>
  </si>
  <si>
    <t>Grossed Up Increase per ton</t>
  </si>
  <si>
    <t>Tons Collected</t>
  </si>
  <si>
    <t>Disposal Fee Revenue Increase</t>
  </si>
  <si>
    <t>Factor</t>
  </si>
  <si>
    <t>before RO</t>
  </si>
  <si>
    <t>after RO</t>
  </si>
  <si>
    <t>Revenue Sensitive costs</t>
  </si>
  <si>
    <r>
      <rPr>
        <b/>
        <sz val="11"/>
        <color indexed="8"/>
        <rFont val="Calibri"/>
        <family val="2"/>
      </rPr>
      <t>(a)</t>
    </r>
    <r>
      <rPr>
        <sz val="11"/>
        <color theme="1"/>
        <rFont val="Calibri"/>
        <family val="2"/>
        <scheme val="minor"/>
      </rPr>
      <t xml:space="preserve">  As Roll off disposal is a pass through, the revenue associated costs due to the increase in roll off disposal fees must be borne by the commercial and residential customers.</t>
    </r>
  </si>
  <si>
    <t>Adj.</t>
  </si>
  <si>
    <t>Expense</t>
  </si>
  <si>
    <t>Gross up</t>
  </si>
  <si>
    <t>Regulated Revenue and Expense Adjustment</t>
  </si>
  <si>
    <t>Waste Management of North Sound &amp; Marysville</t>
  </si>
  <si>
    <t>Revenue Sensitive Costs distributed to Res'l and Com'l (a)</t>
  </si>
  <si>
    <t>Roll Off disposal Pass Through</t>
  </si>
  <si>
    <t>Revenue Sensitive Costs associated with Dispsosal Pass Thru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</si>
</sst>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%"/>
    <numFmt numFmtId="167" formatCode="_(&quot;$&quot;* #,##0_);_(&quot;$&quot;* \(#,##0\);_(&quot;$&quot;* &quot;-&quot;??_);_(@_)"/>
    <numFmt numFmtId="168" formatCode="0.0000%"/>
    <numFmt numFmtId="169" formatCode="General_)"/>
    <numFmt numFmtId="170" formatCode="_(&quot;$&quot;* #,##0.000_);_(&quot;$&quot;* \(#,##0.000\);_(&quot;$&quot;* &quot;-&quot;??_);_(@_)"/>
    <numFmt numFmtId="171" formatCode="_(&quot;$&quot;* #,##0.000000_);_(&quot;$&quot;* \(#,##0.000000\);_(&quot;$&quot;* &quot;-&quot;??_);_(@_)"/>
    <numFmt numFmtId="172" formatCode="0.000000"/>
    <numFmt numFmtId="173" formatCode="0.0%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5"/>
      <color rgb="FF7030A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Arial MT"/>
    </font>
    <font>
      <b/>
      <sz val="10"/>
      <name val="Arial"/>
      <family val="2"/>
    </font>
    <font>
      <b/>
      <u/>
      <sz val="10"/>
      <name val="Arial MT"/>
    </font>
    <font>
      <b/>
      <sz val="10"/>
      <color rgb="FFFF0000"/>
      <name val="Arial MT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name val="Arial MT"/>
    </font>
    <font>
      <sz val="10"/>
      <name val="Arial MT"/>
    </font>
    <font>
      <b/>
      <u val="doubleAccounting"/>
      <sz val="10"/>
      <name val="Arial"/>
      <family val="2"/>
    </font>
    <font>
      <b/>
      <sz val="12"/>
      <color indexed="8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10"/>
      <name val="Helv"/>
    </font>
    <font>
      <sz val="10"/>
      <color rgb="FFFF0000"/>
      <name val="Arial"/>
      <family val="2"/>
    </font>
    <font>
      <u val="singleAccounting"/>
      <sz val="10"/>
      <name val="Arial MT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Helv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196">
    <xf numFmtId="0" fontId="0" fillId="0" borderId="0" xfId="0"/>
    <xf numFmtId="0" fontId="3" fillId="0" borderId="0" xfId="0" applyFont="1" applyFill="1" applyBorder="1" applyAlignment="1">
      <alignment horizontal="left"/>
    </xf>
    <xf numFmtId="164" fontId="2" fillId="0" borderId="0" xfId="1" applyNumberFormat="1" applyFont="1"/>
    <xf numFmtId="165" fontId="2" fillId="0" borderId="0" xfId="1" applyNumberFormat="1" applyFont="1"/>
    <xf numFmtId="43" fontId="2" fillId="0" borderId="0" xfId="1" applyFont="1"/>
    <xf numFmtId="164" fontId="6" fillId="0" borderId="0" xfId="1" applyNumberFormat="1" applyFont="1" applyAlignment="1">
      <alignment horizontal="left"/>
    </xf>
    <xf numFmtId="164" fontId="7" fillId="0" borderId="0" xfId="1" applyNumberFormat="1" applyFont="1"/>
    <xf numFmtId="165" fontId="6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44" fontId="8" fillId="0" borderId="0" xfId="2" applyFont="1" applyAlignment="1">
      <alignment horizontal="center"/>
    </xf>
    <xf numFmtId="43" fontId="7" fillId="0" borderId="0" xfId="1" applyFont="1"/>
    <xf numFmtId="164" fontId="9" fillId="0" borderId="0" xfId="1" applyNumberFormat="1" applyFont="1" applyAlignment="1">
      <alignment horizontal="center"/>
    </xf>
    <xf numFmtId="10" fontId="9" fillId="0" borderId="0" xfId="3" applyNumberFormat="1" applyFont="1" applyAlignment="1">
      <alignment horizontal="center"/>
    </xf>
    <xf numFmtId="44" fontId="7" fillId="0" borderId="0" xfId="2" applyFont="1"/>
    <xf numFmtId="166" fontId="7" fillId="0" borderId="0" xfId="3" applyNumberFormat="1" applyFont="1"/>
    <xf numFmtId="167" fontId="7" fillId="0" borderId="0" xfId="2" applyNumberFormat="1" applyFont="1"/>
    <xf numFmtId="44" fontId="6" fillId="0" borderId="0" xfId="2" applyFont="1" applyAlignment="1">
      <alignment horizontal="center"/>
    </xf>
    <xf numFmtId="37" fontId="10" fillId="0" borderId="0" xfId="4" applyNumberFormat="1" applyFont="1" applyAlignment="1" applyProtection="1">
      <alignment horizontal="center"/>
    </xf>
    <xf numFmtId="0" fontId="10" fillId="0" borderId="0" xfId="4" applyFont="1" applyAlignment="1">
      <alignment horizontal="center"/>
    </xf>
    <xf numFmtId="43" fontId="4" fillId="0" borderId="0" xfId="1" applyFont="1"/>
    <xf numFmtId="164" fontId="11" fillId="0" borderId="0" xfId="5" applyNumberFormat="1" applyFont="1" applyAlignment="1">
      <alignment horizontal="center"/>
    </xf>
    <xf numFmtId="10" fontId="4" fillId="0" borderId="0" xfId="6" applyNumberFormat="1" applyFont="1"/>
    <xf numFmtId="0" fontId="4" fillId="0" borderId="0" xfId="4" applyFont="1"/>
    <xf numFmtId="44" fontId="4" fillId="0" borderId="0" xfId="7" applyFont="1"/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Font="1" applyAlignment="1">
      <alignment horizontal="center"/>
    </xf>
    <xf numFmtId="167" fontId="2" fillId="0" borderId="0" xfId="2" applyNumberFormat="1" applyFont="1" applyAlignment="1">
      <alignment horizontal="center"/>
    </xf>
    <xf numFmtId="43" fontId="11" fillId="0" borderId="0" xfId="1" applyFont="1" applyAlignment="1">
      <alignment horizontal="center"/>
    </xf>
    <xf numFmtId="43" fontId="11" fillId="0" borderId="0" xfId="1" applyFont="1" applyBorder="1"/>
    <xf numFmtId="0" fontId="11" fillId="0" borderId="0" xfId="4" applyFont="1" applyAlignment="1">
      <alignment horizontal="center"/>
    </xf>
    <xf numFmtId="10" fontId="11" fillId="0" borderId="0" xfId="6" applyNumberFormat="1" applyFont="1" applyAlignment="1">
      <alignment horizontal="center"/>
    </xf>
    <xf numFmtId="0" fontId="11" fillId="0" borderId="0" xfId="4" applyFont="1"/>
    <xf numFmtId="44" fontId="11" fillId="0" borderId="0" xfId="7" applyFont="1"/>
    <xf numFmtId="164" fontId="7" fillId="0" borderId="0" xfId="1" applyNumberFormat="1" applyFont="1" applyAlignment="1">
      <alignment horizontal="center"/>
    </xf>
    <xf numFmtId="44" fontId="7" fillId="0" borderId="0" xfId="2" applyFont="1" applyAlignment="1">
      <alignment horizontal="center"/>
    </xf>
    <xf numFmtId="167" fontId="6" fillId="0" borderId="0" xfId="2" applyNumberFormat="1" applyFont="1" applyAlignment="1">
      <alignment horizontal="center"/>
    </xf>
    <xf numFmtId="0" fontId="12" fillId="0" borderId="0" xfId="4" applyFont="1" applyBorder="1" applyAlignment="1">
      <alignment horizontal="center"/>
    </xf>
    <xf numFmtId="164" fontId="0" fillId="0" borderId="0" xfId="5" applyNumberFormat="1" applyFont="1"/>
    <xf numFmtId="164" fontId="2" fillId="0" borderId="0" xfId="5" applyNumberFormat="1" applyFont="1" applyAlignment="1">
      <alignment horizontal="center"/>
    </xf>
    <xf numFmtId="165" fontId="0" fillId="0" borderId="0" xfId="5" applyNumberFormat="1" applyFont="1"/>
    <xf numFmtId="44" fontId="0" fillId="0" borderId="0" xfId="7" applyFont="1"/>
    <xf numFmtId="167" fontId="0" fillId="0" borderId="0" xfId="7" applyNumberFormat="1" applyFont="1"/>
    <xf numFmtId="43" fontId="0" fillId="0" borderId="0" xfId="5" applyFont="1"/>
    <xf numFmtId="44" fontId="13" fillId="2" borderId="1" xfId="7" applyFont="1" applyFill="1" applyBorder="1" applyAlignment="1">
      <alignment horizontal="center"/>
    </xf>
    <xf numFmtId="164" fontId="6" fillId="0" borderId="0" xfId="5" applyNumberFormat="1" applyFont="1" applyAlignment="1">
      <alignment horizontal="left"/>
    </xf>
    <xf numFmtId="164" fontId="7" fillId="0" borderId="0" xfId="5" applyNumberFormat="1" applyFont="1" applyAlignment="1">
      <alignment horizontal="center"/>
    </xf>
    <xf numFmtId="164" fontId="14" fillId="3" borderId="0" xfId="5" applyNumberFormat="1" applyFont="1" applyFill="1"/>
    <xf numFmtId="167" fontId="14" fillId="0" borderId="0" xfId="7" applyNumberFormat="1" applyFont="1"/>
    <xf numFmtId="44" fontId="10" fillId="0" borderId="0" xfId="7" applyFont="1" applyBorder="1" applyProtection="1"/>
    <xf numFmtId="167" fontId="15" fillId="0" borderId="0" xfId="7" applyNumberFormat="1" applyFont="1"/>
    <xf numFmtId="44" fontId="15" fillId="0" borderId="0" xfId="4" applyNumberFormat="1" applyFont="1"/>
    <xf numFmtId="167" fontId="15" fillId="0" borderId="0" xfId="4" applyNumberFormat="1" applyFont="1"/>
    <xf numFmtId="10" fontId="16" fillId="0" borderId="0" xfId="4" applyNumberFormat="1" applyFont="1" applyProtection="1"/>
    <xf numFmtId="43" fontId="15" fillId="0" borderId="0" xfId="5" applyFont="1" applyAlignment="1">
      <alignment horizontal="center"/>
    </xf>
    <xf numFmtId="43" fontId="15" fillId="0" borderId="0" xfId="5" applyFont="1"/>
    <xf numFmtId="164" fontId="15" fillId="0" borderId="0" xfId="5" applyNumberFormat="1" applyFont="1"/>
    <xf numFmtId="10" fontId="15" fillId="0" borderId="0" xfId="6" applyNumberFormat="1" applyFont="1"/>
    <xf numFmtId="44" fontId="15" fillId="0" borderId="0" xfId="7" applyFont="1"/>
    <xf numFmtId="164" fontId="0" fillId="3" borderId="0" xfId="5" applyNumberFormat="1" applyFont="1" applyFill="1"/>
    <xf numFmtId="164" fontId="4" fillId="3" borderId="0" xfId="5" applyNumberFormat="1" applyFont="1" applyFill="1"/>
    <xf numFmtId="44" fontId="17" fillId="0" borderId="0" xfId="7" applyFont="1" applyBorder="1" applyProtection="1"/>
    <xf numFmtId="167" fontId="4" fillId="0" borderId="0" xfId="7" applyNumberFormat="1" applyFont="1"/>
    <xf numFmtId="44" fontId="4" fillId="0" borderId="0" xfId="4" applyNumberFormat="1" applyFont="1"/>
    <xf numFmtId="167" fontId="4" fillId="0" borderId="0" xfId="4" applyNumberFormat="1" applyFont="1"/>
    <xf numFmtId="10" fontId="17" fillId="0" borderId="0" xfId="4" applyNumberFormat="1" applyFont="1" applyProtection="1"/>
    <xf numFmtId="43" fontId="4" fillId="0" borderId="0" xfId="5" applyFont="1" applyAlignment="1">
      <alignment horizontal="center"/>
    </xf>
    <xf numFmtId="43" fontId="4" fillId="0" borderId="0" xfId="5" applyFont="1"/>
    <xf numFmtId="164" fontId="4" fillId="0" borderId="0" xfId="5" applyNumberFormat="1" applyFont="1"/>
    <xf numFmtId="167" fontId="14" fillId="0" borderId="0" xfId="4" applyNumberFormat="1" applyFont="1"/>
    <xf numFmtId="43" fontId="14" fillId="0" borderId="0" xfId="5" applyFont="1"/>
    <xf numFmtId="164" fontId="14" fillId="0" borderId="0" xfId="5" applyNumberFormat="1" applyFont="1"/>
    <xf numFmtId="164" fontId="15" fillId="3" borderId="0" xfId="5" applyNumberFormat="1" applyFont="1" applyFill="1"/>
    <xf numFmtId="164" fontId="7" fillId="3" borderId="0" xfId="5" applyNumberFormat="1" applyFont="1" applyFill="1" applyAlignment="1">
      <alignment horizontal="center"/>
    </xf>
    <xf numFmtId="44" fontId="16" fillId="0" borderId="0" xfId="7" applyFont="1" applyBorder="1" applyProtection="1"/>
    <xf numFmtId="167" fontId="18" fillId="0" borderId="0" xfId="7" applyNumberFormat="1" applyFont="1"/>
    <xf numFmtId="43" fontId="18" fillId="0" borderId="0" xfId="5" applyFont="1"/>
    <xf numFmtId="10" fontId="13" fillId="2" borderId="1" xfId="6" applyNumberFormat="1" applyFont="1" applyFill="1" applyBorder="1" applyAlignment="1">
      <alignment horizontal="center"/>
    </xf>
    <xf numFmtId="167" fontId="15" fillId="0" borderId="0" xfId="2" applyNumberFormat="1" applyFont="1"/>
    <xf numFmtId="0" fontId="19" fillId="0" borderId="0" xfId="8" applyFont="1" applyFill="1" applyBorder="1"/>
    <xf numFmtId="0" fontId="21" fillId="0" borderId="0" xfId="0" applyFont="1"/>
    <xf numFmtId="0" fontId="0" fillId="0" borderId="0" xfId="0" applyBorder="1"/>
    <xf numFmtId="0" fontId="20" fillId="0" borderId="0" xfId="0" applyFont="1" applyAlignment="1">
      <alignment horizontal="left"/>
    </xf>
    <xf numFmtId="0" fontId="4" fillId="0" borderId="0" xfId="0" applyFont="1"/>
    <xf numFmtId="167" fontId="14" fillId="0" borderId="0" xfId="7" applyNumberFormat="1" applyFont="1" applyBorder="1"/>
    <xf numFmtId="167" fontId="21" fillId="0" borderId="0" xfId="7" applyNumberFormat="1" applyFont="1" applyBorder="1"/>
    <xf numFmtId="44" fontId="21" fillId="0" borderId="0" xfId="7" applyFont="1" applyBorder="1"/>
    <xf numFmtId="167" fontId="15" fillId="0" borderId="0" xfId="7" applyNumberFormat="1" applyFont="1" applyBorder="1"/>
    <xf numFmtId="167" fontId="15" fillId="0" borderId="0" xfId="0" applyNumberFormat="1" applyFont="1" applyBorder="1"/>
    <xf numFmtId="167" fontId="0" fillId="0" borderId="0" xfId="0" applyNumberFormat="1" applyBorder="1"/>
    <xf numFmtId="44" fontId="0" fillId="0" borderId="0" xfId="7" applyFont="1" applyBorder="1"/>
    <xf numFmtId="167" fontId="14" fillId="0" borderId="0" xfId="5" applyNumberFormat="1" applyFont="1" applyBorder="1"/>
    <xf numFmtId="0" fontId="23" fillId="0" borderId="0" xfId="0" applyFont="1"/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3" fontId="14" fillId="0" borderId="0" xfId="5" applyFont="1" applyBorder="1"/>
    <xf numFmtId="43" fontId="21" fillId="0" borderId="0" xfId="0" applyNumberFormat="1" applyFont="1" applyBorder="1"/>
    <xf numFmtId="43" fontId="0" fillId="0" borderId="0" xfId="0" applyNumberFormat="1" applyBorder="1"/>
    <xf numFmtId="44" fontId="2" fillId="0" borderId="0" xfId="7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5" applyNumberFormat="1" applyFont="1"/>
    <xf numFmtId="164" fontId="8" fillId="0" borderId="0" xfId="5" applyNumberFormat="1" applyFont="1" applyAlignment="1">
      <alignment horizontal="center"/>
    </xf>
    <xf numFmtId="44" fontId="8" fillId="0" borderId="0" xfId="7" applyFont="1" applyAlignment="1">
      <alignment horizontal="center"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0" xfId="5" applyNumberFormat="1" applyFont="1" applyAlignment="1">
      <alignment horizontal="center"/>
    </xf>
    <xf numFmtId="169" fontId="11" fillId="0" borderId="0" xfId="4" applyNumberFormat="1" applyFont="1" applyAlignment="1" applyProtection="1">
      <alignment horizontal="center"/>
    </xf>
    <xf numFmtId="43" fontId="11" fillId="0" borderId="0" xfId="5" applyFont="1" applyAlignment="1">
      <alignment horizontal="center"/>
    </xf>
    <xf numFmtId="0" fontId="11" fillId="0" borderId="0" xfId="4" applyFont="1" applyBorder="1"/>
    <xf numFmtId="0" fontId="7" fillId="0" borderId="0" xfId="0" applyFont="1" applyAlignment="1">
      <alignment horizontal="center"/>
    </xf>
    <xf numFmtId="44" fontId="7" fillId="0" borderId="0" xfId="7" applyFont="1" applyAlignment="1">
      <alignment horizontal="center"/>
    </xf>
    <xf numFmtId="169" fontId="21" fillId="0" borderId="0" xfId="4" applyNumberFormat="1" applyFont="1" applyBorder="1" applyAlignment="1" applyProtection="1">
      <alignment horizontal="center"/>
    </xf>
    <xf numFmtId="43" fontId="21" fillId="0" borderId="0" xfId="5" applyFont="1" applyBorder="1" applyAlignment="1">
      <alignment horizontal="center"/>
    </xf>
    <xf numFmtId="0" fontId="21" fillId="0" borderId="0" xfId="4" applyFont="1" applyBorder="1" applyAlignment="1">
      <alignment horizontal="center"/>
    </xf>
    <xf numFmtId="164" fontId="21" fillId="0" borderId="0" xfId="5" applyNumberFormat="1" applyFont="1" applyBorder="1" applyAlignment="1">
      <alignment horizontal="center"/>
    </xf>
    <xf numFmtId="0" fontId="21" fillId="0" borderId="0" xfId="4" applyFont="1" applyBorder="1" applyAlignment="1">
      <alignment horizontal="right"/>
    </xf>
    <xf numFmtId="44" fontId="21" fillId="0" borderId="0" xfId="7" applyFont="1" applyBorder="1" applyAlignment="1">
      <alignment horizontal="right"/>
    </xf>
    <xf numFmtId="167" fontId="17" fillId="0" borderId="0" xfId="7" applyNumberFormat="1" applyFont="1" applyProtection="1"/>
    <xf numFmtId="44" fontId="17" fillId="0" borderId="0" xfId="7" applyFont="1" applyProtection="1"/>
    <xf numFmtId="169" fontId="24" fillId="0" borderId="0" xfId="4" applyNumberFormat="1" applyFont="1" applyProtection="1"/>
    <xf numFmtId="43" fontId="25" fillId="0" borderId="0" xfId="5" applyFont="1"/>
    <xf numFmtId="167" fontId="26" fillId="0" borderId="0" xfId="7" applyNumberFormat="1" applyFont="1" applyProtection="1"/>
    <xf numFmtId="164" fontId="6" fillId="3" borderId="0" xfId="5" applyNumberFormat="1" applyFont="1" applyFill="1"/>
    <xf numFmtId="43" fontId="0" fillId="0" borderId="0" xfId="5" applyNumberFormat="1" applyFont="1"/>
    <xf numFmtId="44" fontId="4" fillId="0" borderId="0" xfId="7" applyFont="1" applyBorder="1"/>
    <xf numFmtId="44" fontId="11" fillId="0" borderId="0" xfId="7" applyFont="1" applyBorder="1"/>
    <xf numFmtId="0" fontId="1" fillId="0" borderId="0" xfId="0" applyFont="1" applyBorder="1"/>
    <xf numFmtId="0" fontId="2" fillId="0" borderId="0" xfId="0" applyFont="1"/>
    <xf numFmtId="0" fontId="0" fillId="0" borderId="0" xfId="0" applyFont="1"/>
    <xf numFmtId="0" fontId="2" fillId="4" borderId="2" xfId="0" applyFont="1" applyFill="1" applyBorder="1"/>
    <xf numFmtId="0" fontId="0" fillId="4" borderId="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1" fillId="0" borderId="0" xfId="2" applyFont="1" applyFill="1"/>
    <xf numFmtId="170" fontId="1" fillId="0" borderId="0" xfId="2" applyNumberFormat="1" applyFont="1" applyFill="1"/>
    <xf numFmtId="168" fontId="1" fillId="0" borderId="0" xfId="3" applyNumberFormat="1" applyFont="1"/>
    <xf numFmtId="170" fontId="1" fillId="0" borderId="2" xfId="2" applyNumberFormat="1" applyFont="1" applyFill="1" applyBorder="1"/>
    <xf numFmtId="168" fontId="1" fillId="0" borderId="0" xfId="3" applyNumberFormat="1" applyFont="1" applyBorder="1"/>
    <xf numFmtId="0" fontId="0" fillId="0" borderId="0" xfId="0" applyFont="1" applyAlignment="1">
      <alignment horizontal="left" indent="1"/>
    </xf>
    <xf numFmtId="171" fontId="1" fillId="0" borderId="0" xfId="2" applyNumberFormat="1" applyFont="1" applyFill="1"/>
    <xf numFmtId="168" fontId="22" fillId="0" borderId="0" xfId="6" applyNumberFormat="1" applyFont="1" applyAlignment="1">
      <alignment horizontal="right"/>
    </xf>
    <xf numFmtId="168" fontId="0" fillId="0" borderId="0" xfId="0" applyNumberFormat="1"/>
    <xf numFmtId="0" fontId="0" fillId="4" borderId="2" xfId="0" applyFont="1" applyFill="1" applyBorder="1"/>
    <xf numFmtId="44" fontId="0" fillId="0" borderId="0" xfId="0" applyNumberFormat="1" applyFont="1"/>
    <xf numFmtId="168" fontId="28" fillId="0" borderId="0" xfId="3" applyNumberFormat="1" applyFont="1"/>
    <xf numFmtId="168" fontId="29" fillId="0" borderId="0" xfId="3" applyNumberFormat="1" applyFont="1"/>
    <xf numFmtId="164" fontId="1" fillId="0" borderId="2" xfId="1" applyNumberFormat="1" applyFont="1" applyBorder="1"/>
    <xf numFmtId="172" fontId="0" fillId="0" borderId="0" xfId="0" applyNumberFormat="1" applyFont="1"/>
    <xf numFmtId="167" fontId="1" fillId="0" borderId="0" xfId="2" applyNumberFormat="1" applyFont="1"/>
    <xf numFmtId="168" fontId="28" fillId="0" borderId="0" xfId="0" applyNumberFormat="1" applyFont="1"/>
    <xf numFmtId="167" fontId="27" fillId="0" borderId="0" xfId="2" applyNumberFormat="1" applyFont="1"/>
    <xf numFmtId="167" fontId="30" fillId="0" borderId="0" xfId="0" applyNumberFormat="1" applyFont="1"/>
    <xf numFmtId="44" fontId="1" fillId="0" borderId="0" xfId="2" applyFont="1"/>
    <xf numFmtId="167" fontId="14" fillId="0" borderId="0" xfId="2" applyNumberFormat="1" applyFont="1" applyBorder="1"/>
    <xf numFmtId="167" fontId="27" fillId="0" borderId="0" xfId="0" applyNumberFormat="1" applyFont="1"/>
    <xf numFmtId="43" fontId="30" fillId="0" borderId="0" xfId="0" applyNumberFormat="1" applyFont="1" applyBorder="1"/>
    <xf numFmtId="167" fontId="30" fillId="0" borderId="0" xfId="2" applyNumberFormat="1" applyFont="1" applyBorder="1"/>
    <xf numFmtId="43" fontId="23" fillId="0" borderId="0" xfId="0" applyNumberFormat="1" applyFont="1"/>
    <xf numFmtId="167" fontId="23" fillId="0" borderId="0" xfId="2" applyNumberFormat="1" applyFont="1"/>
    <xf numFmtId="0" fontId="21" fillId="0" borderId="0" xfId="0" applyFont="1" applyFill="1" applyBorder="1" applyAlignment="1">
      <alignment horizontal="center"/>
    </xf>
    <xf numFmtId="10" fontId="0" fillId="0" borderId="0" xfId="3" applyNumberFormat="1" applyFont="1"/>
    <xf numFmtId="43" fontId="15" fillId="0" borderId="0" xfId="1" applyFont="1" applyBorder="1" applyAlignment="1">
      <alignment horizontal="center"/>
    </xf>
    <xf numFmtId="164" fontId="15" fillId="0" borderId="0" xfId="5" applyNumberFormat="1" applyFont="1" applyBorder="1" applyAlignment="1">
      <alignment horizontal="center"/>
    </xf>
    <xf numFmtId="0" fontId="15" fillId="0" borderId="0" xfId="4" applyFont="1" applyBorder="1" applyAlignment="1">
      <alignment horizontal="right"/>
    </xf>
    <xf numFmtId="44" fontId="15" fillId="0" borderId="0" xfId="7" applyFont="1" applyBorder="1" applyAlignment="1">
      <alignment horizontal="right"/>
    </xf>
    <xf numFmtId="164" fontId="8" fillId="0" borderId="0" xfId="5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5" applyNumberFormat="1" applyFont="1" applyFill="1" applyAlignment="1">
      <alignment horizontal="center"/>
    </xf>
    <xf numFmtId="0" fontId="10" fillId="0" borderId="0" xfId="4" applyFont="1" applyFill="1" applyAlignment="1">
      <alignment horizontal="center"/>
    </xf>
    <xf numFmtId="0" fontId="12" fillId="0" borderId="0" xfId="4" applyFont="1" applyFill="1" applyBorder="1" applyAlignment="1">
      <alignment horizontal="center"/>
    </xf>
    <xf numFmtId="164" fontId="0" fillId="0" borderId="0" xfId="5" applyNumberFormat="1" applyFont="1" applyFill="1"/>
    <xf numFmtId="164" fontId="7" fillId="0" borderId="0" xfId="5" applyNumberFormat="1" applyFont="1" applyFill="1" applyAlignment="1">
      <alignment horizontal="center"/>
    </xf>
    <xf numFmtId="44" fontId="17" fillId="0" borderId="0" xfId="7" applyFont="1" applyFill="1" applyBorder="1" applyProtection="1"/>
    <xf numFmtId="0" fontId="0" fillId="0" borderId="0" xfId="0" applyFill="1"/>
    <xf numFmtId="167" fontId="32" fillId="0" borderId="0" xfId="2" applyNumberFormat="1" applyFont="1" applyProtection="1"/>
    <xf numFmtId="167" fontId="2" fillId="0" borderId="0" xfId="0" applyNumberFormat="1" applyFont="1" applyAlignment="1">
      <alignment horizontal="center"/>
    </xf>
    <xf numFmtId="164" fontId="33" fillId="0" borderId="0" xfId="5" applyNumberFormat="1" applyFont="1" applyFill="1"/>
    <xf numFmtId="0" fontId="33" fillId="0" borderId="0" xfId="0" applyFont="1" applyFill="1"/>
    <xf numFmtId="2" fontId="0" fillId="0" borderId="0" xfId="0" applyNumberFormat="1"/>
    <xf numFmtId="43" fontId="15" fillId="0" borderId="0" xfId="0" applyNumberFormat="1" applyFont="1" applyBorder="1"/>
    <xf numFmtId="44" fontId="15" fillId="0" borderId="0" xfId="7" applyFont="1" applyBorder="1"/>
    <xf numFmtId="0" fontId="15" fillId="0" borderId="0" xfId="0" applyFont="1"/>
    <xf numFmtId="167" fontId="2" fillId="0" borderId="0" xfId="2" applyNumberFormat="1" applyFont="1"/>
    <xf numFmtId="167" fontId="27" fillId="0" borderId="0" xfId="7" applyNumberFormat="1" applyFont="1"/>
    <xf numFmtId="167" fontId="30" fillId="0" borderId="0" xfId="7" applyNumberFormat="1" applyFont="1"/>
    <xf numFmtId="167" fontId="4" fillId="0" borderId="0" xfId="2" applyNumberFormat="1" applyFont="1"/>
    <xf numFmtId="167" fontId="14" fillId="0" borderId="0" xfId="2" applyNumberFormat="1" applyFont="1"/>
    <xf numFmtId="167" fontId="0" fillId="0" borderId="0" xfId="2" applyNumberFormat="1" applyFont="1"/>
    <xf numFmtId="0" fontId="34" fillId="0" borderId="0" xfId="0" applyFont="1"/>
    <xf numFmtId="0" fontId="5" fillId="0" borderId="0" xfId="0" applyFont="1" applyAlignment="1"/>
    <xf numFmtId="44" fontId="35" fillId="0" borderId="2" xfId="2" applyFont="1" applyFill="1" applyBorder="1"/>
    <xf numFmtId="167" fontId="30" fillId="0" borderId="0" xfId="2" applyNumberFormat="1" applyFont="1"/>
    <xf numFmtId="173" fontId="2" fillId="0" borderId="0" xfId="3" applyNumberFormat="1" applyFont="1"/>
    <xf numFmtId="0" fontId="5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Alignment="1">
      <alignment vertical="top" wrapText="1"/>
    </xf>
  </cellXfs>
  <cellStyles count="9">
    <cellStyle name="Comma" xfId="1" builtinId="3"/>
    <cellStyle name="Comma 2 6 2 2" xfId="5"/>
    <cellStyle name="Currency" xfId="2" builtinId="4"/>
    <cellStyle name="Currency 2 6 2 2" xfId="7"/>
    <cellStyle name="Normal" xfId="0" builtinId="0"/>
    <cellStyle name="Normal 10 2" xfId="4"/>
    <cellStyle name="Normal 9 4" xfId="8"/>
    <cellStyle name="Percent" xfId="3" builtinId="5"/>
    <cellStyle name="Percent 2 6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weinst/Documents/WUTC%20Rate%20Cases/WM%20North%20Sound/2015%20Rate%20Case/TG-151382%20North%20Sound%20-%20Marysville%20staff%20fully%20adjusted%2008%2014%20%202015_maw%20review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Legend"/>
      <sheetName val="Checklist"/>
      <sheetName val="Inputs"/>
      <sheetName val="WTB"/>
      <sheetName val="Com'l Garbage"/>
      <sheetName val="Com'l Recycling"/>
      <sheetName val="Res'l Garbage"/>
      <sheetName val="Res'l Recycling"/>
      <sheetName val="Res'l Yard Waste"/>
      <sheetName val="Roll Off"/>
      <sheetName val="Monthly IS"/>
      <sheetName val="Summary of Restating Adj."/>
      <sheetName val="Summary of Pro Forma Adj."/>
      <sheetName val="Staff Reve Recon"/>
      <sheetName val="Com'l Priceout"/>
      <sheetName val="Res'l Priceout"/>
      <sheetName val="Roll Off Priceout"/>
      <sheetName val="Add'l Cart Price"/>
      <sheetName val="LG - Total"/>
      <sheetName val="LG - Garbage"/>
      <sheetName val="LG - Recycling"/>
      <sheetName val="LG - YW"/>
      <sheetName val="LG - Res'l Garb"/>
      <sheetName val="LG - Com'l Garbage Garb"/>
      <sheetName val="LG - Roll Off Garb"/>
      <sheetName val="Revenue Summary"/>
      <sheetName val="MF Revenue"/>
      <sheetName val="2014 Truck Purchases"/>
      <sheetName val="Staff DEPN w CNG"/>
      <sheetName val="Fixed Asset Reconciliation"/>
      <sheetName val="Co Fixed Asset Recon"/>
      <sheetName val="Detailed FA"/>
      <sheetName val="Balance Sheet"/>
      <sheetName val="Additions"/>
      <sheetName val="Bothell Gain TG-130938"/>
      <sheetName val="Amort. of Retire (gain) loss"/>
      <sheetName val="Retirements"/>
      <sheetName val="Transfers"/>
      <sheetName val="CIP"/>
      <sheetName val="Summary of Cost Allocators"/>
      <sheetName val="Commercial Garbage"/>
      <sheetName val="RO Hauls Summary"/>
      <sheetName val="Commercial Recycling"/>
      <sheetName val="Residential Garbage"/>
      <sheetName val="Residential Recycling"/>
      <sheetName val="Residential Yard Waste"/>
      <sheetName val="Route Density Data"/>
      <sheetName val="Disposal Summary"/>
      <sheetName val="Com'l FL"/>
      <sheetName val="Res'l RL"/>
      <sheetName val="Res'l YW"/>
      <sheetName val="Resi SL Rec."/>
      <sheetName val="RollOff"/>
      <sheetName val="Recycling Processing Summary"/>
      <sheetName val="CRC Fastlane "/>
      <sheetName val="YW processing Summary"/>
      <sheetName val="Disposal to Other Fac. 500800"/>
      <sheetName val="Municipal Franchise Fees"/>
      <sheetName val="509500 V"/>
      <sheetName val="Wage Rates"/>
      <sheetName val="H &amp; W"/>
      <sheetName val="Payroll Reconciliation"/>
      <sheetName val="Payroll Register"/>
      <sheetName val="STAFF Payroll Register"/>
      <sheetName val="Payroll Detail"/>
      <sheetName val="Overhead Summary"/>
      <sheetName val="Area Expenses by Dept."/>
      <sheetName val="Allocation of CDC"/>
      <sheetName val="PNW - Call Center Cost"/>
      <sheetName val="Corporate Allowable Cost"/>
      <sheetName val="Total OH by Dept."/>
      <sheetName val="Hours &amp; Services"/>
      <sheetName val="Revenue"/>
      <sheetName val="Total Operating Cost"/>
      <sheetName val="Head Count"/>
      <sheetName val="Northern Tier"/>
      <sheetName val="Corp. &amp; North Tier IS"/>
      <sheetName val="Pacific NW MA IS"/>
      <sheetName val="Container Shop Allocation"/>
      <sheetName val="Staff Diesel and Gas Adjustment"/>
      <sheetName val="Staff - CNG Adjustment"/>
      <sheetName val="Staff - Fuel Purchases"/>
      <sheetName val="Staff - CNG 2014-2015"/>
      <sheetName val="Fuel Purchases"/>
      <sheetName val="WRRA Fees"/>
      <sheetName val="MRF ROR Analysis"/>
      <sheetName val="CRC IS"/>
      <sheetName val="Staff - MRF ROR Analysis"/>
      <sheetName val="Staff - CRC IS"/>
      <sheetName val="Bad Debt Analysis"/>
      <sheetName val="Rent - 531200"/>
      <sheetName val="Rent Analysis"/>
      <sheetName val="WC Claims"/>
      <sheetName val="Staff Review Acct 518200"/>
      <sheetName val="Staff Misc Ex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8">
          <cell r="M58"/>
        </row>
        <row r="59">
          <cell r="M59"/>
        </row>
        <row r="60">
          <cell r="M60"/>
        </row>
        <row r="61">
          <cell r="M61"/>
        </row>
        <row r="62">
          <cell r="M62"/>
        </row>
        <row r="63">
          <cell r="M63"/>
        </row>
        <row r="64">
          <cell r="M64"/>
        </row>
        <row r="65">
          <cell r="M65"/>
        </row>
        <row r="66">
          <cell r="M66"/>
        </row>
        <row r="67">
          <cell r="M67"/>
        </row>
        <row r="68">
          <cell r="M68"/>
        </row>
        <row r="69">
          <cell r="M69"/>
        </row>
        <row r="70">
          <cell r="M70"/>
        </row>
        <row r="71">
          <cell r="M71"/>
        </row>
        <row r="72">
          <cell r="M72"/>
        </row>
        <row r="73">
          <cell r="M73"/>
        </row>
        <row r="74">
          <cell r="M74"/>
        </row>
        <row r="75">
          <cell r="M75"/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workbookViewId="0">
      <selection activeCell="F102" sqref="F102"/>
    </sheetView>
  </sheetViews>
  <sheetFormatPr defaultRowHeight="15"/>
  <cols>
    <col min="1" max="1" width="28.85546875" customWidth="1"/>
    <col min="2" max="2" width="12" bestFit="1" customWidth="1"/>
    <col min="3" max="3" width="7" bestFit="1" customWidth="1"/>
    <col min="5" max="5" width="14.28515625" bestFit="1" customWidth="1"/>
    <col min="6" max="6" width="9.5703125" bestFit="1" customWidth="1"/>
    <col min="7" max="7" width="14.28515625" bestFit="1" customWidth="1"/>
    <col min="8" max="8" width="7.7109375" bestFit="1" customWidth="1"/>
    <col min="9" max="9" width="12.5703125" bestFit="1" customWidth="1"/>
    <col min="10" max="10" width="6.42578125" bestFit="1" customWidth="1"/>
    <col min="11" max="12" width="9.28515625" bestFit="1" customWidth="1"/>
    <col min="13" max="13" width="11.28515625" bestFit="1" customWidth="1"/>
    <col min="14" max="15" width="8.5703125" bestFit="1" customWidth="1"/>
    <col min="16" max="16" width="9" bestFit="1" customWidth="1"/>
  </cols>
  <sheetData>
    <row r="1" spans="1:17" ht="19.5">
      <c r="A1" s="1" t="s">
        <v>134</v>
      </c>
      <c r="B1" s="2"/>
      <c r="C1" s="3"/>
      <c r="D1" s="189"/>
      <c r="E1" s="189"/>
      <c r="F1" s="189"/>
      <c r="G1" s="189"/>
      <c r="H1" s="189"/>
      <c r="I1" s="2"/>
      <c r="J1" s="2"/>
      <c r="K1" s="4"/>
      <c r="L1" s="4"/>
      <c r="M1" s="2"/>
      <c r="N1" s="2"/>
      <c r="O1" s="2"/>
      <c r="P1" s="2"/>
    </row>
    <row r="2" spans="1:17" ht="17.25">
      <c r="A2" s="2" t="s">
        <v>1</v>
      </c>
      <c r="B2" s="6"/>
      <c r="C2" s="7"/>
      <c r="D2" s="8"/>
      <c r="E2" s="8"/>
      <c r="F2" s="8"/>
      <c r="G2" s="8"/>
      <c r="H2" s="9"/>
      <c r="I2" s="6"/>
      <c r="J2" s="6"/>
      <c r="K2" s="10"/>
      <c r="L2" s="10"/>
      <c r="M2" s="6"/>
      <c r="N2" s="6"/>
      <c r="O2" s="6"/>
      <c r="P2" s="6"/>
    </row>
    <row r="3" spans="1:17" ht="17.25">
      <c r="A3" s="2" t="s">
        <v>88</v>
      </c>
      <c r="B3" s="6"/>
      <c r="C3" s="7"/>
      <c r="D3" s="8"/>
      <c r="E3" s="8"/>
      <c r="F3" s="8"/>
      <c r="G3" s="8"/>
      <c r="H3" s="9"/>
      <c r="I3" s="6"/>
      <c r="J3" s="6"/>
      <c r="K3" s="10"/>
      <c r="L3" s="10"/>
      <c r="M3" s="6"/>
      <c r="N3" s="6"/>
      <c r="O3" s="6"/>
      <c r="P3" s="6"/>
    </row>
    <row r="4" spans="1:17" ht="17.25">
      <c r="A4" s="2"/>
      <c r="B4" s="6"/>
      <c r="C4" s="7"/>
      <c r="D4" s="11"/>
      <c r="E4" s="11"/>
      <c r="F4" s="11"/>
      <c r="G4" s="11"/>
      <c r="H4" s="12"/>
      <c r="I4" s="2">
        <f ca="1">+I100-'Revenue &amp; Expense Adj.'!K12</f>
        <v>-137.87091855167819</v>
      </c>
      <c r="J4" s="6"/>
      <c r="K4" s="10"/>
      <c r="L4" s="10"/>
      <c r="M4" s="6"/>
      <c r="N4" s="6"/>
      <c r="O4" s="6"/>
      <c r="P4" s="6"/>
    </row>
    <row r="5" spans="1:17" ht="17.25">
      <c r="A5" s="2"/>
      <c r="B5" s="5"/>
      <c r="C5" s="5"/>
      <c r="D5" s="13"/>
      <c r="E5" s="14"/>
      <c r="F5" s="6"/>
      <c r="G5" s="6"/>
      <c r="H5" s="6"/>
      <c r="I5" s="6"/>
      <c r="J5" s="6"/>
      <c r="K5" s="10"/>
      <c r="L5" s="10"/>
      <c r="M5" s="6"/>
      <c r="N5" s="6"/>
      <c r="O5" s="6"/>
      <c r="P5" s="6"/>
    </row>
    <row r="6" spans="1:17" ht="17.25">
      <c r="A6" s="2"/>
      <c r="B6" s="6"/>
      <c r="C6" s="7"/>
      <c r="D6" s="13"/>
      <c r="E6" s="15"/>
      <c r="F6" s="6"/>
      <c r="G6" s="6"/>
      <c r="H6" s="6"/>
      <c r="I6" s="6"/>
      <c r="J6" s="6"/>
      <c r="K6" s="10"/>
      <c r="L6" s="10"/>
      <c r="M6" s="6"/>
      <c r="N6" s="6"/>
      <c r="O6" s="6"/>
      <c r="P6" s="6"/>
    </row>
    <row r="7" spans="1:17" ht="17.25">
      <c r="A7" s="6"/>
      <c r="B7" s="24" t="s">
        <v>3</v>
      </c>
      <c r="C7" s="7"/>
      <c r="D7" s="16"/>
      <c r="E7" s="15"/>
      <c r="F7" s="17"/>
      <c r="G7" s="18" t="s">
        <v>4</v>
      </c>
      <c r="H7" s="18"/>
      <c r="I7" s="18"/>
      <c r="J7" s="18" t="s">
        <v>5</v>
      </c>
      <c r="K7" s="19"/>
      <c r="L7" s="19"/>
      <c r="M7" s="20" t="s">
        <v>6</v>
      </c>
      <c r="N7" s="21"/>
      <c r="O7" s="22"/>
      <c r="P7" s="23"/>
    </row>
    <row r="8" spans="1:17">
      <c r="A8" s="6"/>
      <c r="B8" s="24" t="s">
        <v>7</v>
      </c>
      <c r="C8" s="25"/>
      <c r="D8" s="26" t="s">
        <v>8</v>
      </c>
      <c r="E8" s="27" t="s">
        <v>9</v>
      </c>
      <c r="F8" s="18" t="s">
        <v>10</v>
      </c>
      <c r="G8" s="18" t="s">
        <v>9</v>
      </c>
      <c r="H8" s="18" t="s">
        <v>11</v>
      </c>
      <c r="I8" s="18" t="s">
        <v>12</v>
      </c>
      <c r="J8" s="18" t="s">
        <v>13</v>
      </c>
      <c r="K8" s="28" t="s">
        <v>14</v>
      </c>
      <c r="L8" s="29"/>
      <c r="M8" s="30" t="s">
        <v>15</v>
      </c>
      <c r="N8" s="31" t="s">
        <v>5</v>
      </c>
      <c r="O8" s="32"/>
      <c r="P8" s="33"/>
    </row>
    <row r="9" spans="1:17" ht="18" thickBot="1">
      <c r="A9" s="34" t="s">
        <v>16</v>
      </c>
      <c r="B9" s="34" t="s">
        <v>17</v>
      </c>
      <c r="C9" s="7" t="s">
        <v>18</v>
      </c>
      <c r="D9" s="35" t="s">
        <v>19</v>
      </c>
      <c r="E9" s="36" t="s">
        <v>12</v>
      </c>
      <c r="F9" s="37" t="s">
        <v>19</v>
      </c>
      <c r="G9" s="37" t="s">
        <v>12</v>
      </c>
      <c r="H9" s="37" t="s">
        <v>20</v>
      </c>
      <c r="I9" s="37" t="s">
        <v>20</v>
      </c>
      <c r="J9" s="37" t="s">
        <v>21</v>
      </c>
      <c r="K9" s="161" t="s">
        <v>22</v>
      </c>
      <c r="L9" s="161" t="s">
        <v>23</v>
      </c>
      <c r="M9" s="162" t="s">
        <v>24</v>
      </c>
      <c r="N9" s="163" t="s">
        <v>15</v>
      </c>
      <c r="O9" s="163" t="s">
        <v>15</v>
      </c>
      <c r="P9" s="164" t="s">
        <v>25</v>
      </c>
    </row>
    <row r="10" spans="1:17" ht="15.75" thickBot="1">
      <c r="F10" s="77">
        <v>5.2499999999999998E-2</v>
      </c>
      <c r="M10" s="44">
        <f>+'Gross up Factor'!B6</f>
        <v>134.59</v>
      </c>
    </row>
    <row r="11" spans="1:17" ht="17.25">
      <c r="A11" s="45" t="s">
        <v>26</v>
      </c>
      <c r="B11" s="46"/>
      <c r="C11" s="40"/>
      <c r="D11" s="41"/>
      <c r="E11" s="42"/>
      <c r="F11" s="38"/>
      <c r="G11" s="38"/>
      <c r="H11" s="38"/>
      <c r="I11" s="38"/>
      <c r="J11" s="38"/>
      <c r="K11" s="43"/>
      <c r="L11" s="43"/>
      <c r="M11" s="38"/>
      <c r="N11" s="38"/>
      <c r="O11" s="38"/>
      <c r="P11" s="38"/>
      <c r="Q11" s="38"/>
    </row>
    <row r="12" spans="1:17" ht="16.5">
      <c r="A12" s="38" t="s">
        <v>27</v>
      </c>
      <c r="B12" s="47">
        <v>9.8867000000000012</v>
      </c>
      <c r="C12" s="40">
        <v>1</v>
      </c>
      <c r="D12" s="41">
        <v>4.67</v>
      </c>
      <c r="E12" s="48">
        <f>+D12*C12*B12*52</f>
        <v>2400.8862280000003</v>
      </c>
      <c r="F12" s="49">
        <f>ROUND(D12*(1+$F$10),2)</f>
        <v>4.92</v>
      </c>
      <c r="G12" s="50">
        <f>+F12*B12*C12*52</f>
        <v>2529.4133280000005</v>
      </c>
      <c r="H12" s="51">
        <f>+F12-D12</f>
        <v>0.25</v>
      </c>
      <c r="I12" s="52">
        <f>+G12-E12</f>
        <v>128.52710000000025</v>
      </c>
      <c r="J12" s="53">
        <f>H12/D12</f>
        <v>5.353319057815846E-2</v>
      </c>
      <c r="K12" s="54">
        <v>15.841584158415841</v>
      </c>
      <c r="L12" s="55">
        <f>+B12*C12*K12*52/2000</f>
        <v>4.072145742574258</v>
      </c>
      <c r="M12" s="56">
        <f>+$M$10*L12</f>
        <v>548.0700954930694</v>
      </c>
      <c r="N12" s="57">
        <f>+M12/G12</f>
        <v>0.21667874104483617</v>
      </c>
      <c r="O12" s="58">
        <f>+N12*F12</f>
        <v>1.0660594059405939</v>
      </c>
      <c r="P12" s="58">
        <f>+F12-O12</f>
        <v>3.8539405940594058</v>
      </c>
      <c r="Q12" s="38"/>
    </row>
    <row r="13" spans="1:17">
      <c r="A13" s="38"/>
      <c r="B13" s="59"/>
      <c r="C13" s="40"/>
      <c r="D13" s="41"/>
      <c r="E13" s="42"/>
      <c r="F13" s="38"/>
      <c r="G13" s="38"/>
      <c r="H13" s="38"/>
      <c r="I13" s="38"/>
      <c r="J13" s="38"/>
      <c r="K13" s="43"/>
      <c r="L13" s="43"/>
      <c r="M13" s="38"/>
      <c r="N13" s="38"/>
      <c r="O13" s="38"/>
      <c r="P13" s="38"/>
      <c r="Q13" s="38"/>
    </row>
    <row r="14" spans="1:17">
      <c r="A14" s="38"/>
      <c r="B14" s="59"/>
      <c r="C14" s="40"/>
      <c r="D14" s="41"/>
      <c r="E14" s="42"/>
      <c r="F14" s="38"/>
      <c r="G14" s="38"/>
      <c r="H14" s="38"/>
      <c r="I14" s="38"/>
      <c r="J14" s="38"/>
      <c r="K14" s="43"/>
      <c r="L14" s="43"/>
      <c r="M14" s="38"/>
      <c r="N14" s="38"/>
      <c r="O14" s="38"/>
      <c r="P14" s="38"/>
      <c r="Q14" s="38"/>
    </row>
    <row r="15" spans="1:17">
      <c r="A15" s="38" t="s">
        <v>28</v>
      </c>
      <c r="B15" s="60">
        <v>1.9773400000000001</v>
      </c>
      <c r="C15" s="40">
        <v>1</v>
      </c>
      <c r="D15" s="41">
        <v>4.9800000000000004</v>
      </c>
      <c r="E15" s="42">
        <f>+D15*C15*B15*52</f>
        <v>512.05196640000008</v>
      </c>
      <c r="F15" s="61">
        <f>ROUND(D15*(1+$F$10),2)</f>
        <v>5.24</v>
      </c>
      <c r="G15" s="62">
        <f>+F15*B15*C15*52</f>
        <v>538.78560320000008</v>
      </c>
      <c r="H15" s="63">
        <f t="shared" ref="H15:I17" si="0">+F15-D15</f>
        <v>0.25999999999999979</v>
      </c>
      <c r="I15" s="64">
        <f t="shared" si="0"/>
        <v>26.733636799999999</v>
      </c>
      <c r="J15" s="65">
        <f>H15/D15</f>
        <v>5.2208835341365417E-2</v>
      </c>
      <c r="K15" s="66">
        <v>17.326732673267326</v>
      </c>
      <c r="L15" s="67">
        <f>+B15*C15*K15*52/2000</f>
        <v>0.89078188118811874</v>
      </c>
      <c r="M15" s="68">
        <f>+$M$10*L15</f>
        <v>119.8903333891089</v>
      </c>
      <c r="N15" s="21">
        <f>+M15/G15</f>
        <v>0.22251955634494741</v>
      </c>
      <c r="O15" s="23">
        <f>+N15*F15</f>
        <v>1.1660024752475244</v>
      </c>
      <c r="P15" s="23">
        <f>+F15-O15</f>
        <v>4.0739975247524756</v>
      </c>
      <c r="Q15" s="38"/>
    </row>
    <row r="16" spans="1:17">
      <c r="A16" s="38" t="s">
        <v>29</v>
      </c>
      <c r="B16" s="60">
        <v>14.83005</v>
      </c>
      <c r="C16" s="40">
        <v>1</v>
      </c>
      <c r="D16" s="41">
        <v>4.9800000000000004</v>
      </c>
      <c r="E16" s="42">
        <f>+D16*C16*B16*52</f>
        <v>3840.3897480000001</v>
      </c>
      <c r="F16" s="61">
        <f>ROUND(D16*(1+$F$10),2)</f>
        <v>5.24</v>
      </c>
      <c r="G16" s="62">
        <f>+F16*B16*C16*52</f>
        <v>4040.8920240000002</v>
      </c>
      <c r="H16" s="63">
        <f t="shared" si="0"/>
        <v>0.25999999999999979</v>
      </c>
      <c r="I16" s="64">
        <f t="shared" si="0"/>
        <v>200.50227600000017</v>
      </c>
      <c r="J16" s="65">
        <f>H16/D16</f>
        <v>5.2208835341365417E-2</v>
      </c>
      <c r="K16" s="66">
        <v>17.326732673267326</v>
      </c>
      <c r="L16" s="67">
        <f>+B16*C16*K16*52/2000</f>
        <v>6.6808641089108916</v>
      </c>
      <c r="M16" s="68">
        <f>+$M$10*L16</f>
        <v>899.17750041831687</v>
      </c>
      <c r="N16" s="21">
        <f>+M16/G16</f>
        <v>0.22251955634494747</v>
      </c>
      <c r="O16" s="23">
        <f>+N16*F16</f>
        <v>1.1660024752475249</v>
      </c>
      <c r="P16" s="23">
        <f>+F16-O16</f>
        <v>4.0739975247524756</v>
      </c>
      <c r="Q16" s="38"/>
    </row>
    <row r="17" spans="1:17" ht="16.5">
      <c r="A17" s="38" t="s">
        <v>30</v>
      </c>
      <c r="B17" s="47">
        <v>15.818720000000001</v>
      </c>
      <c r="C17" s="40">
        <v>1</v>
      </c>
      <c r="D17" s="41">
        <v>4.9800000000000004</v>
      </c>
      <c r="E17" s="48">
        <f>+D17*C17*B17*52</f>
        <v>4096.4157312000007</v>
      </c>
      <c r="F17" s="61">
        <f>ROUND(D17*(1+$F$10),2)</f>
        <v>5.24</v>
      </c>
      <c r="G17" s="48">
        <f>+F17*B17*C17*52</f>
        <v>4310.2848256000007</v>
      </c>
      <c r="H17" s="63">
        <f t="shared" si="0"/>
        <v>0.25999999999999979</v>
      </c>
      <c r="I17" s="69">
        <f t="shared" si="0"/>
        <v>213.86909439999999</v>
      </c>
      <c r="J17" s="65">
        <f>H17/D17</f>
        <v>5.2208835341365417E-2</v>
      </c>
      <c r="K17" s="66">
        <v>17.326732673267326</v>
      </c>
      <c r="L17" s="70">
        <f>+B17*C17*K17*52/2000</f>
        <v>7.1262550495049499</v>
      </c>
      <c r="M17" s="71">
        <f>+$M$10*L17</f>
        <v>959.12266711287123</v>
      </c>
      <c r="N17" s="21">
        <f>+M17/G17</f>
        <v>0.22251955634494741</v>
      </c>
      <c r="O17" s="23">
        <f>+N17*F17</f>
        <v>1.1660024752475244</v>
      </c>
      <c r="P17" s="23">
        <f>+F17-O17</f>
        <v>4.0739975247524756</v>
      </c>
      <c r="Q17" s="38"/>
    </row>
    <row r="18" spans="1:17" ht="16.5">
      <c r="A18" s="38"/>
      <c r="B18" s="72">
        <v>32.626110000000004</v>
      </c>
      <c r="C18" s="40"/>
      <c r="D18" s="41"/>
      <c r="E18" s="50">
        <f>SUM(E15:E17)</f>
        <v>8448.8574456000006</v>
      </c>
      <c r="F18" s="50"/>
      <c r="G18" s="50">
        <f>SUM(G15:G17)</f>
        <v>8889.9624528000022</v>
      </c>
      <c r="H18" s="50"/>
      <c r="I18" s="50">
        <f>SUM(I15:I17)</f>
        <v>441.10500720000016</v>
      </c>
      <c r="J18" s="50"/>
      <c r="K18" s="50"/>
      <c r="L18" s="55">
        <f>SUM(L15:L17)</f>
        <v>14.697901039603959</v>
      </c>
      <c r="M18" s="50">
        <f>SUM(M15:M17)</f>
        <v>1978.1905009202969</v>
      </c>
      <c r="N18" s="38"/>
      <c r="O18" s="38"/>
      <c r="P18" s="38"/>
      <c r="Q18" s="38"/>
    </row>
    <row r="19" spans="1:17" ht="16.5">
      <c r="A19" s="38"/>
      <c r="B19" s="72"/>
      <c r="C19" s="40"/>
      <c r="D19" s="41"/>
      <c r="E19" s="42"/>
      <c r="F19" s="38"/>
      <c r="G19" s="38"/>
      <c r="H19" s="38"/>
      <c r="I19" s="38"/>
      <c r="J19" s="38"/>
      <c r="K19" s="43"/>
      <c r="L19" s="43"/>
      <c r="M19" s="38"/>
      <c r="N19" s="38"/>
      <c r="O19" s="38"/>
      <c r="P19" s="38"/>
      <c r="Q19" s="38"/>
    </row>
    <row r="20" spans="1:17">
      <c r="A20" s="46"/>
      <c r="B20" s="73"/>
      <c r="C20" s="40"/>
      <c r="D20" s="41"/>
      <c r="E20" s="42"/>
      <c r="F20" s="38"/>
      <c r="G20" s="38"/>
      <c r="H20" s="38"/>
      <c r="I20" s="38"/>
      <c r="J20" s="38"/>
      <c r="K20" s="43"/>
      <c r="L20" s="43"/>
      <c r="M20" s="38"/>
      <c r="N20" s="38"/>
      <c r="O20" s="38"/>
      <c r="P20" s="38"/>
      <c r="Q20" s="38"/>
    </row>
    <row r="21" spans="1:17" ht="16.5">
      <c r="A21" s="38" t="s">
        <v>31</v>
      </c>
      <c r="B21" s="47">
        <v>45.478819999999999</v>
      </c>
      <c r="C21" s="40">
        <v>1</v>
      </c>
      <c r="D21" s="41">
        <v>8.41</v>
      </c>
      <c r="E21" s="50">
        <f>+D21*C21*B21*52</f>
        <v>19888.797562399999</v>
      </c>
      <c r="F21" s="49">
        <f>ROUND(D21*(1+$F$10),2)</f>
        <v>8.85</v>
      </c>
      <c r="G21" s="50">
        <f>+F21*B21*C21*52</f>
        <v>20929.352963999998</v>
      </c>
      <c r="H21" s="51">
        <f>+F21-D21</f>
        <v>0.4399999999999995</v>
      </c>
      <c r="I21" s="52">
        <f>+G21-E21</f>
        <v>1040.5554015999987</v>
      </c>
      <c r="J21" s="53">
        <f>H21/D21</f>
        <v>5.2318668252080799E-2</v>
      </c>
      <c r="K21" s="54">
        <v>31.683168316831683</v>
      </c>
      <c r="L21" s="55">
        <f>+B21*C21*K21*52/2000</f>
        <v>37.463740831683161</v>
      </c>
      <c r="M21" s="78">
        <f>+$M$10*L21</f>
        <v>5042.2448785362367</v>
      </c>
      <c r="N21" s="57">
        <f>+M21/G21</f>
        <v>0.24091737987358056</v>
      </c>
      <c r="O21" s="58">
        <f>+N21*F21</f>
        <v>2.1321188118811878</v>
      </c>
      <c r="P21" s="58">
        <f>+F21-O21</f>
        <v>6.7178811881188114</v>
      </c>
      <c r="Q21" s="38"/>
    </row>
    <row r="22" spans="1:17">
      <c r="A22" s="38"/>
      <c r="B22" s="59"/>
      <c r="C22" s="40"/>
      <c r="D22" s="41"/>
      <c r="E22" s="42"/>
      <c r="F22" s="38"/>
      <c r="G22" s="38"/>
      <c r="H22" s="38"/>
      <c r="I22" s="38"/>
      <c r="J22" s="38"/>
      <c r="K22" s="43"/>
      <c r="L22" s="43"/>
      <c r="M22" s="38"/>
      <c r="N22" s="38"/>
      <c r="O22" s="38"/>
      <c r="P22" s="38"/>
      <c r="Q22" s="38"/>
    </row>
    <row r="23" spans="1:17">
      <c r="A23" s="38"/>
      <c r="B23" s="59"/>
      <c r="C23" s="40"/>
      <c r="D23" s="41"/>
      <c r="E23" s="42"/>
      <c r="F23" s="38"/>
      <c r="G23" s="38"/>
      <c r="H23" s="38"/>
      <c r="I23" s="38"/>
      <c r="J23" s="38"/>
      <c r="K23" s="43"/>
      <c r="L23" s="43"/>
      <c r="M23" s="38"/>
      <c r="N23" s="38"/>
      <c r="O23" s="38"/>
      <c r="P23" s="38"/>
      <c r="Q23" s="38"/>
    </row>
    <row r="24" spans="1:17">
      <c r="A24" s="38" t="s">
        <v>32</v>
      </c>
      <c r="B24" s="60">
        <v>5.9320200000000005</v>
      </c>
      <c r="C24" s="40">
        <v>0.5</v>
      </c>
      <c r="D24" s="41">
        <v>10.9</v>
      </c>
      <c r="E24" s="42">
        <f>+D24*C24*B24*52</f>
        <v>1681.1344680000002</v>
      </c>
      <c r="F24" s="61">
        <f>ROUND(D24*(1+$F$10),2)</f>
        <v>11.47</v>
      </c>
      <c r="G24" s="62">
        <f>+F24*B24*C24*52</f>
        <v>1769.0470044000003</v>
      </c>
      <c r="H24" s="63">
        <f t="shared" ref="H24:I28" si="1">+F24-D24</f>
        <v>0.57000000000000028</v>
      </c>
      <c r="I24" s="64">
        <f t="shared" si="1"/>
        <v>87.912536400000135</v>
      </c>
      <c r="J24" s="65">
        <f>H24/D24</f>
        <v>5.22935779816514E-2</v>
      </c>
      <c r="K24" s="66">
        <v>47.524752475247524</v>
      </c>
      <c r="L24" s="67">
        <f>+B24*C24*K24*52/2000</f>
        <v>3.6649311683168322</v>
      </c>
      <c r="M24" s="68">
        <f>+$M$10*L24</f>
        <v>493.26308594376246</v>
      </c>
      <c r="N24" s="21">
        <f>+M24/G24</f>
        <v>0.27882983590425303</v>
      </c>
      <c r="O24" s="23">
        <f>+N24*F24</f>
        <v>3.1981782178217824</v>
      </c>
      <c r="P24" s="23">
        <f>+F24-O24</f>
        <v>8.2718217821782183</v>
      </c>
      <c r="Q24" s="38"/>
    </row>
    <row r="25" spans="1:17">
      <c r="A25" s="38" t="s">
        <v>33</v>
      </c>
      <c r="B25" s="60">
        <v>48.444830000000003</v>
      </c>
      <c r="C25" s="40">
        <v>1</v>
      </c>
      <c r="D25" s="41">
        <v>10.9</v>
      </c>
      <c r="E25" s="42">
        <f>+D25*C25*B25*52</f>
        <v>27458.529644000002</v>
      </c>
      <c r="F25" s="61">
        <f>ROUND(D25*(1+$F$10),2)</f>
        <v>11.47</v>
      </c>
      <c r="G25" s="62">
        <f>+F25*B25*C25*52</f>
        <v>28894.434405200001</v>
      </c>
      <c r="H25" s="63">
        <f t="shared" si="1"/>
        <v>0.57000000000000028</v>
      </c>
      <c r="I25" s="64">
        <f t="shared" si="1"/>
        <v>1435.9047611999995</v>
      </c>
      <c r="J25" s="65">
        <f>H25/D25</f>
        <v>5.22935779816514E-2</v>
      </c>
      <c r="K25" s="66">
        <v>47.524752475247524</v>
      </c>
      <c r="L25" s="67">
        <f>+B25*C25*K25*52/2000</f>
        <v>59.860542415841586</v>
      </c>
      <c r="M25" s="68">
        <f>+$M$10*L25</f>
        <v>8056.6304037481195</v>
      </c>
      <c r="N25" s="21">
        <f>+M25/G25</f>
        <v>0.27882983590425303</v>
      </c>
      <c r="O25" s="23">
        <f>+N25*F25</f>
        <v>3.1981782178217824</v>
      </c>
      <c r="P25" s="23">
        <f>+F25-O25</f>
        <v>8.2718217821782183</v>
      </c>
      <c r="Q25" s="38"/>
    </row>
    <row r="26" spans="1:17">
      <c r="A26" s="38" t="s">
        <v>34</v>
      </c>
      <c r="B26" s="60">
        <v>20.762070000000001</v>
      </c>
      <c r="C26" s="40">
        <v>1</v>
      </c>
      <c r="D26" s="41">
        <v>10.9</v>
      </c>
      <c r="E26" s="42">
        <f>+D26*C26*B26*52</f>
        <v>11767.941276000001</v>
      </c>
      <c r="F26" s="61">
        <f>ROUND(D26*(1+$F$10),2)</f>
        <v>11.47</v>
      </c>
      <c r="G26" s="62">
        <f>+F26*B26*C26*52</f>
        <v>12383.329030800001</v>
      </c>
      <c r="H26" s="63">
        <f t="shared" si="1"/>
        <v>0.57000000000000028</v>
      </c>
      <c r="I26" s="64">
        <f t="shared" si="1"/>
        <v>615.38775480000004</v>
      </c>
      <c r="J26" s="65">
        <f>H26/D26</f>
        <v>5.22935779816514E-2</v>
      </c>
      <c r="K26" s="66">
        <v>47.524752475247524</v>
      </c>
      <c r="L26" s="67">
        <f>+B26*C26*K26*52/2000</f>
        <v>25.654518178217824</v>
      </c>
      <c r="M26" s="68">
        <f>+$M$10*L26</f>
        <v>3452.841601606337</v>
      </c>
      <c r="N26" s="21">
        <f>+M26/G26</f>
        <v>0.27882983590425303</v>
      </c>
      <c r="O26" s="23">
        <f>+N26*F26</f>
        <v>3.1981782178217824</v>
      </c>
      <c r="P26" s="23">
        <f>+F26-O26</f>
        <v>8.2718217821782183</v>
      </c>
      <c r="Q26" s="38"/>
    </row>
    <row r="27" spans="1:17">
      <c r="A27" s="38" t="s">
        <v>35</v>
      </c>
      <c r="B27" s="60">
        <v>2.9660100000000003</v>
      </c>
      <c r="C27" s="40">
        <v>1</v>
      </c>
      <c r="D27" s="41">
        <v>10.9</v>
      </c>
      <c r="E27" s="42">
        <f>+D27*C27*B27*52</f>
        <v>1681.1344680000002</v>
      </c>
      <c r="F27" s="61">
        <f>ROUND(D27*(1+$F$10),2)</f>
        <v>11.47</v>
      </c>
      <c r="G27" s="62">
        <f>+F27*B27*C27*52</f>
        <v>1769.0470044000003</v>
      </c>
      <c r="H27" s="63">
        <f t="shared" si="1"/>
        <v>0.57000000000000028</v>
      </c>
      <c r="I27" s="64">
        <f t="shared" si="1"/>
        <v>87.912536400000135</v>
      </c>
      <c r="J27" s="65">
        <f>H27/D27</f>
        <v>5.22935779816514E-2</v>
      </c>
      <c r="K27" s="66">
        <v>47.524752475247524</v>
      </c>
      <c r="L27" s="67">
        <f>+B27*C27*K27*52/2000</f>
        <v>3.6649311683168322</v>
      </c>
      <c r="M27" s="68">
        <f>+$M$10*L27</f>
        <v>493.26308594376246</v>
      </c>
      <c r="N27" s="21">
        <f>+M27/G27</f>
        <v>0.27882983590425303</v>
      </c>
      <c r="O27" s="23">
        <f>+N27*F27</f>
        <v>3.1981782178217824</v>
      </c>
      <c r="P27" s="23">
        <f>+F27-O27</f>
        <v>8.2718217821782183</v>
      </c>
      <c r="Q27" s="38"/>
    </row>
    <row r="28" spans="1:17" ht="16.5">
      <c r="A28" s="38" t="s">
        <v>36</v>
      </c>
      <c r="B28" s="47">
        <v>3.9546800000000002</v>
      </c>
      <c r="C28" s="40">
        <v>1</v>
      </c>
      <c r="D28" s="41">
        <v>10.9</v>
      </c>
      <c r="E28" s="48">
        <f>+D28*C28*B28*52</f>
        <v>2241.5126240000004</v>
      </c>
      <c r="F28" s="61">
        <f>ROUND(D28*(1+$F$10),2)</f>
        <v>11.47</v>
      </c>
      <c r="G28" s="48">
        <f>+F28*B28*C28*52</f>
        <v>2358.7293392000001</v>
      </c>
      <c r="H28" s="63">
        <f t="shared" si="1"/>
        <v>0.57000000000000028</v>
      </c>
      <c r="I28" s="69">
        <f t="shared" si="1"/>
        <v>117.21671519999973</v>
      </c>
      <c r="J28" s="65">
        <f>H28/D28</f>
        <v>5.22935779816514E-2</v>
      </c>
      <c r="K28" s="66">
        <v>47.524752475247524</v>
      </c>
      <c r="L28" s="70">
        <f>+B28*C28*K28*52/2000</f>
        <v>4.8865748910891096</v>
      </c>
      <c r="M28" s="71">
        <f>+$M$10*L28</f>
        <v>657.68411459168328</v>
      </c>
      <c r="N28" s="21">
        <f>+M28/G28</f>
        <v>0.27882983590425303</v>
      </c>
      <c r="O28" s="23">
        <f>+N28*F28</f>
        <v>3.1981782178217824</v>
      </c>
      <c r="P28" s="23">
        <f>+F28-O28</f>
        <v>8.2718217821782183</v>
      </c>
      <c r="Q28" s="38"/>
    </row>
    <row r="29" spans="1:17" ht="16.5">
      <c r="A29" s="46"/>
      <c r="B29" s="72">
        <v>76.127589999999998</v>
      </c>
      <c r="C29" s="40"/>
      <c r="D29" s="41"/>
      <c r="E29" s="50">
        <f>SUM(E24:E28)</f>
        <v>44830.252480000003</v>
      </c>
      <c r="F29" s="50"/>
      <c r="G29" s="50">
        <f>SUM(G24:G28)</f>
        <v>47174.586784000006</v>
      </c>
      <c r="H29" s="50"/>
      <c r="I29" s="50">
        <f>SUM(I24:I28)</f>
        <v>2344.3343039999995</v>
      </c>
      <c r="J29" s="50"/>
      <c r="K29" s="50"/>
      <c r="L29" s="55">
        <f>SUM(L24:L28)</f>
        <v>97.731497821782185</v>
      </c>
      <c r="M29" s="50">
        <f>SUM(M24:M28)</f>
        <v>13153.682291833666</v>
      </c>
      <c r="N29" s="38"/>
      <c r="O29" s="38"/>
      <c r="P29" s="38"/>
      <c r="Q29" s="38"/>
    </row>
    <row r="30" spans="1:17">
      <c r="A30" s="46"/>
      <c r="B30" s="73"/>
      <c r="C30" s="40"/>
      <c r="D30" s="41"/>
      <c r="E30" s="42"/>
      <c r="F30" s="38"/>
      <c r="G30" s="38"/>
      <c r="H30" s="38"/>
      <c r="I30" s="38"/>
      <c r="J30" s="38"/>
      <c r="K30" s="43"/>
      <c r="L30" s="43"/>
      <c r="M30" s="38"/>
      <c r="N30" s="38"/>
      <c r="O30" s="38"/>
      <c r="P30" s="38"/>
      <c r="Q30" s="38"/>
    </row>
    <row r="31" spans="1:17">
      <c r="A31" s="46"/>
      <c r="B31" s="73"/>
      <c r="C31" s="40"/>
      <c r="D31" s="41"/>
      <c r="E31" s="42"/>
      <c r="F31" s="38"/>
      <c r="G31" s="38"/>
      <c r="H31" s="38"/>
      <c r="I31" s="38"/>
      <c r="J31" s="38"/>
      <c r="K31" s="43"/>
      <c r="L31" s="43"/>
      <c r="M31" s="38"/>
      <c r="N31" s="38"/>
      <c r="O31" s="38"/>
      <c r="P31" s="38"/>
      <c r="Q31" s="38"/>
    </row>
    <row r="32" spans="1:17">
      <c r="A32" s="38" t="s">
        <v>37</v>
      </c>
      <c r="B32" s="60">
        <v>77.116259999999997</v>
      </c>
      <c r="C32" s="40">
        <v>1</v>
      </c>
      <c r="D32" s="41">
        <v>22.94</v>
      </c>
      <c r="E32" s="42">
        <f>+D32*C32*B32*52</f>
        <v>91990.444228799999</v>
      </c>
      <c r="F32" s="61">
        <f>ROUND(D32*(1+$F$10),2)</f>
        <v>24.14</v>
      </c>
      <c r="G32" s="62">
        <f>+F32*B32*C32*52</f>
        <v>96802.498852799996</v>
      </c>
      <c r="H32" s="63">
        <f t="shared" ref="H32:I34" si="2">+F32-D32</f>
        <v>1.1999999999999993</v>
      </c>
      <c r="I32" s="64">
        <f t="shared" si="2"/>
        <v>4812.0546239999967</v>
      </c>
      <c r="J32" s="65">
        <f>H32/D32</f>
        <v>5.2310374891020021E-2</v>
      </c>
      <c r="K32" s="66">
        <v>100</v>
      </c>
      <c r="L32" s="67">
        <f>+B32*C32*K32*52/2000</f>
        <v>200.50227599999999</v>
      </c>
      <c r="M32" s="68">
        <f>+$M$10*L32</f>
        <v>26985.601326839998</v>
      </c>
      <c r="N32" s="21">
        <f>+M32/G32</f>
        <v>0.27876967688483845</v>
      </c>
      <c r="O32" s="23">
        <f>+N32*F32</f>
        <v>6.7294999999999998</v>
      </c>
      <c r="P32" s="23">
        <f>+F32-O32</f>
        <v>17.410499999999999</v>
      </c>
      <c r="Q32" s="38"/>
    </row>
    <row r="33" spans="1:17">
      <c r="A33" s="38" t="s">
        <v>38</v>
      </c>
      <c r="B33" s="60">
        <v>1.9773400000000001</v>
      </c>
      <c r="C33" s="40">
        <v>1</v>
      </c>
      <c r="D33" s="41">
        <v>22.94</v>
      </c>
      <c r="E33" s="42">
        <f>+D33*C33*B33*52</f>
        <v>2358.7293392000001</v>
      </c>
      <c r="F33" s="61">
        <f>ROUND(D33*(1+$F$10),2)</f>
        <v>24.14</v>
      </c>
      <c r="G33" s="62">
        <f>+F33*B33*C33*52</f>
        <v>2482.1153552000001</v>
      </c>
      <c r="H33" s="63">
        <f t="shared" si="2"/>
        <v>1.1999999999999993</v>
      </c>
      <c r="I33" s="64">
        <f t="shared" si="2"/>
        <v>123.38601599999993</v>
      </c>
      <c r="J33" s="65">
        <f>H33/D33</f>
        <v>5.2310374891020021E-2</v>
      </c>
      <c r="K33" s="66">
        <v>100</v>
      </c>
      <c r="L33" s="67">
        <f>+B33*C33*K33*52/2000</f>
        <v>5.1410840000000002</v>
      </c>
      <c r="M33" s="68">
        <f>+$M$10*L33</f>
        <v>691.93849556000009</v>
      </c>
      <c r="N33" s="21">
        <f>+M33/G33</f>
        <v>0.27876967688483845</v>
      </c>
      <c r="O33" s="23">
        <f>+N33*F33</f>
        <v>6.7294999999999998</v>
      </c>
      <c r="P33" s="23">
        <f>+F33-O33</f>
        <v>17.410499999999999</v>
      </c>
      <c r="Q33" s="38"/>
    </row>
    <row r="34" spans="1:17" ht="16.5">
      <c r="A34" s="38" t="s">
        <v>39</v>
      </c>
      <c r="B34" s="47">
        <v>0.98867000000000005</v>
      </c>
      <c r="C34" s="40">
        <v>2</v>
      </c>
      <c r="D34" s="41">
        <v>22.94</v>
      </c>
      <c r="E34" s="48">
        <f>+D34*C34*B34*52</f>
        <v>2358.7293392000001</v>
      </c>
      <c r="F34" s="61">
        <f>ROUND(D34*(1+$F$10),2)</f>
        <v>24.14</v>
      </c>
      <c r="G34" s="48">
        <f>+F34*B34*C34*52</f>
        <v>2482.1153552000001</v>
      </c>
      <c r="H34" s="63">
        <f t="shared" si="2"/>
        <v>1.1999999999999993</v>
      </c>
      <c r="I34" s="69">
        <f t="shared" si="2"/>
        <v>123.38601599999993</v>
      </c>
      <c r="J34" s="65">
        <f>H34/D34</f>
        <v>5.2310374891020021E-2</v>
      </c>
      <c r="K34" s="66">
        <v>100</v>
      </c>
      <c r="L34" s="70">
        <f>+B34*C34*K34*52/2000</f>
        <v>5.1410840000000002</v>
      </c>
      <c r="M34" s="71">
        <f>+$M$10*L34</f>
        <v>691.93849556000009</v>
      </c>
      <c r="N34" s="21">
        <f>+M34/G34</f>
        <v>0.27876967688483845</v>
      </c>
      <c r="O34" s="23">
        <f>+N34*F34</f>
        <v>6.7294999999999998</v>
      </c>
      <c r="P34" s="23">
        <f>+F34-O34</f>
        <v>17.410499999999999</v>
      </c>
      <c r="Q34" s="38"/>
    </row>
    <row r="35" spans="1:17" ht="16.5">
      <c r="A35" s="38"/>
      <c r="B35" s="72">
        <v>80.082269999999994</v>
      </c>
      <c r="C35" s="40"/>
      <c r="D35" s="41"/>
      <c r="E35" s="50">
        <f>SUM(E32:E34)</f>
        <v>96707.902907199998</v>
      </c>
      <c r="F35" s="50"/>
      <c r="G35" s="50">
        <f>SUM(G32:G34)</f>
        <v>101766.7295632</v>
      </c>
      <c r="H35" s="50"/>
      <c r="I35" s="50">
        <f>SUM(I32:I34)</f>
        <v>5058.8266559999975</v>
      </c>
      <c r="J35" s="50"/>
      <c r="K35" s="50"/>
      <c r="L35" s="55">
        <f>SUM(L32:L34)</f>
        <v>210.78444400000001</v>
      </c>
      <c r="M35" s="50">
        <f>SUM(M32:M34)</f>
        <v>28369.478317959998</v>
      </c>
      <c r="N35" s="38"/>
      <c r="O35" s="38"/>
      <c r="P35" s="38"/>
      <c r="Q35" s="38"/>
    </row>
    <row r="36" spans="1:17">
      <c r="A36" s="38"/>
      <c r="B36" s="59"/>
      <c r="C36" s="40"/>
      <c r="D36" s="41"/>
      <c r="E36" s="42"/>
      <c r="F36" s="38"/>
      <c r="G36" s="38"/>
      <c r="H36" s="38"/>
      <c r="I36" s="38"/>
      <c r="J36" s="38"/>
      <c r="K36" s="43"/>
      <c r="L36" s="43"/>
      <c r="M36" s="38"/>
      <c r="N36" s="38"/>
      <c r="O36" s="38"/>
      <c r="P36" s="38"/>
      <c r="Q36" s="38"/>
    </row>
    <row r="37" spans="1:17">
      <c r="A37" s="38"/>
      <c r="B37" s="59"/>
      <c r="C37" s="40"/>
      <c r="D37" s="41"/>
      <c r="E37" s="42"/>
      <c r="F37" s="38"/>
      <c r="G37" s="38"/>
      <c r="H37" s="38"/>
      <c r="I37" s="38"/>
      <c r="J37" s="38"/>
      <c r="K37" s="43"/>
      <c r="L37" s="43"/>
      <c r="M37" s="38"/>
      <c r="N37" s="38"/>
      <c r="O37" s="38"/>
      <c r="P37" s="38"/>
      <c r="Q37" s="38"/>
    </row>
    <row r="38" spans="1:17" ht="16.5">
      <c r="A38" s="38" t="s">
        <v>40</v>
      </c>
      <c r="B38" s="47">
        <v>29.6601</v>
      </c>
      <c r="C38" s="40">
        <v>1</v>
      </c>
      <c r="D38" s="41">
        <v>29.69</v>
      </c>
      <c r="E38" s="50">
        <f>+D38*C38*B38*52</f>
        <v>45791.635188</v>
      </c>
      <c r="F38" s="74">
        <f>ROUND(D38*(1+$F$10),2)</f>
        <v>31.25</v>
      </c>
      <c r="G38" s="50">
        <f>+F38*B38*C38*52</f>
        <v>48197.662499999999</v>
      </c>
      <c r="H38" s="51">
        <f>+F38-D38</f>
        <v>1.5599999999999987</v>
      </c>
      <c r="I38" s="52">
        <f>+G38-E38</f>
        <v>2406.0273119999983</v>
      </c>
      <c r="J38" s="53">
        <f>H38/D38</f>
        <v>5.254294375210504E-2</v>
      </c>
      <c r="K38" s="54">
        <v>150</v>
      </c>
      <c r="L38" s="55">
        <f>+B38*C38*K38*52/2000</f>
        <v>115.67439000000002</v>
      </c>
      <c r="M38" s="78">
        <f>+$M$10*L38</f>
        <v>15568.616150100002</v>
      </c>
      <c r="N38" s="57">
        <f>+M38/G38</f>
        <v>0.32301600000000008</v>
      </c>
      <c r="O38" s="58">
        <f>+N38*F38</f>
        <v>10.094250000000002</v>
      </c>
      <c r="P38" s="58">
        <f>+F38-O38</f>
        <v>21.155749999999998</v>
      </c>
      <c r="Q38" s="38"/>
    </row>
    <row r="39" spans="1:17" ht="16.5">
      <c r="A39" s="38"/>
      <c r="B39" s="72"/>
      <c r="C39" s="40"/>
      <c r="D39" s="41"/>
      <c r="E39" s="42"/>
      <c r="F39" s="38"/>
      <c r="G39" s="38"/>
      <c r="H39" s="38"/>
      <c r="I39" s="38"/>
      <c r="J39" s="38"/>
      <c r="K39" s="43"/>
      <c r="L39" s="43"/>
      <c r="M39" s="38"/>
      <c r="N39" s="38"/>
      <c r="O39" s="38"/>
      <c r="P39" s="38"/>
      <c r="Q39" s="38"/>
    </row>
    <row r="40" spans="1:17">
      <c r="A40" s="38"/>
      <c r="B40" s="59"/>
      <c r="C40" s="40"/>
      <c r="D40" s="41"/>
      <c r="E40" s="42"/>
      <c r="F40" s="38"/>
      <c r="G40" s="38"/>
      <c r="H40" s="38"/>
      <c r="I40" s="38"/>
      <c r="J40" s="38"/>
      <c r="K40" s="43"/>
      <c r="L40" s="43"/>
      <c r="M40" s="38"/>
      <c r="N40" s="38"/>
      <c r="O40" s="38"/>
      <c r="P40" s="38"/>
      <c r="Q40" s="38"/>
    </row>
    <row r="41" spans="1:17">
      <c r="A41" s="38" t="s">
        <v>41</v>
      </c>
      <c r="B41" s="60">
        <v>75.138919999999999</v>
      </c>
      <c r="C41" s="40">
        <v>1</v>
      </c>
      <c r="D41" s="41">
        <v>37.79</v>
      </c>
      <c r="E41" s="42">
        <f>+D41*C41*B41*52</f>
        <v>147653.98891360001</v>
      </c>
      <c r="F41" s="61">
        <f>ROUND(D41*(1+$F$10),2)</f>
        <v>39.770000000000003</v>
      </c>
      <c r="G41" s="62">
        <f>+F41*B41*C41*52</f>
        <v>155390.29211680003</v>
      </c>
      <c r="H41" s="63">
        <f t="shared" ref="H41:I44" si="3">+F41-D41</f>
        <v>1.980000000000004</v>
      </c>
      <c r="I41" s="64">
        <f t="shared" si="3"/>
        <v>7736.3032032000192</v>
      </c>
      <c r="J41" s="65">
        <f>H41/D41</f>
        <v>5.2394813442709819E-2</v>
      </c>
      <c r="K41" s="66">
        <v>200</v>
      </c>
      <c r="L41" s="67">
        <f>+B41*C41*K41*52/2000</f>
        <v>390.72238399999998</v>
      </c>
      <c r="M41" s="68">
        <f>+$M$10*L41</f>
        <v>52587.325662559997</v>
      </c>
      <c r="N41" s="21">
        <f>+M41/G41</f>
        <v>0.33842092029167703</v>
      </c>
      <c r="O41" s="23">
        <f>+N41*F41</f>
        <v>13.458999999999996</v>
      </c>
      <c r="P41" s="23">
        <f>+F41-O41</f>
        <v>26.311000000000007</v>
      </c>
      <c r="Q41" s="38"/>
    </row>
    <row r="42" spans="1:17">
      <c r="A42" s="38" t="s">
        <v>42</v>
      </c>
      <c r="B42" s="60">
        <v>2.9660100000000003</v>
      </c>
      <c r="C42" s="40">
        <v>1</v>
      </c>
      <c r="D42" s="41">
        <v>37.79</v>
      </c>
      <c r="E42" s="42">
        <f>+D42*C42*B42*52</f>
        <v>5828.4469308000007</v>
      </c>
      <c r="F42" s="61">
        <f>ROUND(D42*(1+$F$10),2)</f>
        <v>39.770000000000003</v>
      </c>
      <c r="G42" s="62">
        <f>+F42*B42*C42*52</f>
        <v>6133.8273204000006</v>
      </c>
      <c r="H42" s="63">
        <f t="shared" si="3"/>
        <v>1.980000000000004</v>
      </c>
      <c r="I42" s="64">
        <f t="shared" si="3"/>
        <v>305.38038959999994</v>
      </c>
      <c r="J42" s="65">
        <f>H42/D42</f>
        <v>5.2394813442709819E-2</v>
      </c>
      <c r="K42" s="66">
        <v>200</v>
      </c>
      <c r="L42" s="67">
        <f>+B42*C42*K42*52/2000</f>
        <v>15.423252</v>
      </c>
      <c r="M42" s="68">
        <f>+$M$10*L42</f>
        <v>2075.81548668</v>
      </c>
      <c r="N42" s="21">
        <f>+M42/G42</f>
        <v>0.33842092029167714</v>
      </c>
      <c r="O42" s="23">
        <f>+N42*F42</f>
        <v>13.459000000000001</v>
      </c>
      <c r="P42" s="23">
        <f>+F42-O42</f>
        <v>26.311</v>
      </c>
      <c r="Q42" s="38"/>
    </row>
    <row r="43" spans="1:17">
      <c r="A43" s="38" t="s">
        <v>43</v>
      </c>
      <c r="B43" s="60">
        <v>1.9773400000000001</v>
      </c>
      <c r="C43" s="40">
        <v>2</v>
      </c>
      <c r="D43" s="41">
        <v>37.79</v>
      </c>
      <c r="E43" s="42">
        <f>+D43*C43*B43*52</f>
        <v>7771.2625743999997</v>
      </c>
      <c r="F43" s="61">
        <f>ROUND(D43*(1+$F$10),2)</f>
        <v>39.770000000000003</v>
      </c>
      <c r="G43" s="62">
        <f>+F43*B43*C43*52</f>
        <v>8178.4364272000012</v>
      </c>
      <c r="H43" s="63">
        <f t="shared" si="3"/>
        <v>1.980000000000004</v>
      </c>
      <c r="I43" s="64">
        <f t="shared" si="3"/>
        <v>407.17385280000144</v>
      </c>
      <c r="J43" s="65">
        <f>H43/D43</f>
        <v>5.2394813442709819E-2</v>
      </c>
      <c r="K43" s="66">
        <v>200</v>
      </c>
      <c r="L43" s="67">
        <f>+B43*C43*K43*52/2000</f>
        <v>20.564336000000001</v>
      </c>
      <c r="M43" s="68">
        <f>+$M$10*L43</f>
        <v>2767.7539822400004</v>
      </c>
      <c r="N43" s="21">
        <f>+M43/G43</f>
        <v>0.33842092029167714</v>
      </c>
      <c r="O43" s="23">
        <f>+N43*F43</f>
        <v>13.459000000000001</v>
      </c>
      <c r="P43" s="23">
        <f>+F43-O43</f>
        <v>26.311</v>
      </c>
      <c r="Q43" s="38"/>
    </row>
    <row r="44" spans="1:17" ht="16.5">
      <c r="A44" s="38" t="s">
        <v>44</v>
      </c>
      <c r="B44" s="47">
        <v>0.98867000000000005</v>
      </c>
      <c r="C44" s="40">
        <v>3</v>
      </c>
      <c r="D44" s="41">
        <v>37.79</v>
      </c>
      <c r="E44" s="48">
        <f>+D44*C44*B44*52</f>
        <v>5828.4469308000007</v>
      </c>
      <c r="F44" s="61">
        <f>ROUND(D44*(1+$F$10),2)</f>
        <v>39.770000000000003</v>
      </c>
      <c r="G44" s="48">
        <f>+F44*B44*C44*52</f>
        <v>6133.8273204000006</v>
      </c>
      <c r="H44" s="63">
        <f t="shared" si="3"/>
        <v>1.980000000000004</v>
      </c>
      <c r="I44" s="69">
        <f t="shared" si="3"/>
        <v>305.38038959999994</v>
      </c>
      <c r="J44" s="65">
        <f>H44/D44</f>
        <v>5.2394813442709819E-2</v>
      </c>
      <c r="K44" s="66">
        <v>200</v>
      </c>
      <c r="L44" s="70">
        <f>+B44*C44*K44*52/2000</f>
        <v>15.423252</v>
      </c>
      <c r="M44" s="71">
        <f>+$M$10*L44</f>
        <v>2075.81548668</v>
      </c>
      <c r="N44" s="21">
        <f>+M44/G44</f>
        <v>0.33842092029167714</v>
      </c>
      <c r="O44" s="23">
        <f>+N44*F44</f>
        <v>13.459000000000001</v>
      </c>
      <c r="P44" s="23">
        <f>+F44-O44</f>
        <v>26.311</v>
      </c>
      <c r="Q44" s="38"/>
    </row>
    <row r="45" spans="1:17" ht="16.5">
      <c r="A45" s="38"/>
      <c r="B45" s="72">
        <v>81.070939999999993</v>
      </c>
      <c r="C45" s="40"/>
      <c r="D45" s="41"/>
      <c r="E45" s="50">
        <f>SUM(E41:E44)</f>
        <v>167082.14534960003</v>
      </c>
      <c r="F45" s="50"/>
      <c r="G45" s="50">
        <f>SUM(G41:G44)</f>
        <v>175836.38318480007</v>
      </c>
      <c r="H45" s="50"/>
      <c r="I45" s="50">
        <f>SUM(I41:I44)</f>
        <v>8754.2378352000196</v>
      </c>
      <c r="J45" s="50"/>
      <c r="K45" s="50"/>
      <c r="L45" s="55">
        <f>SUM(L41:L44)</f>
        <v>442.13322399999998</v>
      </c>
      <c r="M45" s="50">
        <f>SUM(M41:M44)</f>
        <v>59506.710618160003</v>
      </c>
      <c r="N45" s="38"/>
      <c r="O45" s="38"/>
      <c r="P45" s="38"/>
      <c r="Q45" s="38"/>
    </row>
    <row r="46" spans="1:17">
      <c r="A46" s="38"/>
      <c r="B46" s="59"/>
      <c r="C46" s="40"/>
      <c r="D46" s="41"/>
      <c r="E46" s="42"/>
      <c r="F46" s="38"/>
      <c r="G46" s="38"/>
      <c r="H46" s="38"/>
      <c r="I46" s="38"/>
      <c r="J46" s="38"/>
      <c r="K46" s="43"/>
      <c r="L46" s="43"/>
      <c r="M46" s="38"/>
      <c r="N46" s="38"/>
      <c r="O46" s="38"/>
      <c r="P46" s="38"/>
      <c r="Q46" s="38"/>
    </row>
    <row r="47" spans="1:17">
      <c r="A47" s="38"/>
      <c r="B47" s="59"/>
      <c r="C47" s="40"/>
      <c r="D47" s="41"/>
      <c r="E47" s="42"/>
      <c r="F47" s="38"/>
      <c r="G47" s="38"/>
      <c r="H47" s="38"/>
      <c r="I47" s="38"/>
      <c r="J47" s="38"/>
      <c r="K47" s="43"/>
      <c r="L47" s="43"/>
      <c r="M47" s="38"/>
      <c r="N47" s="38"/>
      <c r="O47" s="38"/>
      <c r="P47" s="38"/>
      <c r="Q47" s="38"/>
    </row>
    <row r="48" spans="1:17">
      <c r="A48" s="38" t="s">
        <v>45</v>
      </c>
      <c r="B48" s="60">
        <v>46.467490000000005</v>
      </c>
      <c r="C48" s="40">
        <v>1</v>
      </c>
      <c r="D48" s="41">
        <v>51.18</v>
      </c>
      <c r="E48" s="42">
        <f t="shared" ref="E48:E54" si="4">+D48*C48*B48*52</f>
        <v>123666.71918640001</v>
      </c>
      <c r="F48" s="61">
        <f>ROUND(D48*(1+$F$10),2)</f>
        <v>53.87</v>
      </c>
      <c r="G48" s="62">
        <f>+F48*B48*C48*52</f>
        <v>130166.59168760001</v>
      </c>
      <c r="H48" s="63">
        <f>+F48-D48</f>
        <v>2.6899999999999977</v>
      </c>
      <c r="I48" s="64">
        <f>+G48-E48</f>
        <v>6499.8725012000068</v>
      </c>
      <c r="J48" s="65">
        <f>H48/D48</f>
        <v>5.255959359124654E-2</v>
      </c>
      <c r="K48" s="66">
        <v>300</v>
      </c>
      <c r="L48" s="67">
        <f>+B48*C48*K48*52/2000</f>
        <v>362.44642200000004</v>
      </c>
      <c r="M48" s="68">
        <f t="shared" ref="M48:M54" si="5">+$M$10*L48</f>
        <v>48781.663936980003</v>
      </c>
      <c r="N48" s="21">
        <f>+M48/G48</f>
        <v>0.37476331910154076</v>
      </c>
      <c r="O48" s="23">
        <f>+N48*F48</f>
        <v>20.188500000000001</v>
      </c>
      <c r="P48" s="23">
        <f>+F48-O48</f>
        <v>33.6815</v>
      </c>
      <c r="Q48" s="38"/>
    </row>
    <row r="49" spans="1:17">
      <c r="A49" s="38" t="s">
        <v>46</v>
      </c>
      <c r="B49" s="60">
        <v>1.9773400000000001</v>
      </c>
      <c r="C49" s="40">
        <v>1</v>
      </c>
      <c r="D49" s="41">
        <v>51.18</v>
      </c>
      <c r="E49" s="42">
        <f t="shared" si="4"/>
        <v>5262.4135824000005</v>
      </c>
      <c r="F49" s="61">
        <f t="shared" ref="F49:F54" si="6">ROUND(D49*(1+$F$10),2)</f>
        <v>53.87</v>
      </c>
      <c r="G49" s="62">
        <f t="shared" ref="G49:G54" si="7">+F49*B49*C49*52</f>
        <v>5539.0039016000001</v>
      </c>
      <c r="H49" s="63">
        <f t="shared" ref="H49:I54" si="8">+F49-D49</f>
        <v>2.6899999999999977</v>
      </c>
      <c r="I49" s="64">
        <f t="shared" si="8"/>
        <v>276.59031919999961</v>
      </c>
      <c r="J49" s="65">
        <f t="shared" ref="J49:J54" si="9">H49/D49</f>
        <v>5.255959359124654E-2</v>
      </c>
      <c r="K49" s="66">
        <v>300</v>
      </c>
      <c r="L49" s="67">
        <f t="shared" ref="L49:L54" si="10">+B49*C49*K49*52/2000</f>
        <v>15.423252</v>
      </c>
      <c r="M49" s="68">
        <f t="shared" si="5"/>
        <v>2075.81548668</v>
      </c>
      <c r="N49" s="21">
        <f t="shared" ref="N49:N54" si="11">+M49/G49</f>
        <v>0.37476331910154076</v>
      </c>
      <c r="O49" s="23">
        <f t="shared" ref="O49:O54" si="12">+N49*F49</f>
        <v>20.188500000000001</v>
      </c>
      <c r="P49" s="23">
        <f t="shared" ref="P49:P54" si="13">+F49-O49</f>
        <v>33.6815</v>
      </c>
      <c r="Q49" s="38"/>
    </row>
    <row r="50" spans="1:17">
      <c r="A50" s="38" t="s">
        <v>47</v>
      </c>
      <c r="B50" s="60">
        <v>2.9660100000000003</v>
      </c>
      <c r="C50" s="40">
        <v>1</v>
      </c>
      <c r="D50" s="41">
        <v>51.18</v>
      </c>
      <c r="E50" s="42">
        <f t="shared" si="4"/>
        <v>7893.6203735999998</v>
      </c>
      <c r="F50" s="61">
        <f t="shared" si="6"/>
        <v>53.87</v>
      </c>
      <c r="G50" s="62">
        <f t="shared" si="7"/>
        <v>8308.5058523999996</v>
      </c>
      <c r="H50" s="63">
        <f t="shared" si="8"/>
        <v>2.6899999999999977</v>
      </c>
      <c r="I50" s="64">
        <f t="shared" si="8"/>
        <v>414.88547879999987</v>
      </c>
      <c r="J50" s="65">
        <f t="shared" si="9"/>
        <v>5.255959359124654E-2</v>
      </c>
      <c r="K50" s="66">
        <v>300</v>
      </c>
      <c r="L50" s="67">
        <f t="shared" si="10"/>
        <v>23.134878000000004</v>
      </c>
      <c r="M50" s="68">
        <f t="shared" si="5"/>
        <v>3113.7232300200008</v>
      </c>
      <c r="N50" s="21">
        <f t="shared" si="11"/>
        <v>0.37476331910154087</v>
      </c>
      <c r="O50" s="23">
        <f t="shared" si="12"/>
        <v>20.188500000000005</v>
      </c>
      <c r="P50" s="23">
        <f t="shared" si="13"/>
        <v>33.681499999999993</v>
      </c>
      <c r="Q50" s="38"/>
    </row>
    <row r="51" spans="1:17">
      <c r="A51" s="38" t="s">
        <v>48</v>
      </c>
      <c r="B51" s="60">
        <v>4.9433500000000006</v>
      </c>
      <c r="C51" s="40">
        <v>1</v>
      </c>
      <c r="D51" s="41">
        <v>51.18</v>
      </c>
      <c r="E51" s="42">
        <f t="shared" si="4"/>
        <v>13156.033956000001</v>
      </c>
      <c r="F51" s="61">
        <f t="shared" si="6"/>
        <v>53.87</v>
      </c>
      <c r="G51" s="62">
        <f t="shared" si="7"/>
        <v>13847.509754000001</v>
      </c>
      <c r="H51" s="63">
        <f t="shared" si="8"/>
        <v>2.6899999999999977</v>
      </c>
      <c r="I51" s="64">
        <f t="shared" si="8"/>
        <v>691.47579799999949</v>
      </c>
      <c r="J51" s="65">
        <f t="shared" si="9"/>
        <v>5.255959359124654E-2</v>
      </c>
      <c r="K51" s="66">
        <v>300</v>
      </c>
      <c r="L51" s="67">
        <f t="shared" si="10"/>
        <v>38.558130000000006</v>
      </c>
      <c r="M51" s="68">
        <f t="shared" si="5"/>
        <v>5189.5387167000008</v>
      </c>
      <c r="N51" s="21">
        <f t="shared" si="11"/>
        <v>0.37476331910154081</v>
      </c>
      <c r="O51" s="23">
        <f t="shared" si="12"/>
        <v>20.188500000000001</v>
      </c>
      <c r="P51" s="23">
        <f t="shared" si="13"/>
        <v>33.6815</v>
      </c>
      <c r="Q51" s="38"/>
    </row>
    <row r="52" spans="1:17">
      <c r="A52" s="38" t="s">
        <v>49</v>
      </c>
      <c r="B52" s="60">
        <v>11.864040000000001</v>
      </c>
      <c r="C52" s="40">
        <v>2</v>
      </c>
      <c r="D52" s="41">
        <v>51.18</v>
      </c>
      <c r="E52" s="42">
        <f t="shared" si="4"/>
        <v>63148.962988799998</v>
      </c>
      <c r="F52" s="61">
        <f t="shared" si="6"/>
        <v>53.87</v>
      </c>
      <c r="G52" s="62">
        <f t="shared" si="7"/>
        <v>66468.046819199997</v>
      </c>
      <c r="H52" s="63">
        <f t="shared" si="8"/>
        <v>2.6899999999999977</v>
      </c>
      <c r="I52" s="64">
        <f t="shared" si="8"/>
        <v>3319.083830399999</v>
      </c>
      <c r="J52" s="65">
        <f t="shared" si="9"/>
        <v>5.255959359124654E-2</v>
      </c>
      <c r="K52" s="66">
        <v>300</v>
      </c>
      <c r="L52" s="67">
        <f t="shared" si="10"/>
        <v>185.07902400000003</v>
      </c>
      <c r="M52" s="68">
        <f t="shared" si="5"/>
        <v>24909.785840160006</v>
      </c>
      <c r="N52" s="21">
        <f t="shared" si="11"/>
        <v>0.37476331910154087</v>
      </c>
      <c r="O52" s="23">
        <f t="shared" si="12"/>
        <v>20.188500000000005</v>
      </c>
      <c r="P52" s="23">
        <f t="shared" si="13"/>
        <v>33.681499999999993</v>
      </c>
      <c r="Q52" s="38"/>
    </row>
    <row r="53" spans="1:17">
      <c r="A53" s="38" t="s">
        <v>50</v>
      </c>
      <c r="B53" s="60">
        <v>1.9773400000000001</v>
      </c>
      <c r="C53" s="40">
        <v>3</v>
      </c>
      <c r="D53" s="41">
        <v>51.18</v>
      </c>
      <c r="E53" s="42">
        <f t="shared" si="4"/>
        <v>15787.2407472</v>
      </c>
      <c r="F53" s="61">
        <f t="shared" si="6"/>
        <v>53.87</v>
      </c>
      <c r="G53" s="62">
        <f t="shared" si="7"/>
        <v>16617.011704799999</v>
      </c>
      <c r="H53" s="63">
        <f t="shared" si="8"/>
        <v>2.6899999999999977</v>
      </c>
      <c r="I53" s="64">
        <f t="shared" si="8"/>
        <v>829.77095759999975</v>
      </c>
      <c r="J53" s="65">
        <f t="shared" si="9"/>
        <v>5.255959359124654E-2</v>
      </c>
      <c r="K53" s="66">
        <v>300</v>
      </c>
      <c r="L53" s="67">
        <f t="shared" si="10"/>
        <v>46.269756000000008</v>
      </c>
      <c r="M53" s="68">
        <f t="shared" si="5"/>
        <v>6227.4464600400015</v>
      </c>
      <c r="N53" s="21">
        <f t="shared" si="11"/>
        <v>0.37476331910154087</v>
      </c>
      <c r="O53" s="23">
        <f t="shared" si="12"/>
        <v>20.188500000000005</v>
      </c>
      <c r="P53" s="23">
        <f t="shared" si="13"/>
        <v>33.681499999999993</v>
      </c>
      <c r="Q53" s="38"/>
    </row>
    <row r="54" spans="1:17" ht="16.5">
      <c r="A54" s="38" t="s">
        <v>51</v>
      </c>
      <c r="B54" s="47">
        <v>0.98867000000000005</v>
      </c>
      <c r="C54" s="40">
        <v>4</v>
      </c>
      <c r="D54" s="41">
        <v>51.18</v>
      </c>
      <c r="E54" s="48">
        <f t="shared" si="4"/>
        <v>10524.827164800001</v>
      </c>
      <c r="F54" s="61">
        <f t="shared" si="6"/>
        <v>53.87</v>
      </c>
      <c r="G54" s="48">
        <f t="shared" si="7"/>
        <v>11078.0078032</v>
      </c>
      <c r="H54" s="63">
        <f t="shared" si="8"/>
        <v>2.6899999999999977</v>
      </c>
      <c r="I54" s="69">
        <f t="shared" si="8"/>
        <v>553.18063839999922</v>
      </c>
      <c r="J54" s="65">
        <f t="shared" si="9"/>
        <v>5.255959359124654E-2</v>
      </c>
      <c r="K54" s="66">
        <v>300</v>
      </c>
      <c r="L54" s="70">
        <f t="shared" si="10"/>
        <v>30.846503999999999</v>
      </c>
      <c r="M54" s="71">
        <f t="shared" si="5"/>
        <v>4151.6309733600001</v>
      </c>
      <c r="N54" s="21">
        <f t="shared" si="11"/>
        <v>0.37476331910154076</v>
      </c>
      <c r="O54" s="23">
        <f t="shared" si="12"/>
        <v>20.188500000000001</v>
      </c>
      <c r="P54" s="23">
        <f t="shared" si="13"/>
        <v>33.6815</v>
      </c>
      <c r="Q54" s="38"/>
    </row>
    <row r="55" spans="1:17" ht="16.5">
      <c r="A55" s="38"/>
      <c r="B55" s="72">
        <v>71.184240000000003</v>
      </c>
      <c r="C55" s="40"/>
      <c r="D55" s="41"/>
      <c r="E55" s="50">
        <f>SUM(E48:E54)</f>
        <v>239439.81799919999</v>
      </c>
      <c r="F55" s="50"/>
      <c r="G55" s="50">
        <f>SUM(G48:G54)</f>
        <v>252024.67752279999</v>
      </c>
      <c r="H55" s="50"/>
      <c r="I55" s="50">
        <f>SUM(I48:I54)</f>
        <v>12584.859523600004</v>
      </c>
      <c r="J55" s="50"/>
      <c r="K55" s="50"/>
      <c r="L55" s="55">
        <f>SUM(L48:L54)</f>
        <v>701.75796600000012</v>
      </c>
      <c r="M55" s="50">
        <f>SUM(M48:M54)</f>
        <v>94449.604643940009</v>
      </c>
      <c r="N55" s="38"/>
      <c r="O55" s="38"/>
      <c r="P55" s="38"/>
      <c r="Q55" s="38"/>
    </row>
    <row r="56" spans="1:17">
      <c r="A56" s="38"/>
      <c r="B56" s="59"/>
      <c r="C56" s="40"/>
      <c r="D56" s="41"/>
      <c r="E56" s="42"/>
      <c r="F56" s="38"/>
      <c r="G56" s="38"/>
      <c r="H56" s="38"/>
      <c r="I56" s="38"/>
      <c r="J56" s="38"/>
      <c r="K56" s="43"/>
      <c r="L56" s="43"/>
      <c r="M56" s="38"/>
      <c r="N56" s="38"/>
      <c r="O56" s="38"/>
      <c r="P56" s="38"/>
      <c r="Q56" s="38"/>
    </row>
    <row r="57" spans="1:17">
      <c r="A57" s="38"/>
      <c r="B57" s="59"/>
      <c r="C57" s="40"/>
      <c r="D57" s="41"/>
      <c r="E57" s="42"/>
      <c r="F57" s="38"/>
      <c r="G57" s="38"/>
      <c r="H57" s="38"/>
      <c r="I57" s="38"/>
      <c r="J57" s="38"/>
      <c r="K57" s="43"/>
      <c r="L57" s="43"/>
      <c r="M57" s="38"/>
      <c r="N57" s="38"/>
      <c r="O57" s="38"/>
      <c r="P57" s="38"/>
      <c r="Q57" s="38"/>
    </row>
    <row r="58" spans="1:17">
      <c r="A58" s="38" t="s">
        <v>52</v>
      </c>
      <c r="B58" s="60">
        <v>69.206900000000005</v>
      </c>
      <c r="C58" s="40">
        <v>1</v>
      </c>
      <c r="D58" s="41">
        <v>61.57</v>
      </c>
      <c r="E58" s="42">
        <f>+D58*C58*B58*52</f>
        <v>221575.57931600002</v>
      </c>
      <c r="F58" s="61">
        <f>ROUND(D58*(1+$F$10),2)</f>
        <v>64.8</v>
      </c>
      <c r="G58" s="62">
        <f>+F58*B58*C58*52</f>
        <v>233199.57023999997</v>
      </c>
      <c r="H58" s="63">
        <f>+F58-D58</f>
        <v>3.2299999999999969</v>
      </c>
      <c r="I58" s="64">
        <f>+G58-E58</f>
        <v>11623.990923999954</v>
      </c>
      <c r="J58" s="65">
        <f>H58/D58</f>
        <v>5.2460613935358079E-2</v>
      </c>
      <c r="K58" s="66">
        <v>400</v>
      </c>
      <c r="L58" s="67">
        <f>+B58*C58*K58*52/2000</f>
        <v>719.75175999999999</v>
      </c>
      <c r="M58" s="68">
        <f t="shared" ref="M58:M68" si="14">+$M$10*L58</f>
        <v>96871.389378399996</v>
      </c>
      <c r="N58" s="21">
        <f>+M58/G58</f>
        <v>0.41540123456790129</v>
      </c>
      <c r="O58" s="23">
        <f>+N58*F58</f>
        <v>26.918000000000003</v>
      </c>
      <c r="P58" s="23">
        <f>+F58-O58</f>
        <v>37.881999999999991</v>
      </c>
      <c r="Q58" s="38"/>
    </row>
    <row r="59" spans="1:17">
      <c r="A59" s="38" t="s">
        <v>53</v>
      </c>
      <c r="B59" s="60">
        <v>1.9773400000000001</v>
      </c>
      <c r="C59" s="40">
        <v>1</v>
      </c>
      <c r="D59" s="41">
        <v>61.57</v>
      </c>
      <c r="E59" s="42">
        <f>+D59*C59*B59*52</f>
        <v>6330.7308376000001</v>
      </c>
      <c r="F59" s="61">
        <f t="shared" ref="F59:F68" si="15">ROUND(D59*(1+$F$10),2)</f>
        <v>64.8</v>
      </c>
      <c r="G59" s="62">
        <f t="shared" ref="G59:G68" si="16">+F59*B59*C59*52</f>
        <v>6662.8448639999997</v>
      </c>
      <c r="H59" s="63">
        <f t="shared" ref="H59:I68" si="17">+F59-D59</f>
        <v>3.2299999999999969</v>
      </c>
      <c r="I59" s="64">
        <f t="shared" si="17"/>
        <v>332.1140263999996</v>
      </c>
      <c r="J59" s="65">
        <f t="shared" ref="J59:J68" si="18">H59/D59</f>
        <v>5.2460613935358079E-2</v>
      </c>
      <c r="K59" s="66">
        <v>400</v>
      </c>
      <c r="L59" s="67">
        <f t="shared" ref="L59:L68" si="19">+B59*C59*K59*52/2000</f>
        <v>20.564336000000001</v>
      </c>
      <c r="M59" s="68">
        <f t="shared" si="14"/>
        <v>2767.7539822400004</v>
      </c>
      <c r="N59" s="21">
        <f t="shared" ref="N59:N68" si="20">+M59/G59</f>
        <v>0.41540123456790129</v>
      </c>
      <c r="O59" s="23">
        <f t="shared" ref="O59:O68" si="21">+N59*F59</f>
        <v>26.918000000000003</v>
      </c>
      <c r="P59" s="23">
        <f t="shared" ref="P59:P68" si="22">+F59-O59</f>
        <v>37.881999999999991</v>
      </c>
      <c r="Q59" s="38"/>
    </row>
    <row r="60" spans="1:17">
      <c r="A60" s="38" t="s">
        <v>54</v>
      </c>
      <c r="B60" s="60">
        <v>5.9320200000000005</v>
      </c>
      <c r="C60" s="40">
        <v>1</v>
      </c>
      <c r="D60" s="41">
        <v>61.57</v>
      </c>
      <c r="E60" s="42">
        <f t="shared" ref="E60:E68" si="23">+D60*C60*B60*52</f>
        <v>18992.1925128</v>
      </c>
      <c r="F60" s="61">
        <f t="shared" si="15"/>
        <v>64.8</v>
      </c>
      <c r="G60" s="62">
        <f t="shared" si="16"/>
        <v>19988.534592</v>
      </c>
      <c r="H60" s="63">
        <f t="shared" si="17"/>
        <v>3.2299999999999969</v>
      </c>
      <c r="I60" s="64">
        <f t="shared" si="17"/>
        <v>996.34207919999972</v>
      </c>
      <c r="J60" s="65">
        <f t="shared" si="18"/>
        <v>5.2460613935358079E-2</v>
      </c>
      <c r="K60" s="66">
        <v>400</v>
      </c>
      <c r="L60" s="67">
        <f t="shared" si="19"/>
        <v>61.693007999999999</v>
      </c>
      <c r="M60" s="68">
        <f t="shared" si="14"/>
        <v>8303.2619467200002</v>
      </c>
      <c r="N60" s="21">
        <f t="shared" si="20"/>
        <v>0.41540123456790123</v>
      </c>
      <c r="O60" s="23">
        <f t="shared" si="21"/>
        <v>26.917999999999999</v>
      </c>
      <c r="P60" s="23">
        <f t="shared" si="22"/>
        <v>37.881999999999998</v>
      </c>
      <c r="Q60" s="38"/>
    </row>
    <row r="61" spans="1:17">
      <c r="A61" s="38" t="s">
        <v>55</v>
      </c>
      <c r="B61" s="60">
        <v>3.9546800000000002</v>
      </c>
      <c r="C61" s="40">
        <v>1</v>
      </c>
      <c r="D61" s="41">
        <v>61.57</v>
      </c>
      <c r="E61" s="42">
        <f t="shared" si="23"/>
        <v>12661.4616752</v>
      </c>
      <c r="F61" s="61">
        <f t="shared" si="15"/>
        <v>64.8</v>
      </c>
      <c r="G61" s="62">
        <f t="shared" si="16"/>
        <v>13325.689727999999</v>
      </c>
      <c r="H61" s="63">
        <f t="shared" si="17"/>
        <v>3.2299999999999969</v>
      </c>
      <c r="I61" s="64">
        <f t="shared" si="17"/>
        <v>664.2280527999992</v>
      </c>
      <c r="J61" s="65">
        <f t="shared" si="18"/>
        <v>5.2460613935358079E-2</v>
      </c>
      <c r="K61" s="66">
        <v>400</v>
      </c>
      <c r="L61" s="67">
        <f t="shared" si="19"/>
        <v>41.128672000000002</v>
      </c>
      <c r="M61" s="68">
        <f t="shared" si="14"/>
        <v>5535.5079644800007</v>
      </c>
      <c r="N61" s="21">
        <f t="shared" si="20"/>
        <v>0.41540123456790129</v>
      </c>
      <c r="O61" s="23">
        <f t="shared" si="21"/>
        <v>26.918000000000003</v>
      </c>
      <c r="P61" s="23">
        <f t="shared" si="22"/>
        <v>37.881999999999991</v>
      </c>
      <c r="Q61" s="38"/>
    </row>
    <row r="62" spans="1:17">
      <c r="A62" s="38" t="s">
        <v>56</v>
      </c>
      <c r="B62" s="60">
        <v>5.9320200000000005</v>
      </c>
      <c r="C62" s="40">
        <v>1</v>
      </c>
      <c r="D62" s="41">
        <v>61.57</v>
      </c>
      <c r="E62" s="42">
        <f t="shared" si="23"/>
        <v>18992.1925128</v>
      </c>
      <c r="F62" s="61">
        <f t="shared" si="15"/>
        <v>64.8</v>
      </c>
      <c r="G62" s="62">
        <f t="shared" si="16"/>
        <v>19988.534592</v>
      </c>
      <c r="H62" s="63">
        <f t="shared" si="17"/>
        <v>3.2299999999999969</v>
      </c>
      <c r="I62" s="64">
        <f t="shared" si="17"/>
        <v>996.34207919999972</v>
      </c>
      <c r="J62" s="65">
        <f t="shared" si="18"/>
        <v>5.2460613935358079E-2</v>
      </c>
      <c r="K62" s="66">
        <v>400</v>
      </c>
      <c r="L62" s="67">
        <f t="shared" si="19"/>
        <v>61.693007999999999</v>
      </c>
      <c r="M62" s="68">
        <f t="shared" si="14"/>
        <v>8303.2619467200002</v>
      </c>
      <c r="N62" s="21">
        <f t="shared" si="20"/>
        <v>0.41540123456790123</v>
      </c>
      <c r="O62" s="23">
        <f t="shared" si="21"/>
        <v>26.917999999999999</v>
      </c>
      <c r="P62" s="23">
        <f t="shared" si="22"/>
        <v>37.881999999999998</v>
      </c>
      <c r="Q62" s="38"/>
    </row>
    <row r="63" spans="1:17">
      <c r="A63" s="38" t="s">
        <v>57</v>
      </c>
      <c r="B63" s="60">
        <v>14.83005</v>
      </c>
      <c r="C63" s="40">
        <v>2</v>
      </c>
      <c r="D63" s="41">
        <v>61.57</v>
      </c>
      <c r="E63" s="42">
        <f t="shared" si="23"/>
        <v>94960.962564000001</v>
      </c>
      <c r="F63" s="61">
        <f t="shared" si="15"/>
        <v>64.8</v>
      </c>
      <c r="G63" s="62">
        <f t="shared" si="16"/>
        <v>99942.672959999996</v>
      </c>
      <c r="H63" s="63">
        <f t="shared" si="17"/>
        <v>3.2299999999999969</v>
      </c>
      <c r="I63" s="64">
        <f t="shared" si="17"/>
        <v>4981.7103959999949</v>
      </c>
      <c r="J63" s="65">
        <f t="shared" si="18"/>
        <v>5.2460613935358079E-2</v>
      </c>
      <c r="K63" s="66">
        <v>400</v>
      </c>
      <c r="L63" s="67">
        <f t="shared" si="19"/>
        <v>308.46504000000004</v>
      </c>
      <c r="M63" s="68">
        <f t="shared" si="14"/>
        <v>41516.309733600006</v>
      </c>
      <c r="N63" s="21">
        <f t="shared" si="20"/>
        <v>0.41540123456790129</v>
      </c>
      <c r="O63" s="23">
        <f t="shared" si="21"/>
        <v>26.918000000000003</v>
      </c>
      <c r="P63" s="23">
        <f t="shared" si="22"/>
        <v>37.881999999999991</v>
      </c>
      <c r="Q63" s="38"/>
    </row>
    <row r="64" spans="1:17">
      <c r="A64" s="38" t="s">
        <v>58</v>
      </c>
      <c r="B64" s="60">
        <v>1.9773400000000001</v>
      </c>
      <c r="C64" s="40">
        <v>2</v>
      </c>
      <c r="D64" s="41">
        <v>61.57</v>
      </c>
      <c r="E64" s="42">
        <f t="shared" si="23"/>
        <v>12661.4616752</v>
      </c>
      <c r="F64" s="61">
        <f t="shared" si="15"/>
        <v>64.8</v>
      </c>
      <c r="G64" s="62">
        <f t="shared" si="16"/>
        <v>13325.689727999999</v>
      </c>
      <c r="H64" s="63">
        <f t="shared" si="17"/>
        <v>3.2299999999999969</v>
      </c>
      <c r="I64" s="64">
        <f t="shared" si="17"/>
        <v>664.2280527999992</v>
      </c>
      <c r="J64" s="65">
        <f t="shared" si="18"/>
        <v>5.2460613935358079E-2</v>
      </c>
      <c r="K64" s="66">
        <v>400</v>
      </c>
      <c r="L64" s="67">
        <f t="shared" si="19"/>
        <v>41.128672000000002</v>
      </c>
      <c r="M64" s="68">
        <f t="shared" si="14"/>
        <v>5535.5079644800007</v>
      </c>
      <c r="N64" s="21">
        <f t="shared" si="20"/>
        <v>0.41540123456790129</v>
      </c>
      <c r="O64" s="23">
        <f t="shared" si="21"/>
        <v>26.918000000000003</v>
      </c>
      <c r="P64" s="23">
        <f t="shared" si="22"/>
        <v>37.881999999999991</v>
      </c>
      <c r="Q64" s="38"/>
    </row>
    <row r="65" spans="1:17">
      <c r="A65" s="38" t="s">
        <v>59</v>
      </c>
      <c r="B65" s="60">
        <v>9.8867000000000012</v>
      </c>
      <c r="C65" s="40">
        <v>3</v>
      </c>
      <c r="D65" s="41">
        <v>61.57</v>
      </c>
      <c r="E65" s="42">
        <f t="shared" si="23"/>
        <v>94960.962564000016</v>
      </c>
      <c r="F65" s="61">
        <f t="shared" si="15"/>
        <v>64.8</v>
      </c>
      <c r="G65" s="62">
        <f t="shared" si="16"/>
        <v>99942.672960000011</v>
      </c>
      <c r="H65" s="63">
        <f t="shared" si="17"/>
        <v>3.2299999999999969</v>
      </c>
      <c r="I65" s="64">
        <f t="shared" si="17"/>
        <v>4981.7103959999949</v>
      </c>
      <c r="J65" s="65">
        <f t="shared" si="18"/>
        <v>5.2460613935358079E-2</v>
      </c>
      <c r="K65" s="66">
        <v>400</v>
      </c>
      <c r="L65" s="67">
        <f t="shared" si="19"/>
        <v>308.46504000000004</v>
      </c>
      <c r="M65" s="68">
        <f t="shared" si="14"/>
        <v>41516.309733600006</v>
      </c>
      <c r="N65" s="21">
        <f t="shared" si="20"/>
        <v>0.41540123456790123</v>
      </c>
      <c r="O65" s="23">
        <f t="shared" si="21"/>
        <v>26.917999999999999</v>
      </c>
      <c r="P65" s="23">
        <f t="shared" si="22"/>
        <v>37.881999999999998</v>
      </c>
      <c r="Q65" s="38"/>
    </row>
    <row r="66" spans="1:17">
      <c r="A66" s="38" t="s">
        <v>60</v>
      </c>
      <c r="B66" s="60">
        <v>3.9546800000000002</v>
      </c>
      <c r="C66" s="40">
        <v>3</v>
      </c>
      <c r="D66" s="41">
        <v>61.57</v>
      </c>
      <c r="E66" s="42">
        <f t="shared" si="23"/>
        <v>37984.385025600001</v>
      </c>
      <c r="F66" s="61">
        <f t="shared" si="15"/>
        <v>64.8</v>
      </c>
      <c r="G66" s="62">
        <f t="shared" si="16"/>
        <v>39977.069184</v>
      </c>
      <c r="H66" s="63">
        <f t="shared" si="17"/>
        <v>3.2299999999999969</v>
      </c>
      <c r="I66" s="64">
        <f t="shared" si="17"/>
        <v>1992.6841583999994</v>
      </c>
      <c r="J66" s="65">
        <f t="shared" si="18"/>
        <v>5.2460613935358079E-2</v>
      </c>
      <c r="K66" s="66">
        <v>400</v>
      </c>
      <c r="L66" s="67">
        <f t="shared" si="19"/>
        <v>123.386016</v>
      </c>
      <c r="M66" s="68">
        <f t="shared" si="14"/>
        <v>16606.52389344</v>
      </c>
      <c r="N66" s="21">
        <f t="shared" si="20"/>
        <v>0.41540123456790123</v>
      </c>
      <c r="O66" s="23">
        <f t="shared" si="21"/>
        <v>26.917999999999999</v>
      </c>
      <c r="P66" s="23">
        <f t="shared" si="22"/>
        <v>37.881999999999998</v>
      </c>
      <c r="Q66" s="38"/>
    </row>
    <row r="67" spans="1:17">
      <c r="A67" s="38" t="s">
        <v>61</v>
      </c>
      <c r="B67" s="60">
        <v>0.98867000000000005</v>
      </c>
      <c r="C67" s="40">
        <v>4</v>
      </c>
      <c r="D67" s="41">
        <v>61.57</v>
      </c>
      <c r="E67" s="42">
        <f t="shared" si="23"/>
        <v>12661.4616752</v>
      </c>
      <c r="F67" s="61">
        <f t="shared" si="15"/>
        <v>64.8</v>
      </c>
      <c r="G67" s="62">
        <f t="shared" si="16"/>
        <v>13325.689727999999</v>
      </c>
      <c r="H67" s="63">
        <f t="shared" si="17"/>
        <v>3.2299999999999969</v>
      </c>
      <c r="I67" s="64">
        <f t="shared" si="17"/>
        <v>664.2280527999992</v>
      </c>
      <c r="J67" s="65">
        <f t="shared" si="18"/>
        <v>5.2460613935358079E-2</v>
      </c>
      <c r="K67" s="66">
        <v>400</v>
      </c>
      <c r="L67" s="67">
        <f t="shared" si="19"/>
        <v>41.128672000000002</v>
      </c>
      <c r="M67" s="68">
        <f t="shared" si="14"/>
        <v>5535.5079644800007</v>
      </c>
      <c r="N67" s="21">
        <f t="shared" si="20"/>
        <v>0.41540123456790129</v>
      </c>
      <c r="O67" s="23">
        <f t="shared" si="21"/>
        <v>26.918000000000003</v>
      </c>
      <c r="P67" s="23">
        <f t="shared" si="22"/>
        <v>37.881999999999991</v>
      </c>
      <c r="Q67" s="38"/>
    </row>
    <row r="68" spans="1:17" ht="16.5">
      <c r="A68" s="38" t="s">
        <v>62</v>
      </c>
      <c r="B68" s="47">
        <v>1.9773400000000001</v>
      </c>
      <c r="C68" s="40">
        <v>6</v>
      </c>
      <c r="D68" s="41">
        <v>61.57</v>
      </c>
      <c r="E68" s="48">
        <f t="shared" si="23"/>
        <v>37984.385025600001</v>
      </c>
      <c r="F68" s="61">
        <f t="shared" si="15"/>
        <v>64.8</v>
      </c>
      <c r="G68" s="48">
        <f t="shared" si="16"/>
        <v>39977.069184</v>
      </c>
      <c r="H68" s="63">
        <f t="shared" si="17"/>
        <v>3.2299999999999969</v>
      </c>
      <c r="I68" s="69">
        <f t="shared" si="17"/>
        <v>1992.6841583999994</v>
      </c>
      <c r="J68" s="65">
        <f t="shared" si="18"/>
        <v>5.2460613935358079E-2</v>
      </c>
      <c r="K68" s="66">
        <v>400</v>
      </c>
      <c r="L68" s="70">
        <f t="shared" si="19"/>
        <v>123.386016</v>
      </c>
      <c r="M68" s="71">
        <f t="shared" si="14"/>
        <v>16606.52389344</v>
      </c>
      <c r="N68" s="21">
        <f t="shared" si="20"/>
        <v>0.41540123456790123</v>
      </c>
      <c r="O68" s="23">
        <f t="shared" si="21"/>
        <v>26.917999999999999</v>
      </c>
      <c r="P68" s="23">
        <f t="shared" si="22"/>
        <v>37.881999999999998</v>
      </c>
      <c r="Q68" s="38"/>
    </row>
    <row r="69" spans="1:17" ht="16.5">
      <c r="A69" s="38"/>
      <c r="B69" s="72">
        <v>120.61773999999998</v>
      </c>
      <c r="C69" s="40"/>
      <c r="D69" s="41"/>
      <c r="E69" s="50">
        <f>SUM(E58:E68)</f>
        <v>569765.77538400004</v>
      </c>
      <c r="F69" s="50"/>
      <c r="G69" s="50">
        <f>SUM(G58:G68)</f>
        <v>599656.03775999998</v>
      </c>
      <c r="H69" s="50"/>
      <c r="I69" s="50">
        <f>SUM(I58:I68)</f>
        <v>29890.262375999933</v>
      </c>
      <c r="J69" s="50"/>
      <c r="K69" s="50"/>
      <c r="L69" s="55">
        <f>SUM(L58:L68)</f>
        <v>1850.79024</v>
      </c>
      <c r="M69" s="50">
        <f>SUM(M58:M68)</f>
        <v>249097.85840159998</v>
      </c>
      <c r="N69" s="21"/>
      <c r="O69" s="23"/>
      <c r="P69" s="23"/>
      <c r="Q69" s="38"/>
    </row>
    <row r="70" spans="1:17">
      <c r="A70" s="38"/>
      <c r="B70" s="59"/>
      <c r="C70" s="40"/>
      <c r="D70" s="41"/>
      <c r="E70" s="42"/>
      <c r="F70" s="38"/>
      <c r="G70" s="38"/>
      <c r="H70" s="38"/>
      <c r="I70" s="38"/>
      <c r="J70" s="38"/>
      <c r="K70" s="43"/>
      <c r="L70" s="43"/>
      <c r="M70" s="38"/>
      <c r="N70" s="38"/>
      <c r="O70" s="38"/>
      <c r="P70" s="38"/>
      <c r="Q70" s="38"/>
    </row>
    <row r="71" spans="1:17">
      <c r="A71" s="38"/>
      <c r="B71" s="59"/>
      <c r="C71" s="40"/>
      <c r="D71" s="41"/>
      <c r="E71" s="42"/>
      <c r="F71" s="38"/>
      <c r="G71" s="38"/>
      <c r="H71" s="38"/>
      <c r="I71" s="38"/>
      <c r="J71" s="38"/>
      <c r="K71" s="43"/>
      <c r="L71" s="43"/>
      <c r="M71" s="38"/>
      <c r="N71" s="38"/>
      <c r="O71" s="38"/>
      <c r="P71" s="38"/>
      <c r="Q71" s="38"/>
    </row>
    <row r="72" spans="1:17">
      <c r="A72" s="38" t="s">
        <v>63</v>
      </c>
      <c r="B72" s="60">
        <v>52.399509999999999</v>
      </c>
      <c r="C72" s="40">
        <v>1</v>
      </c>
      <c r="D72" s="41">
        <v>79.73</v>
      </c>
      <c r="E72" s="42">
        <f t="shared" ref="E72:E77" si="24">+D72*C72*B72*52</f>
        <v>217246.27247960001</v>
      </c>
      <c r="F72" s="61">
        <f t="shared" ref="F72:F77" si="25">ROUND(D72*(1+$F$10),2)</f>
        <v>83.92</v>
      </c>
      <c r="G72" s="62">
        <f t="shared" ref="G72:G77" si="26">+F72*B72*C72*52</f>
        <v>228663.07771839999</v>
      </c>
      <c r="H72" s="63">
        <f t="shared" ref="H72:I77" si="27">+F72-D72</f>
        <v>4.1899999999999977</v>
      </c>
      <c r="I72" s="64">
        <f t="shared" si="27"/>
        <v>11416.805238799978</v>
      </c>
      <c r="J72" s="65">
        <f t="shared" ref="J72:J77" si="28">H72/D72</f>
        <v>5.2552364229273771E-2</v>
      </c>
      <c r="K72" s="66">
        <v>600</v>
      </c>
      <c r="L72" s="67">
        <f t="shared" ref="L72:L77" si="29">+B72*C72*K72*52/2000</f>
        <v>817.43235599999991</v>
      </c>
      <c r="M72" s="68">
        <f t="shared" ref="M72:M77" si="30">+$M$10*L72</f>
        <v>110018.22079404</v>
      </c>
      <c r="N72" s="21">
        <f t="shared" ref="N72:N77" si="31">+M72/G72</f>
        <v>0.4811367969494757</v>
      </c>
      <c r="O72" s="23">
        <f t="shared" ref="O72:O77" si="32">+N72*F72</f>
        <v>40.377000000000002</v>
      </c>
      <c r="P72" s="23">
        <f t="shared" ref="P72:P77" si="33">+F72-O72</f>
        <v>43.542999999999999</v>
      </c>
      <c r="Q72" s="38"/>
    </row>
    <row r="73" spans="1:17">
      <c r="A73" s="38" t="s">
        <v>64</v>
      </c>
      <c r="B73" s="60">
        <v>1.9773400000000001</v>
      </c>
      <c r="C73" s="40">
        <v>1</v>
      </c>
      <c r="D73" s="41">
        <v>79.73</v>
      </c>
      <c r="E73" s="42">
        <f t="shared" si="24"/>
        <v>8197.9725464000021</v>
      </c>
      <c r="F73" s="61">
        <f t="shared" si="25"/>
        <v>83.92</v>
      </c>
      <c r="G73" s="62">
        <f t="shared" si="26"/>
        <v>8628.7953856000022</v>
      </c>
      <c r="H73" s="63">
        <f t="shared" si="27"/>
        <v>4.1899999999999977</v>
      </c>
      <c r="I73" s="64">
        <f t="shared" si="27"/>
        <v>430.82283920000009</v>
      </c>
      <c r="J73" s="65">
        <f t="shared" si="28"/>
        <v>5.2552364229273771E-2</v>
      </c>
      <c r="K73" s="66">
        <v>600</v>
      </c>
      <c r="L73" s="67">
        <f t="shared" si="29"/>
        <v>30.846503999999999</v>
      </c>
      <c r="M73" s="68">
        <f t="shared" si="30"/>
        <v>4151.6309733600001</v>
      </c>
      <c r="N73" s="21">
        <f t="shared" si="31"/>
        <v>0.48113679694947559</v>
      </c>
      <c r="O73" s="23">
        <f t="shared" si="32"/>
        <v>40.376999999999995</v>
      </c>
      <c r="P73" s="23">
        <f t="shared" si="33"/>
        <v>43.543000000000006</v>
      </c>
      <c r="Q73" s="38"/>
    </row>
    <row r="74" spans="1:17">
      <c r="A74" s="38" t="s">
        <v>65</v>
      </c>
      <c r="B74" s="60">
        <v>3.9546800000000002</v>
      </c>
      <c r="C74" s="40">
        <v>1</v>
      </c>
      <c r="D74" s="41">
        <v>79.73</v>
      </c>
      <c r="E74" s="42">
        <f t="shared" si="24"/>
        <v>16395.945092800004</v>
      </c>
      <c r="F74" s="61">
        <f t="shared" si="25"/>
        <v>83.92</v>
      </c>
      <c r="G74" s="62">
        <f t="shared" si="26"/>
        <v>17257.590771200004</v>
      </c>
      <c r="H74" s="63">
        <f t="shared" si="27"/>
        <v>4.1899999999999977</v>
      </c>
      <c r="I74" s="64">
        <f t="shared" si="27"/>
        <v>861.64567840000018</v>
      </c>
      <c r="J74" s="65">
        <f t="shared" si="28"/>
        <v>5.2552364229273771E-2</v>
      </c>
      <c r="K74" s="66">
        <v>600</v>
      </c>
      <c r="L74" s="67">
        <f t="shared" si="29"/>
        <v>61.693007999999999</v>
      </c>
      <c r="M74" s="68">
        <f t="shared" si="30"/>
        <v>8303.2619467200002</v>
      </c>
      <c r="N74" s="21">
        <f t="shared" si="31"/>
        <v>0.48113679694947559</v>
      </c>
      <c r="O74" s="23">
        <f t="shared" si="32"/>
        <v>40.376999999999995</v>
      </c>
      <c r="P74" s="23">
        <f t="shared" si="33"/>
        <v>43.543000000000006</v>
      </c>
      <c r="Q74" s="38"/>
    </row>
    <row r="75" spans="1:17">
      <c r="A75" s="38" t="s">
        <v>66</v>
      </c>
      <c r="B75" s="60">
        <v>8.8980300000000003</v>
      </c>
      <c r="C75" s="40">
        <v>2</v>
      </c>
      <c r="D75" s="41">
        <v>79.73</v>
      </c>
      <c r="E75" s="42">
        <f t="shared" si="24"/>
        <v>73781.75291760001</v>
      </c>
      <c r="F75" s="61">
        <f t="shared" si="25"/>
        <v>83.92</v>
      </c>
      <c r="G75" s="62">
        <f t="shared" si="26"/>
        <v>77659.158470399998</v>
      </c>
      <c r="H75" s="63">
        <f t="shared" si="27"/>
        <v>4.1899999999999977</v>
      </c>
      <c r="I75" s="64">
        <f t="shared" si="27"/>
        <v>3877.4055527999881</v>
      </c>
      <c r="J75" s="65">
        <f t="shared" si="28"/>
        <v>5.2552364229273771E-2</v>
      </c>
      <c r="K75" s="66">
        <v>600</v>
      </c>
      <c r="L75" s="67">
        <f t="shared" si="29"/>
        <v>277.61853600000001</v>
      </c>
      <c r="M75" s="68">
        <f t="shared" si="30"/>
        <v>37364.67876024</v>
      </c>
      <c r="N75" s="21">
        <f t="shared" si="31"/>
        <v>0.4811367969494757</v>
      </c>
      <c r="O75" s="23">
        <f t="shared" si="32"/>
        <v>40.377000000000002</v>
      </c>
      <c r="P75" s="23">
        <f t="shared" si="33"/>
        <v>43.542999999999999</v>
      </c>
      <c r="Q75" s="38"/>
    </row>
    <row r="76" spans="1:17">
      <c r="A76" s="38" t="s">
        <v>67</v>
      </c>
      <c r="B76" s="60">
        <v>4.9433500000000006</v>
      </c>
      <c r="C76" s="40">
        <v>2</v>
      </c>
      <c r="D76" s="41">
        <v>79.73</v>
      </c>
      <c r="E76" s="42">
        <f t="shared" si="24"/>
        <v>40989.862732000009</v>
      </c>
      <c r="F76" s="61">
        <f t="shared" si="25"/>
        <v>83.92</v>
      </c>
      <c r="G76" s="62">
        <f t="shared" si="26"/>
        <v>43143.976928000004</v>
      </c>
      <c r="H76" s="63">
        <f t="shared" si="27"/>
        <v>4.1899999999999977</v>
      </c>
      <c r="I76" s="64">
        <f t="shared" si="27"/>
        <v>2154.114195999995</v>
      </c>
      <c r="J76" s="65">
        <f t="shared" si="28"/>
        <v>5.2552364229273771E-2</v>
      </c>
      <c r="K76" s="66">
        <v>600</v>
      </c>
      <c r="L76" s="67">
        <f t="shared" si="29"/>
        <v>154.23252000000002</v>
      </c>
      <c r="M76" s="68">
        <f t="shared" si="30"/>
        <v>20758.154866800003</v>
      </c>
      <c r="N76" s="21">
        <f t="shared" si="31"/>
        <v>0.4811367969494757</v>
      </c>
      <c r="O76" s="23">
        <f t="shared" si="32"/>
        <v>40.377000000000002</v>
      </c>
      <c r="P76" s="23">
        <f t="shared" si="33"/>
        <v>43.542999999999999</v>
      </c>
      <c r="Q76" s="38"/>
    </row>
    <row r="77" spans="1:17" ht="16.5">
      <c r="A77" s="38" t="s">
        <v>68</v>
      </c>
      <c r="B77" s="47">
        <v>5.9320200000000005</v>
      </c>
      <c r="C77" s="40">
        <v>3</v>
      </c>
      <c r="D77" s="41">
        <v>79.73</v>
      </c>
      <c r="E77" s="48">
        <f t="shared" si="24"/>
        <v>73781.75291760001</v>
      </c>
      <c r="F77" s="61">
        <f t="shared" si="25"/>
        <v>83.92</v>
      </c>
      <c r="G77" s="48">
        <f t="shared" si="26"/>
        <v>77659.158470400012</v>
      </c>
      <c r="H77" s="63">
        <f t="shared" si="27"/>
        <v>4.1899999999999977</v>
      </c>
      <c r="I77" s="69">
        <f t="shared" si="27"/>
        <v>3877.4055528000026</v>
      </c>
      <c r="J77" s="65">
        <f t="shared" si="28"/>
        <v>5.2552364229273771E-2</v>
      </c>
      <c r="K77" s="66">
        <v>600</v>
      </c>
      <c r="L77" s="70">
        <f t="shared" si="29"/>
        <v>277.61853600000001</v>
      </c>
      <c r="M77" s="71">
        <f t="shared" si="30"/>
        <v>37364.67876024</v>
      </c>
      <c r="N77" s="21">
        <f t="shared" si="31"/>
        <v>0.48113679694947559</v>
      </c>
      <c r="O77" s="23">
        <f t="shared" si="32"/>
        <v>40.376999999999995</v>
      </c>
      <c r="P77" s="23">
        <f t="shared" si="33"/>
        <v>43.543000000000006</v>
      </c>
      <c r="Q77" s="38"/>
    </row>
    <row r="78" spans="1:17" ht="16.5">
      <c r="A78" s="38"/>
      <c r="B78" s="72">
        <v>78.104929999999996</v>
      </c>
      <c r="C78" s="40"/>
      <c r="D78" s="41"/>
      <c r="E78" s="50">
        <f>SUM(E72:E77)</f>
        <v>430393.55868600006</v>
      </c>
      <c r="F78" s="50"/>
      <c r="G78" s="50">
        <f>SUM(G72:G77)</f>
        <v>453011.75774400006</v>
      </c>
      <c r="H78" s="50"/>
      <c r="I78" s="50">
        <f>SUM(I72:I77)</f>
        <v>22618.199057999962</v>
      </c>
      <c r="J78" s="50"/>
      <c r="K78" s="50"/>
      <c r="L78" s="55">
        <f>SUM(L72:L77)</f>
        <v>1619.4414599999998</v>
      </c>
      <c r="M78" s="50">
        <f>SUM(M72:M77)</f>
        <v>217960.6261014</v>
      </c>
      <c r="N78" s="38"/>
      <c r="O78" s="38"/>
      <c r="P78" s="38"/>
      <c r="Q78" s="38"/>
    </row>
    <row r="79" spans="1:17">
      <c r="A79" s="38"/>
      <c r="B79" s="59"/>
      <c r="C79" s="40"/>
      <c r="D79" s="41"/>
      <c r="E79" s="42"/>
      <c r="F79" s="38"/>
      <c r="G79" s="38"/>
      <c r="H79" s="38"/>
      <c r="I79" s="38"/>
      <c r="J79" s="38"/>
      <c r="K79" s="43"/>
      <c r="L79" s="43"/>
      <c r="M79" s="38"/>
      <c r="N79" s="38"/>
      <c r="O79" s="38"/>
      <c r="P79" s="38"/>
      <c r="Q79" s="38"/>
    </row>
    <row r="80" spans="1:17">
      <c r="A80" s="38"/>
      <c r="B80" s="59"/>
      <c r="C80" s="40"/>
      <c r="D80" s="41"/>
      <c r="E80" s="42"/>
      <c r="F80" s="38"/>
      <c r="G80" s="38"/>
      <c r="H80" s="38"/>
      <c r="I80" s="38"/>
      <c r="J80" s="38"/>
      <c r="K80" s="43"/>
      <c r="L80" s="43"/>
      <c r="M80" s="38"/>
      <c r="N80" s="38"/>
      <c r="O80" s="38"/>
      <c r="P80" s="38"/>
      <c r="Q80" s="38"/>
    </row>
    <row r="81" spans="1:17">
      <c r="A81" s="38" t="s">
        <v>69</v>
      </c>
      <c r="B81" s="60">
        <v>50.422170000000001</v>
      </c>
      <c r="C81" s="40">
        <v>1</v>
      </c>
      <c r="D81" s="41">
        <v>97.8</v>
      </c>
      <c r="E81" s="42">
        <f>+D81*C81*B81*52</f>
        <v>256426.98775199999</v>
      </c>
      <c r="F81" s="61">
        <f>ROUND(D81*(1+$F$10),2)</f>
        <v>102.93</v>
      </c>
      <c r="G81" s="62">
        <f>+F81*B81*C81*52</f>
        <v>269877.60582120006</v>
      </c>
      <c r="H81" s="63">
        <f>+F81-D81</f>
        <v>5.1300000000000097</v>
      </c>
      <c r="I81" s="64">
        <f>+G81-E81</f>
        <v>13450.618069200078</v>
      </c>
      <c r="J81" s="65">
        <f>H81/D81</f>
        <v>5.2453987730061449E-2</v>
      </c>
      <c r="K81" s="66">
        <v>800</v>
      </c>
      <c r="L81" s="67">
        <f>+B81*C81*K81*52/2000</f>
        <v>1048.7811360000001</v>
      </c>
      <c r="M81" s="68">
        <f t="shared" ref="M81:M89" si="34">+$M$10*L81</f>
        <v>141155.45309424002</v>
      </c>
      <c r="N81" s="21">
        <f>+M81/G81</f>
        <v>0.52303507237928681</v>
      </c>
      <c r="O81" s="23">
        <f>+N81*F81</f>
        <v>53.835999999999999</v>
      </c>
      <c r="P81" s="23">
        <f>+F81-O81</f>
        <v>49.094000000000008</v>
      </c>
      <c r="Q81" s="38"/>
    </row>
    <row r="82" spans="1:17">
      <c r="A82" s="38" t="s">
        <v>70</v>
      </c>
      <c r="B82" s="60">
        <v>3.9546800000000002</v>
      </c>
      <c r="C82" s="40">
        <v>1</v>
      </c>
      <c r="D82" s="41">
        <v>97.8</v>
      </c>
      <c r="E82" s="42">
        <f>+D82*C82*B82*52</f>
        <v>20111.920608</v>
      </c>
      <c r="F82" s="61">
        <f t="shared" ref="F82:F89" si="35">ROUND(D82*(1+$F$10),2)</f>
        <v>102.93</v>
      </c>
      <c r="G82" s="62">
        <f t="shared" ref="G82:G89" si="36">+F82*B82*C82*52</f>
        <v>21166.871044800006</v>
      </c>
      <c r="H82" s="63">
        <f t="shared" ref="H82:I89" si="37">+F82-D82</f>
        <v>5.1300000000000097</v>
      </c>
      <c r="I82" s="64">
        <f t="shared" si="37"/>
        <v>1054.9504368000053</v>
      </c>
      <c r="J82" s="65">
        <f t="shared" ref="J82:J89" si="38">H82/D82</f>
        <v>5.2453987730061449E-2</v>
      </c>
      <c r="K82" s="66">
        <v>800</v>
      </c>
      <c r="L82" s="67">
        <f t="shared" ref="L82:L89" si="39">+B82*C82*K82*52/2000</f>
        <v>82.257344000000003</v>
      </c>
      <c r="M82" s="68">
        <f t="shared" si="34"/>
        <v>11071.015928960001</v>
      </c>
      <c r="N82" s="21">
        <f t="shared" ref="N82:N89" si="40">+M82/G82</f>
        <v>0.52303507237928681</v>
      </c>
      <c r="O82" s="23">
        <f t="shared" ref="O82:O89" si="41">+N82*F82</f>
        <v>53.835999999999999</v>
      </c>
      <c r="P82" s="23">
        <f t="shared" ref="P82:P89" si="42">+F82-O82</f>
        <v>49.094000000000008</v>
      </c>
      <c r="Q82" s="38"/>
    </row>
    <row r="83" spans="1:17">
      <c r="A83" s="38" t="s">
        <v>71</v>
      </c>
      <c r="B83" s="60">
        <v>3.9546800000000002</v>
      </c>
      <c r="C83" s="40">
        <v>1</v>
      </c>
      <c r="D83" s="41">
        <v>97.8</v>
      </c>
      <c r="E83" s="42">
        <f t="shared" ref="E83:E89" si="43">+D83*C83*B83*52</f>
        <v>20111.920608</v>
      </c>
      <c r="F83" s="61">
        <f t="shared" si="35"/>
        <v>102.93</v>
      </c>
      <c r="G83" s="62">
        <f t="shared" si="36"/>
        <v>21166.871044800006</v>
      </c>
      <c r="H83" s="63">
        <f t="shared" si="37"/>
        <v>5.1300000000000097</v>
      </c>
      <c r="I83" s="64">
        <f t="shared" si="37"/>
        <v>1054.9504368000053</v>
      </c>
      <c r="J83" s="65">
        <f t="shared" si="38"/>
        <v>5.2453987730061449E-2</v>
      </c>
      <c r="K83" s="66">
        <v>800</v>
      </c>
      <c r="L83" s="67">
        <f t="shared" si="39"/>
        <v>82.257344000000003</v>
      </c>
      <c r="M83" s="68">
        <f t="shared" si="34"/>
        <v>11071.015928960001</v>
      </c>
      <c r="N83" s="21">
        <f t="shared" si="40"/>
        <v>0.52303507237928681</v>
      </c>
      <c r="O83" s="23">
        <f t="shared" si="41"/>
        <v>53.835999999999999</v>
      </c>
      <c r="P83" s="23">
        <f t="shared" si="42"/>
        <v>49.094000000000008</v>
      </c>
      <c r="Q83" s="38"/>
    </row>
    <row r="84" spans="1:17">
      <c r="A84" s="38" t="s">
        <v>72</v>
      </c>
      <c r="B84" s="60">
        <v>13.841380000000001</v>
      </c>
      <c r="C84" s="40">
        <v>2</v>
      </c>
      <c r="D84" s="41">
        <v>97.8</v>
      </c>
      <c r="E84" s="42">
        <f t="shared" si="43"/>
        <v>140783.44425599999</v>
      </c>
      <c r="F84" s="61">
        <f t="shared" si="35"/>
        <v>102.93</v>
      </c>
      <c r="G84" s="62">
        <f t="shared" si="36"/>
        <v>148168.09731360004</v>
      </c>
      <c r="H84" s="63">
        <f t="shared" si="37"/>
        <v>5.1300000000000097</v>
      </c>
      <c r="I84" s="64">
        <f t="shared" si="37"/>
        <v>7384.6530576000514</v>
      </c>
      <c r="J84" s="65">
        <f t="shared" si="38"/>
        <v>5.2453987730061449E-2</v>
      </c>
      <c r="K84" s="66">
        <v>800</v>
      </c>
      <c r="L84" s="67">
        <f t="shared" si="39"/>
        <v>575.80140800000004</v>
      </c>
      <c r="M84" s="68">
        <f t="shared" si="34"/>
        <v>77497.111502720014</v>
      </c>
      <c r="N84" s="21">
        <f t="shared" si="40"/>
        <v>0.52303507237928681</v>
      </c>
      <c r="O84" s="23">
        <f t="shared" si="41"/>
        <v>53.835999999999999</v>
      </c>
      <c r="P84" s="23">
        <f t="shared" si="42"/>
        <v>49.094000000000008</v>
      </c>
      <c r="Q84" s="38"/>
    </row>
    <row r="85" spans="1:17">
      <c r="A85" s="38" t="s">
        <v>73</v>
      </c>
      <c r="B85" s="60">
        <v>3.9546800000000002</v>
      </c>
      <c r="C85" s="40">
        <v>2</v>
      </c>
      <c r="D85" s="41">
        <v>97.8</v>
      </c>
      <c r="E85" s="42">
        <f t="shared" si="43"/>
        <v>40223.841216000001</v>
      </c>
      <c r="F85" s="61">
        <f t="shared" si="35"/>
        <v>102.93</v>
      </c>
      <c r="G85" s="62">
        <f t="shared" si="36"/>
        <v>42333.742089600011</v>
      </c>
      <c r="H85" s="63">
        <f t="shared" si="37"/>
        <v>5.1300000000000097</v>
      </c>
      <c r="I85" s="64">
        <f t="shared" si="37"/>
        <v>2109.9008736000105</v>
      </c>
      <c r="J85" s="65">
        <f t="shared" si="38"/>
        <v>5.2453987730061449E-2</v>
      </c>
      <c r="K85" s="66">
        <v>800</v>
      </c>
      <c r="L85" s="67">
        <f t="shared" si="39"/>
        <v>164.51468800000001</v>
      </c>
      <c r="M85" s="68">
        <f t="shared" si="34"/>
        <v>22142.031857920003</v>
      </c>
      <c r="N85" s="21">
        <f t="shared" si="40"/>
        <v>0.52303507237928681</v>
      </c>
      <c r="O85" s="23">
        <f t="shared" si="41"/>
        <v>53.835999999999999</v>
      </c>
      <c r="P85" s="23">
        <f t="shared" si="42"/>
        <v>49.094000000000008</v>
      </c>
      <c r="Q85" s="38"/>
    </row>
    <row r="86" spans="1:17">
      <c r="A86" s="38" t="s">
        <v>74</v>
      </c>
      <c r="B86" s="60">
        <v>7.9093600000000004</v>
      </c>
      <c r="C86" s="40">
        <v>3</v>
      </c>
      <c r="D86" s="41">
        <v>97.8</v>
      </c>
      <c r="E86" s="42">
        <f t="shared" si="43"/>
        <v>120671.523648</v>
      </c>
      <c r="F86" s="61">
        <f t="shared" si="35"/>
        <v>102.93</v>
      </c>
      <c r="G86" s="62">
        <f t="shared" si="36"/>
        <v>127001.22626880002</v>
      </c>
      <c r="H86" s="63">
        <f t="shared" si="37"/>
        <v>5.1300000000000097</v>
      </c>
      <c r="I86" s="64">
        <f t="shared" si="37"/>
        <v>6329.702620800017</v>
      </c>
      <c r="J86" s="65">
        <f t="shared" si="38"/>
        <v>5.2453987730061449E-2</v>
      </c>
      <c r="K86" s="66">
        <v>800</v>
      </c>
      <c r="L86" s="67">
        <f t="shared" si="39"/>
        <v>493.54406399999999</v>
      </c>
      <c r="M86" s="68">
        <f t="shared" si="34"/>
        <v>66426.095573760002</v>
      </c>
      <c r="N86" s="21">
        <f t="shared" si="40"/>
        <v>0.52303507237928681</v>
      </c>
      <c r="O86" s="23">
        <f t="shared" si="41"/>
        <v>53.835999999999999</v>
      </c>
      <c r="P86" s="23">
        <f t="shared" si="42"/>
        <v>49.094000000000008</v>
      </c>
      <c r="Q86" s="38"/>
    </row>
    <row r="87" spans="1:17">
      <c r="A87" s="38" t="s">
        <v>75</v>
      </c>
      <c r="B87" s="60">
        <v>1.9773400000000001</v>
      </c>
      <c r="C87" s="40">
        <v>3</v>
      </c>
      <c r="D87" s="41">
        <v>97.8</v>
      </c>
      <c r="E87" s="42">
        <f t="shared" si="43"/>
        <v>30167.880912000001</v>
      </c>
      <c r="F87" s="61">
        <f t="shared" si="35"/>
        <v>102.93</v>
      </c>
      <c r="G87" s="62">
        <f t="shared" si="36"/>
        <v>31750.306567200005</v>
      </c>
      <c r="H87" s="63">
        <f t="shared" si="37"/>
        <v>5.1300000000000097</v>
      </c>
      <c r="I87" s="64">
        <f t="shared" si="37"/>
        <v>1582.4256552000043</v>
      </c>
      <c r="J87" s="65">
        <f t="shared" si="38"/>
        <v>5.2453987730061449E-2</v>
      </c>
      <c r="K87" s="66">
        <v>800</v>
      </c>
      <c r="L87" s="67">
        <f t="shared" si="39"/>
        <v>123.386016</v>
      </c>
      <c r="M87" s="68">
        <f t="shared" si="34"/>
        <v>16606.52389344</v>
      </c>
      <c r="N87" s="21">
        <f t="shared" si="40"/>
        <v>0.52303507237928681</v>
      </c>
      <c r="O87" s="23">
        <f t="shared" si="41"/>
        <v>53.835999999999999</v>
      </c>
      <c r="P87" s="23">
        <f t="shared" si="42"/>
        <v>49.094000000000008</v>
      </c>
      <c r="Q87" s="38"/>
    </row>
    <row r="88" spans="1:17">
      <c r="A88" s="38" t="s">
        <v>76</v>
      </c>
      <c r="B88" s="60">
        <v>0.98867000000000005</v>
      </c>
      <c r="C88" s="40">
        <v>4</v>
      </c>
      <c r="D88" s="41">
        <v>97.8</v>
      </c>
      <c r="E88" s="42">
        <f t="shared" si="43"/>
        <v>20111.920608</v>
      </c>
      <c r="F88" s="61">
        <f t="shared" si="35"/>
        <v>102.93</v>
      </c>
      <c r="G88" s="62">
        <f t="shared" si="36"/>
        <v>21166.871044800006</v>
      </c>
      <c r="H88" s="63">
        <f t="shared" si="37"/>
        <v>5.1300000000000097</v>
      </c>
      <c r="I88" s="64">
        <f t="shared" si="37"/>
        <v>1054.9504368000053</v>
      </c>
      <c r="J88" s="65">
        <f t="shared" si="38"/>
        <v>5.2453987730061449E-2</v>
      </c>
      <c r="K88" s="66">
        <v>800</v>
      </c>
      <c r="L88" s="67">
        <f t="shared" si="39"/>
        <v>82.257344000000003</v>
      </c>
      <c r="M88" s="68">
        <f t="shared" si="34"/>
        <v>11071.015928960001</v>
      </c>
      <c r="N88" s="21">
        <f t="shared" si="40"/>
        <v>0.52303507237928681</v>
      </c>
      <c r="O88" s="23">
        <f t="shared" si="41"/>
        <v>53.835999999999999</v>
      </c>
      <c r="P88" s="23">
        <f t="shared" si="42"/>
        <v>49.094000000000008</v>
      </c>
      <c r="Q88" s="38"/>
    </row>
    <row r="89" spans="1:17" ht="16.5">
      <c r="A89" s="38" t="s">
        <v>77</v>
      </c>
      <c r="B89" s="47">
        <v>1.9773400000000001</v>
      </c>
      <c r="C89" s="40">
        <v>5</v>
      </c>
      <c r="D89" s="41">
        <v>97.8</v>
      </c>
      <c r="E89" s="48">
        <f t="shared" si="43"/>
        <v>50279.801520000001</v>
      </c>
      <c r="F89" s="61">
        <f t="shared" si="35"/>
        <v>102.93</v>
      </c>
      <c r="G89" s="48">
        <f t="shared" si="36"/>
        <v>52917.177612000007</v>
      </c>
      <c r="H89" s="63">
        <f t="shared" si="37"/>
        <v>5.1300000000000097</v>
      </c>
      <c r="I89" s="69">
        <f t="shared" si="37"/>
        <v>2637.3760920000059</v>
      </c>
      <c r="J89" s="65">
        <f t="shared" si="38"/>
        <v>5.2453987730061449E-2</v>
      </c>
      <c r="K89" s="66">
        <v>800</v>
      </c>
      <c r="L89" s="70">
        <f t="shared" si="39"/>
        <v>205.64336</v>
      </c>
      <c r="M89" s="71">
        <f t="shared" si="34"/>
        <v>27677.539822400002</v>
      </c>
      <c r="N89" s="21">
        <f t="shared" si="40"/>
        <v>0.52303507237928681</v>
      </c>
      <c r="O89" s="23">
        <f t="shared" si="41"/>
        <v>53.835999999999999</v>
      </c>
      <c r="P89" s="23">
        <f t="shared" si="42"/>
        <v>49.094000000000008</v>
      </c>
      <c r="Q89" s="38"/>
    </row>
    <row r="90" spans="1:17" ht="16.5">
      <c r="A90" s="38"/>
      <c r="B90" s="72">
        <v>88.9803</v>
      </c>
      <c r="C90" s="40"/>
      <c r="D90" s="41"/>
      <c r="E90" s="50">
        <f>SUM(E81:E89)</f>
        <v>698889.24112799997</v>
      </c>
      <c r="F90" s="50"/>
      <c r="G90" s="50">
        <f>SUM(G81:G89)</f>
        <v>735548.76880680025</v>
      </c>
      <c r="H90" s="50"/>
      <c r="I90" s="50">
        <f>SUM(I81:I89)</f>
        <v>36659.527678800179</v>
      </c>
      <c r="J90" s="50"/>
      <c r="K90" s="50"/>
      <c r="L90" s="55">
        <f>SUM(L81:L89)</f>
        <v>2858.4427040000005</v>
      </c>
      <c r="M90" s="50">
        <f>SUM(M81:M89)</f>
        <v>384717.80353136006</v>
      </c>
      <c r="N90" s="38"/>
      <c r="O90" s="38"/>
      <c r="P90" s="38"/>
      <c r="Q90" s="38"/>
    </row>
    <row r="91" spans="1:17">
      <c r="A91" s="38"/>
      <c r="B91" s="59"/>
      <c r="C91" s="40"/>
      <c r="D91" s="41"/>
      <c r="E91" s="42"/>
      <c r="F91" s="38"/>
      <c r="G91" s="38"/>
      <c r="H91" s="38"/>
      <c r="I91" s="38"/>
      <c r="J91" s="38"/>
      <c r="K91" s="43"/>
      <c r="L91" s="43"/>
      <c r="M91" s="38"/>
      <c r="N91" s="38"/>
      <c r="O91" s="38"/>
      <c r="P91" s="38"/>
      <c r="Q91" s="38"/>
    </row>
    <row r="92" spans="1:17">
      <c r="A92" s="38"/>
      <c r="B92" s="59"/>
      <c r="C92" s="40"/>
      <c r="D92" s="41"/>
      <c r="E92" s="42"/>
      <c r="F92" s="38"/>
      <c r="G92" s="38"/>
      <c r="H92" s="38"/>
      <c r="I92" s="38"/>
      <c r="J92" s="38"/>
      <c r="K92" s="43"/>
      <c r="L92" s="43"/>
      <c r="M92" s="38"/>
      <c r="N92" s="38"/>
      <c r="O92" s="38"/>
      <c r="P92" s="38"/>
      <c r="Q92" s="38"/>
    </row>
    <row r="93" spans="1:17">
      <c r="A93" s="38" t="s">
        <v>78</v>
      </c>
      <c r="B93" s="60">
        <v>11.864040000000001</v>
      </c>
      <c r="C93" s="40">
        <v>1</v>
      </c>
      <c r="D93" s="41">
        <v>98.84</v>
      </c>
      <c r="E93" s="42">
        <f>+D93*C93*B93*52</f>
        <v>60977.369107200015</v>
      </c>
      <c r="F93" s="61">
        <f>ROUND(D93*(1+$F$10),2)</f>
        <v>104.03</v>
      </c>
      <c r="G93" s="62">
        <f>+F93*B93*C93*52</f>
        <v>64179.23622240001</v>
      </c>
      <c r="H93" s="63">
        <f t="shared" ref="H93:I96" si="44">+F93-D93</f>
        <v>5.1899999999999977</v>
      </c>
      <c r="I93" s="64">
        <f t="shared" si="44"/>
        <v>3201.8671151999952</v>
      </c>
      <c r="J93" s="65">
        <f>H93/D93</f>
        <v>5.2509105625252912E-2</v>
      </c>
      <c r="K93" s="66">
        <v>600</v>
      </c>
      <c r="L93" s="67">
        <f>+B93*C93*K93*52/2000</f>
        <v>185.07902400000003</v>
      </c>
      <c r="M93" s="68">
        <f>+$M$10*L93</f>
        <v>24909.785840160006</v>
      </c>
      <c r="N93" s="21">
        <f>+M93/G93</f>
        <v>0.38812842449293478</v>
      </c>
      <c r="O93" s="23">
        <f>+N93*F93</f>
        <v>40.377000000000002</v>
      </c>
      <c r="P93" s="23">
        <f>+F93-O93</f>
        <v>63.652999999999999</v>
      </c>
      <c r="Q93" s="38"/>
    </row>
    <row r="94" spans="1:17">
      <c r="A94" s="38" t="s">
        <v>79</v>
      </c>
      <c r="B94" s="60">
        <v>1.9773400000000001</v>
      </c>
      <c r="C94" s="40">
        <v>1</v>
      </c>
      <c r="D94" s="41">
        <v>182.52</v>
      </c>
      <c r="E94" s="42">
        <f>+D94*C94*B94*52</f>
        <v>18767.013033600004</v>
      </c>
      <c r="F94" s="61">
        <f>ROUND(D94*(1+$F$10),2)</f>
        <v>192.1</v>
      </c>
      <c r="G94" s="62">
        <f>+F94*B94*C94*52</f>
        <v>19752.044728000001</v>
      </c>
      <c r="H94" s="63">
        <f t="shared" si="44"/>
        <v>9.5799999999999841</v>
      </c>
      <c r="I94" s="64">
        <f t="shared" si="44"/>
        <v>985.03169439999692</v>
      </c>
      <c r="J94" s="65">
        <f>H94/D94</f>
        <v>5.2487398641244708E-2</v>
      </c>
      <c r="K94" s="66">
        <v>900</v>
      </c>
      <c r="L94" s="67">
        <f>+B94*C94*K94*52/2000</f>
        <v>46.269756000000001</v>
      </c>
      <c r="M94" s="68">
        <f>+$M$10*L94</f>
        <v>6227.4464600400006</v>
      </c>
      <c r="N94" s="21">
        <f>+M94/G94</f>
        <v>0.31528110359187927</v>
      </c>
      <c r="O94" s="23">
        <f>+N94*F94</f>
        <v>60.565500000000007</v>
      </c>
      <c r="P94" s="23">
        <f>+F94-O94</f>
        <v>131.53449999999998</v>
      </c>
      <c r="Q94" s="38"/>
    </row>
    <row r="95" spans="1:17">
      <c r="A95" s="38" t="s">
        <v>80</v>
      </c>
      <c r="B95" s="60">
        <v>1.9773400000000001</v>
      </c>
      <c r="C95" s="40">
        <v>2</v>
      </c>
      <c r="D95" s="41">
        <v>182.52</v>
      </c>
      <c r="E95" s="42">
        <f>+D95*C95*B95*52</f>
        <v>37534.026067200008</v>
      </c>
      <c r="F95" s="61">
        <f>ROUND(D95*(1+$F$10),2)</f>
        <v>192.1</v>
      </c>
      <c r="G95" s="62">
        <f>+F95*B95*C95*52</f>
        <v>39504.089456000002</v>
      </c>
      <c r="H95" s="63">
        <f t="shared" si="44"/>
        <v>9.5799999999999841</v>
      </c>
      <c r="I95" s="64">
        <f t="shared" si="44"/>
        <v>1970.0633887999938</v>
      </c>
      <c r="J95" s="65">
        <f>H95/D95</f>
        <v>5.2487398641244708E-2</v>
      </c>
      <c r="K95" s="66">
        <v>900</v>
      </c>
      <c r="L95" s="67">
        <f>+B95*C95*K95*52/2000</f>
        <v>92.539512000000002</v>
      </c>
      <c r="M95" s="68">
        <f>+$M$10*L95</f>
        <v>12454.892920080001</v>
      </c>
      <c r="N95" s="21">
        <f>+M95/G95</f>
        <v>0.31528110359187927</v>
      </c>
      <c r="O95" s="23">
        <f>+N95*F95</f>
        <v>60.565500000000007</v>
      </c>
      <c r="P95" s="23">
        <f>+F95-O95</f>
        <v>131.53449999999998</v>
      </c>
      <c r="Q95" s="38"/>
    </row>
    <row r="96" spans="1:17" ht="16.5">
      <c r="A96" s="38" t="s">
        <v>81</v>
      </c>
      <c r="B96" s="47">
        <v>0.98867000000000005</v>
      </c>
      <c r="C96" s="40">
        <v>2</v>
      </c>
      <c r="D96" s="41">
        <v>249.69</v>
      </c>
      <c r="E96" s="48">
        <f>+D96*C96*B96*52</f>
        <v>25673.5452792</v>
      </c>
      <c r="F96" s="61">
        <f>ROUND(D96*(1+$F$10),2)</f>
        <v>262.8</v>
      </c>
      <c r="G96" s="48">
        <f>+F96*B96*C96*52</f>
        <v>27021.537504000007</v>
      </c>
      <c r="H96" s="63">
        <f t="shared" si="44"/>
        <v>13.110000000000014</v>
      </c>
      <c r="I96" s="69">
        <f t="shared" si="44"/>
        <v>1347.9922248000075</v>
      </c>
      <c r="J96" s="65">
        <f>H96/D96</f>
        <v>5.2505106331851549E-2</v>
      </c>
      <c r="K96" s="66">
        <v>1800</v>
      </c>
      <c r="L96" s="70">
        <f>+B96*C96*K96*52/2000</f>
        <v>92.539512000000002</v>
      </c>
      <c r="M96" s="71">
        <f>+$M$10*L96</f>
        <v>12454.892920080001</v>
      </c>
      <c r="N96" s="21">
        <f>+M96/G96</f>
        <v>0.4609246575342465</v>
      </c>
      <c r="O96" s="23">
        <f>+N96*F96</f>
        <v>121.13099999999999</v>
      </c>
      <c r="P96" s="23">
        <f>+F96-O96</f>
        <v>141.66900000000004</v>
      </c>
      <c r="Q96" s="38"/>
    </row>
    <row r="97" spans="1:17" ht="16.5">
      <c r="A97" s="38"/>
      <c r="B97" s="72">
        <v>16.807390000000002</v>
      </c>
      <c r="C97" s="40"/>
      <c r="D97" s="41"/>
      <c r="E97" s="50">
        <f>SUM(E93:E96)</f>
        <v>142951.95348720002</v>
      </c>
      <c r="F97" s="50"/>
      <c r="G97" s="50">
        <f>SUM(G93:G96)</f>
        <v>150456.90791040001</v>
      </c>
      <c r="H97" s="50"/>
      <c r="I97" s="50">
        <f>SUM(I93:I96)</f>
        <v>7504.9544231999935</v>
      </c>
      <c r="J97" s="50"/>
      <c r="K97" s="50"/>
      <c r="L97" s="55">
        <f>SUM(L93:L96)</f>
        <v>416.42780400000004</v>
      </c>
      <c r="M97" s="50">
        <f>SUM(M93:M96)</f>
        <v>56047.018140360015</v>
      </c>
      <c r="N97" s="38"/>
      <c r="O97" s="38"/>
      <c r="P97" s="38"/>
      <c r="Q97" s="38"/>
    </row>
    <row r="98" spans="1:17">
      <c r="A98" s="38"/>
      <c r="B98" s="59"/>
      <c r="C98" s="40"/>
      <c r="D98" s="41"/>
      <c r="E98" s="42"/>
      <c r="F98" s="38"/>
      <c r="G98" s="38"/>
      <c r="H98" s="38"/>
      <c r="I98" s="38"/>
      <c r="J98" s="38"/>
      <c r="K98" s="43"/>
      <c r="L98" s="43"/>
      <c r="M98" s="38"/>
      <c r="N98" s="38"/>
      <c r="O98" s="38"/>
      <c r="P98" s="38"/>
      <c r="Q98" s="38"/>
    </row>
    <row r="99" spans="1:17">
      <c r="A99" s="38"/>
      <c r="B99" s="38"/>
      <c r="C99" s="40"/>
      <c r="D99" s="41"/>
      <c r="E99" s="42"/>
      <c r="F99" s="38"/>
      <c r="G99" s="38"/>
      <c r="H99" s="38"/>
      <c r="I99" s="38"/>
      <c r="J99" s="38"/>
      <c r="K99" s="43"/>
      <c r="L99" s="43"/>
      <c r="M99" s="38"/>
      <c r="N99" s="38"/>
      <c r="O99" s="38"/>
      <c r="P99" s="38"/>
      <c r="Q99" s="38"/>
    </row>
    <row r="100" spans="1:17" ht="16.5">
      <c r="A100" s="38"/>
      <c r="B100" s="38"/>
      <c r="C100" s="40"/>
      <c r="D100" s="41"/>
      <c r="E100" s="75">
        <f>+E97+E90+E78+E69+E55+E45+E38+E35+E29+E21+E18+E12</f>
        <v>2466590.8238451993</v>
      </c>
      <c r="F100" s="75"/>
      <c r="G100" s="75">
        <f t="shared" ref="G100:I100" si="45">+G97+G90+G78+G69+G55+G45+G38+G35+G29+G21+G18+G12</f>
        <v>2596022.2405208</v>
      </c>
      <c r="H100" s="75"/>
      <c r="I100" s="75">
        <f t="shared" si="45"/>
        <v>129431.41667560009</v>
      </c>
      <c r="J100" s="75"/>
      <c r="K100" s="75"/>
      <c r="L100" s="76">
        <f>+L97+L90+L78+L69+L55+L45+L38+L35+L29+L21+L18+L12</f>
        <v>8369.4175174356442</v>
      </c>
      <c r="M100" s="75">
        <f>+M97+M90+M78+M69+M55+M45+M38+M35+M29+M21+M18+M12</f>
        <v>1126439.9036716635</v>
      </c>
      <c r="N100" s="38"/>
      <c r="O100" s="38"/>
      <c r="P100" s="38"/>
      <c r="Q100" s="38"/>
    </row>
    <row r="101" spans="1:17">
      <c r="A101" s="38"/>
      <c r="B101" s="38"/>
      <c r="C101" s="40"/>
      <c r="D101" s="41"/>
      <c r="E101" s="42"/>
      <c r="F101" s="42"/>
      <c r="G101" s="42"/>
      <c r="H101" s="42"/>
      <c r="I101" s="42"/>
      <c r="J101" s="42"/>
      <c r="K101" s="42"/>
      <c r="L101" s="43"/>
      <c r="M101" s="42"/>
      <c r="N101" s="38"/>
      <c r="O101" s="38"/>
      <c r="P101" s="38"/>
      <c r="Q101" s="38"/>
    </row>
    <row r="103" spans="1:17" ht="17.25">
      <c r="E103" s="191">
        <f>+'Res''l Priceout'!G34</f>
        <v>4833342.8703420004</v>
      </c>
      <c r="F103" s="191"/>
      <c r="G103" s="191">
        <f>+'Res''l Priceout'!I34</f>
        <v>5124028.8852119995</v>
      </c>
      <c r="H103" s="191"/>
      <c r="I103" s="191">
        <f>+'Res''l Priceout'!K34</f>
        <v>290686.01486999978</v>
      </c>
    </row>
    <row r="105" spans="1:17" ht="17.25">
      <c r="E105" s="151">
        <f>+E103+E100</f>
        <v>7299933.6941871997</v>
      </c>
      <c r="F105" s="151"/>
      <c r="G105" s="151">
        <f t="shared" ref="G105:I105" si="46">+G103+G100</f>
        <v>7720051.1257328</v>
      </c>
      <c r="H105" s="151"/>
      <c r="I105" s="151">
        <f t="shared" si="46"/>
        <v>420117.43154559989</v>
      </c>
      <c r="L105" s="192">
        <f>+I105/E105</f>
        <v>5.755085582217432E-2</v>
      </c>
    </row>
  </sheetData>
  <pageMargins left="0.45" right="0.45" top="0.5" bottom="0.5" header="0.3" footer="0.3"/>
  <pageSetup scale="72" fitToHeight="3" orientation="landscape" verticalDpi="599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8"/>
  <sheetViews>
    <sheetView topLeftCell="A7" workbookViewId="0">
      <selection activeCell="B45" sqref="B45"/>
    </sheetView>
  </sheetViews>
  <sheetFormatPr defaultRowHeight="15"/>
  <cols>
    <col min="1" max="1" width="40.42578125" bestFit="1" customWidth="1"/>
    <col min="2" max="2" width="12" style="38" bestFit="1" customWidth="1"/>
    <col min="3" max="3" width="11.85546875" style="38" bestFit="1" customWidth="1"/>
    <col min="4" max="4" width="3.42578125" style="38" customWidth="1"/>
    <col min="5" max="5" width="9.140625" style="41" bestFit="1" customWidth="1"/>
    <col min="6" max="6" width="4.85546875" style="38" customWidth="1"/>
    <col min="7" max="7" width="11.5703125" style="38" bestFit="1" customWidth="1"/>
    <col min="8" max="8" width="9.5703125" style="170" bestFit="1" customWidth="1"/>
    <col min="9" max="9" width="11.5703125" style="38" bestFit="1" customWidth="1"/>
    <col min="10" max="10" width="6.7109375" style="38" bestFit="1" customWidth="1"/>
    <col min="11" max="11" width="10" style="41" bestFit="1" customWidth="1"/>
    <col min="12" max="12" width="6.42578125" style="38" bestFit="1" customWidth="1"/>
    <col min="13" max="13" width="7.5703125" style="38" bestFit="1" customWidth="1"/>
    <col min="14" max="14" width="8.7109375" style="38" bestFit="1" customWidth="1"/>
    <col min="15" max="15" width="10.5703125" style="38" bestFit="1" customWidth="1"/>
    <col min="16" max="16" width="11.5703125" style="38" bestFit="1" customWidth="1"/>
    <col min="17" max="17" width="8.5703125" style="38" bestFit="1" customWidth="1"/>
    <col min="18" max="18" width="8.5703125" bestFit="1" customWidth="1"/>
    <col min="19" max="19" width="9" bestFit="1" customWidth="1"/>
    <col min="20" max="20" width="10.42578125" bestFit="1" customWidth="1"/>
  </cols>
  <sheetData>
    <row r="1" spans="1:19" s="100" customFormat="1" ht="19.5">
      <c r="A1" s="1" t="s">
        <v>134</v>
      </c>
      <c r="B1" s="39"/>
      <c r="C1" s="39"/>
      <c r="D1" s="39"/>
      <c r="E1" s="99"/>
      <c r="F1" s="39"/>
      <c r="G1" s="193"/>
      <c r="H1" s="193"/>
      <c r="I1" s="193"/>
      <c r="J1" s="193"/>
      <c r="K1" s="193"/>
      <c r="L1" s="39"/>
      <c r="M1" s="39"/>
      <c r="N1" s="39"/>
      <c r="O1" s="39"/>
      <c r="P1" s="39"/>
      <c r="Q1" s="39"/>
    </row>
    <row r="2" spans="1:19" s="100" customFormat="1">
      <c r="A2" s="101" t="s">
        <v>89</v>
      </c>
      <c r="B2" s="39"/>
      <c r="C2" s="39"/>
      <c r="D2" s="39"/>
      <c r="E2" s="99"/>
      <c r="F2" s="39"/>
      <c r="G2" s="102"/>
      <c r="H2" s="165"/>
      <c r="I2" s="102"/>
      <c r="J2" s="102"/>
      <c r="K2" s="103"/>
      <c r="L2" s="39"/>
      <c r="M2" s="39"/>
      <c r="N2" s="39"/>
      <c r="O2" s="39"/>
      <c r="P2" s="39"/>
      <c r="Q2" s="39"/>
    </row>
    <row r="3" spans="1:19" s="100" customFormat="1">
      <c r="A3" s="2" t="s">
        <v>88</v>
      </c>
      <c r="B3" s="39"/>
      <c r="C3" s="39"/>
      <c r="D3" s="39"/>
      <c r="E3" s="99"/>
      <c r="F3" s="39"/>
      <c r="G3" s="102"/>
      <c r="H3" s="165"/>
      <c r="I3" s="102"/>
      <c r="J3" s="102"/>
      <c r="K3" s="103"/>
      <c r="L3" s="39"/>
      <c r="M3" s="39"/>
      <c r="N3" s="39"/>
      <c r="O3" s="39"/>
      <c r="P3" s="39"/>
      <c r="Q3" s="39"/>
    </row>
    <row r="4" spans="1:19" s="100" customFormat="1">
      <c r="B4" s="39"/>
      <c r="C4" s="39"/>
      <c r="D4" s="39"/>
      <c r="E4" s="99"/>
      <c r="F4" s="39"/>
      <c r="G4" s="39"/>
      <c r="H4" s="166"/>
      <c r="I4" s="175">
        <f ca="1">+'Revenue &amp; Expense Adj.'!K19-K34</f>
        <v>-111.07772549672518</v>
      </c>
      <c r="K4" s="104"/>
    </row>
    <row r="5" spans="1:19" s="100" customFormat="1">
      <c r="B5" s="39"/>
      <c r="C5" s="39"/>
      <c r="D5" s="39"/>
      <c r="E5" s="39"/>
      <c r="F5" s="39"/>
      <c r="G5" s="39"/>
      <c r="H5" s="167"/>
      <c r="I5" s="39"/>
      <c r="J5" s="39"/>
      <c r="K5" s="105"/>
      <c r="L5" s="39"/>
      <c r="M5" s="39"/>
      <c r="N5" s="39"/>
      <c r="O5" s="39"/>
      <c r="P5" s="39"/>
      <c r="Q5" s="39"/>
    </row>
    <row r="6" spans="1:19" s="100" customFormat="1" ht="17.25">
      <c r="B6" s="106"/>
      <c r="D6" s="39"/>
      <c r="E6" s="99"/>
      <c r="F6" s="39"/>
      <c r="G6" s="39"/>
      <c r="H6" s="166"/>
    </row>
    <row r="7" spans="1:19" s="100" customFormat="1">
      <c r="B7" s="39" t="s">
        <v>7</v>
      </c>
      <c r="C7" s="39" t="s">
        <v>7</v>
      </c>
      <c r="D7" s="39"/>
      <c r="E7" s="99" t="s">
        <v>8</v>
      </c>
      <c r="F7" s="39"/>
      <c r="G7" s="39" t="s">
        <v>8</v>
      </c>
      <c r="H7" s="168" t="s">
        <v>10</v>
      </c>
      <c r="I7" s="18" t="s">
        <v>9</v>
      </c>
      <c r="J7" s="18" t="s">
        <v>11</v>
      </c>
      <c r="K7" s="18" t="s">
        <v>12</v>
      </c>
      <c r="L7" s="18" t="s">
        <v>13</v>
      </c>
      <c r="M7" s="107" t="s">
        <v>19</v>
      </c>
      <c r="N7" s="108" t="s">
        <v>14</v>
      </c>
      <c r="O7" s="109"/>
      <c r="P7" s="30" t="s">
        <v>15</v>
      </c>
      <c r="Q7" s="31" t="s">
        <v>5</v>
      </c>
      <c r="R7" s="32"/>
      <c r="S7" s="33"/>
    </row>
    <row r="8" spans="1:19" s="110" customFormat="1" ht="15.75" thickBot="1">
      <c r="A8" s="110" t="s">
        <v>16</v>
      </c>
      <c r="B8" s="46" t="s">
        <v>17</v>
      </c>
      <c r="C8" s="46" t="s">
        <v>90</v>
      </c>
      <c r="D8" s="46"/>
      <c r="E8" s="111" t="s">
        <v>19</v>
      </c>
      <c r="F8" s="46"/>
      <c r="G8" s="46" t="s">
        <v>12</v>
      </c>
      <c r="H8" s="169" t="s">
        <v>19</v>
      </c>
      <c r="I8" s="37" t="s">
        <v>12</v>
      </c>
      <c r="J8" s="37" t="s">
        <v>20</v>
      </c>
      <c r="K8" s="37" t="s">
        <v>20</v>
      </c>
      <c r="L8" s="37" t="s">
        <v>21</v>
      </c>
      <c r="M8" s="112" t="s">
        <v>91</v>
      </c>
      <c r="N8" s="113" t="s">
        <v>22</v>
      </c>
      <c r="O8" s="114" t="s">
        <v>23</v>
      </c>
      <c r="P8" s="115" t="s">
        <v>24</v>
      </c>
      <c r="Q8" s="116" t="s">
        <v>15</v>
      </c>
      <c r="R8" s="116" t="s">
        <v>15</v>
      </c>
      <c r="S8" s="117" t="s">
        <v>25</v>
      </c>
    </row>
    <row r="9" spans="1:19" s="110" customFormat="1" ht="18" thickBot="1">
      <c r="A9" s="45"/>
      <c r="B9" s="46"/>
      <c r="C9" s="46"/>
      <c r="D9" s="46"/>
      <c r="E9" s="111"/>
      <c r="F9" s="46"/>
      <c r="G9" s="46"/>
      <c r="H9" s="77">
        <v>6.0100000000000001E-2</v>
      </c>
      <c r="I9" s="46"/>
      <c r="J9" s="46"/>
      <c r="K9" s="46"/>
      <c r="L9" s="46"/>
      <c r="M9" s="46"/>
      <c r="N9" s="46"/>
      <c r="O9" s="46"/>
      <c r="P9" s="44">
        <f>+'Gross up Factor'!B6</f>
        <v>134.59</v>
      </c>
      <c r="Q9" s="46"/>
      <c r="R9" s="116"/>
      <c r="S9" s="117"/>
    </row>
    <row r="10" spans="1:19">
      <c r="A10" s="110" t="s">
        <v>16</v>
      </c>
      <c r="B10" s="46"/>
      <c r="C10" s="46"/>
      <c r="D10" s="46"/>
      <c r="E10" s="111"/>
      <c r="F10" s="46"/>
      <c r="G10" s="46"/>
    </row>
    <row r="11" spans="1:19" ht="17.25">
      <c r="A11" s="45" t="s">
        <v>26</v>
      </c>
      <c r="B11" s="46"/>
      <c r="C11" s="46"/>
      <c r="D11" s="46"/>
      <c r="E11" s="111"/>
      <c r="F11" s="46"/>
      <c r="G11" s="46"/>
      <c r="H11" s="171"/>
      <c r="I11" s="46"/>
      <c r="J11" s="37"/>
      <c r="K11" s="37"/>
      <c r="L11" s="37"/>
      <c r="M11" s="112"/>
      <c r="N11" s="113"/>
      <c r="O11" s="114"/>
      <c r="P11" s="114"/>
      <c r="Q11" s="114"/>
      <c r="R11" s="116"/>
      <c r="S11" s="117"/>
    </row>
    <row r="12" spans="1:19">
      <c r="A12" t="s">
        <v>92</v>
      </c>
      <c r="B12" s="59">
        <v>210.90195</v>
      </c>
      <c r="C12" s="59">
        <v>210.90195</v>
      </c>
      <c r="E12" s="41">
        <v>7.34</v>
      </c>
      <c r="G12" s="42">
        <f>+E12*C12*12</f>
        <v>18576.243756</v>
      </c>
      <c r="H12" s="172">
        <f>ROUND(E12*(1+$H$9),2)</f>
        <v>7.78</v>
      </c>
      <c r="I12" s="118">
        <f>+H12*C12*12</f>
        <v>19689.806052</v>
      </c>
      <c r="J12" s="119">
        <f>+H12-E12</f>
        <v>0.44000000000000039</v>
      </c>
      <c r="K12" s="118">
        <f>I12-G12</f>
        <v>1113.5622960000001</v>
      </c>
      <c r="L12" s="65">
        <f>J12/E12</f>
        <v>5.9945504087193513E-2</v>
      </c>
      <c r="M12" s="174">
        <f>+'[1]Res''l Priceout'!M58</f>
        <v>0</v>
      </c>
      <c r="N12" s="67">
        <f>+N16*1.25</f>
        <v>29.677500000000002</v>
      </c>
      <c r="O12" s="67">
        <f>+B12*12*N12/2000</f>
        <v>37.554255726750007</v>
      </c>
      <c r="P12" s="185">
        <f>+$P$9*O12</f>
        <v>5054.4272782632834</v>
      </c>
      <c r="Q12" s="21">
        <f>+P12/I12</f>
        <v>0.25670274582262215</v>
      </c>
      <c r="R12" s="23">
        <f>+Q12*H12</f>
        <v>1.9971473625000005</v>
      </c>
      <c r="S12" s="23">
        <f>+H12-R12</f>
        <v>5.7828526374999996</v>
      </c>
    </row>
    <row r="13" spans="1:19">
      <c r="A13" t="s">
        <v>93</v>
      </c>
      <c r="B13" s="59">
        <v>0</v>
      </c>
      <c r="C13" s="59">
        <v>0</v>
      </c>
      <c r="E13" s="41">
        <v>7.79</v>
      </c>
      <c r="G13" s="42">
        <f t="shared" ref="G13:G29" si="0">+E13*C13*12</f>
        <v>0</v>
      </c>
      <c r="H13" s="172">
        <f t="shared" ref="H13:H28" si="1">ROUND(E13*(1+$H$9),2)</f>
        <v>8.26</v>
      </c>
      <c r="I13" s="118">
        <f t="shared" ref="I13:I28" si="2">+H13*C13*12</f>
        <v>0</v>
      </c>
      <c r="J13" s="119">
        <f t="shared" ref="J13:J28" si="3">+H13-E13</f>
        <v>0.46999999999999975</v>
      </c>
      <c r="K13" s="118">
        <f t="shared" ref="K13:K28" si="4">I13-G13</f>
        <v>0</v>
      </c>
      <c r="L13" s="65">
        <f t="shared" ref="L13:L28" si="5">J13/E13</f>
        <v>6.0333761232349133E-2</v>
      </c>
      <c r="M13" s="174">
        <f>+'[1]Res''l Priceout'!M59</f>
        <v>0</v>
      </c>
      <c r="N13" s="67">
        <f>+N20*1.25</f>
        <v>32.459765625000003</v>
      </c>
      <c r="O13" s="67">
        <f>+B13*12*N13/2000</f>
        <v>0</v>
      </c>
      <c r="P13" s="185">
        <f t="shared" ref="P13:P29" si="6">+$P$9*O13</f>
        <v>0</v>
      </c>
      <c r="Q13" s="21"/>
      <c r="R13" s="23"/>
      <c r="S13" s="23"/>
    </row>
    <row r="14" spans="1:19">
      <c r="A14" t="s">
        <v>94</v>
      </c>
      <c r="B14" s="59">
        <v>364.37520000000001</v>
      </c>
      <c r="C14" s="59">
        <v>364.37520000000001</v>
      </c>
      <c r="E14" s="41">
        <v>8.41</v>
      </c>
      <c r="G14" s="42">
        <f t="shared" si="0"/>
        <v>36772.745183999999</v>
      </c>
      <c r="H14" s="172">
        <f>ROUND(E14*(1+$H$9),2)</f>
        <v>8.92</v>
      </c>
      <c r="I14" s="118">
        <f t="shared" si="2"/>
        <v>39002.721407999998</v>
      </c>
      <c r="J14" s="119">
        <f t="shared" si="3"/>
        <v>0.50999999999999979</v>
      </c>
      <c r="K14" s="118">
        <f t="shared" si="4"/>
        <v>2229.9762239999982</v>
      </c>
      <c r="L14" s="65">
        <f t="shared" si="5"/>
        <v>6.0642092746730054E-2</v>
      </c>
      <c r="M14" s="174">
        <f>+'[1]Res''l Priceout'!M60</f>
        <v>0</v>
      </c>
      <c r="N14" s="67">
        <f>20/32*N16</f>
        <v>14.838750000000001</v>
      </c>
      <c r="O14" s="67">
        <f t="shared" ref="O14:O27" si="7">+B14*52*N14/2000</f>
        <v>140.578684974</v>
      </c>
      <c r="P14" s="185">
        <f t="shared" si="6"/>
        <v>18920.485210650659</v>
      </c>
      <c r="Q14" s="21">
        <f>+P14/I14</f>
        <v>0.48510679582399102</v>
      </c>
      <c r="R14" s="23">
        <f>+Q14*H14</f>
        <v>4.3271526187499996</v>
      </c>
      <c r="S14" s="23">
        <f>+H14-R14</f>
        <v>4.5928473812500004</v>
      </c>
    </row>
    <row r="15" spans="1:19">
      <c r="A15" t="s">
        <v>95</v>
      </c>
      <c r="B15" s="59">
        <v>1351.55475</v>
      </c>
      <c r="C15" s="59">
        <v>1351.55475</v>
      </c>
      <c r="E15" s="41">
        <v>10.09</v>
      </c>
      <c r="G15" s="42">
        <f t="shared" si="0"/>
        <v>163646.24912999998</v>
      </c>
      <c r="H15" s="172">
        <f t="shared" si="1"/>
        <v>10.7</v>
      </c>
      <c r="I15" s="118">
        <f t="shared" si="2"/>
        <v>173539.6299</v>
      </c>
      <c r="J15" s="119">
        <f t="shared" si="3"/>
        <v>0.60999999999999943</v>
      </c>
      <c r="K15" s="118">
        <f t="shared" si="4"/>
        <v>9893.3807700000179</v>
      </c>
      <c r="L15" s="65">
        <f t="shared" si="5"/>
        <v>6.0455896927651083E-2</v>
      </c>
      <c r="M15" s="174">
        <f>+'[1]Res''l Priceout'!M61</f>
        <v>0</v>
      </c>
      <c r="N15" s="67">
        <f>+N14</f>
        <v>14.838750000000001</v>
      </c>
      <c r="O15" s="67">
        <f t="shared" si="7"/>
        <v>521.43995921062492</v>
      </c>
      <c r="P15" s="185">
        <f t="shared" si="6"/>
        <v>70180.604110158005</v>
      </c>
      <c r="Q15" s="21">
        <f t="shared" ref="Q15:Q28" si="8">+P15/I15</f>
        <v>0.40440678679906533</v>
      </c>
      <c r="R15" s="23">
        <f t="shared" ref="R15:R28" si="9">+Q15*H15</f>
        <v>4.3271526187499987</v>
      </c>
      <c r="S15" s="23">
        <f t="shared" ref="S15:S28" si="10">+H15-R15</f>
        <v>6.3728473812500006</v>
      </c>
    </row>
    <row r="16" spans="1:19">
      <c r="A16" t="s">
        <v>96</v>
      </c>
      <c r="B16" s="59">
        <v>2619.9369000000002</v>
      </c>
      <c r="C16" s="59">
        <v>2619.9369000000002</v>
      </c>
      <c r="E16" s="41">
        <v>14.6</v>
      </c>
      <c r="G16" s="42">
        <f t="shared" si="0"/>
        <v>459012.94488000008</v>
      </c>
      <c r="H16" s="172">
        <f t="shared" si="1"/>
        <v>15.48</v>
      </c>
      <c r="I16" s="118">
        <f t="shared" si="2"/>
        <v>486679.47854400007</v>
      </c>
      <c r="J16" s="119">
        <f t="shared" si="3"/>
        <v>0.88000000000000078</v>
      </c>
      <c r="K16" s="118">
        <f t="shared" si="4"/>
        <v>27666.533663999988</v>
      </c>
      <c r="L16" s="65">
        <f t="shared" si="5"/>
        <v>6.0273972602739784E-2</v>
      </c>
      <c r="M16" s="174">
        <f>+'[1]Res''l Priceout'!M62</f>
        <v>0</v>
      </c>
      <c r="N16" s="121">
        <v>23.742000000000001</v>
      </c>
      <c r="O16" s="67">
        <f t="shared" si="7"/>
        <v>1617.2660888748001</v>
      </c>
      <c r="P16" s="185">
        <f t="shared" si="6"/>
        <v>217667.84290165934</v>
      </c>
      <c r="Q16" s="21">
        <f t="shared" si="8"/>
        <v>0.44725091666666661</v>
      </c>
      <c r="R16" s="23">
        <f t="shared" si="9"/>
        <v>6.9234441899999997</v>
      </c>
      <c r="S16" s="23">
        <f t="shared" si="10"/>
        <v>8.5565558100000008</v>
      </c>
    </row>
    <row r="17" spans="1:19">
      <c r="A17" t="s">
        <v>97</v>
      </c>
      <c r="B17" s="59">
        <v>426.75464999999997</v>
      </c>
      <c r="C17" s="59">
        <v>213.8724</v>
      </c>
      <c r="E17" s="41">
        <v>23.84</v>
      </c>
      <c r="G17" s="42">
        <f t="shared" si="0"/>
        <v>61184.616192000001</v>
      </c>
      <c r="H17" s="172">
        <f t="shared" si="1"/>
        <v>25.27</v>
      </c>
      <c r="I17" s="118">
        <f t="shared" si="2"/>
        <v>64854.666576000003</v>
      </c>
      <c r="J17" s="119">
        <f t="shared" si="3"/>
        <v>1.4299999999999997</v>
      </c>
      <c r="K17" s="118">
        <f t="shared" si="4"/>
        <v>3670.0503840000019</v>
      </c>
      <c r="L17" s="65">
        <f t="shared" si="5"/>
        <v>5.9983221476510057E-2</v>
      </c>
      <c r="M17" s="174">
        <f>+'[1]Res''l Priceout'!M63</f>
        <v>0</v>
      </c>
      <c r="N17" s="67">
        <f>+N16</f>
        <v>23.742000000000001</v>
      </c>
      <c r="O17" s="67">
        <f t="shared" si="7"/>
        <v>263.43223140779997</v>
      </c>
      <c r="P17" s="185">
        <f t="shared" si="6"/>
        <v>35455.3440251758</v>
      </c>
      <c r="Q17" s="21">
        <f t="shared" si="8"/>
        <v>0.5466891728388954</v>
      </c>
      <c r="R17" s="23">
        <f t="shared" si="9"/>
        <v>13.814835397638886</v>
      </c>
      <c r="S17" s="23">
        <f t="shared" si="10"/>
        <v>11.455164602361114</v>
      </c>
    </row>
    <row r="18" spans="1:19">
      <c r="A18" t="s">
        <v>98</v>
      </c>
      <c r="B18" s="59">
        <v>50.49765</v>
      </c>
      <c r="C18" s="59">
        <v>16.832550000000001</v>
      </c>
      <c r="E18" s="41">
        <v>32.76</v>
      </c>
      <c r="G18" s="42">
        <f t="shared" si="0"/>
        <v>6617.2120560000003</v>
      </c>
      <c r="H18" s="172">
        <f t="shared" si="1"/>
        <v>34.729999999999997</v>
      </c>
      <c r="I18" s="118">
        <f t="shared" si="2"/>
        <v>7015.133538</v>
      </c>
      <c r="J18" s="119">
        <f t="shared" si="3"/>
        <v>1.9699999999999989</v>
      </c>
      <c r="K18" s="118">
        <f t="shared" si="4"/>
        <v>397.92148199999974</v>
      </c>
      <c r="L18" s="65">
        <f t="shared" si="5"/>
        <v>6.0134310134310101E-2</v>
      </c>
      <c r="M18" s="174">
        <f>+'[1]Res''l Priceout'!M64</f>
        <v>0</v>
      </c>
      <c r="N18" s="67">
        <f>+N17</f>
        <v>23.742000000000001</v>
      </c>
      <c r="O18" s="67">
        <f t="shared" si="7"/>
        <v>31.171795363800005</v>
      </c>
      <c r="P18" s="185">
        <f t="shared" si="6"/>
        <v>4195.4119380138427</v>
      </c>
      <c r="Q18" s="21">
        <f t="shared" si="8"/>
        <v>0.59805161445436228</v>
      </c>
      <c r="R18" s="23">
        <f t="shared" si="9"/>
        <v>20.770332570000001</v>
      </c>
      <c r="S18" s="23">
        <f t="shared" si="10"/>
        <v>13.959667429999996</v>
      </c>
    </row>
    <row r="19" spans="1:19">
      <c r="A19" t="s">
        <v>99</v>
      </c>
      <c r="B19" s="59">
        <v>3.9605999999999999</v>
      </c>
      <c r="C19" s="59">
        <v>0.99014999999999997</v>
      </c>
      <c r="E19" s="41">
        <v>41.61</v>
      </c>
      <c r="G19" s="42">
        <f t="shared" si="0"/>
        <v>494.40169800000001</v>
      </c>
      <c r="H19" s="172">
        <f t="shared" si="1"/>
        <v>44.11</v>
      </c>
      <c r="I19" s="118">
        <f t="shared" si="2"/>
        <v>524.10619799999995</v>
      </c>
      <c r="J19" s="119">
        <f t="shared" si="3"/>
        <v>2.5</v>
      </c>
      <c r="K19" s="118">
        <f t="shared" si="4"/>
        <v>29.704499999999939</v>
      </c>
      <c r="L19" s="65">
        <f t="shared" si="5"/>
        <v>6.0081711127132904E-2</v>
      </c>
      <c r="M19" s="174">
        <f>+'[1]Res''l Priceout'!M65</f>
        <v>0</v>
      </c>
      <c r="N19" s="67">
        <f>+N18</f>
        <v>23.742000000000001</v>
      </c>
      <c r="O19" s="67">
        <f t="shared" si="7"/>
        <v>2.4448466951999999</v>
      </c>
      <c r="P19" s="185">
        <f t="shared" si="6"/>
        <v>329.05191670696797</v>
      </c>
      <c r="Q19" s="21">
        <f t="shared" si="8"/>
        <v>0.62783443119474047</v>
      </c>
      <c r="R19" s="23">
        <f t="shared" si="9"/>
        <v>27.693776760000002</v>
      </c>
      <c r="S19" s="23">
        <f t="shared" si="10"/>
        <v>16.416223239999997</v>
      </c>
    </row>
    <row r="20" spans="1:19">
      <c r="A20" t="s">
        <v>100</v>
      </c>
      <c r="B20" s="59">
        <v>7907.3378999999995</v>
      </c>
      <c r="C20" s="59">
        <v>7907.3378999999995</v>
      </c>
      <c r="E20" s="41">
        <v>15.69</v>
      </c>
      <c r="G20" s="42">
        <f t="shared" si="0"/>
        <v>1488793.5798119998</v>
      </c>
      <c r="H20" s="172">
        <f t="shared" si="1"/>
        <v>16.63</v>
      </c>
      <c r="I20" s="118">
        <f t="shared" si="2"/>
        <v>1577988.3513239999</v>
      </c>
      <c r="J20" s="119">
        <f t="shared" si="3"/>
        <v>0.9399999999999995</v>
      </c>
      <c r="K20" s="118">
        <f t="shared" si="4"/>
        <v>89194.771512000123</v>
      </c>
      <c r="L20" s="65">
        <f t="shared" si="5"/>
        <v>5.9910771191841905E-2</v>
      </c>
      <c r="M20" s="174">
        <f>+'[1]Res''l Priceout'!M66</f>
        <v>0</v>
      </c>
      <c r="N20" s="67">
        <f>35/32*N16</f>
        <v>25.967812500000001</v>
      </c>
      <c r="O20" s="67">
        <f t="shared" si="7"/>
        <v>5338.7429669949379</v>
      </c>
      <c r="P20" s="185">
        <f t="shared" si="6"/>
        <v>718541.41592784866</v>
      </c>
      <c r="Q20" s="21">
        <f t="shared" si="8"/>
        <v>0.45535280113123877</v>
      </c>
      <c r="R20" s="23">
        <f t="shared" si="9"/>
        <v>7.5725170828125004</v>
      </c>
      <c r="S20" s="23">
        <f t="shared" si="10"/>
        <v>9.0574829171874995</v>
      </c>
    </row>
    <row r="21" spans="1:19">
      <c r="A21" t="s">
        <v>101</v>
      </c>
      <c r="B21" s="59">
        <v>22.77345</v>
      </c>
      <c r="C21" s="59">
        <v>12.87195</v>
      </c>
      <c r="E21" s="41">
        <v>31.37</v>
      </c>
      <c r="G21" s="42">
        <f t="shared" si="0"/>
        <v>4845.516858</v>
      </c>
      <c r="H21" s="172">
        <f t="shared" si="1"/>
        <v>33.26</v>
      </c>
      <c r="I21" s="118">
        <f t="shared" si="2"/>
        <v>5137.4526839999999</v>
      </c>
      <c r="J21" s="119">
        <f t="shared" si="3"/>
        <v>1.889999999999997</v>
      </c>
      <c r="K21" s="118">
        <f t="shared" si="4"/>
        <v>291.93582599999991</v>
      </c>
      <c r="L21" s="65">
        <f t="shared" si="5"/>
        <v>6.0248645202422603E-2</v>
      </c>
      <c r="M21" s="174">
        <f>+'[1]Res''l Priceout'!M67</f>
        <v>0</v>
      </c>
      <c r="N21" s="67">
        <f>+N20</f>
        <v>25.967812500000001</v>
      </c>
      <c r="O21" s="67">
        <f t="shared" si="7"/>
        <v>15.37579366903125</v>
      </c>
      <c r="P21" s="185">
        <f t="shared" si="6"/>
        <v>2069.4280699149158</v>
      </c>
      <c r="Q21" s="21">
        <f t="shared" si="8"/>
        <v>0.40281209330840345</v>
      </c>
      <c r="R21" s="23">
        <f t="shared" si="9"/>
        <v>13.397530223437498</v>
      </c>
      <c r="S21" s="23">
        <f t="shared" si="10"/>
        <v>19.862469776562499</v>
      </c>
    </row>
    <row r="22" spans="1:19">
      <c r="A22" t="s">
        <v>110</v>
      </c>
      <c r="B22" s="59">
        <v>2.97045</v>
      </c>
      <c r="C22" s="59">
        <v>0.99014999999999997</v>
      </c>
      <c r="E22" s="41">
        <v>47.06</v>
      </c>
      <c r="G22" s="42">
        <f t="shared" si="0"/>
        <v>559.15750800000001</v>
      </c>
      <c r="H22" s="172">
        <f t="shared" si="1"/>
        <v>49.89</v>
      </c>
      <c r="I22" s="118">
        <f t="shared" si="2"/>
        <v>592.78300200000001</v>
      </c>
      <c r="J22" s="119">
        <f t="shared" si="3"/>
        <v>2.8299999999999983</v>
      </c>
      <c r="K22" s="118">
        <f t="shared" si="4"/>
        <v>33.625494000000003</v>
      </c>
      <c r="L22" s="65">
        <f t="shared" si="5"/>
        <v>6.0135996600084958E-2</v>
      </c>
      <c r="M22" s="174">
        <f>+'[1]Res''l Priceout'!M68</f>
        <v>0</v>
      </c>
      <c r="N22" s="67">
        <f>+N21</f>
        <v>25.967812500000001</v>
      </c>
      <c r="O22" s="67">
        <f t="shared" si="7"/>
        <v>2.00553830465625</v>
      </c>
      <c r="P22" s="185">
        <f t="shared" si="6"/>
        <v>269.92540042368472</v>
      </c>
      <c r="Q22" s="21">
        <f t="shared" si="8"/>
        <v>0.45535280113123877</v>
      </c>
      <c r="R22" s="23">
        <f t="shared" si="9"/>
        <v>22.717551248437502</v>
      </c>
      <c r="S22" s="23">
        <f t="shared" si="10"/>
        <v>27.172448751562499</v>
      </c>
    </row>
    <row r="23" spans="1:19">
      <c r="A23" t="s">
        <v>102</v>
      </c>
      <c r="B23" s="59">
        <v>5402.2583999999997</v>
      </c>
      <c r="C23" s="59">
        <v>5402.2583999999997</v>
      </c>
      <c r="E23" s="41">
        <v>24.9</v>
      </c>
      <c r="G23" s="42">
        <f t="shared" si="0"/>
        <v>1614194.8099199999</v>
      </c>
      <c r="H23" s="172">
        <f t="shared" si="1"/>
        <v>26.4</v>
      </c>
      <c r="I23" s="118">
        <f t="shared" si="2"/>
        <v>1711435.4611199996</v>
      </c>
      <c r="J23" s="119">
        <f t="shared" si="3"/>
        <v>1.5</v>
      </c>
      <c r="K23" s="118">
        <f t="shared" si="4"/>
        <v>97240.651199999731</v>
      </c>
      <c r="L23" s="65">
        <f t="shared" si="5"/>
        <v>6.0240963855421693E-2</v>
      </c>
      <c r="M23" s="174">
        <f>+'[1]Res''l Priceout'!M69</f>
        <v>0</v>
      </c>
      <c r="N23" s="67">
        <f>+N16*2</f>
        <v>47.484000000000002</v>
      </c>
      <c r="O23" s="67">
        <f t="shared" si="7"/>
        <v>6669.541784505599</v>
      </c>
      <c r="P23" s="185">
        <f t="shared" si="6"/>
        <v>897653.62877660862</v>
      </c>
      <c r="Q23" s="21">
        <f t="shared" si="8"/>
        <v>0.52450334772727281</v>
      </c>
      <c r="R23" s="23">
        <f t="shared" si="9"/>
        <v>13.846888380000001</v>
      </c>
      <c r="S23" s="23">
        <f t="shared" si="10"/>
        <v>12.553111619999997</v>
      </c>
    </row>
    <row r="24" spans="1:19">
      <c r="A24" t="s">
        <v>103</v>
      </c>
      <c r="B24" s="59">
        <v>69.310500000000005</v>
      </c>
      <c r="C24" s="59">
        <v>34.655250000000002</v>
      </c>
      <c r="E24" s="41">
        <v>49.79</v>
      </c>
      <c r="G24" s="42">
        <f t="shared" si="0"/>
        <v>20705.818769999998</v>
      </c>
      <c r="H24" s="172">
        <f t="shared" si="1"/>
        <v>52.78</v>
      </c>
      <c r="I24" s="118">
        <f t="shared" si="2"/>
        <v>21949.24914</v>
      </c>
      <c r="J24" s="119">
        <f t="shared" si="3"/>
        <v>2.990000000000002</v>
      </c>
      <c r="K24" s="118">
        <f t="shared" si="4"/>
        <v>1243.4303700000019</v>
      </c>
      <c r="L24" s="65">
        <f t="shared" si="5"/>
        <v>6.0052219321148868E-2</v>
      </c>
      <c r="M24" s="174">
        <f>+'[1]Res''l Priceout'!M70</f>
        <v>0</v>
      </c>
      <c r="N24" s="67">
        <f>+N23</f>
        <v>47.484000000000002</v>
      </c>
      <c r="O24" s="67">
        <f t="shared" si="7"/>
        <v>85.569634332000007</v>
      </c>
      <c r="P24" s="185">
        <f t="shared" si="6"/>
        <v>11516.817084743881</v>
      </c>
      <c r="Q24" s="21">
        <f t="shared" si="8"/>
        <v>0.52470209852216754</v>
      </c>
      <c r="R24" s="23">
        <f t="shared" si="9"/>
        <v>27.693776760000002</v>
      </c>
      <c r="S24" s="23">
        <f t="shared" si="10"/>
        <v>25.086223239999999</v>
      </c>
    </row>
    <row r="25" spans="1:19">
      <c r="A25" t="s">
        <v>104</v>
      </c>
      <c r="B25" s="59">
        <v>2.97045</v>
      </c>
      <c r="C25" s="59">
        <v>0.99014999999999997</v>
      </c>
      <c r="E25" s="41">
        <v>74.69</v>
      </c>
      <c r="G25" s="42">
        <f t="shared" si="0"/>
        <v>887.45164199999999</v>
      </c>
      <c r="H25" s="172">
        <f t="shared" si="1"/>
        <v>79.180000000000007</v>
      </c>
      <c r="I25" s="118">
        <f t="shared" si="2"/>
        <v>940.80092400000012</v>
      </c>
      <c r="J25" s="119">
        <f t="shared" si="3"/>
        <v>4.4900000000000091</v>
      </c>
      <c r="K25" s="118">
        <f t="shared" si="4"/>
        <v>53.34928200000013</v>
      </c>
      <c r="L25" s="65">
        <f t="shared" si="5"/>
        <v>6.0115142589369515E-2</v>
      </c>
      <c r="M25" s="174">
        <f>+'[1]Res''l Priceout'!M71</f>
        <v>0</v>
      </c>
      <c r="N25" s="67">
        <f>+N24</f>
        <v>47.484000000000002</v>
      </c>
      <c r="O25" s="67">
        <f t="shared" si="7"/>
        <v>3.6672700428000002</v>
      </c>
      <c r="P25" s="185">
        <f t="shared" si="6"/>
        <v>493.57787506045207</v>
      </c>
      <c r="Q25" s="21">
        <f t="shared" si="8"/>
        <v>0.52463583152311188</v>
      </c>
      <c r="R25" s="23">
        <f t="shared" si="9"/>
        <v>41.540665140000002</v>
      </c>
      <c r="S25" s="23">
        <f t="shared" si="10"/>
        <v>37.639334860000005</v>
      </c>
    </row>
    <row r="26" spans="1:19">
      <c r="A26" t="s">
        <v>105</v>
      </c>
      <c r="B26" s="59">
        <v>3.9605999999999999</v>
      </c>
      <c r="C26" s="59">
        <v>0.99014999999999997</v>
      </c>
      <c r="E26" s="41">
        <v>99.58</v>
      </c>
      <c r="G26" s="42">
        <f t="shared" si="0"/>
        <v>1183.189644</v>
      </c>
      <c r="H26" s="172">
        <f t="shared" si="1"/>
        <v>105.56</v>
      </c>
      <c r="I26" s="118">
        <f t="shared" si="2"/>
        <v>1254.242808</v>
      </c>
      <c r="J26" s="119">
        <f t="shared" si="3"/>
        <v>5.980000000000004</v>
      </c>
      <c r="K26" s="118">
        <f t="shared" si="4"/>
        <v>71.053163999999924</v>
      </c>
      <c r="L26" s="65">
        <f t="shared" si="5"/>
        <v>6.0052219321148868E-2</v>
      </c>
      <c r="M26" s="174">
        <f>+'[1]Res''l Priceout'!M72</f>
        <v>0</v>
      </c>
      <c r="N26" s="67">
        <f>+N25</f>
        <v>47.484000000000002</v>
      </c>
      <c r="O26" s="67">
        <f t="shared" si="7"/>
        <v>4.8896933903999997</v>
      </c>
      <c r="P26" s="185">
        <f t="shared" si="6"/>
        <v>658.10383341393594</v>
      </c>
      <c r="Q26" s="21">
        <f t="shared" si="8"/>
        <v>0.52470209852216743</v>
      </c>
      <c r="R26" s="23">
        <f t="shared" si="9"/>
        <v>55.387553519999997</v>
      </c>
      <c r="S26" s="23">
        <f t="shared" si="10"/>
        <v>50.172446480000005</v>
      </c>
    </row>
    <row r="27" spans="1:19">
      <c r="A27" t="s">
        <v>106</v>
      </c>
      <c r="B27" s="59">
        <v>1892.1766499999999</v>
      </c>
      <c r="C27" s="59">
        <v>1892.1766499999999</v>
      </c>
      <c r="E27" s="41">
        <v>33.76</v>
      </c>
      <c r="G27" s="42">
        <f t="shared" si="0"/>
        <v>766558.60444799997</v>
      </c>
      <c r="H27" s="172">
        <f t="shared" si="1"/>
        <v>35.79</v>
      </c>
      <c r="I27" s="118">
        <f t="shared" si="2"/>
        <v>812652.02764199988</v>
      </c>
      <c r="J27" s="119">
        <f t="shared" si="3"/>
        <v>2.0300000000000011</v>
      </c>
      <c r="K27" s="118">
        <f t="shared" si="4"/>
        <v>46093.423193999915</v>
      </c>
      <c r="L27" s="65">
        <f t="shared" si="5"/>
        <v>6.013033175355454E-2</v>
      </c>
      <c r="M27" s="174">
        <f>+'[1]Res''l Priceout'!M73</f>
        <v>0</v>
      </c>
      <c r="N27" s="67">
        <f>+N16*3</f>
        <v>71.225999999999999</v>
      </c>
      <c r="O27" s="67">
        <f t="shared" si="7"/>
        <v>3504.0765258953993</v>
      </c>
      <c r="P27" s="185">
        <f t="shared" si="6"/>
        <v>471613.65962026181</v>
      </c>
      <c r="Q27" s="21">
        <f t="shared" si="8"/>
        <v>0.58033899329421623</v>
      </c>
      <c r="R27" s="23">
        <f t="shared" si="9"/>
        <v>20.770332569999997</v>
      </c>
      <c r="S27" s="23">
        <f t="shared" si="10"/>
        <v>15.019667430000002</v>
      </c>
    </row>
    <row r="28" spans="1:19">
      <c r="A28" t="s">
        <v>107</v>
      </c>
      <c r="B28" s="59">
        <v>83.172600000000003</v>
      </c>
      <c r="C28" s="59">
        <v>41.586300000000001</v>
      </c>
      <c r="E28" s="41">
        <v>67.52</v>
      </c>
      <c r="G28" s="42">
        <f t="shared" si="0"/>
        <v>33694.883711999995</v>
      </c>
      <c r="H28" s="172">
        <f t="shared" si="1"/>
        <v>71.58</v>
      </c>
      <c r="I28" s="118">
        <f t="shared" si="2"/>
        <v>35720.968248000005</v>
      </c>
      <c r="J28" s="119">
        <f t="shared" si="3"/>
        <v>4.0600000000000023</v>
      </c>
      <c r="K28" s="118">
        <f t="shared" si="4"/>
        <v>2026.0845360000094</v>
      </c>
      <c r="L28" s="65">
        <f t="shared" si="5"/>
        <v>6.013033175355454E-2</v>
      </c>
      <c r="M28" s="174">
        <f>+'[1]Res''l Priceout'!M74</f>
        <v>0</v>
      </c>
      <c r="N28" s="67">
        <f>+N27</f>
        <v>71.225999999999999</v>
      </c>
      <c r="O28" s="67">
        <f>+B28*52*N28/2000</f>
        <v>154.02534179759999</v>
      </c>
      <c r="P28" s="185">
        <f t="shared" si="6"/>
        <v>20730.270752538985</v>
      </c>
      <c r="Q28" s="21">
        <f t="shared" si="8"/>
        <v>0.58033899329421623</v>
      </c>
      <c r="R28" s="23">
        <f t="shared" si="9"/>
        <v>41.540665139999994</v>
      </c>
      <c r="S28" s="23">
        <f t="shared" si="10"/>
        <v>30.039334860000004</v>
      </c>
    </row>
    <row r="29" spans="1:19" ht="16.5">
      <c r="A29" t="s">
        <v>108</v>
      </c>
      <c r="B29" s="47">
        <v>17.822700000000001</v>
      </c>
      <c r="C29" s="47">
        <v>5.9409000000000001</v>
      </c>
      <c r="E29" s="41">
        <v>101.29</v>
      </c>
      <c r="G29" s="48">
        <f t="shared" si="0"/>
        <v>7221.0451320000011</v>
      </c>
      <c r="H29" s="172">
        <f>ROUND(E29*(1+$H$9),2)</f>
        <v>107.38</v>
      </c>
      <c r="I29" s="122">
        <f>+H29*C29*12</f>
        <v>7655.2061040000008</v>
      </c>
      <c r="J29" s="119">
        <f>+H29-E29</f>
        <v>6.0899999999999892</v>
      </c>
      <c r="K29" s="122">
        <f>I29-G29</f>
        <v>434.16097199999967</v>
      </c>
      <c r="L29" s="65">
        <f>J29/E29</f>
        <v>6.0124395300621865E-2</v>
      </c>
      <c r="M29" s="174">
        <f>+'[1]Res''l Priceout'!M75</f>
        <v>0</v>
      </c>
      <c r="N29" s="67">
        <f>+N28</f>
        <v>71.225999999999999</v>
      </c>
      <c r="O29" s="70">
        <f>+B29*52*N29/2000</f>
        <v>33.0054303852</v>
      </c>
      <c r="P29" s="186">
        <f t="shared" si="6"/>
        <v>4442.2008755440684</v>
      </c>
      <c r="Q29" s="21">
        <f>+P29/I29</f>
        <v>0.58028494794188856</v>
      </c>
      <c r="R29" s="23">
        <f>+Q29*H29</f>
        <v>62.310997709999988</v>
      </c>
      <c r="S29" s="23">
        <f>+H29-R29</f>
        <v>45.069002290000007</v>
      </c>
    </row>
    <row r="30" spans="1:19" ht="17.25">
      <c r="B30" s="123">
        <f>SUM(B12:B29)</f>
        <v>20432.735400000001</v>
      </c>
      <c r="C30" s="123">
        <f>SUM(C12:C29)</f>
        <v>20078.261700000003</v>
      </c>
      <c r="G30" s="50">
        <f>SUM(G12:G29)</f>
        <v>4684948.470342</v>
      </c>
      <c r="H30" s="176"/>
      <c r="I30" s="50">
        <f>SUM(I12:I29)</f>
        <v>4966632.0852119997</v>
      </c>
      <c r="K30" s="50">
        <f>SUM(K12:K29)</f>
        <v>281683.61486999982</v>
      </c>
      <c r="O30" s="55">
        <f>SUM(O12:O29)</f>
        <v>18424.787841570596</v>
      </c>
      <c r="P30" s="78">
        <f>SUM(P11:P29)</f>
        <v>2479792.1955969865</v>
      </c>
    </row>
    <row r="31" spans="1:19">
      <c r="B31" s="59"/>
      <c r="C31" s="59"/>
      <c r="H31" s="176"/>
      <c r="P31" s="187"/>
    </row>
    <row r="32" spans="1:19" ht="17.25">
      <c r="A32" s="83" t="s">
        <v>109</v>
      </c>
      <c r="B32" s="59">
        <v>2420</v>
      </c>
      <c r="C32" s="59">
        <v>2420</v>
      </c>
      <c r="E32" s="41">
        <v>5.1100000000000003</v>
      </c>
      <c r="G32" s="183">
        <f>+E32*C32*12</f>
        <v>148394.40000000002</v>
      </c>
      <c r="H32" s="172">
        <f>ROUND(E32*(1+$H$9),2)</f>
        <v>5.42</v>
      </c>
      <c r="I32" s="118">
        <f>+H32*C32*12</f>
        <v>157396.79999999999</v>
      </c>
      <c r="J32" s="119">
        <f>+H32-E32</f>
        <v>0.30999999999999961</v>
      </c>
      <c r="K32" s="118">
        <f>I32-G32</f>
        <v>9002.3999999999651</v>
      </c>
      <c r="L32" s="65">
        <f>J32/E32</f>
        <v>6.0665362035224969E-2</v>
      </c>
      <c r="M32" s="120"/>
      <c r="N32" s="67">
        <f>+N16</f>
        <v>23.742000000000001</v>
      </c>
      <c r="O32" s="70">
        <f>+B32*12*N32/2000</f>
        <v>344.73384000000004</v>
      </c>
      <c r="P32" s="186">
        <f>+$P$9*O32</f>
        <v>46397.727525600007</v>
      </c>
      <c r="Q32" s="21">
        <f>+P32/I32</f>
        <v>0.29478189852398529</v>
      </c>
      <c r="R32" s="23">
        <f>+Q32*H32</f>
        <v>1.5977178900000002</v>
      </c>
      <c r="S32" s="23">
        <f>+H32-R32</f>
        <v>3.8222821099999997</v>
      </c>
    </row>
    <row r="33" spans="1:19" ht="17.25">
      <c r="A33" s="83"/>
      <c r="B33" s="59"/>
      <c r="C33" s="59"/>
      <c r="G33" s="183"/>
      <c r="H33" s="172"/>
      <c r="I33" s="118"/>
      <c r="J33" s="119"/>
      <c r="K33" s="118"/>
      <c r="L33" s="65"/>
      <c r="M33" s="120"/>
      <c r="N33" s="67"/>
      <c r="O33" s="70"/>
      <c r="P33" s="186"/>
      <c r="Q33" s="21"/>
      <c r="R33" s="23"/>
      <c r="S33" s="23"/>
    </row>
    <row r="34" spans="1:19" ht="17.25">
      <c r="A34" s="83"/>
      <c r="G34" s="184">
        <f>+G32+G30</f>
        <v>4833342.8703420004</v>
      </c>
      <c r="H34" s="184"/>
      <c r="I34" s="184">
        <f t="shared" ref="I34:K34" si="11">+I32+I30</f>
        <v>5124028.8852119995</v>
      </c>
      <c r="J34" s="184"/>
      <c r="K34" s="184">
        <f t="shared" si="11"/>
        <v>290686.01486999978</v>
      </c>
      <c r="O34" s="55">
        <f>+O32+O30</f>
        <v>18769.521681570597</v>
      </c>
      <c r="P34" s="78">
        <f>+P32+P30</f>
        <v>2526189.9231225867</v>
      </c>
    </row>
    <row r="35" spans="1:19">
      <c r="A35" s="83"/>
      <c r="G35" s="42"/>
      <c r="H35" s="176"/>
      <c r="O35" s="124">
        <f>+'Revenue &amp; Expense Adj.'!D19</f>
        <v>18769.439997868274</v>
      </c>
      <c r="P35" s="187">
        <f>+'Revenue &amp; Expense Adj.'!H19</f>
        <v>2526178.9293130911</v>
      </c>
    </row>
    <row r="36" spans="1:19">
      <c r="B36"/>
      <c r="C36"/>
      <c r="D36"/>
      <c r="E36"/>
      <c r="F36"/>
      <c r="G36"/>
      <c r="H36" s="177"/>
      <c r="I36"/>
      <c r="J36"/>
      <c r="K36"/>
      <c r="L36"/>
      <c r="M36"/>
      <c r="N36"/>
      <c r="O36"/>
      <c r="P36"/>
      <c r="Q36"/>
    </row>
    <row r="37" spans="1:19">
      <c r="B37"/>
      <c r="C37"/>
      <c r="D37"/>
      <c r="E37"/>
      <c r="F37"/>
      <c r="G37"/>
      <c r="H37" s="177"/>
      <c r="I37"/>
      <c r="J37"/>
      <c r="K37"/>
      <c r="L37"/>
      <c r="M37"/>
      <c r="N37"/>
      <c r="O37"/>
      <c r="P37"/>
      <c r="Q37"/>
    </row>
    <row r="38" spans="1:19">
      <c r="B38"/>
      <c r="C38"/>
      <c r="D38"/>
      <c r="E38"/>
      <c r="F38"/>
      <c r="G38"/>
      <c r="H38" s="177"/>
      <c r="I38"/>
      <c r="J38"/>
      <c r="K38"/>
      <c r="L38"/>
      <c r="M38"/>
      <c r="N38"/>
      <c r="O38"/>
      <c r="P38"/>
      <c r="Q38"/>
    </row>
    <row r="39" spans="1:19">
      <c r="B39"/>
      <c r="C39"/>
      <c r="D39"/>
      <c r="E39"/>
      <c r="F39"/>
      <c r="G39"/>
      <c r="H39" s="177"/>
      <c r="I39"/>
      <c r="J39"/>
      <c r="K39"/>
      <c r="L39"/>
      <c r="M39"/>
      <c r="N39"/>
      <c r="O39"/>
      <c r="P39"/>
      <c r="Q39"/>
    </row>
    <row r="40" spans="1:19">
      <c r="B40"/>
      <c r="C40"/>
      <c r="D40"/>
      <c r="E40"/>
      <c r="F40"/>
      <c r="G40"/>
      <c r="H40" s="177"/>
      <c r="I40"/>
      <c r="J40"/>
      <c r="K40"/>
      <c r="L40"/>
      <c r="M40"/>
      <c r="N40"/>
      <c r="O40"/>
      <c r="P40"/>
      <c r="Q40"/>
    </row>
    <row r="41" spans="1:19">
      <c r="B41"/>
      <c r="C41"/>
      <c r="D41"/>
      <c r="E41"/>
      <c r="F41"/>
      <c r="G41"/>
      <c r="H41" s="177"/>
      <c r="I41"/>
      <c r="J41"/>
      <c r="K41"/>
      <c r="L41"/>
      <c r="M41"/>
      <c r="N41"/>
      <c r="O41"/>
      <c r="P41"/>
      <c r="Q41"/>
    </row>
    <row r="42" spans="1:19">
      <c r="B42"/>
      <c r="C42"/>
      <c r="D42"/>
      <c r="E42"/>
      <c r="F42"/>
      <c r="G42"/>
      <c r="H42" s="177"/>
      <c r="I42"/>
      <c r="J42"/>
      <c r="K42"/>
      <c r="L42"/>
      <c r="M42"/>
      <c r="N42"/>
      <c r="O42"/>
      <c r="P42"/>
      <c r="Q42"/>
    </row>
    <row r="43" spans="1:19">
      <c r="B43"/>
      <c r="C43"/>
      <c r="D43"/>
      <c r="E43"/>
      <c r="F43"/>
      <c r="G43"/>
      <c r="H43" s="177"/>
      <c r="I43"/>
      <c r="J43"/>
      <c r="K43"/>
      <c r="L43"/>
      <c r="M43"/>
      <c r="N43"/>
      <c r="O43"/>
      <c r="P43"/>
      <c r="Q43"/>
    </row>
    <row r="44" spans="1:19">
      <c r="B44"/>
      <c r="C44"/>
      <c r="D44"/>
      <c r="E44"/>
      <c r="F44"/>
      <c r="G44"/>
      <c r="H44" s="177"/>
      <c r="I44"/>
      <c r="J44"/>
      <c r="K44"/>
      <c r="L44"/>
      <c r="M44"/>
      <c r="N44"/>
      <c r="O44"/>
      <c r="P44"/>
      <c r="Q44"/>
    </row>
    <row r="45" spans="1:19">
      <c r="B45"/>
      <c r="C45"/>
      <c r="D45"/>
      <c r="E45"/>
      <c r="F45"/>
      <c r="G45"/>
      <c r="H45" s="177"/>
      <c r="I45"/>
      <c r="J45"/>
      <c r="K45"/>
      <c r="L45"/>
      <c r="M45"/>
      <c r="N45"/>
      <c r="O45"/>
      <c r="P45"/>
      <c r="Q45"/>
    </row>
    <row r="46" spans="1:19">
      <c r="B46"/>
      <c r="C46"/>
      <c r="D46"/>
      <c r="E46"/>
      <c r="F46"/>
      <c r="G46"/>
      <c r="H46" s="177"/>
      <c r="I46"/>
      <c r="J46"/>
      <c r="K46"/>
      <c r="L46"/>
      <c r="M46"/>
      <c r="N46"/>
      <c r="O46"/>
      <c r="P46"/>
      <c r="Q46"/>
    </row>
    <row r="47" spans="1:19">
      <c r="B47"/>
      <c r="C47"/>
      <c r="D47"/>
      <c r="E47"/>
      <c r="F47"/>
      <c r="G47"/>
      <c r="H47" s="177"/>
      <c r="I47"/>
      <c r="J47"/>
      <c r="K47"/>
      <c r="L47"/>
      <c r="M47"/>
      <c r="N47"/>
      <c r="O47"/>
      <c r="P47"/>
      <c r="Q47"/>
    </row>
    <row r="48" spans="1:19">
      <c r="B48"/>
      <c r="C48"/>
      <c r="D48"/>
      <c r="E48"/>
      <c r="F48"/>
      <c r="G48"/>
      <c r="H48" s="177"/>
      <c r="I48"/>
      <c r="J48"/>
      <c r="K48"/>
      <c r="L48"/>
      <c r="M48"/>
      <c r="N48"/>
      <c r="O48"/>
      <c r="P48"/>
      <c r="Q48"/>
    </row>
    <row r="49" spans="2:17">
      <c r="B49"/>
      <c r="C49"/>
      <c r="D49"/>
      <c r="E49"/>
      <c r="F49"/>
      <c r="G49"/>
      <c r="H49" s="177"/>
      <c r="I49"/>
      <c r="J49"/>
      <c r="K49"/>
      <c r="L49"/>
      <c r="M49"/>
      <c r="N49"/>
      <c r="O49"/>
      <c r="P49"/>
      <c r="Q49"/>
    </row>
    <row r="50" spans="2:17">
      <c r="B50"/>
      <c r="C50"/>
      <c r="D50"/>
      <c r="E50"/>
      <c r="F50"/>
      <c r="G50"/>
      <c r="H50" s="177"/>
      <c r="I50"/>
      <c r="J50"/>
      <c r="K50"/>
      <c r="L50"/>
      <c r="M50"/>
      <c r="N50"/>
      <c r="O50"/>
      <c r="P50"/>
      <c r="Q50"/>
    </row>
    <row r="51" spans="2:17">
      <c r="B51"/>
      <c r="C51"/>
      <c r="D51"/>
      <c r="E51"/>
      <c r="F51"/>
      <c r="G51"/>
      <c r="H51" s="177"/>
      <c r="I51"/>
      <c r="J51"/>
      <c r="K51"/>
      <c r="L51"/>
      <c r="M51"/>
      <c r="N51"/>
      <c r="O51"/>
      <c r="P51"/>
      <c r="Q51"/>
    </row>
    <row r="52" spans="2:17">
      <c r="B52"/>
      <c r="C52"/>
      <c r="D52"/>
      <c r="E52"/>
      <c r="F52"/>
      <c r="G52"/>
      <c r="H52" s="177"/>
      <c r="I52"/>
      <c r="J52"/>
      <c r="K52"/>
      <c r="L52"/>
      <c r="M52"/>
      <c r="N52"/>
      <c r="O52"/>
      <c r="P52"/>
      <c r="Q52"/>
    </row>
    <row r="53" spans="2:17">
      <c r="B53"/>
      <c r="C53"/>
      <c r="D53"/>
      <c r="E53"/>
      <c r="F53"/>
      <c r="G53"/>
      <c r="H53" s="177"/>
      <c r="I53"/>
      <c r="J53"/>
      <c r="K53"/>
      <c r="L53"/>
      <c r="M53"/>
      <c r="N53"/>
      <c r="O53"/>
      <c r="P53"/>
      <c r="Q53"/>
    </row>
    <row r="54" spans="2:17">
      <c r="B54"/>
      <c r="C54"/>
      <c r="D54"/>
      <c r="E54"/>
      <c r="F54"/>
      <c r="G54"/>
      <c r="H54" s="177"/>
      <c r="I54"/>
      <c r="J54"/>
      <c r="K54"/>
      <c r="L54"/>
      <c r="M54"/>
      <c r="N54"/>
      <c r="O54"/>
      <c r="P54"/>
      <c r="Q54"/>
    </row>
    <row r="55" spans="2:17">
      <c r="B55"/>
      <c r="C55"/>
      <c r="D55"/>
      <c r="E55"/>
      <c r="F55"/>
      <c r="G55"/>
      <c r="H55" s="177"/>
      <c r="I55"/>
      <c r="J55"/>
      <c r="K55"/>
      <c r="L55"/>
      <c r="M55"/>
      <c r="N55"/>
      <c r="O55"/>
      <c r="P55"/>
      <c r="Q55"/>
    </row>
    <row r="56" spans="2:17">
      <c r="B56"/>
      <c r="C56"/>
      <c r="D56"/>
      <c r="E56"/>
      <c r="F56"/>
      <c r="G56"/>
      <c r="H56" s="177"/>
      <c r="I56"/>
      <c r="J56"/>
      <c r="K56"/>
      <c r="L56"/>
      <c r="M56"/>
      <c r="N56"/>
      <c r="O56"/>
      <c r="P56"/>
      <c r="Q56"/>
    </row>
    <row r="57" spans="2:17">
      <c r="B57"/>
      <c r="C57"/>
      <c r="D57"/>
      <c r="E57"/>
      <c r="F57"/>
      <c r="G57"/>
      <c r="H57" s="177"/>
      <c r="I57"/>
      <c r="J57"/>
      <c r="K57"/>
      <c r="L57"/>
      <c r="M57"/>
      <c r="N57"/>
      <c r="O57"/>
      <c r="P57"/>
      <c r="Q57"/>
    </row>
    <row r="58" spans="2:17">
      <c r="B58"/>
      <c r="C58"/>
      <c r="D58"/>
      <c r="E58"/>
      <c r="F58"/>
      <c r="G58"/>
      <c r="H58" s="177"/>
      <c r="I58"/>
      <c r="J58"/>
      <c r="K58"/>
      <c r="L58"/>
      <c r="M58"/>
      <c r="N58"/>
      <c r="O58"/>
      <c r="P58"/>
      <c r="Q58"/>
    </row>
    <row r="59" spans="2:17">
      <c r="B59"/>
      <c r="C59"/>
      <c r="D59"/>
      <c r="E59"/>
      <c r="F59"/>
      <c r="G59"/>
      <c r="H59" s="177"/>
      <c r="I59"/>
      <c r="J59"/>
      <c r="K59"/>
      <c r="L59"/>
      <c r="M59"/>
      <c r="N59"/>
      <c r="O59"/>
      <c r="P59"/>
      <c r="Q59"/>
    </row>
    <row r="60" spans="2:17">
      <c r="B60"/>
      <c r="C60"/>
      <c r="D60"/>
      <c r="E60"/>
      <c r="F60"/>
      <c r="G60"/>
      <c r="H60" s="177"/>
      <c r="I60"/>
      <c r="J60"/>
      <c r="K60"/>
      <c r="L60"/>
      <c r="M60"/>
      <c r="N60"/>
      <c r="O60"/>
      <c r="P60"/>
      <c r="Q60"/>
    </row>
    <row r="61" spans="2:17">
      <c r="B61"/>
      <c r="C61"/>
      <c r="D61"/>
      <c r="E61"/>
      <c r="F61"/>
      <c r="G61"/>
      <c r="H61" s="177"/>
      <c r="I61"/>
      <c r="J61"/>
      <c r="K61"/>
      <c r="L61"/>
      <c r="M61"/>
      <c r="N61"/>
      <c r="O61"/>
      <c r="P61"/>
      <c r="Q61"/>
    </row>
    <row r="62" spans="2:17">
      <c r="B62"/>
      <c r="C62"/>
      <c r="D62"/>
      <c r="E62"/>
      <c r="F62"/>
      <c r="G62"/>
      <c r="H62" s="177"/>
      <c r="I62"/>
      <c r="J62"/>
      <c r="K62"/>
      <c r="L62"/>
      <c r="M62"/>
      <c r="N62"/>
      <c r="O62"/>
      <c r="P62"/>
      <c r="Q62"/>
    </row>
    <row r="63" spans="2:17">
      <c r="B63"/>
      <c r="C63"/>
      <c r="D63"/>
      <c r="E63"/>
      <c r="F63"/>
      <c r="G63"/>
      <c r="H63" s="177"/>
      <c r="I63"/>
      <c r="J63"/>
      <c r="K63"/>
      <c r="L63"/>
      <c r="M63"/>
      <c r="N63"/>
      <c r="O63"/>
      <c r="P63"/>
      <c r="Q63"/>
    </row>
    <row r="64" spans="2:17">
      <c r="B64"/>
      <c r="C64"/>
      <c r="D64"/>
      <c r="E64"/>
      <c r="F64"/>
      <c r="G64"/>
      <c r="H64" s="177"/>
      <c r="I64"/>
      <c r="J64"/>
      <c r="K64"/>
      <c r="L64"/>
      <c r="M64"/>
      <c r="N64"/>
      <c r="O64"/>
      <c r="P64"/>
      <c r="Q64"/>
    </row>
    <row r="65" spans="2:17">
      <c r="B65"/>
      <c r="C65"/>
      <c r="D65"/>
      <c r="E65"/>
      <c r="F65"/>
      <c r="G65"/>
      <c r="H65" s="177"/>
      <c r="I65"/>
      <c r="J65"/>
      <c r="K65"/>
      <c r="L65"/>
      <c r="M65"/>
      <c r="N65"/>
      <c r="O65"/>
      <c r="P65"/>
      <c r="Q65"/>
    </row>
    <row r="66" spans="2:17">
      <c r="B66"/>
      <c r="C66"/>
      <c r="D66"/>
      <c r="E66"/>
      <c r="F66"/>
      <c r="G66"/>
      <c r="H66" s="177"/>
      <c r="I66"/>
      <c r="J66"/>
      <c r="K66"/>
      <c r="L66"/>
      <c r="M66"/>
      <c r="N66"/>
      <c r="O66"/>
      <c r="P66"/>
      <c r="Q66"/>
    </row>
    <row r="67" spans="2:17">
      <c r="B67"/>
      <c r="C67"/>
      <c r="D67"/>
      <c r="E67"/>
      <c r="F67"/>
      <c r="G67"/>
      <c r="H67" s="177"/>
      <c r="I67"/>
      <c r="J67"/>
      <c r="K67"/>
      <c r="L67"/>
      <c r="M67"/>
      <c r="N67"/>
      <c r="O67"/>
      <c r="P67"/>
      <c r="Q67"/>
    </row>
    <row r="68" spans="2:17">
      <c r="B68"/>
      <c r="C68"/>
      <c r="D68"/>
      <c r="E68"/>
      <c r="F68"/>
      <c r="G68"/>
      <c r="H68" s="177"/>
      <c r="I68"/>
      <c r="J68"/>
      <c r="K68"/>
      <c r="L68"/>
      <c r="M68"/>
      <c r="N68"/>
      <c r="O68"/>
      <c r="P68"/>
      <c r="Q68"/>
    </row>
    <row r="69" spans="2:17">
      <c r="B69"/>
      <c r="C69"/>
      <c r="D69"/>
      <c r="E69"/>
      <c r="F69"/>
      <c r="G69"/>
      <c r="H69" s="177"/>
      <c r="I69"/>
      <c r="J69"/>
      <c r="K69"/>
      <c r="L69"/>
      <c r="M69"/>
      <c r="N69"/>
      <c r="O69"/>
      <c r="P69"/>
      <c r="Q69"/>
    </row>
    <row r="70" spans="2:17">
      <c r="B70"/>
      <c r="C70"/>
      <c r="D70"/>
      <c r="E70"/>
      <c r="F70"/>
      <c r="G70"/>
      <c r="H70" s="177"/>
      <c r="I70"/>
      <c r="J70"/>
      <c r="K70"/>
      <c r="L70"/>
      <c r="M70"/>
      <c r="N70"/>
      <c r="O70"/>
      <c r="P70"/>
      <c r="Q70"/>
    </row>
    <row r="71" spans="2:17">
      <c r="B71"/>
      <c r="C71"/>
      <c r="D71"/>
      <c r="E71"/>
      <c r="F71"/>
      <c r="G71"/>
      <c r="H71" s="177"/>
      <c r="I71"/>
      <c r="J71"/>
      <c r="K71"/>
      <c r="L71"/>
      <c r="M71"/>
      <c r="N71"/>
      <c r="O71"/>
      <c r="P71"/>
      <c r="Q71"/>
    </row>
    <row r="72" spans="2:17">
      <c r="B72"/>
      <c r="C72"/>
      <c r="D72"/>
      <c r="E72"/>
      <c r="F72"/>
      <c r="G72"/>
      <c r="H72" s="177"/>
      <c r="I72"/>
      <c r="J72"/>
      <c r="K72"/>
      <c r="L72"/>
      <c r="M72"/>
      <c r="N72"/>
      <c r="O72"/>
      <c r="P72"/>
      <c r="Q72"/>
    </row>
    <row r="73" spans="2:17">
      <c r="B73"/>
      <c r="C73"/>
      <c r="D73"/>
      <c r="E73"/>
      <c r="F73"/>
      <c r="G73"/>
      <c r="H73" s="177"/>
      <c r="I73"/>
      <c r="J73"/>
      <c r="K73"/>
      <c r="L73"/>
      <c r="M73"/>
      <c r="N73"/>
      <c r="O73"/>
      <c r="P73"/>
      <c r="Q73"/>
    </row>
    <row r="74" spans="2:17">
      <c r="B74"/>
      <c r="C74"/>
      <c r="D74"/>
      <c r="E74"/>
      <c r="F74"/>
      <c r="G74"/>
      <c r="H74" s="177"/>
      <c r="I74"/>
      <c r="J74"/>
      <c r="K74"/>
      <c r="L74"/>
      <c r="M74"/>
      <c r="N74"/>
      <c r="O74"/>
      <c r="P74"/>
      <c r="Q74"/>
    </row>
    <row r="75" spans="2:17">
      <c r="B75"/>
      <c r="C75"/>
      <c r="D75"/>
      <c r="E75"/>
      <c r="F75"/>
      <c r="G75"/>
      <c r="H75" s="177"/>
      <c r="I75"/>
      <c r="J75"/>
      <c r="K75"/>
      <c r="L75"/>
      <c r="M75"/>
      <c r="N75"/>
      <c r="O75"/>
      <c r="P75"/>
      <c r="Q75"/>
    </row>
    <row r="76" spans="2:17">
      <c r="B76"/>
      <c r="C76"/>
      <c r="D76"/>
      <c r="E76"/>
      <c r="F76"/>
      <c r="G76"/>
      <c r="H76" s="177"/>
      <c r="I76"/>
      <c r="J76"/>
      <c r="K76"/>
      <c r="L76"/>
      <c r="M76"/>
      <c r="N76"/>
      <c r="O76"/>
      <c r="P76"/>
      <c r="Q76"/>
    </row>
    <row r="77" spans="2:17">
      <c r="B77"/>
      <c r="C77"/>
      <c r="D77"/>
      <c r="E77"/>
      <c r="F77"/>
      <c r="G77"/>
      <c r="H77" s="177"/>
      <c r="I77"/>
      <c r="J77"/>
      <c r="K77"/>
      <c r="L77"/>
      <c r="M77"/>
      <c r="N77"/>
      <c r="O77"/>
      <c r="P77"/>
      <c r="Q77"/>
    </row>
    <row r="78" spans="2:17">
      <c r="B78"/>
      <c r="C78"/>
      <c r="D78"/>
      <c r="E78"/>
      <c r="F78"/>
      <c r="G78"/>
      <c r="H78" s="177"/>
      <c r="I78"/>
      <c r="J78"/>
      <c r="K78"/>
      <c r="L78"/>
      <c r="M78"/>
      <c r="N78"/>
      <c r="O78"/>
      <c r="P78"/>
      <c r="Q78"/>
    </row>
    <row r="79" spans="2:17">
      <c r="B79"/>
      <c r="C79"/>
      <c r="D79"/>
      <c r="E79"/>
      <c r="F79"/>
      <c r="G79"/>
      <c r="H79" s="177"/>
      <c r="I79"/>
      <c r="J79"/>
      <c r="K79"/>
      <c r="L79"/>
      <c r="M79"/>
      <c r="N79"/>
      <c r="O79"/>
      <c r="P79"/>
      <c r="Q79"/>
    </row>
    <row r="80" spans="2:17">
      <c r="B80"/>
      <c r="C80"/>
      <c r="D80"/>
      <c r="E80"/>
      <c r="F80"/>
      <c r="G80"/>
      <c r="H80" s="177"/>
      <c r="I80"/>
      <c r="J80"/>
      <c r="K80"/>
      <c r="L80"/>
      <c r="M80"/>
      <c r="N80"/>
      <c r="O80"/>
      <c r="P80"/>
      <c r="Q80"/>
    </row>
    <row r="81" spans="2:17">
      <c r="B81"/>
      <c r="C81"/>
      <c r="D81"/>
      <c r="E81"/>
      <c r="F81"/>
      <c r="G81"/>
      <c r="H81" s="177"/>
      <c r="I81"/>
      <c r="J81"/>
      <c r="K81"/>
      <c r="L81"/>
      <c r="M81"/>
      <c r="N81"/>
      <c r="O81"/>
      <c r="P81"/>
      <c r="Q81"/>
    </row>
    <row r="82" spans="2:17">
      <c r="B82"/>
      <c r="C82"/>
      <c r="D82"/>
      <c r="E82"/>
      <c r="F82"/>
      <c r="G82"/>
      <c r="H82" s="177"/>
      <c r="I82"/>
      <c r="J82"/>
      <c r="K82"/>
      <c r="L82"/>
      <c r="M82"/>
      <c r="N82"/>
      <c r="O82"/>
      <c r="P82"/>
      <c r="Q82"/>
    </row>
    <row r="83" spans="2:17">
      <c r="B83"/>
      <c r="C83"/>
      <c r="D83"/>
      <c r="E83"/>
      <c r="F83"/>
      <c r="G83"/>
      <c r="H83" s="177"/>
      <c r="I83"/>
      <c r="J83"/>
      <c r="K83"/>
      <c r="L83"/>
      <c r="M83"/>
      <c r="N83"/>
      <c r="O83"/>
      <c r="P83"/>
      <c r="Q83"/>
    </row>
    <row r="84" spans="2:17">
      <c r="B84"/>
      <c r="C84"/>
      <c r="D84"/>
      <c r="E84"/>
      <c r="F84"/>
      <c r="G84"/>
      <c r="H84" s="177"/>
      <c r="I84"/>
      <c r="J84"/>
      <c r="K84"/>
      <c r="L84"/>
      <c r="M84"/>
      <c r="N84"/>
      <c r="O84"/>
      <c r="P84"/>
      <c r="Q84"/>
    </row>
    <row r="85" spans="2:17">
      <c r="B85"/>
      <c r="C85"/>
      <c r="D85"/>
      <c r="E85"/>
      <c r="F85"/>
      <c r="G85"/>
      <c r="H85" s="177"/>
      <c r="I85"/>
      <c r="J85"/>
      <c r="K85"/>
      <c r="L85"/>
      <c r="M85"/>
      <c r="N85"/>
      <c r="O85"/>
      <c r="P85"/>
      <c r="Q85"/>
    </row>
    <row r="86" spans="2:17">
      <c r="B86"/>
      <c r="C86"/>
      <c r="D86"/>
      <c r="E86"/>
      <c r="F86"/>
      <c r="G86"/>
      <c r="H86" s="177"/>
      <c r="I86"/>
      <c r="J86"/>
      <c r="K86"/>
      <c r="L86"/>
      <c r="M86"/>
      <c r="N86"/>
      <c r="O86"/>
      <c r="P86"/>
      <c r="Q86"/>
    </row>
    <row r="87" spans="2:17">
      <c r="B87"/>
      <c r="C87"/>
      <c r="D87"/>
      <c r="E87"/>
      <c r="F87"/>
      <c r="G87"/>
      <c r="H87" s="177"/>
      <c r="I87"/>
      <c r="J87"/>
      <c r="K87"/>
      <c r="L87"/>
      <c r="M87"/>
      <c r="N87"/>
      <c r="O87"/>
      <c r="P87"/>
      <c r="Q87"/>
    </row>
    <row r="88" spans="2:17">
      <c r="B88"/>
      <c r="C88"/>
      <c r="D88"/>
      <c r="E88"/>
      <c r="F88"/>
      <c r="G88"/>
      <c r="H88" s="177"/>
      <c r="I88"/>
      <c r="J88"/>
      <c r="K88"/>
      <c r="L88"/>
      <c r="M88"/>
      <c r="N88"/>
      <c r="O88"/>
      <c r="P88"/>
      <c r="Q88"/>
    </row>
    <row r="89" spans="2:17">
      <c r="B89"/>
      <c r="C89"/>
      <c r="D89"/>
      <c r="E89"/>
      <c r="F89"/>
      <c r="G89"/>
      <c r="H89" s="177"/>
      <c r="I89"/>
      <c r="J89"/>
      <c r="K89"/>
      <c r="L89"/>
      <c r="M89"/>
      <c r="N89"/>
      <c r="O89"/>
      <c r="P89"/>
      <c r="Q89"/>
    </row>
    <row r="90" spans="2:17">
      <c r="B90"/>
      <c r="C90"/>
      <c r="D90"/>
      <c r="E90"/>
      <c r="F90"/>
      <c r="G90"/>
      <c r="H90" s="177"/>
      <c r="I90"/>
      <c r="J90"/>
      <c r="K90"/>
      <c r="L90"/>
      <c r="M90"/>
      <c r="N90"/>
      <c r="O90"/>
      <c r="P90"/>
      <c r="Q90"/>
    </row>
    <row r="91" spans="2:17">
      <c r="B91"/>
      <c r="C91"/>
      <c r="D91"/>
      <c r="E91"/>
      <c r="F91"/>
      <c r="G91"/>
      <c r="H91" s="177"/>
      <c r="I91"/>
      <c r="J91"/>
      <c r="K91"/>
      <c r="L91"/>
      <c r="M91"/>
      <c r="N91"/>
      <c r="O91"/>
      <c r="P91"/>
      <c r="Q91"/>
    </row>
    <row r="92" spans="2:17">
      <c r="B92"/>
      <c r="C92"/>
      <c r="D92"/>
      <c r="E92"/>
      <c r="F92"/>
      <c r="G92"/>
      <c r="H92" s="177"/>
      <c r="I92"/>
      <c r="J92"/>
      <c r="K92"/>
      <c r="L92"/>
      <c r="M92"/>
      <c r="N92"/>
      <c r="O92"/>
      <c r="P92"/>
      <c r="Q92"/>
    </row>
    <row r="93" spans="2:17">
      <c r="B93"/>
      <c r="C93"/>
      <c r="D93"/>
      <c r="E93"/>
      <c r="F93"/>
      <c r="G93"/>
      <c r="H93" s="177"/>
      <c r="I93"/>
      <c r="J93"/>
      <c r="K93"/>
      <c r="L93"/>
      <c r="M93"/>
      <c r="N93"/>
      <c r="O93"/>
      <c r="P93"/>
      <c r="Q93"/>
    </row>
    <row r="94" spans="2:17">
      <c r="B94"/>
      <c r="C94"/>
      <c r="D94"/>
      <c r="E94"/>
      <c r="F94"/>
      <c r="G94"/>
      <c r="H94" s="177"/>
      <c r="I94"/>
      <c r="J94"/>
      <c r="K94"/>
      <c r="L94"/>
      <c r="M94"/>
      <c r="N94"/>
      <c r="O94"/>
      <c r="P94"/>
      <c r="Q94"/>
    </row>
    <row r="95" spans="2:17">
      <c r="B95"/>
      <c r="C95"/>
      <c r="D95"/>
      <c r="E95"/>
      <c r="F95"/>
      <c r="G95"/>
      <c r="H95" s="177"/>
      <c r="I95"/>
      <c r="J95"/>
      <c r="K95"/>
      <c r="L95"/>
      <c r="M95"/>
      <c r="N95"/>
      <c r="O95"/>
      <c r="P95"/>
      <c r="Q95"/>
    </row>
    <row r="96" spans="2:17">
      <c r="B96"/>
      <c r="C96"/>
      <c r="D96"/>
      <c r="E96"/>
      <c r="F96"/>
      <c r="G96"/>
      <c r="H96" s="177"/>
      <c r="I96"/>
      <c r="J96"/>
      <c r="K96"/>
      <c r="L96"/>
      <c r="M96"/>
      <c r="N96"/>
      <c r="O96"/>
      <c r="P96"/>
      <c r="Q96"/>
    </row>
    <row r="97" spans="2:17">
      <c r="B97"/>
      <c r="C97"/>
      <c r="D97"/>
      <c r="E97"/>
      <c r="F97"/>
      <c r="G97"/>
      <c r="H97" s="177"/>
      <c r="I97"/>
      <c r="J97"/>
      <c r="K97"/>
      <c r="L97"/>
      <c r="M97"/>
      <c r="N97"/>
      <c r="O97"/>
      <c r="P97"/>
      <c r="Q97"/>
    </row>
    <row r="98" spans="2:17">
      <c r="B98"/>
      <c r="C98"/>
      <c r="D98"/>
      <c r="E98"/>
      <c r="F98"/>
      <c r="G98"/>
      <c r="H98" s="177"/>
      <c r="I98"/>
      <c r="J98"/>
      <c r="K98"/>
      <c r="L98"/>
      <c r="M98"/>
      <c r="N98"/>
      <c r="O98"/>
      <c r="P98"/>
      <c r="Q98"/>
    </row>
    <row r="99" spans="2:17">
      <c r="B99"/>
      <c r="C99"/>
      <c r="D99"/>
      <c r="E99"/>
      <c r="F99"/>
      <c r="G99"/>
      <c r="H99" s="177"/>
      <c r="I99"/>
      <c r="J99"/>
      <c r="K99"/>
      <c r="L99"/>
      <c r="M99"/>
      <c r="N99"/>
      <c r="O99"/>
      <c r="P99"/>
      <c r="Q99"/>
    </row>
    <row r="100" spans="2:17">
      <c r="B100"/>
      <c r="C100"/>
      <c r="D100"/>
      <c r="E100"/>
      <c r="F100"/>
      <c r="G100"/>
      <c r="H100" s="177"/>
      <c r="I100"/>
      <c r="J100"/>
      <c r="K100"/>
      <c r="L100"/>
      <c r="M100"/>
      <c r="N100"/>
      <c r="O100"/>
      <c r="P100"/>
      <c r="Q100"/>
    </row>
    <row r="101" spans="2:17">
      <c r="B101"/>
      <c r="C101"/>
      <c r="D101"/>
      <c r="E101"/>
      <c r="F101"/>
      <c r="G101"/>
      <c r="H101" s="177"/>
      <c r="I101"/>
      <c r="J101"/>
      <c r="K101"/>
      <c r="L101"/>
      <c r="M101"/>
      <c r="N101"/>
      <c r="O101"/>
      <c r="P101"/>
      <c r="Q101"/>
    </row>
    <row r="102" spans="2:17">
      <c r="B102"/>
      <c r="C102"/>
      <c r="D102"/>
      <c r="E102"/>
      <c r="F102"/>
      <c r="G102"/>
      <c r="H102" s="177"/>
      <c r="I102"/>
      <c r="J102"/>
      <c r="K102"/>
      <c r="L102"/>
      <c r="M102"/>
      <c r="N102"/>
      <c r="O102"/>
      <c r="P102"/>
      <c r="Q102"/>
    </row>
    <row r="103" spans="2:17">
      <c r="B103"/>
      <c r="C103"/>
      <c r="D103"/>
      <c r="E103"/>
      <c r="F103"/>
      <c r="G103"/>
      <c r="H103" s="177"/>
      <c r="I103"/>
      <c r="J103"/>
      <c r="K103"/>
      <c r="L103"/>
      <c r="M103"/>
      <c r="N103"/>
      <c r="O103"/>
      <c r="P103"/>
      <c r="Q103"/>
    </row>
    <row r="104" spans="2:17">
      <c r="B104"/>
      <c r="C104"/>
      <c r="D104"/>
      <c r="E104"/>
      <c r="F104"/>
      <c r="G104"/>
      <c r="H104" s="177"/>
      <c r="I104"/>
      <c r="J104"/>
      <c r="K104"/>
      <c r="L104"/>
      <c r="M104"/>
      <c r="N104"/>
      <c r="O104"/>
      <c r="P104"/>
      <c r="Q104"/>
    </row>
    <row r="105" spans="2:17">
      <c r="B105"/>
      <c r="C105"/>
      <c r="D105"/>
      <c r="E105"/>
      <c r="F105"/>
      <c r="G105"/>
      <c r="H105" s="177"/>
      <c r="I105"/>
      <c r="J105"/>
      <c r="K105"/>
      <c r="L105"/>
      <c r="M105"/>
      <c r="N105"/>
      <c r="O105"/>
      <c r="P105"/>
      <c r="Q105"/>
    </row>
    <row r="106" spans="2:17">
      <c r="B106"/>
      <c r="C106"/>
      <c r="D106"/>
      <c r="E106"/>
      <c r="F106"/>
      <c r="G106"/>
      <c r="H106" s="177"/>
      <c r="I106"/>
      <c r="J106"/>
      <c r="K106"/>
      <c r="L106"/>
      <c r="M106"/>
      <c r="N106"/>
      <c r="O106"/>
      <c r="P106"/>
      <c r="Q106"/>
    </row>
    <row r="107" spans="2:17">
      <c r="B107"/>
      <c r="C107"/>
      <c r="D107"/>
      <c r="E107"/>
      <c r="F107"/>
      <c r="G107"/>
      <c r="H107" s="177"/>
      <c r="I107"/>
      <c r="J107"/>
      <c r="K107"/>
      <c r="L107"/>
      <c r="M107"/>
      <c r="N107"/>
      <c r="O107"/>
      <c r="P107"/>
      <c r="Q107"/>
    </row>
    <row r="108" spans="2:17">
      <c r="B108"/>
      <c r="C108"/>
      <c r="D108"/>
      <c r="E108"/>
      <c r="F108"/>
      <c r="G108"/>
      <c r="H108" s="177"/>
      <c r="I108"/>
      <c r="J108"/>
      <c r="K108"/>
      <c r="L108"/>
      <c r="M108"/>
      <c r="N108"/>
      <c r="O108"/>
      <c r="P108"/>
      <c r="Q108"/>
    </row>
    <row r="109" spans="2:17">
      <c r="B109"/>
      <c r="C109"/>
      <c r="D109"/>
      <c r="E109"/>
      <c r="F109"/>
      <c r="G109"/>
      <c r="H109" s="177"/>
      <c r="I109"/>
      <c r="J109"/>
      <c r="K109"/>
      <c r="L109"/>
      <c r="M109"/>
      <c r="N109"/>
      <c r="O109"/>
      <c r="P109"/>
      <c r="Q109"/>
    </row>
    <row r="110" spans="2:17">
      <c r="B110"/>
      <c r="C110"/>
      <c r="D110"/>
      <c r="E110"/>
      <c r="F110"/>
      <c r="G110"/>
      <c r="H110" s="177"/>
      <c r="I110"/>
      <c r="J110"/>
      <c r="K110"/>
      <c r="L110"/>
      <c r="M110"/>
      <c r="N110"/>
      <c r="O110"/>
      <c r="P110"/>
      <c r="Q110"/>
    </row>
    <row r="111" spans="2:17">
      <c r="B111"/>
      <c r="C111"/>
      <c r="D111"/>
      <c r="E111"/>
      <c r="F111"/>
      <c r="G111"/>
      <c r="H111" s="177"/>
      <c r="I111"/>
      <c r="J111"/>
      <c r="K111"/>
      <c r="L111"/>
      <c r="M111"/>
      <c r="N111"/>
      <c r="O111"/>
      <c r="P111"/>
      <c r="Q111"/>
    </row>
    <row r="112" spans="2:17">
      <c r="B112"/>
      <c r="C112"/>
      <c r="D112"/>
      <c r="E112"/>
      <c r="F112"/>
      <c r="G112"/>
      <c r="H112" s="177"/>
      <c r="I112"/>
      <c r="J112"/>
      <c r="K112"/>
      <c r="L112"/>
      <c r="M112"/>
      <c r="N112"/>
      <c r="O112"/>
      <c r="P112"/>
      <c r="Q112"/>
    </row>
    <row r="113" spans="2:17">
      <c r="B113"/>
      <c r="C113"/>
      <c r="D113"/>
      <c r="E113"/>
      <c r="F113"/>
      <c r="G113"/>
      <c r="H113" s="177"/>
      <c r="I113"/>
      <c r="J113"/>
      <c r="K113"/>
      <c r="L113"/>
      <c r="M113"/>
      <c r="N113"/>
      <c r="O113"/>
      <c r="P113"/>
      <c r="Q113"/>
    </row>
    <row r="114" spans="2:17">
      <c r="B114"/>
      <c r="C114"/>
      <c r="D114"/>
      <c r="E114"/>
      <c r="F114"/>
      <c r="G114"/>
      <c r="H114" s="177"/>
      <c r="I114"/>
      <c r="J114"/>
      <c r="K114"/>
      <c r="L114"/>
      <c r="M114"/>
      <c r="N114"/>
      <c r="O114"/>
      <c r="P114"/>
      <c r="Q114"/>
    </row>
    <row r="115" spans="2:17">
      <c r="B115"/>
      <c r="C115"/>
      <c r="D115"/>
      <c r="E115"/>
      <c r="F115"/>
      <c r="G115"/>
      <c r="H115" s="177"/>
      <c r="I115"/>
      <c r="J115"/>
      <c r="K115"/>
      <c r="L115"/>
      <c r="M115"/>
      <c r="N115"/>
      <c r="O115"/>
      <c r="P115"/>
      <c r="Q115"/>
    </row>
    <row r="116" spans="2:17">
      <c r="B116"/>
      <c r="C116"/>
      <c r="D116"/>
      <c r="E116"/>
      <c r="F116"/>
      <c r="G116"/>
      <c r="H116" s="177"/>
      <c r="I116"/>
      <c r="J116"/>
      <c r="K116"/>
      <c r="L116"/>
      <c r="M116"/>
      <c r="N116"/>
      <c r="O116"/>
      <c r="P116"/>
      <c r="Q116"/>
    </row>
    <row r="117" spans="2:17">
      <c r="B117"/>
      <c r="C117"/>
      <c r="D117"/>
      <c r="E117"/>
      <c r="F117"/>
      <c r="G117"/>
      <c r="H117" s="177"/>
      <c r="I117"/>
      <c r="J117"/>
      <c r="K117"/>
      <c r="L117"/>
      <c r="M117"/>
      <c r="N117"/>
      <c r="O117"/>
      <c r="P117"/>
      <c r="Q117"/>
    </row>
    <row r="118" spans="2:17">
      <c r="B118"/>
      <c r="C118"/>
      <c r="D118"/>
      <c r="E118"/>
      <c r="F118"/>
      <c r="G118"/>
      <c r="H118" s="177"/>
      <c r="I118"/>
      <c r="J118"/>
      <c r="K118"/>
      <c r="L118"/>
      <c r="M118"/>
      <c r="N118"/>
      <c r="O118"/>
      <c r="P118"/>
      <c r="Q118"/>
    </row>
    <row r="119" spans="2:17">
      <c r="B119"/>
      <c r="C119"/>
      <c r="D119"/>
      <c r="E119"/>
      <c r="F119"/>
      <c r="G119"/>
      <c r="H119" s="177"/>
      <c r="I119"/>
      <c r="J119"/>
      <c r="K119"/>
      <c r="L119"/>
      <c r="M119"/>
      <c r="N119"/>
      <c r="O119"/>
      <c r="P119"/>
      <c r="Q119"/>
    </row>
    <row r="120" spans="2:17">
      <c r="B120"/>
      <c r="C120"/>
      <c r="D120"/>
      <c r="E120"/>
      <c r="F120"/>
      <c r="G120"/>
      <c r="H120" s="177"/>
      <c r="I120"/>
      <c r="J120"/>
      <c r="K120"/>
      <c r="L120"/>
      <c r="M120"/>
      <c r="N120"/>
      <c r="O120"/>
      <c r="P120"/>
      <c r="Q120"/>
    </row>
    <row r="121" spans="2:17">
      <c r="B121"/>
      <c r="C121"/>
      <c r="D121"/>
      <c r="E121"/>
      <c r="F121"/>
      <c r="G121"/>
      <c r="H121" s="177"/>
      <c r="I121"/>
      <c r="J121"/>
      <c r="K121"/>
      <c r="L121"/>
      <c r="M121"/>
      <c r="N121"/>
      <c r="O121"/>
      <c r="P121"/>
      <c r="Q121"/>
    </row>
    <row r="122" spans="2:17">
      <c r="B122"/>
      <c r="C122"/>
      <c r="D122"/>
      <c r="E122"/>
      <c r="F122"/>
      <c r="G122"/>
      <c r="H122" s="177"/>
      <c r="I122"/>
      <c r="J122"/>
      <c r="K122"/>
      <c r="L122"/>
      <c r="M122"/>
      <c r="N122"/>
      <c r="O122"/>
      <c r="P122"/>
      <c r="Q122"/>
    </row>
    <row r="123" spans="2:17">
      <c r="B123"/>
      <c r="C123"/>
      <c r="D123"/>
      <c r="E123"/>
      <c r="F123"/>
      <c r="G123"/>
      <c r="H123" s="177"/>
      <c r="I123"/>
      <c r="J123"/>
      <c r="K123"/>
      <c r="L123"/>
      <c r="M123"/>
      <c r="N123"/>
      <c r="O123"/>
      <c r="P123"/>
      <c r="Q123"/>
    </row>
    <row r="124" spans="2:17">
      <c r="B124"/>
      <c r="C124"/>
      <c r="D124"/>
      <c r="E124"/>
      <c r="F124"/>
      <c r="G124"/>
      <c r="H124" s="177"/>
      <c r="I124"/>
      <c r="J124"/>
      <c r="K124"/>
      <c r="L124"/>
      <c r="M124"/>
      <c r="N124"/>
      <c r="O124"/>
      <c r="P124"/>
      <c r="Q124"/>
    </row>
    <row r="125" spans="2:17">
      <c r="B125"/>
      <c r="C125"/>
      <c r="D125"/>
      <c r="E125"/>
      <c r="F125"/>
      <c r="G125"/>
      <c r="H125" s="177"/>
      <c r="I125"/>
      <c r="J125"/>
      <c r="K125"/>
      <c r="L125"/>
      <c r="M125"/>
      <c r="N125"/>
      <c r="O125"/>
      <c r="P125"/>
      <c r="Q125"/>
    </row>
    <row r="126" spans="2:17">
      <c r="B126"/>
      <c r="C126"/>
      <c r="D126"/>
      <c r="E126"/>
      <c r="F126"/>
      <c r="G126"/>
      <c r="H126" s="177"/>
      <c r="I126"/>
      <c r="J126"/>
      <c r="K126"/>
      <c r="L126"/>
      <c r="M126"/>
      <c r="N126"/>
      <c r="O126"/>
      <c r="P126"/>
      <c r="Q126"/>
    </row>
    <row r="127" spans="2:17">
      <c r="B127"/>
      <c r="C127"/>
      <c r="D127"/>
      <c r="E127"/>
      <c r="F127"/>
      <c r="G127"/>
      <c r="H127" s="177"/>
      <c r="I127"/>
      <c r="J127"/>
      <c r="K127"/>
      <c r="L127"/>
      <c r="M127"/>
      <c r="N127"/>
      <c r="O127"/>
      <c r="P127"/>
      <c r="Q127"/>
    </row>
    <row r="128" spans="2:17">
      <c r="B128"/>
      <c r="C128"/>
      <c r="D128"/>
      <c r="E128"/>
      <c r="F128"/>
      <c r="G128"/>
      <c r="H128" s="177"/>
      <c r="I128"/>
      <c r="J128"/>
      <c r="K128"/>
      <c r="L128"/>
      <c r="M128"/>
      <c r="N128"/>
      <c r="O128"/>
      <c r="P128"/>
      <c r="Q128"/>
    </row>
    <row r="129" spans="2:17">
      <c r="B129"/>
      <c r="C129"/>
      <c r="D129"/>
      <c r="E129"/>
      <c r="F129"/>
      <c r="G129"/>
      <c r="H129" s="177"/>
      <c r="I129"/>
      <c r="J129"/>
      <c r="K129"/>
      <c r="L129"/>
      <c r="M129"/>
      <c r="N129"/>
      <c r="O129"/>
      <c r="P129"/>
      <c r="Q129"/>
    </row>
    <row r="130" spans="2:17">
      <c r="B130"/>
      <c r="C130"/>
      <c r="D130"/>
      <c r="E130"/>
      <c r="F130"/>
      <c r="G130"/>
      <c r="H130" s="177"/>
      <c r="I130"/>
      <c r="J130"/>
      <c r="K130"/>
      <c r="L130"/>
      <c r="M130"/>
      <c r="N130"/>
      <c r="O130"/>
      <c r="P130"/>
      <c r="Q130"/>
    </row>
    <row r="131" spans="2:17">
      <c r="B131"/>
      <c r="C131"/>
      <c r="D131"/>
      <c r="E131"/>
      <c r="F131"/>
      <c r="G131"/>
      <c r="H131" s="177"/>
      <c r="I131"/>
      <c r="J131"/>
      <c r="K131"/>
      <c r="L131"/>
      <c r="M131"/>
      <c r="N131"/>
      <c r="O131"/>
      <c r="P131"/>
      <c r="Q131"/>
    </row>
    <row r="132" spans="2:17">
      <c r="B132"/>
      <c r="C132"/>
      <c r="D132"/>
      <c r="E132"/>
      <c r="F132"/>
      <c r="G132"/>
      <c r="H132" s="177"/>
      <c r="I132"/>
      <c r="J132"/>
      <c r="K132"/>
      <c r="L132"/>
      <c r="M132"/>
      <c r="N132"/>
      <c r="O132"/>
      <c r="P132"/>
      <c r="Q132"/>
    </row>
    <row r="133" spans="2:17">
      <c r="B133"/>
      <c r="C133"/>
      <c r="D133"/>
      <c r="E133"/>
      <c r="F133"/>
      <c r="G133"/>
      <c r="H133" s="177"/>
      <c r="I133"/>
      <c r="J133"/>
      <c r="K133"/>
      <c r="L133"/>
      <c r="M133"/>
      <c r="N133"/>
      <c r="O133"/>
      <c r="P133"/>
      <c r="Q133"/>
    </row>
    <row r="134" spans="2:17">
      <c r="B134"/>
      <c r="C134"/>
      <c r="D134"/>
      <c r="E134"/>
      <c r="F134"/>
      <c r="G134"/>
      <c r="H134" s="177"/>
      <c r="I134"/>
      <c r="J134"/>
      <c r="K134"/>
      <c r="L134"/>
      <c r="M134"/>
      <c r="N134"/>
      <c r="O134"/>
      <c r="P134"/>
      <c r="Q134"/>
    </row>
    <row r="135" spans="2:17">
      <c r="B135"/>
      <c r="C135"/>
      <c r="D135"/>
      <c r="E135"/>
      <c r="F135"/>
      <c r="G135"/>
      <c r="H135" s="177"/>
      <c r="I135"/>
      <c r="J135"/>
      <c r="K135"/>
      <c r="L135"/>
      <c r="M135"/>
      <c r="N135"/>
      <c r="O135"/>
      <c r="P135"/>
      <c r="Q135"/>
    </row>
    <row r="136" spans="2:17">
      <c r="B136"/>
      <c r="C136"/>
      <c r="D136"/>
      <c r="E136"/>
      <c r="F136"/>
      <c r="G136"/>
      <c r="H136" s="177"/>
      <c r="I136"/>
      <c r="J136"/>
      <c r="K136"/>
      <c r="L136"/>
      <c r="M136"/>
      <c r="N136"/>
      <c r="O136"/>
      <c r="P136"/>
      <c r="Q136"/>
    </row>
    <row r="137" spans="2:17">
      <c r="B137"/>
      <c r="C137"/>
      <c r="D137"/>
      <c r="E137"/>
      <c r="F137"/>
      <c r="G137"/>
      <c r="H137" s="177"/>
      <c r="I137"/>
      <c r="J137"/>
      <c r="K137"/>
      <c r="L137"/>
      <c r="M137"/>
      <c r="N137"/>
      <c r="O137"/>
      <c r="P137"/>
      <c r="Q137"/>
    </row>
    <row r="138" spans="2:17">
      <c r="B138"/>
      <c r="C138"/>
      <c r="D138"/>
      <c r="E138"/>
      <c r="F138"/>
      <c r="G138"/>
      <c r="H138" s="173"/>
      <c r="I138"/>
      <c r="J138"/>
      <c r="K138"/>
      <c r="L138"/>
      <c r="M138"/>
      <c r="N138"/>
      <c r="O138"/>
      <c r="P138"/>
      <c r="Q138"/>
    </row>
    <row r="139" spans="2:17">
      <c r="B139"/>
      <c r="C139"/>
      <c r="D139"/>
      <c r="E139"/>
      <c r="F139"/>
      <c r="G139"/>
      <c r="H139" s="173"/>
      <c r="I139"/>
      <c r="J139"/>
      <c r="K139"/>
      <c r="L139"/>
      <c r="M139"/>
      <c r="N139"/>
      <c r="O139"/>
      <c r="P139"/>
      <c r="Q139"/>
    </row>
    <row r="140" spans="2:17">
      <c r="B140"/>
      <c r="C140"/>
      <c r="D140"/>
      <c r="E140"/>
      <c r="F140"/>
      <c r="G140"/>
      <c r="H140" s="173"/>
      <c r="I140"/>
      <c r="J140"/>
      <c r="K140"/>
      <c r="L140"/>
      <c r="M140"/>
      <c r="N140"/>
      <c r="O140"/>
      <c r="P140"/>
      <c r="Q140"/>
    </row>
    <row r="141" spans="2:17">
      <c r="B141"/>
      <c r="C141"/>
      <c r="D141"/>
      <c r="E141"/>
      <c r="F141"/>
      <c r="G141"/>
      <c r="H141" s="173"/>
      <c r="I141"/>
      <c r="J141"/>
      <c r="K141"/>
      <c r="L141"/>
      <c r="M141"/>
      <c r="N141"/>
      <c r="O141"/>
      <c r="P141"/>
      <c r="Q141"/>
    </row>
    <row r="142" spans="2:17">
      <c r="B142"/>
      <c r="C142"/>
      <c r="D142"/>
      <c r="E142"/>
      <c r="F142"/>
      <c r="G142"/>
      <c r="H142" s="173"/>
      <c r="I142"/>
      <c r="J142"/>
      <c r="K142"/>
      <c r="L142"/>
      <c r="M142"/>
      <c r="N142"/>
      <c r="O142"/>
      <c r="P142"/>
      <c r="Q142"/>
    </row>
    <row r="143" spans="2:17">
      <c r="B143"/>
      <c r="C143"/>
      <c r="D143"/>
      <c r="E143"/>
      <c r="F143"/>
      <c r="G143"/>
      <c r="H143" s="173"/>
      <c r="I143"/>
      <c r="J143"/>
      <c r="K143"/>
      <c r="L143"/>
      <c r="M143"/>
      <c r="N143"/>
      <c r="O143"/>
      <c r="P143"/>
      <c r="Q143"/>
    </row>
    <row r="144" spans="2:17">
      <c r="B144"/>
      <c r="C144"/>
      <c r="D144"/>
      <c r="E144"/>
      <c r="F144"/>
      <c r="G144"/>
      <c r="H144" s="173"/>
      <c r="I144"/>
      <c r="J144"/>
      <c r="K144"/>
      <c r="L144"/>
      <c r="M144"/>
      <c r="N144"/>
      <c r="O144"/>
      <c r="P144"/>
      <c r="Q144"/>
    </row>
    <row r="145" spans="2:17">
      <c r="B145"/>
      <c r="C145"/>
      <c r="D145"/>
      <c r="E145"/>
      <c r="F145"/>
      <c r="G145"/>
      <c r="H145" s="173"/>
      <c r="I145"/>
      <c r="J145"/>
      <c r="K145"/>
      <c r="L145"/>
      <c r="M145"/>
      <c r="N145"/>
      <c r="O145"/>
      <c r="P145"/>
      <c r="Q145"/>
    </row>
    <row r="146" spans="2:17">
      <c r="B146"/>
      <c r="C146"/>
      <c r="D146"/>
      <c r="E146"/>
      <c r="F146"/>
      <c r="G146"/>
      <c r="H146" s="173"/>
      <c r="I146"/>
      <c r="J146"/>
      <c r="K146"/>
      <c r="L146"/>
      <c r="M146"/>
      <c r="N146"/>
      <c r="O146"/>
      <c r="P146"/>
      <c r="Q146"/>
    </row>
    <row r="147" spans="2:17">
      <c r="B147"/>
      <c r="C147"/>
      <c r="D147"/>
      <c r="E147"/>
      <c r="F147"/>
      <c r="G147"/>
      <c r="H147" s="173"/>
      <c r="I147"/>
      <c r="J147"/>
      <c r="K147"/>
      <c r="L147"/>
      <c r="M147"/>
      <c r="N147"/>
      <c r="O147"/>
      <c r="P147"/>
      <c r="Q147"/>
    </row>
    <row r="148" spans="2:17">
      <c r="B148"/>
      <c r="C148"/>
      <c r="D148"/>
      <c r="E148"/>
      <c r="F148"/>
      <c r="G148"/>
      <c r="H148" s="173"/>
      <c r="I148"/>
      <c r="J148"/>
      <c r="K148"/>
      <c r="L148"/>
      <c r="M148"/>
      <c r="N148"/>
      <c r="O148"/>
      <c r="P148"/>
      <c r="Q148"/>
    </row>
    <row r="149" spans="2:17">
      <c r="B149"/>
      <c r="C149"/>
      <c r="D149"/>
      <c r="E149"/>
      <c r="F149"/>
      <c r="G149"/>
      <c r="H149" s="173"/>
      <c r="I149"/>
      <c r="J149"/>
      <c r="K149"/>
      <c r="L149"/>
      <c r="M149"/>
      <c r="N149"/>
      <c r="O149"/>
      <c r="P149"/>
      <c r="Q149"/>
    </row>
    <row r="150" spans="2:17">
      <c r="B150"/>
      <c r="C150"/>
      <c r="D150"/>
      <c r="E150"/>
      <c r="F150"/>
      <c r="G150"/>
      <c r="H150" s="173"/>
      <c r="I150"/>
      <c r="J150"/>
      <c r="K150"/>
      <c r="L150"/>
      <c r="M150"/>
      <c r="N150"/>
      <c r="O150"/>
      <c r="P150"/>
      <c r="Q150"/>
    </row>
    <row r="151" spans="2:17">
      <c r="B151"/>
      <c r="C151"/>
      <c r="D151"/>
      <c r="E151"/>
      <c r="F151"/>
      <c r="G151"/>
      <c r="H151" s="173"/>
      <c r="I151"/>
      <c r="J151"/>
      <c r="K151"/>
      <c r="L151"/>
      <c r="M151"/>
      <c r="N151"/>
      <c r="O151"/>
      <c r="P151"/>
      <c r="Q151"/>
    </row>
    <row r="152" spans="2:17">
      <c r="B152"/>
      <c r="C152"/>
      <c r="D152"/>
      <c r="E152"/>
      <c r="F152"/>
      <c r="G152"/>
      <c r="H152" s="173"/>
      <c r="I152"/>
      <c r="J152"/>
      <c r="K152"/>
      <c r="L152"/>
      <c r="M152"/>
      <c r="N152"/>
      <c r="O152"/>
      <c r="P152"/>
      <c r="Q152"/>
    </row>
    <row r="153" spans="2:17">
      <c r="B153"/>
      <c r="C153"/>
      <c r="D153"/>
      <c r="E153"/>
      <c r="F153"/>
      <c r="G153"/>
      <c r="H153" s="173"/>
      <c r="I153"/>
      <c r="J153"/>
      <c r="K153"/>
      <c r="L153"/>
      <c r="M153"/>
      <c r="N153"/>
      <c r="O153"/>
      <c r="P153"/>
      <c r="Q153"/>
    </row>
    <row r="154" spans="2:17">
      <c r="B154"/>
      <c r="C154"/>
      <c r="D154"/>
      <c r="E154"/>
      <c r="F154"/>
      <c r="G154"/>
      <c r="H154" s="173"/>
      <c r="I154"/>
      <c r="J154"/>
      <c r="K154"/>
      <c r="L154"/>
      <c r="M154"/>
      <c r="N154"/>
      <c r="O154"/>
      <c r="P154"/>
      <c r="Q154"/>
    </row>
    <row r="155" spans="2:17">
      <c r="B155"/>
      <c r="C155"/>
      <c r="D155"/>
      <c r="E155"/>
      <c r="F155"/>
      <c r="G155"/>
      <c r="H155" s="173"/>
      <c r="I155"/>
      <c r="J155"/>
      <c r="K155"/>
      <c r="L155"/>
      <c r="M155"/>
      <c r="N155"/>
      <c r="O155"/>
      <c r="P155"/>
      <c r="Q155"/>
    </row>
    <row r="156" spans="2:17">
      <c r="B156"/>
      <c r="C156"/>
      <c r="D156"/>
      <c r="E156"/>
      <c r="F156"/>
      <c r="G156"/>
      <c r="H156" s="173"/>
      <c r="I156"/>
      <c r="J156"/>
      <c r="K156"/>
      <c r="L156"/>
      <c r="M156"/>
      <c r="N156"/>
      <c r="O156"/>
      <c r="P156"/>
      <c r="Q156"/>
    </row>
    <row r="157" spans="2:17">
      <c r="B157"/>
      <c r="C157"/>
      <c r="D157"/>
      <c r="E157"/>
      <c r="F157"/>
      <c r="G157"/>
      <c r="H157" s="173"/>
      <c r="I157"/>
      <c r="J157"/>
      <c r="K157"/>
      <c r="L157"/>
      <c r="M157"/>
      <c r="N157"/>
      <c r="O157"/>
      <c r="P157"/>
      <c r="Q157"/>
    </row>
    <row r="158" spans="2:17">
      <c r="B158"/>
      <c r="C158"/>
      <c r="D158"/>
      <c r="E158"/>
      <c r="F158"/>
      <c r="G158"/>
      <c r="H158" s="173"/>
      <c r="I158"/>
      <c r="J158"/>
      <c r="K158"/>
      <c r="L158"/>
      <c r="M158"/>
      <c r="N158"/>
      <c r="O158"/>
      <c r="P158"/>
      <c r="Q158"/>
    </row>
    <row r="159" spans="2:17">
      <c r="B159"/>
      <c r="C159"/>
      <c r="D159"/>
      <c r="E159"/>
      <c r="F159"/>
      <c r="G159"/>
      <c r="H159" s="173"/>
      <c r="I159"/>
      <c r="J159"/>
      <c r="K159"/>
      <c r="L159"/>
      <c r="M159"/>
      <c r="N159"/>
      <c r="O159"/>
      <c r="P159"/>
      <c r="Q159"/>
    </row>
    <row r="160" spans="2:17">
      <c r="B160"/>
      <c r="C160"/>
      <c r="D160"/>
      <c r="E160"/>
      <c r="F160"/>
      <c r="G160"/>
      <c r="H160" s="173"/>
      <c r="I160"/>
      <c r="J160"/>
      <c r="K160"/>
      <c r="L160"/>
      <c r="M160"/>
      <c r="N160"/>
      <c r="O160"/>
      <c r="P160"/>
      <c r="Q160"/>
    </row>
    <row r="161" spans="2:17">
      <c r="B161"/>
      <c r="C161"/>
      <c r="D161"/>
      <c r="E161"/>
      <c r="F161"/>
      <c r="G161"/>
      <c r="H161" s="173"/>
      <c r="I161"/>
      <c r="J161"/>
      <c r="K161"/>
      <c r="L161"/>
      <c r="M161"/>
      <c r="N161"/>
      <c r="O161"/>
      <c r="P161"/>
      <c r="Q161"/>
    </row>
    <row r="162" spans="2:17">
      <c r="B162"/>
      <c r="C162"/>
      <c r="D162"/>
      <c r="E162"/>
      <c r="F162"/>
      <c r="G162"/>
      <c r="H162" s="173"/>
      <c r="I162"/>
      <c r="J162"/>
      <c r="K162"/>
      <c r="L162"/>
      <c r="M162"/>
      <c r="N162"/>
      <c r="O162"/>
      <c r="P162"/>
      <c r="Q162"/>
    </row>
    <row r="163" spans="2:17">
      <c r="B163"/>
      <c r="C163"/>
      <c r="D163"/>
      <c r="E163"/>
      <c r="F163"/>
      <c r="G163"/>
      <c r="H163" s="173"/>
      <c r="I163"/>
      <c r="J163"/>
      <c r="K163"/>
      <c r="L163"/>
      <c r="M163"/>
      <c r="N163"/>
      <c r="O163"/>
      <c r="P163"/>
      <c r="Q163"/>
    </row>
    <row r="164" spans="2:17">
      <c r="B164"/>
      <c r="C164"/>
      <c r="D164"/>
      <c r="E164"/>
      <c r="F164"/>
      <c r="G164"/>
      <c r="H164" s="173"/>
      <c r="I164"/>
      <c r="J164"/>
      <c r="K164"/>
      <c r="L164"/>
      <c r="M164"/>
      <c r="N164"/>
      <c r="O164"/>
      <c r="P164"/>
      <c r="Q164"/>
    </row>
    <row r="165" spans="2:17">
      <c r="B165"/>
      <c r="C165"/>
      <c r="D165"/>
      <c r="E165"/>
      <c r="F165"/>
      <c r="G165"/>
      <c r="H165" s="173"/>
      <c r="I165"/>
      <c r="J165"/>
      <c r="K165"/>
      <c r="L165"/>
      <c r="M165"/>
      <c r="N165"/>
      <c r="O165"/>
      <c r="P165"/>
      <c r="Q165"/>
    </row>
    <row r="166" spans="2:17">
      <c r="B166"/>
      <c r="C166"/>
      <c r="D166"/>
      <c r="E166"/>
      <c r="F166"/>
      <c r="G166"/>
      <c r="H166" s="173"/>
      <c r="I166"/>
      <c r="J166"/>
      <c r="K166"/>
      <c r="L166"/>
      <c r="M166"/>
      <c r="N166"/>
      <c r="O166"/>
      <c r="P166"/>
      <c r="Q166"/>
    </row>
    <row r="167" spans="2:17">
      <c r="B167"/>
      <c r="C167"/>
      <c r="D167"/>
      <c r="E167"/>
      <c r="F167"/>
      <c r="G167"/>
      <c r="H167" s="173"/>
      <c r="I167"/>
      <c r="J167"/>
      <c r="K167"/>
      <c r="L167"/>
      <c r="M167"/>
      <c r="N167"/>
      <c r="O167"/>
      <c r="P167"/>
      <c r="Q167"/>
    </row>
    <row r="168" spans="2:17">
      <c r="B168"/>
      <c r="C168"/>
      <c r="D168"/>
      <c r="E168"/>
      <c r="F168"/>
      <c r="G168"/>
      <c r="H168" s="173"/>
      <c r="I168"/>
      <c r="J168"/>
      <c r="K168"/>
      <c r="L168"/>
      <c r="M168"/>
      <c r="N168"/>
      <c r="O168"/>
      <c r="P168"/>
      <c r="Q168"/>
    </row>
    <row r="169" spans="2:17">
      <c r="B169"/>
      <c r="C169"/>
      <c r="D169"/>
      <c r="E169"/>
      <c r="F169"/>
      <c r="G169"/>
      <c r="H169" s="173"/>
      <c r="I169"/>
      <c r="J169"/>
      <c r="K169"/>
      <c r="L169"/>
      <c r="M169"/>
      <c r="N169"/>
      <c r="O169"/>
      <c r="P169"/>
      <c r="Q169"/>
    </row>
    <row r="170" spans="2:17">
      <c r="B170"/>
      <c r="C170"/>
      <c r="D170"/>
      <c r="E170"/>
      <c r="F170"/>
      <c r="G170"/>
      <c r="H170" s="173"/>
      <c r="I170"/>
      <c r="J170"/>
      <c r="K170"/>
      <c r="L170"/>
      <c r="M170"/>
      <c r="N170"/>
      <c r="O170"/>
      <c r="P170"/>
      <c r="Q170"/>
    </row>
    <row r="171" spans="2:17">
      <c r="B171"/>
      <c r="C171"/>
      <c r="D171"/>
      <c r="E171"/>
      <c r="F171"/>
      <c r="G171"/>
      <c r="H171" s="173"/>
      <c r="I171"/>
      <c r="J171"/>
      <c r="K171"/>
      <c r="L171"/>
      <c r="M171"/>
      <c r="N171"/>
      <c r="O171"/>
      <c r="P171"/>
      <c r="Q171"/>
    </row>
    <row r="172" spans="2:17">
      <c r="B172"/>
      <c r="C172"/>
      <c r="D172"/>
      <c r="E172"/>
      <c r="F172"/>
      <c r="G172"/>
      <c r="H172" s="173"/>
      <c r="I172"/>
      <c r="J172"/>
      <c r="K172"/>
      <c r="L172"/>
      <c r="M172"/>
      <c r="N172"/>
      <c r="O172"/>
      <c r="P172"/>
      <c r="Q172"/>
    </row>
    <row r="173" spans="2:17">
      <c r="B173"/>
      <c r="C173"/>
      <c r="D173"/>
      <c r="E173"/>
      <c r="F173"/>
      <c r="G173"/>
      <c r="H173" s="173"/>
      <c r="I173"/>
      <c r="J173"/>
      <c r="K173"/>
      <c r="L173"/>
      <c r="M173"/>
      <c r="N173"/>
      <c r="O173"/>
      <c r="P173"/>
      <c r="Q173"/>
    </row>
    <row r="174" spans="2:17">
      <c r="B174"/>
      <c r="C174"/>
      <c r="D174"/>
      <c r="E174"/>
      <c r="F174"/>
      <c r="G174"/>
      <c r="H174" s="173"/>
      <c r="I174"/>
      <c r="J174"/>
      <c r="K174"/>
      <c r="L174"/>
      <c r="M174"/>
      <c r="N174"/>
      <c r="O174"/>
      <c r="P174"/>
      <c r="Q174"/>
    </row>
    <row r="175" spans="2:17">
      <c r="B175"/>
      <c r="C175"/>
      <c r="D175"/>
      <c r="E175"/>
      <c r="F175"/>
      <c r="G175"/>
      <c r="H175" s="173"/>
      <c r="I175"/>
      <c r="J175"/>
      <c r="K175"/>
      <c r="L175"/>
      <c r="M175"/>
      <c r="N175"/>
      <c r="O175"/>
      <c r="P175"/>
      <c r="Q175"/>
    </row>
    <row r="176" spans="2:17">
      <c r="B176"/>
      <c r="C176"/>
      <c r="D176"/>
      <c r="E176"/>
      <c r="F176"/>
      <c r="G176"/>
      <c r="H176" s="173"/>
      <c r="I176"/>
      <c r="J176"/>
      <c r="K176"/>
      <c r="L176"/>
      <c r="M176"/>
      <c r="N176"/>
      <c r="O176"/>
      <c r="P176"/>
      <c r="Q176"/>
    </row>
    <row r="177" spans="2:17">
      <c r="B177"/>
      <c r="C177"/>
      <c r="D177"/>
      <c r="E177"/>
      <c r="F177"/>
      <c r="G177"/>
      <c r="H177" s="173"/>
      <c r="I177"/>
      <c r="J177"/>
      <c r="K177"/>
      <c r="L177"/>
      <c r="M177"/>
      <c r="N177"/>
      <c r="O177"/>
      <c r="P177"/>
      <c r="Q177"/>
    </row>
    <row r="178" spans="2:17">
      <c r="B178"/>
      <c r="C178"/>
      <c r="D178"/>
      <c r="E178"/>
      <c r="F178"/>
      <c r="G178"/>
      <c r="H178" s="173"/>
      <c r="I178"/>
      <c r="J178"/>
      <c r="K178"/>
      <c r="L178"/>
      <c r="M178"/>
      <c r="N178"/>
      <c r="O178"/>
      <c r="P178"/>
      <c r="Q178"/>
    </row>
    <row r="179" spans="2:17">
      <c r="B179"/>
      <c r="C179"/>
      <c r="D179"/>
      <c r="E179"/>
      <c r="F179"/>
      <c r="G179"/>
      <c r="H179" s="173"/>
      <c r="I179"/>
      <c r="J179"/>
      <c r="K179"/>
      <c r="L179"/>
      <c r="M179"/>
      <c r="N179"/>
      <c r="O179"/>
      <c r="P179"/>
      <c r="Q179"/>
    </row>
    <row r="180" spans="2:17">
      <c r="B180"/>
      <c r="C180"/>
      <c r="D180"/>
      <c r="E180"/>
      <c r="F180"/>
      <c r="G180"/>
      <c r="H180" s="173"/>
      <c r="I180"/>
      <c r="J180"/>
      <c r="K180"/>
      <c r="L180"/>
      <c r="M180"/>
      <c r="N180"/>
      <c r="O180"/>
      <c r="P180"/>
      <c r="Q180"/>
    </row>
    <row r="181" spans="2:17">
      <c r="B181"/>
      <c r="C181"/>
      <c r="D181"/>
      <c r="E181"/>
      <c r="F181"/>
      <c r="G181"/>
      <c r="H181" s="173"/>
      <c r="I181"/>
      <c r="J181"/>
      <c r="K181"/>
      <c r="L181"/>
      <c r="M181"/>
      <c r="N181"/>
      <c r="O181"/>
      <c r="P181"/>
      <c r="Q181"/>
    </row>
    <row r="182" spans="2:17">
      <c r="B182"/>
      <c r="C182"/>
      <c r="D182"/>
      <c r="E182"/>
      <c r="F182"/>
      <c r="G182"/>
      <c r="H182" s="173"/>
      <c r="I182"/>
      <c r="J182"/>
      <c r="K182"/>
      <c r="L182"/>
      <c r="M182"/>
      <c r="N182"/>
      <c r="O182"/>
      <c r="P182"/>
      <c r="Q182"/>
    </row>
    <row r="183" spans="2:17">
      <c r="B183"/>
      <c r="C183"/>
      <c r="D183"/>
      <c r="E183"/>
      <c r="F183"/>
      <c r="G183"/>
      <c r="H183" s="173"/>
      <c r="I183"/>
      <c r="J183"/>
      <c r="K183"/>
      <c r="L183"/>
      <c r="M183"/>
      <c r="N183"/>
      <c r="O183"/>
      <c r="P183"/>
      <c r="Q183"/>
    </row>
    <row r="184" spans="2:17">
      <c r="B184"/>
      <c r="C184"/>
      <c r="D184"/>
      <c r="E184"/>
      <c r="F184"/>
      <c r="G184"/>
      <c r="H184" s="173"/>
      <c r="I184"/>
      <c r="J184"/>
      <c r="K184"/>
      <c r="L184"/>
      <c r="M184"/>
      <c r="N184"/>
      <c r="O184"/>
      <c r="P184"/>
      <c r="Q184"/>
    </row>
    <row r="185" spans="2:17">
      <c r="B185"/>
      <c r="C185"/>
      <c r="D185"/>
      <c r="E185"/>
      <c r="F185"/>
      <c r="G185"/>
      <c r="H185" s="173"/>
      <c r="I185"/>
      <c r="J185"/>
      <c r="K185"/>
      <c r="L185"/>
      <c r="M185"/>
      <c r="N185"/>
      <c r="O185"/>
      <c r="P185"/>
      <c r="Q185"/>
    </row>
    <row r="186" spans="2:17">
      <c r="B186"/>
      <c r="C186"/>
      <c r="D186"/>
      <c r="E186"/>
      <c r="F186"/>
      <c r="G186"/>
      <c r="H186" s="173"/>
      <c r="I186"/>
      <c r="J186"/>
      <c r="K186"/>
      <c r="L186"/>
      <c r="M186"/>
      <c r="N186"/>
      <c r="O186"/>
      <c r="P186"/>
      <c r="Q186"/>
    </row>
    <row r="187" spans="2:17">
      <c r="B187"/>
      <c r="C187"/>
      <c r="D187"/>
      <c r="E187"/>
      <c r="F187"/>
      <c r="G187"/>
      <c r="H187" s="173"/>
      <c r="I187"/>
      <c r="J187"/>
      <c r="K187"/>
      <c r="L187"/>
      <c r="M187"/>
      <c r="N187"/>
      <c r="O187"/>
      <c r="P187"/>
      <c r="Q187"/>
    </row>
    <row r="188" spans="2:17">
      <c r="B188"/>
      <c r="C188"/>
      <c r="D188"/>
      <c r="E188"/>
      <c r="F188"/>
      <c r="G188"/>
      <c r="H188" s="173"/>
      <c r="I188"/>
      <c r="J188"/>
      <c r="K188"/>
      <c r="L188"/>
      <c r="M188"/>
      <c r="N188"/>
      <c r="O188"/>
      <c r="P188"/>
      <c r="Q188"/>
    </row>
    <row r="189" spans="2:17">
      <c r="B189"/>
      <c r="C189"/>
      <c r="D189"/>
      <c r="E189"/>
      <c r="F189"/>
      <c r="G189"/>
      <c r="H189" s="173"/>
      <c r="I189"/>
      <c r="J189"/>
      <c r="K189"/>
      <c r="L189"/>
      <c r="M189"/>
      <c r="N189"/>
      <c r="O189"/>
      <c r="P189"/>
      <c r="Q189"/>
    </row>
    <row r="190" spans="2:17">
      <c r="B190"/>
      <c r="C190"/>
      <c r="D190"/>
      <c r="E190"/>
      <c r="F190"/>
      <c r="G190"/>
      <c r="H190" s="173"/>
      <c r="I190"/>
      <c r="J190"/>
      <c r="K190"/>
      <c r="L190"/>
      <c r="M190"/>
      <c r="N190"/>
      <c r="O190"/>
      <c r="P190"/>
      <c r="Q190"/>
    </row>
    <row r="191" spans="2:17">
      <c r="B191"/>
      <c r="C191"/>
      <c r="D191"/>
      <c r="E191"/>
      <c r="F191"/>
      <c r="G191"/>
      <c r="H191" s="173"/>
      <c r="I191"/>
      <c r="J191"/>
      <c r="K191"/>
      <c r="L191"/>
      <c r="M191"/>
      <c r="N191"/>
      <c r="O191"/>
      <c r="P191"/>
      <c r="Q191"/>
    </row>
    <row r="192" spans="2:17">
      <c r="B192"/>
      <c r="C192"/>
      <c r="D192"/>
      <c r="E192"/>
      <c r="F192"/>
      <c r="G192"/>
      <c r="H192" s="173"/>
      <c r="I192"/>
      <c r="J192"/>
      <c r="K192"/>
      <c r="L192"/>
      <c r="M192"/>
      <c r="N192"/>
      <c r="O192"/>
      <c r="P192"/>
      <c r="Q192"/>
    </row>
    <row r="193" spans="2:17">
      <c r="B193"/>
      <c r="C193"/>
      <c r="D193"/>
      <c r="E193"/>
      <c r="F193"/>
      <c r="G193"/>
      <c r="H193" s="173"/>
      <c r="I193"/>
      <c r="J193"/>
      <c r="K193"/>
      <c r="L193"/>
      <c r="M193"/>
      <c r="N193"/>
      <c r="O193"/>
      <c r="P193"/>
      <c r="Q193"/>
    </row>
    <row r="194" spans="2:17">
      <c r="B194"/>
      <c r="C194"/>
      <c r="D194"/>
      <c r="E194"/>
      <c r="F194"/>
      <c r="G194"/>
      <c r="H194" s="173"/>
      <c r="I194"/>
      <c r="J194"/>
      <c r="K194"/>
      <c r="L194"/>
      <c r="M194"/>
      <c r="N194"/>
      <c r="O194"/>
      <c r="P194"/>
      <c r="Q194"/>
    </row>
    <row r="195" spans="2:17">
      <c r="B195"/>
      <c r="C195"/>
      <c r="D195"/>
      <c r="E195"/>
      <c r="F195"/>
      <c r="G195"/>
      <c r="H195" s="173"/>
      <c r="I195"/>
      <c r="J195"/>
      <c r="K195"/>
      <c r="L195"/>
      <c r="M195"/>
      <c r="N195"/>
      <c r="O195"/>
      <c r="P195"/>
      <c r="Q195"/>
    </row>
    <row r="196" spans="2:17">
      <c r="B196"/>
      <c r="C196"/>
      <c r="D196"/>
      <c r="E196"/>
      <c r="F196"/>
      <c r="G196"/>
      <c r="H196" s="173"/>
      <c r="I196"/>
      <c r="J196"/>
      <c r="K196"/>
      <c r="L196"/>
      <c r="M196"/>
      <c r="N196"/>
      <c r="O196"/>
      <c r="P196"/>
      <c r="Q196"/>
    </row>
    <row r="197" spans="2:17">
      <c r="B197"/>
      <c r="C197"/>
      <c r="D197"/>
      <c r="E197"/>
      <c r="F197"/>
      <c r="G197"/>
      <c r="H197" s="173"/>
      <c r="I197"/>
      <c r="J197"/>
      <c r="K197"/>
      <c r="L197"/>
      <c r="M197"/>
      <c r="N197"/>
      <c r="O197"/>
      <c r="P197"/>
      <c r="Q197"/>
    </row>
    <row r="198" spans="2:17">
      <c r="B198"/>
      <c r="C198"/>
      <c r="D198"/>
      <c r="E198"/>
      <c r="F198"/>
      <c r="G198"/>
      <c r="H198" s="173"/>
      <c r="I198"/>
      <c r="J198"/>
      <c r="K198"/>
      <c r="L198"/>
      <c r="M198"/>
      <c r="N198"/>
      <c r="O198"/>
      <c r="P198"/>
      <c r="Q198"/>
    </row>
    <row r="199" spans="2:17">
      <c r="B199"/>
      <c r="C199"/>
      <c r="D199"/>
      <c r="E199"/>
      <c r="F199"/>
      <c r="G199"/>
      <c r="H199" s="173"/>
      <c r="I199"/>
      <c r="J199"/>
      <c r="K199"/>
      <c r="L199"/>
      <c r="M199"/>
      <c r="N199"/>
      <c r="O199"/>
      <c r="P199"/>
      <c r="Q199"/>
    </row>
    <row r="200" spans="2:17">
      <c r="B200"/>
      <c r="C200"/>
      <c r="D200"/>
      <c r="E200"/>
      <c r="F200"/>
      <c r="G200"/>
      <c r="H200" s="173"/>
      <c r="I200"/>
      <c r="J200"/>
      <c r="K200"/>
      <c r="L200"/>
      <c r="M200"/>
      <c r="N200"/>
      <c r="O200"/>
      <c r="P200"/>
      <c r="Q200"/>
    </row>
    <row r="201" spans="2:17">
      <c r="B201"/>
      <c r="C201"/>
      <c r="D201"/>
      <c r="E201"/>
      <c r="F201"/>
      <c r="G201"/>
      <c r="H201" s="173"/>
      <c r="I201"/>
      <c r="J201"/>
      <c r="K201"/>
      <c r="L201"/>
      <c r="M201"/>
      <c r="N201"/>
      <c r="O201"/>
      <c r="P201"/>
      <c r="Q201"/>
    </row>
    <row r="202" spans="2:17">
      <c r="B202"/>
      <c r="C202"/>
      <c r="D202"/>
      <c r="E202"/>
      <c r="F202"/>
      <c r="G202"/>
      <c r="H202" s="173"/>
      <c r="I202"/>
      <c r="J202"/>
      <c r="K202"/>
      <c r="L202"/>
      <c r="M202"/>
      <c r="N202"/>
      <c r="O202"/>
      <c r="P202"/>
      <c r="Q202"/>
    </row>
    <row r="203" spans="2:17">
      <c r="B203"/>
      <c r="C203"/>
      <c r="D203"/>
      <c r="E203"/>
      <c r="F203"/>
      <c r="G203"/>
      <c r="H203" s="173"/>
      <c r="I203"/>
      <c r="J203"/>
      <c r="K203"/>
      <c r="L203"/>
      <c r="M203"/>
      <c r="N203"/>
      <c r="O203"/>
      <c r="P203"/>
      <c r="Q203"/>
    </row>
    <row r="204" spans="2:17">
      <c r="B204"/>
      <c r="C204"/>
      <c r="D204"/>
      <c r="E204"/>
      <c r="F204"/>
      <c r="G204"/>
      <c r="H204" s="173"/>
      <c r="I204"/>
      <c r="J204"/>
      <c r="K204"/>
      <c r="L204"/>
      <c r="M204"/>
      <c r="N204"/>
      <c r="O204"/>
      <c r="P204"/>
      <c r="Q204"/>
    </row>
    <row r="205" spans="2:17">
      <c r="B205"/>
      <c r="C205"/>
      <c r="D205"/>
      <c r="E205"/>
      <c r="F205"/>
      <c r="G205"/>
      <c r="H205" s="173"/>
      <c r="I205"/>
      <c r="J205"/>
      <c r="K205"/>
      <c r="L205"/>
      <c r="M205"/>
      <c r="N205"/>
      <c r="O205"/>
      <c r="P205"/>
      <c r="Q205"/>
    </row>
    <row r="206" spans="2:17">
      <c r="B206"/>
      <c r="C206"/>
      <c r="D206"/>
      <c r="E206"/>
      <c r="F206"/>
      <c r="G206"/>
      <c r="H206" s="173"/>
      <c r="I206"/>
      <c r="J206"/>
      <c r="K206"/>
      <c r="L206"/>
      <c r="M206"/>
      <c r="N206"/>
      <c r="O206"/>
      <c r="P206"/>
      <c r="Q206"/>
    </row>
    <row r="207" spans="2:17">
      <c r="B207"/>
      <c r="C207"/>
      <c r="D207"/>
      <c r="E207"/>
      <c r="F207"/>
      <c r="G207"/>
      <c r="H207" s="173"/>
      <c r="I207"/>
      <c r="J207"/>
      <c r="K207"/>
      <c r="L207"/>
      <c r="M207"/>
      <c r="N207"/>
      <c r="O207"/>
      <c r="P207"/>
      <c r="Q207"/>
    </row>
    <row r="208" spans="2:17">
      <c r="B208"/>
      <c r="C208"/>
      <c r="D208"/>
      <c r="E208"/>
      <c r="F208"/>
      <c r="G208"/>
      <c r="H208" s="173"/>
      <c r="I208"/>
      <c r="J208"/>
      <c r="K208"/>
      <c r="L208"/>
      <c r="M208"/>
      <c r="N208"/>
      <c r="O208"/>
      <c r="P208"/>
      <c r="Q208"/>
    </row>
    <row r="209" spans="2:17">
      <c r="B209"/>
      <c r="C209"/>
      <c r="D209"/>
      <c r="E209"/>
      <c r="F209"/>
      <c r="G209"/>
      <c r="H209" s="173"/>
      <c r="I209"/>
      <c r="J209"/>
      <c r="K209"/>
      <c r="L209"/>
      <c r="M209"/>
      <c r="N209"/>
      <c r="O209"/>
      <c r="P209"/>
      <c r="Q209"/>
    </row>
    <row r="210" spans="2:17">
      <c r="B210"/>
      <c r="C210"/>
      <c r="D210"/>
      <c r="E210"/>
      <c r="F210"/>
      <c r="G210"/>
      <c r="H210" s="173"/>
      <c r="I210"/>
      <c r="J210"/>
      <c r="K210"/>
      <c r="L210"/>
      <c r="M210"/>
      <c r="N210"/>
      <c r="O210"/>
      <c r="P210"/>
      <c r="Q210"/>
    </row>
    <row r="211" spans="2:17">
      <c r="B211"/>
      <c r="C211"/>
      <c r="D211"/>
      <c r="E211"/>
      <c r="F211"/>
      <c r="G211"/>
      <c r="H211" s="173"/>
      <c r="I211"/>
      <c r="J211"/>
      <c r="K211"/>
      <c r="L211"/>
      <c r="M211"/>
      <c r="N211"/>
      <c r="O211"/>
      <c r="P211"/>
      <c r="Q211"/>
    </row>
    <row r="212" spans="2:17">
      <c r="B212"/>
      <c r="C212"/>
      <c r="D212"/>
      <c r="E212"/>
      <c r="F212"/>
      <c r="G212"/>
      <c r="H212" s="173"/>
      <c r="I212"/>
      <c r="J212"/>
      <c r="K212"/>
      <c r="L212"/>
      <c r="M212"/>
      <c r="N212"/>
      <c r="O212"/>
      <c r="P212"/>
      <c r="Q212"/>
    </row>
    <row r="213" spans="2:17">
      <c r="B213"/>
      <c r="C213"/>
      <c r="D213"/>
      <c r="E213"/>
      <c r="F213"/>
      <c r="G213"/>
      <c r="H213" s="173"/>
      <c r="I213"/>
      <c r="J213"/>
      <c r="K213"/>
      <c r="L213"/>
      <c r="M213"/>
      <c r="N213"/>
      <c r="O213"/>
      <c r="P213"/>
      <c r="Q213"/>
    </row>
    <row r="214" spans="2:17">
      <c r="B214"/>
      <c r="C214"/>
      <c r="D214"/>
      <c r="E214"/>
      <c r="F214"/>
      <c r="G214"/>
      <c r="H214" s="173"/>
      <c r="I214"/>
      <c r="J214"/>
      <c r="K214"/>
      <c r="L214"/>
      <c r="M214"/>
      <c r="N214"/>
      <c r="O214"/>
      <c r="P214"/>
      <c r="Q214"/>
    </row>
    <row r="215" spans="2:17">
      <c r="B215"/>
      <c r="C215"/>
      <c r="D215"/>
      <c r="E215"/>
      <c r="F215"/>
      <c r="G215"/>
      <c r="H215" s="173"/>
      <c r="I215"/>
      <c r="J215"/>
      <c r="K215"/>
      <c r="L215"/>
      <c r="M215"/>
      <c r="N215"/>
      <c r="O215"/>
      <c r="P215"/>
      <c r="Q215"/>
    </row>
    <row r="216" spans="2:17">
      <c r="B216"/>
      <c r="C216"/>
      <c r="D216"/>
      <c r="E216"/>
      <c r="F216"/>
      <c r="G216"/>
      <c r="H216" s="173"/>
      <c r="I216"/>
      <c r="J216"/>
      <c r="K216"/>
      <c r="L216"/>
      <c r="M216"/>
      <c r="N216"/>
      <c r="O216"/>
      <c r="P216"/>
      <c r="Q216"/>
    </row>
    <row r="217" spans="2:17">
      <c r="B217"/>
      <c r="C217"/>
      <c r="D217"/>
      <c r="E217"/>
      <c r="F217"/>
      <c r="G217"/>
      <c r="H217" s="173"/>
      <c r="I217"/>
      <c r="J217"/>
      <c r="K217"/>
      <c r="L217"/>
      <c r="M217"/>
      <c r="N217"/>
      <c r="O217"/>
      <c r="P217"/>
      <c r="Q217"/>
    </row>
    <row r="218" spans="2:17">
      <c r="B218"/>
      <c r="C218"/>
      <c r="D218"/>
      <c r="E218"/>
      <c r="F218"/>
      <c r="G218"/>
      <c r="H218" s="173"/>
      <c r="I218"/>
      <c r="J218"/>
      <c r="K218"/>
      <c r="L218"/>
      <c r="M218"/>
      <c r="N218"/>
      <c r="O218"/>
      <c r="P218"/>
      <c r="Q218"/>
    </row>
    <row r="219" spans="2:17">
      <c r="B219"/>
      <c r="C219"/>
      <c r="D219"/>
      <c r="E219"/>
      <c r="F219"/>
      <c r="G219"/>
      <c r="H219" s="173"/>
      <c r="I219"/>
      <c r="J219"/>
      <c r="K219"/>
      <c r="L219"/>
      <c r="M219"/>
      <c r="N219"/>
      <c r="O219"/>
      <c r="P219"/>
      <c r="Q219"/>
    </row>
    <row r="220" spans="2:17">
      <c r="B220"/>
      <c r="C220"/>
      <c r="D220"/>
      <c r="E220"/>
      <c r="F220"/>
      <c r="G220"/>
      <c r="H220" s="173"/>
      <c r="I220"/>
      <c r="J220"/>
      <c r="K220"/>
      <c r="L220"/>
      <c r="M220"/>
      <c r="N220"/>
      <c r="O220"/>
      <c r="P220"/>
      <c r="Q220"/>
    </row>
    <row r="221" spans="2:17">
      <c r="B221"/>
      <c r="C221"/>
      <c r="D221"/>
      <c r="E221"/>
      <c r="F221"/>
      <c r="G221"/>
      <c r="H221" s="173"/>
      <c r="I221"/>
      <c r="J221"/>
      <c r="K221"/>
      <c r="L221"/>
      <c r="M221"/>
      <c r="N221"/>
      <c r="O221"/>
      <c r="P221"/>
      <c r="Q221"/>
    </row>
    <row r="222" spans="2:17">
      <c r="B222"/>
      <c r="C222"/>
      <c r="D222"/>
      <c r="E222"/>
      <c r="F222"/>
      <c r="G222"/>
      <c r="H222" s="173"/>
      <c r="I222"/>
      <c r="J222"/>
      <c r="K222"/>
      <c r="L222"/>
      <c r="M222"/>
      <c r="N222"/>
      <c r="O222"/>
      <c r="P222"/>
      <c r="Q222"/>
    </row>
    <row r="223" spans="2:17">
      <c r="B223"/>
      <c r="C223"/>
      <c r="D223"/>
      <c r="E223"/>
      <c r="F223"/>
      <c r="G223"/>
      <c r="H223" s="173"/>
      <c r="I223"/>
      <c r="J223"/>
      <c r="K223"/>
      <c r="L223"/>
      <c r="M223"/>
      <c r="N223"/>
      <c r="O223"/>
      <c r="P223"/>
      <c r="Q223"/>
    </row>
    <row r="224" spans="2:17">
      <c r="B224"/>
      <c r="C224"/>
      <c r="D224"/>
      <c r="E224"/>
      <c r="F224"/>
      <c r="G224"/>
      <c r="H224" s="173"/>
      <c r="I224"/>
      <c r="J224"/>
      <c r="K224"/>
      <c r="L224"/>
      <c r="M224"/>
      <c r="N224"/>
      <c r="O224"/>
      <c r="P224"/>
      <c r="Q224"/>
    </row>
    <row r="225" spans="2:17">
      <c r="B225"/>
      <c r="C225"/>
      <c r="D225"/>
      <c r="E225"/>
      <c r="F225"/>
      <c r="G225"/>
      <c r="H225" s="173"/>
      <c r="I225"/>
      <c r="J225"/>
      <c r="K225"/>
      <c r="L225"/>
      <c r="M225"/>
      <c r="N225"/>
      <c r="O225"/>
      <c r="P225"/>
      <c r="Q225"/>
    </row>
    <row r="226" spans="2:17">
      <c r="B226"/>
      <c r="C226"/>
      <c r="D226"/>
      <c r="E226"/>
      <c r="F226"/>
      <c r="G226"/>
      <c r="H226" s="173"/>
      <c r="I226"/>
      <c r="J226"/>
      <c r="K226"/>
      <c r="L226"/>
      <c r="M226"/>
      <c r="N226"/>
      <c r="O226"/>
      <c r="P226"/>
      <c r="Q226"/>
    </row>
    <row r="227" spans="2:17">
      <c r="B227"/>
      <c r="C227"/>
      <c r="D227"/>
      <c r="E227"/>
      <c r="F227"/>
      <c r="G227"/>
      <c r="H227" s="173"/>
      <c r="I227"/>
      <c r="J227"/>
      <c r="K227"/>
      <c r="L227"/>
      <c r="M227"/>
      <c r="N227"/>
      <c r="O227"/>
      <c r="P227"/>
      <c r="Q227"/>
    </row>
    <row r="228" spans="2:17">
      <c r="B228"/>
      <c r="C228"/>
      <c r="D228"/>
      <c r="E228"/>
      <c r="F228"/>
      <c r="G228"/>
      <c r="H228" s="173"/>
      <c r="I228"/>
      <c r="J228"/>
      <c r="K228"/>
      <c r="L228"/>
      <c r="M228"/>
      <c r="N228"/>
      <c r="O228"/>
      <c r="P228"/>
      <c r="Q228"/>
    </row>
    <row r="229" spans="2:17">
      <c r="B229"/>
      <c r="C229"/>
      <c r="D229"/>
      <c r="E229"/>
      <c r="F229"/>
      <c r="G229"/>
      <c r="H229" s="173"/>
      <c r="I229"/>
      <c r="J229"/>
      <c r="K229"/>
      <c r="L229"/>
      <c r="M229"/>
      <c r="N229"/>
      <c r="O229"/>
      <c r="P229"/>
      <c r="Q229"/>
    </row>
    <row r="230" spans="2:17">
      <c r="B230"/>
      <c r="C230"/>
      <c r="D230"/>
      <c r="E230"/>
      <c r="F230"/>
      <c r="G230"/>
      <c r="H230" s="173"/>
      <c r="I230"/>
      <c r="J230"/>
      <c r="K230"/>
      <c r="L230"/>
      <c r="M230"/>
      <c r="N230"/>
      <c r="O230"/>
      <c r="P230"/>
      <c r="Q230"/>
    </row>
    <row r="231" spans="2:17">
      <c r="B231"/>
      <c r="C231"/>
      <c r="D231"/>
      <c r="E231"/>
      <c r="F231"/>
      <c r="G231"/>
      <c r="H231" s="173"/>
      <c r="I231"/>
      <c r="J231"/>
      <c r="K231"/>
      <c r="L231"/>
      <c r="M231"/>
      <c r="N231"/>
      <c r="O231"/>
      <c r="P231"/>
      <c r="Q231"/>
    </row>
    <row r="232" spans="2:17">
      <c r="B232"/>
      <c r="C232"/>
      <c r="D232"/>
      <c r="E232"/>
      <c r="F232"/>
      <c r="G232"/>
      <c r="H232" s="173"/>
      <c r="I232"/>
      <c r="J232"/>
      <c r="K232"/>
      <c r="L232"/>
      <c r="M232"/>
      <c r="N232"/>
      <c r="O232"/>
      <c r="P232"/>
      <c r="Q232"/>
    </row>
    <row r="233" spans="2:17">
      <c r="B233"/>
      <c r="C233"/>
      <c r="D233"/>
      <c r="E233"/>
      <c r="F233"/>
      <c r="G233"/>
      <c r="H233" s="173"/>
      <c r="I233"/>
      <c r="J233"/>
      <c r="K233"/>
      <c r="L233"/>
      <c r="M233"/>
      <c r="N233"/>
      <c r="O233"/>
      <c r="P233"/>
      <c r="Q233"/>
    </row>
    <row r="234" spans="2:17">
      <c r="B234"/>
      <c r="C234"/>
      <c r="D234"/>
      <c r="E234"/>
      <c r="F234"/>
      <c r="G234"/>
      <c r="H234" s="173"/>
      <c r="I234"/>
      <c r="J234"/>
      <c r="K234"/>
      <c r="L234"/>
      <c r="M234"/>
      <c r="N234"/>
      <c r="O234"/>
      <c r="P234"/>
      <c r="Q234"/>
    </row>
    <row r="235" spans="2:17">
      <c r="B235"/>
      <c r="C235"/>
      <c r="D235"/>
      <c r="E235"/>
      <c r="F235"/>
      <c r="G235"/>
      <c r="H235" s="173"/>
      <c r="I235"/>
      <c r="J235"/>
      <c r="K235"/>
      <c r="L235"/>
      <c r="M235"/>
      <c r="N235"/>
      <c r="O235"/>
      <c r="P235"/>
      <c r="Q235"/>
    </row>
    <row r="236" spans="2:17">
      <c r="B236"/>
      <c r="C236"/>
      <c r="D236"/>
      <c r="E236"/>
      <c r="F236"/>
      <c r="G236"/>
      <c r="H236" s="173"/>
      <c r="I236"/>
      <c r="J236"/>
      <c r="K236"/>
      <c r="L236"/>
      <c r="M236"/>
      <c r="N236"/>
      <c r="O236"/>
      <c r="P236"/>
      <c r="Q236"/>
    </row>
    <row r="237" spans="2:17">
      <c r="B237"/>
      <c r="C237"/>
      <c r="D237"/>
      <c r="E237"/>
      <c r="F237"/>
      <c r="G237"/>
      <c r="H237" s="173"/>
      <c r="I237"/>
      <c r="J237"/>
      <c r="K237"/>
      <c r="L237"/>
      <c r="M237"/>
      <c r="N237"/>
      <c r="O237"/>
      <c r="P237"/>
      <c r="Q237"/>
    </row>
    <row r="238" spans="2:17">
      <c r="B238"/>
      <c r="C238"/>
      <c r="D238"/>
      <c r="E238"/>
      <c r="F238"/>
      <c r="G238"/>
      <c r="H238" s="173"/>
      <c r="I238"/>
      <c r="J238"/>
      <c r="K238"/>
      <c r="L238"/>
      <c r="M238"/>
      <c r="N238"/>
      <c r="O238"/>
      <c r="P238"/>
      <c r="Q238"/>
    </row>
    <row r="239" spans="2:17">
      <c r="B239"/>
      <c r="C239"/>
      <c r="D239"/>
      <c r="E239"/>
      <c r="F239"/>
      <c r="G239"/>
      <c r="H239" s="173"/>
      <c r="I239"/>
      <c r="J239"/>
      <c r="K239"/>
      <c r="L239"/>
      <c r="M239"/>
      <c r="N239"/>
      <c r="O239"/>
      <c r="P239"/>
      <c r="Q239"/>
    </row>
    <row r="240" spans="2:17">
      <c r="B240"/>
      <c r="C240"/>
      <c r="D240"/>
      <c r="E240"/>
      <c r="F240"/>
      <c r="G240"/>
      <c r="H240" s="173"/>
      <c r="I240"/>
      <c r="J240"/>
      <c r="K240"/>
      <c r="L240"/>
      <c r="M240"/>
      <c r="N240"/>
      <c r="O240"/>
      <c r="P240"/>
      <c r="Q240"/>
    </row>
    <row r="241" spans="2:17">
      <c r="B241"/>
      <c r="C241"/>
      <c r="D241"/>
      <c r="E241"/>
      <c r="F241"/>
      <c r="G241"/>
      <c r="H241" s="173"/>
      <c r="I241"/>
      <c r="J241"/>
      <c r="K241"/>
      <c r="L241"/>
      <c r="M241"/>
      <c r="N241"/>
      <c r="O241"/>
      <c r="P241"/>
      <c r="Q241"/>
    </row>
    <row r="242" spans="2:17">
      <c r="B242"/>
      <c r="C242"/>
      <c r="D242"/>
      <c r="E242"/>
      <c r="F242"/>
      <c r="G242"/>
      <c r="H242" s="173"/>
      <c r="I242"/>
      <c r="J242"/>
      <c r="K242"/>
      <c r="L242"/>
      <c r="M242"/>
      <c r="N242"/>
      <c r="O242"/>
      <c r="P242"/>
      <c r="Q242"/>
    </row>
    <row r="243" spans="2:17">
      <c r="B243"/>
      <c r="C243"/>
      <c r="D243"/>
      <c r="E243"/>
      <c r="F243"/>
      <c r="G243"/>
      <c r="H243" s="173"/>
      <c r="I243"/>
      <c r="J243"/>
      <c r="K243"/>
      <c r="L243"/>
      <c r="M243"/>
      <c r="N243"/>
      <c r="O243"/>
      <c r="P243"/>
      <c r="Q243"/>
    </row>
    <row r="244" spans="2:17">
      <c r="B244"/>
      <c r="C244"/>
      <c r="D244"/>
      <c r="E244"/>
      <c r="F244"/>
      <c r="G244"/>
      <c r="H244" s="173"/>
      <c r="I244"/>
      <c r="J244"/>
      <c r="K244"/>
      <c r="L244"/>
      <c r="M244"/>
      <c r="N244"/>
      <c r="O244"/>
      <c r="P244"/>
      <c r="Q244"/>
    </row>
    <row r="245" spans="2:17">
      <c r="B245"/>
      <c r="C245"/>
      <c r="D245"/>
      <c r="E245"/>
      <c r="F245"/>
      <c r="G245"/>
      <c r="H245" s="173"/>
      <c r="I245"/>
      <c r="J245"/>
      <c r="K245"/>
      <c r="L245"/>
      <c r="M245"/>
      <c r="N245"/>
      <c r="O245"/>
      <c r="P245"/>
      <c r="Q245"/>
    </row>
    <row r="246" spans="2:17">
      <c r="B246"/>
      <c r="C246"/>
      <c r="D246"/>
      <c r="E246"/>
      <c r="F246"/>
      <c r="G246"/>
      <c r="H246" s="173"/>
      <c r="I246"/>
      <c r="J246"/>
      <c r="K246"/>
      <c r="L246"/>
      <c r="M246"/>
      <c r="N246"/>
      <c r="O246"/>
      <c r="P246"/>
      <c r="Q246"/>
    </row>
    <row r="247" spans="2:17">
      <c r="B247"/>
      <c r="C247"/>
      <c r="D247"/>
      <c r="E247"/>
      <c r="F247"/>
      <c r="G247"/>
      <c r="H247" s="173"/>
      <c r="I247"/>
      <c r="J247"/>
      <c r="K247"/>
      <c r="L247"/>
      <c r="M247"/>
      <c r="N247"/>
      <c r="O247"/>
      <c r="P247"/>
      <c r="Q247"/>
    </row>
    <row r="248" spans="2:17">
      <c r="B248"/>
      <c r="C248"/>
      <c r="D248"/>
      <c r="E248"/>
      <c r="F248"/>
      <c r="G248"/>
      <c r="H248" s="173"/>
      <c r="I248"/>
      <c r="J248"/>
      <c r="K248"/>
      <c r="L248"/>
      <c r="M248"/>
      <c r="N248"/>
      <c r="O248"/>
      <c r="P248"/>
      <c r="Q248"/>
    </row>
  </sheetData>
  <mergeCells count="1">
    <mergeCell ref="G1:K1"/>
  </mergeCells>
  <pageMargins left="0.45" right="0.45" top="0.5" bottom="0.5" header="0.3" footer="0.3"/>
  <pageSetup scale="73" orientation="landscape" verticalDpi="599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G11" sqref="G11"/>
    </sheetView>
  </sheetViews>
  <sheetFormatPr defaultRowHeight="15"/>
  <cols>
    <col min="1" max="1" width="4.7109375" customWidth="1"/>
    <col min="4" max="4" width="10.5703125" style="81" bestFit="1" customWidth="1"/>
    <col min="5" max="5" width="12.28515625" style="81" bestFit="1" customWidth="1"/>
    <col min="6" max="6" width="11.5703125" style="81" bestFit="1" customWidth="1"/>
    <col min="7" max="7" width="9.42578125" bestFit="1" customWidth="1"/>
    <col min="8" max="8" width="11.5703125" style="81" bestFit="1" customWidth="1"/>
    <col min="9" max="9" width="10.5703125" bestFit="1" customWidth="1"/>
    <col min="11" max="11" width="12.5703125" bestFit="1" customWidth="1"/>
  </cols>
  <sheetData>
    <row r="1" spans="1:11" ht="18">
      <c r="A1" s="1" t="s">
        <v>134</v>
      </c>
    </row>
    <row r="2" spans="1:11" ht="18.75">
      <c r="A2" s="188" t="s">
        <v>133</v>
      </c>
    </row>
    <row r="3" spans="1:11" ht="15.75">
      <c r="A3" s="79" t="s">
        <v>82</v>
      </c>
    </row>
    <row r="4" spans="1:11">
      <c r="A4" s="2" t="s">
        <v>88</v>
      </c>
    </row>
    <row r="5" spans="1:11">
      <c r="D5" s="93"/>
      <c r="E5" s="93"/>
      <c r="F5" s="93"/>
      <c r="H5" s="93"/>
      <c r="I5" s="94" t="s">
        <v>4</v>
      </c>
      <c r="K5" s="94" t="s">
        <v>4</v>
      </c>
    </row>
    <row r="6" spans="1:11">
      <c r="D6" s="94" t="s">
        <v>84</v>
      </c>
      <c r="E6" s="93"/>
      <c r="F6" s="93"/>
      <c r="G6" s="128" t="s">
        <v>10</v>
      </c>
      <c r="H6" s="94" t="s">
        <v>4</v>
      </c>
      <c r="I6" s="94" t="s">
        <v>131</v>
      </c>
      <c r="J6" s="128" t="s">
        <v>132</v>
      </c>
      <c r="K6" s="94" t="s">
        <v>12</v>
      </c>
    </row>
    <row r="7" spans="1:11">
      <c r="D7" s="95" t="s">
        <v>23</v>
      </c>
      <c r="E7" s="95" t="s">
        <v>19</v>
      </c>
      <c r="F7" s="95" t="s">
        <v>83</v>
      </c>
      <c r="G7" s="95" t="s">
        <v>19</v>
      </c>
      <c r="H7" s="95" t="s">
        <v>83</v>
      </c>
      <c r="I7" s="95" t="s">
        <v>130</v>
      </c>
      <c r="J7" s="159" t="s">
        <v>125</v>
      </c>
      <c r="K7" s="95" t="s">
        <v>130</v>
      </c>
    </row>
    <row r="8" spans="1:11">
      <c r="A8" s="80" t="s">
        <v>0</v>
      </c>
      <c r="G8" s="81"/>
    </row>
    <row r="9" spans="1:11">
      <c r="A9" s="80"/>
      <c r="G9" s="81"/>
    </row>
    <row r="10" spans="1:11">
      <c r="A10" s="82" t="s">
        <v>85</v>
      </c>
      <c r="B10" s="82"/>
      <c r="C10" s="82"/>
      <c r="G10" s="81"/>
    </row>
    <row r="11" spans="1:11" ht="17.25">
      <c r="B11" s="83" t="s">
        <v>2</v>
      </c>
      <c r="D11" s="96">
        <f>+'Com''l Priceout'!L100</f>
        <v>8369.4175174356442</v>
      </c>
      <c r="E11" s="125">
        <v>120.17</v>
      </c>
      <c r="F11" s="84">
        <f>+D11*E11</f>
        <v>1005752.9030702413</v>
      </c>
      <c r="G11" s="125">
        <f>+'Gross up Factor'!B6</f>
        <v>134.59</v>
      </c>
      <c r="H11" s="153">
        <f>+G11*D11</f>
        <v>1126439.9036716635</v>
      </c>
      <c r="I11" s="154">
        <f>+H11-F11</f>
        <v>120687.00060142216</v>
      </c>
      <c r="J11">
        <f ca="1">+'Gross up Factor'!G15</f>
        <v>0.93144758948932804</v>
      </c>
      <c r="K11" s="150">
        <f ca="1">+I11/J11</f>
        <v>129569.28759415177</v>
      </c>
    </row>
    <row r="12" spans="1:11" s="80" customFormat="1" ht="12.75">
      <c r="D12" s="97">
        <f>SUM(D11:D11)</f>
        <v>8369.4175174356442</v>
      </c>
      <c r="E12" s="126"/>
      <c r="F12" s="85">
        <f>SUM(F11:F11)</f>
        <v>1005752.9030702413</v>
      </c>
      <c r="G12" s="86"/>
      <c r="H12" s="85">
        <f>SUM(H11:H11)</f>
        <v>1126439.9036716635</v>
      </c>
      <c r="I12" s="85">
        <f>SUM(I11:I11)</f>
        <v>120687.00060142216</v>
      </c>
      <c r="K12" s="85">
        <f ca="1">SUM(K11:K11)</f>
        <v>129569.28759415177</v>
      </c>
    </row>
    <row r="13" spans="1:11">
      <c r="E13" s="127"/>
      <c r="F13" s="89"/>
      <c r="G13" s="81"/>
    </row>
    <row r="14" spans="1:11">
      <c r="E14" s="127"/>
      <c r="F14" s="89"/>
      <c r="G14" s="81"/>
    </row>
    <row r="15" spans="1:11">
      <c r="A15" s="80" t="s">
        <v>86</v>
      </c>
      <c r="E15" s="127"/>
      <c r="F15" s="89"/>
      <c r="G15" s="81"/>
    </row>
    <row r="16" spans="1:11">
      <c r="A16" s="80"/>
      <c r="E16" s="127"/>
      <c r="F16" s="89"/>
      <c r="G16" s="81"/>
    </row>
    <row r="17" spans="1:11">
      <c r="A17" s="82" t="s">
        <v>85</v>
      </c>
      <c r="E17" s="127"/>
      <c r="F17" s="89"/>
      <c r="G17" s="81"/>
    </row>
    <row r="18" spans="1:11" ht="17.25">
      <c r="B18" s="83" t="s">
        <v>2</v>
      </c>
      <c r="D18" s="96">
        <v>18769.439997868274</v>
      </c>
      <c r="E18" s="125">
        <v>120.17</v>
      </c>
      <c r="F18" s="91">
        <f>+E18*D18</f>
        <v>2255523.6045438307</v>
      </c>
      <c r="G18" s="125">
        <f>+G11</f>
        <v>134.59</v>
      </c>
      <c r="H18" s="153">
        <f>+G18*D18</f>
        <v>2526178.9293130911</v>
      </c>
      <c r="I18" s="154">
        <f>+H18-F18</f>
        <v>270655.32476926036</v>
      </c>
      <c r="J18">
        <f ca="1">+J11</f>
        <v>0.93144758948932804</v>
      </c>
      <c r="K18" s="150">
        <f ca="1">+I18/J18</f>
        <v>290574.93714450306</v>
      </c>
    </row>
    <row r="19" spans="1:11" s="80" customFormat="1" ht="12.75">
      <c r="D19" s="97">
        <f>SUM(D18:D18)</f>
        <v>18769.439997868274</v>
      </c>
      <c r="E19" s="126"/>
      <c r="F19" s="85">
        <f>SUM(F18:F18)</f>
        <v>2255523.6045438307</v>
      </c>
      <c r="G19" s="86"/>
      <c r="H19" s="85">
        <f>SUM(H18:H18)</f>
        <v>2526178.9293130911</v>
      </c>
      <c r="I19" s="85">
        <f>SUM(I18:I18)</f>
        <v>270655.32476926036</v>
      </c>
      <c r="K19" s="85">
        <f ca="1">SUM(K18:K18)</f>
        <v>290574.93714450306</v>
      </c>
    </row>
    <row r="20" spans="1:11">
      <c r="E20" s="127"/>
      <c r="F20" s="89"/>
      <c r="G20" s="81"/>
    </row>
    <row r="21" spans="1:11" ht="17.25">
      <c r="D21" s="155">
        <f>+D19+D12</f>
        <v>27138.85751530392</v>
      </c>
      <c r="E21" s="155"/>
      <c r="F21" s="156">
        <f t="shared" ref="F21:I21" si="0">+F19+F12</f>
        <v>3261276.5076140719</v>
      </c>
      <c r="G21" s="156"/>
      <c r="H21" s="156">
        <f t="shared" si="0"/>
        <v>3652618.8329847548</v>
      </c>
      <c r="I21" s="156">
        <f t="shared" si="0"/>
        <v>391342.32537068252</v>
      </c>
      <c r="K21" s="156">
        <f t="shared" ref="K21" ca="1" si="1">+K19+K12</f>
        <v>420144.2247386548</v>
      </c>
    </row>
    <row r="22" spans="1:11">
      <c r="E22" s="127"/>
      <c r="F22" s="89"/>
      <c r="G22" s="81"/>
    </row>
    <row r="23" spans="1:11">
      <c r="E23" s="127"/>
      <c r="F23" s="89"/>
      <c r="G23" s="81"/>
    </row>
    <row r="24" spans="1:11">
      <c r="A24" s="80" t="s">
        <v>87</v>
      </c>
      <c r="E24" s="127"/>
      <c r="F24" s="89"/>
      <c r="G24" s="81"/>
    </row>
    <row r="25" spans="1:11">
      <c r="A25" s="80"/>
      <c r="E25" s="127"/>
      <c r="F25" s="89"/>
      <c r="G25" s="81"/>
    </row>
    <row r="26" spans="1:11">
      <c r="A26" s="82" t="s">
        <v>85</v>
      </c>
      <c r="E26" s="127"/>
      <c r="F26" s="89"/>
      <c r="G26" s="81"/>
    </row>
    <row r="27" spans="1:11" ht="17.25">
      <c r="B27" s="83" t="s">
        <v>2</v>
      </c>
      <c r="D27" s="96">
        <v>23062.42</v>
      </c>
      <c r="E27" s="125">
        <v>120.17</v>
      </c>
      <c r="F27" s="91">
        <f>+E27*D27</f>
        <v>2771411.0113999997</v>
      </c>
      <c r="G27" s="125">
        <f>+G11</f>
        <v>134.59</v>
      </c>
      <c r="H27" s="153">
        <f>+G27*D27</f>
        <v>3103971.1077999999</v>
      </c>
      <c r="I27" s="154">
        <f>+H27-F27</f>
        <v>332560.09640000015</v>
      </c>
      <c r="J27" s="178">
        <v>1</v>
      </c>
      <c r="K27" s="150">
        <f>+I27/J27</f>
        <v>332560.09640000015</v>
      </c>
    </row>
    <row r="28" spans="1:11" s="80" customFormat="1">
      <c r="D28" s="179">
        <f>SUM(D27:D27)</f>
        <v>23062.42</v>
      </c>
      <c r="E28" s="180"/>
      <c r="F28" s="88">
        <f>SUM(F27:F27)</f>
        <v>2771411.0113999997</v>
      </c>
      <c r="G28" s="180"/>
      <c r="H28" s="87">
        <f>SUM(H27:H27)</f>
        <v>3103971.1077999999</v>
      </c>
      <c r="I28" s="87">
        <f>SUM(I27:I27)</f>
        <v>332560.09640000015</v>
      </c>
      <c r="J28" s="181"/>
      <c r="K28" s="87">
        <f>SUM(K27:K27)</f>
        <v>332560.09640000015</v>
      </c>
    </row>
    <row r="29" spans="1:11">
      <c r="F29" s="89"/>
    </row>
    <row r="30" spans="1:11">
      <c r="A30" s="82"/>
      <c r="F30" s="89"/>
    </row>
    <row r="31" spans="1:11" s="92" customFormat="1" ht="12.75">
      <c r="D31" s="157">
        <f>+D28+D21</f>
        <v>50201.277515303918</v>
      </c>
      <c r="E31" s="157"/>
      <c r="F31" s="158">
        <f t="shared" ref="F31:K31" si="2">+F28+F21</f>
        <v>6032687.5190140717</v>
      </c>
      <c r="G31" s="157"/>
      <c r="H31" s="158">
        <f t="shared" si="2"/>
        <v>6756589.9407847542</v>
      </c>
      <c r="I31" s="158">
        <f t="shared" si="2"/>
        <v>723902.42177068267</v>
      </c>
      <c r="J31" s="158"/>
      <c r="K31" s="158">
        <f t="shared" ca="1" si="2"/>
        <v>752704.32113865495</v>
      </c>
    </row>
    <row r="32" spans="1:11">
      <c r="F32" s="89"/>
    </row>
    <row r="33" spans="1:6">
      <c r="F33" s="89"/>
    </row>
    <row r="41" spans="1:6">
      <c r="A41" s="83"/>
      <c r="D41" s="98"/>
      <c r="E41" s="90"/>
      <c r="F41" s="90"/>
    </row>
    <row r="43" spans="1:6">
      <c r="D43" s="98"/>
    </row>
  </sheetData>
  <pageMargins left="0.45" right="0.45" top="0.5" bottom="0.5" header="0.3" footer="0.3"/>
  <pageSetup orientation="landscape" verticalDpi="599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A2" sqref="A2"/>
    </sheetView>
  </sheetViews>
  <sheetFormatPr defaultRowHeight="15"/>
  <cols>
    <col min="1" max="1" width="52" bestFit="1" customWidth="1"/>
    <col min="2" max="2" width="11.5703125" bestFit="1" customWidth="1"/>
    <col min="3" max="3" width="15.140625" bestFit="1" customWidth="1"/>
    <col min="4" max="4" width="7.140625" bestFit="1" customWidth="1"/>
    <col min="5" max="5" width="3.7109375" customWidth="1"/>
    <col min="7" max="7" width="8.5703125" bestFit="1" customWidth="1"/>
    <col min="8" max="8" width="10" bestFit="1" customWidth="1"/>
  </cols>
  <sheetData>
    <row r="1" spans="1:8" ht="18">
      <c r="A1" s="1" t="s">
        <v>134</v>
      </c>
    </row>
    <row r="2" spans="1:8">
      <c r="A2" s="128" t="s">
        <v>137</v>
      </c>
    </row>
    <row r="3" spans="1:8">
      <c r="A3" s="129"/>
      <c r="B3" s="129"/>
      <c r="C3" s="129"/>
      <c r="D3" s="129"/>
      <c r="E3" s="129"/>
      <c r="F3" s="129"/>
      <c r="G3" s="129"/>
      <c r="H3" s="129"/>
    </row>
    <row r="4" spans="1:8">
      <c r="A4" s="130" t="s">
        <v>85</v>
      </c>
      <c r="B4" s="131" t="s">
        <v>111</v>
      </c>
      <c r="C4" s="131" t="s">
        <v>112</v>
      </c>
      <c r="D4" s="129"/>
      <c r="E4" s="129"/>
      <c r="F4" s="194" t="s">
        <v>113</v>
      </c>
      <c r="G4" s="194"/>
      <c r="H4" s="129"/>
    </row>
    <row r="5" spans="1:8">
      <c r="A5" s="132" t="s">
        <v>114</v>
      </c>
      <c r="B5" s="133">
        <v>120.17</v>
      </c>
      <c r="C5" s="134">
        <f>B5/2000</f>
        <v>6.0085E-2</v>
      </c>
      <c r="D5" s="129"/>
      <c r="E5" s="129"/>
      <c r="F5" s="129" t="s">
        <v>115</v>
      </c>
      <c r="G5" s="135">
        <f>0.015</f>
        <v>1.4999999999999999E-2</v>
      </c>
      <c r="H5" s="129"/>
    </row>
    <row r="6" spans="1:8">
      <c r="A6" s="132" t="s">
        <v>116</v>
      </c>
      <c r="B6" s="190">
        <v>134.59</v>
      </c>
      <c r="C6" s="136">
        <f>B6/2000</f>
        <v>6.7295000000000008E-2</v>
      </c>
      <c r="D6" s="129"/>
      <c r="E6" s="129"/>
      <c r="F6" s="129" t="s">
        <v>117</v>
      </c>
      <c r="G6" s="137">
        <f>0.004275</f>
        <v>4.2750000000000002E-3</v>
      </c>
      <c r="H6" s="129"/>
    </row>
    <row r="7" spans="1:8">
      <c r="A7" s="138" t="s">
        <v>118</v>
      </c>
      <c r="B7" s="133">
        <f>B6-B5</f>
        <v>14.420000000000002</v>
      </c>
      <c r="C7" s="139">
        <f>C6-C5</f>
        <v>7.2100000000000081E-3</v>
      </c>
      <c r="D7" s="160">
        <f>+B7/B5</f>
        <v>0.11999667138220856</v>
      </c>
      <c r="E7" s="129"/>
      <c r="F7" s="129" t="s">
        <v>119</v>
      </c>
      <c r="G7" s="140">
        <v>1.8339999999999999E-2</v>
      </c>
      <c r="H7" s="129"/>
    </row>
    <row r="8" spans="1:8">
      <c r="A8" s="129"/>
      <c r="B8" s="129"/>
      <c r="C8" s="129"/>
      <c r="D8" s="129"/>
      <c r="E8" s="129"/>
      <c r="G8" s="141">
        <f>SUM(G5:G7)</f>
        <v>3.7614999999999996E-2</v>
      </c>
      <c r="H8" s="129"/>
    </row>
    <row r="9" spans="1:8">
      <c r="A9" s="129"/>
      <c r="C9" s="142" t="s">
        <v>120</v>
      </c>
      <c r="D9" s="129"/>
      <c r="E9" s="129"/>
      <c r="H9" s="129"/>
    </row>
    <row r="10" spans="1:8">
      <c r="A10" s="129" t="s">
        <v>121</v>
      </c>
      <c r="C10" s="143">
        <f>B7</f>
        <v>14.420000000000002</v>
      </c>
      <c r="D10" s="129"/>
      <c r="E10" s="129"/>
      <c r="F10" s="129" t="s">
        <v>87</v>
      </c>
      <c r="G10" s="144">
        <f ca="1">+B20</f>
        <v>3.0937410510671965E-2</v>
      </c>
      <c r="H10" s="129"/>
    </row>
    <row r="11" spans="1:8">
      <c r="A11" s="129" t="s">
        <v>122</v>
      </c>
      <c r="C11" s="143">
        <f ca="1">C10/$G$15</f>
        <v>15.481278992740597</v>
      </c>
      <c r="D11" s="129"/>
      <c r="E11" s="129"/>
      <c r="F11" s="129" t="s">
        <v>3</v>
      </c>
      <c r="G11" s="145">
        <f ca="1">+G10+G8</f>
        <v>6.8552410510671957E-2</v>
      </c>
      <c r="H11" s="129"/>
    </row>
    <row r="12" spans="1:8">
      <c r="A12" s="129" t="s">
        <v>123</v>
      </c>
      <c r="C12" s="146">
        <f>+'Revenue &amp; Expense Adj.'!D21</f>
        <v>27138.85751530392</v>
      </c>
      <c r="D12" s="129"/>
      <c r="E12" s="129"/>
      <c r="F12" s="129"/>
      <c r="G12" s="129"/>
      <c r="H12" s="129"/>
    </row>
    <row r="13" spans="1:8" ht="17.25">
      <c r="A13" s="128" t="s">
        <v>124</v>
      </c>
      <c r="C13" s="151">
        <f ca="1">C11*C12</f>
        <v>420144.22473865486</v>
      </c>
      <c r="D13" s="129"/>
      <c r="E13" s="129"/>
      <c r="F13" s="129" t="s">
        <v>125</v>
      </c>
      <c r="G13" s="147">
        <f>1-G8</f>
        <v>0.96238500000000005</v>
      </c>
      <c r="H13" s="129" t="s">
        <v>126</v>
      </c>
    </row>
    <row r="14" spans="1:8">
      <c r="A14" s="129"/>
      <c r="B14" s="129"/>
      <c r="C14" s="129"/>
      <c r="D14" s="129"/>
      <c r="E14" s="129"/>
      <c r="F14" s="129"/>
      <c r="G14" s="129"/>
      <c r="H14" s="129"/>
    </row>
    <row r="15" spans="1:8">
      <c r="A15" s="129" t="s">
        <v>87</v>
      </c>
      <c r="B15" s="148">
        <f>+'Revenue &amp; Expense Adj.'!I27</f>
        <v>332560.09640000015</v>
      </c>
      <c r="F15" s="129" t="s">
        <v>125</v>
      </c>
      <c r="G15" s="147">
        <f ca="1">1-G11</f>
        <v>0.93144758948932804</v>
      </c>
      <c r="H15" t="s">
        <v>127</v>
      </c>
    </row>
    <row r="16" spans="1:8" ht="17.25">
      <c r="A16" s="129" t="s">
        <v>128</v>
      </c>
      <c r="B16" s="149">
        <f>+G13</f>
        <v>0.96238500000000005</v>
      </c>
      <c r="C16" s="150"/>
    </row>
    <row r="17" spans="1:3" ht="17.25">
      <c r="A17" s="128"/>
      <c r="B17" s="182">
        <f>+B15/B16</f>
        <v>345558.27075442794</v>
      </c>
      <c r="C17" s="151"/>
    </row>
    <row r="18" spans="1:3" ht="17.25">
      <c r="A18" s="128"/>
      <c r="B18" s="152"/>
      <c r="C18" s="151"/>
    </row>
    <row r="19" spans="1:3" ht="17.25">
      <c r="A19" s="129" t="s">
        <v>135</v>
      </c>
      <c r="B19" s="150">
        <f>+B17-B15</f>
        <v>12998.174354427785</v>
      </c>
      <c r="C19" s="151"/>
    </row>
    <row r="20" spans="1:3" ht="17.25">
      <c r="A20" s="129" t="s">
        <v>125</v>
      </c>
      <c r="B20" s="145">
        <f ca="1">+B19/C13</f>
        <v>3.0937410510671965E-2</v>
      </c>
      <c r="C20" s="151"/>
    </row>
    <row r="22" spans="1:3" ht="50.25" customHeight="1">
      <c r="A22" s="195" t="s">
        <v>129</v>
      </c>
      <c r="B22" s="195"/>
    </row>
    <row r="24" spans="1:3" ht="17.25">
      <c r="C24" s="151">
        <f ca="1">+C13+B15</f>
        <v>752704.32113865507</v>
      </c>
    </row>
    <row r="27" spans="1:3">
      <c r="A27" t="s">
        <v>1</v>
      </c>
      <c r="C27" s="187">
        <f>+'Com''l Priceout'!I100</f>
        <v>129431.41667560009</v>
      </c>
    </row>
    <row r="28" spans="1:3">
      <c r="A28" t="s">
        <v>89</v>
      </c>
      <c r="C28" s="187">
        <f>+'Res''l Priceout'!K34</f>
        <v>290686.01486999978</v>
      </c>
    </row>
    <row r="29" spans="1:3" ht="17.25">
      <c r="A29" t="s">
        <v>136</v>
      </c>
      <c r="C29" s="150">
        <f>+'Revenue &amp; Expense Adj.'!K28</f>
        <v>332560.09640000015</v>
      </c>
    </row>
    <row r="30" spans="1:3" ht="17.25">
      <c r="C30" s="151">
        <f>SUM(C27:C29)</f>
        <v>752677.52794559998</v>
      </c>
    </row>
  </sheetData>
  <mergeCells count="2">
    <mergeCell ref="F4:G4"/>
    <mergeCell ref="A22:B22"/>
  </mergeCells>
  <pageMargins left="0.7" right="0.7" top="0.75" bottom="0.75" header="0.3" footer="0.3"/>
  <pageSetup orientation="landscape" verticalDpi="599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F9F6FBFCF58044AE97367D3CA70CE4" ma:contentTypeVersion="96" ma:contentTypeDescription="" ma:contentTypeScope="" ma:versionID="5e3227ec1fa4008e25a0d86f1f32a5b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2016-10-14T07:00:00+00:00</OpenedDate>
    <Date1 xmlns="dc463f71-b30c-4ab2-9473-d307f9d35888">2016-10-14T07:00:00+00:00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Management of Washington, Inc.</CaseCompanyNames>
    <DocketNumber xmlns="dc463f71-b30c-4ab2-9473-d307f9d35888">161132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46A9AFE-7490-408E-9898-B138E89856A6}"/>
</file>

<file path=customXml/itemProps2.xml><?xml version="1.0" encoding="utf-8"?>
<ds:datastoreItem xmlns:ds="http://schemas.openxmlformats.org/officeDocument/2006/customXml" ds:itemID="{95F03B26-4534-4A43-B60C-0360DA9C14AE}"/>
</file>

<file path=customXml/itemProps3.xml><?xml version="1.0" encoding="utf-8"?>
<ds:datastoreItem xmlns:ds="http://schemas.openxmlformats.org/officeDocument/2006/customXml" ds:itemID="{48F9F2B7-6449-464F-806E-4DC20B6A9AB1}"/>
</file>

<file path=customXml/itemProps4.xml><?xml version="1.0" encoding="utf-8"?>
<ds:datastoreItem xmlns:ds="http://schemas.openxmlformats.org/officeDocument/2006/customXml" ds:itemID="{25DC83E9-4461-4096-A408-5FE17308A9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Com'l Priceout</vt:lpstr>
      <vt:lpstr>Res'l Priceout</vt:lpstr>
      <vt:lpstr>Revenue &amp; Expense Adj.</vt:lpstr>
      <vt:lpstr>Gross up Factor</vt:lpstr>
      <vt:lpstr>'Com''l Priceout'!Print_Area</vt:lpstr>
      <vt:lpstr>'Gross up Factor'!Print_Area</vt:lpstr>
      <vt:lpstr>'Res''l Priceout'!Print_Area</vt:lpstr>
      <vt:lpstr>'Revenue &amp; Expense Adj.'!Print_Area</vt:lpstr>
      <vt:lpstr>'Com''l Priceout'!Print_Titles</vt:lpstr>
    </vt:vector>
  </TitlesOfParts>
  <Company>Waste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Weinstein, Mike</dc:creator>
  <cp:lastModifiedBy>Weinstein, Mike</cp:lastModifiedBy>
  <cp:lastPrinted>2016-10-13T15:19:03Z</cp:lastPrinted>
  <dcterms:created xsi:type="dcterms:W3CDTF">2016-09-23T15:16:40Z</dcterms:created>
  <dcterms:modified xsi:type="dcterms:W3CDTF">2016-10-13T15:19:13Z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0x0101006E56B4D1795A2E4DB2F0B01679ED314A0037F9F6FBFCF58044AE97367D3CA70CE4</vt:lpwstr>
  </property>
  <property fmtid="{D5CDD505-2E9C-101B-9397-08002B2CF9AE}" pid="3" name="_docset_NoMedatataSyncRequired">
    <vt:lpwstr>False</vt:lpwstr>
  </property>
</Properties>
</file>