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9155" windowHeight="7485"/>
  </bookViews>
  <sheets>
    <sheet name="WA 2 Year Plan" sheetId="1" r:id="rId1"/>
    <sheet name="WA EG" sheetId="2" r:id="rId2"/>
    <sheet name="WA ELEC" sheetId="3" r:id="rId3"/>
    <sheet name="WA NG" sheetId="4" r:id="rId4"/>
  </sheets>
  <calcPr calcId="125725"/>
</workbook>
</file>

<file path=xl/calcChain.xml><?xml version="1.0" encoding="utf-8"?>
<calcChain xmlns="http://schemas.openxmlformats.org/spreadsheetml/2006/main">
  <c r="S17" i="2"/>
  <c r="S4"/>
  <c r="Q4"/>
  <c r="Q17"/>
  <c r="R17"/>
  <c r="P17"/>
  <c r="D17"/>
  <c r="P4" l="1"/>
  <c r="S4" i="3"/>
  <c r="Q4"/>
  <c r="P4"/>
  <c r="C25" i="1" l="1"/>
  <c r="C50" s="1"/>
  <c r="G21" l="1"/>
  <c r="G31"/>
  <c r="G32"/>
  <c r="G33"/>
  <c r="G34"/>
  <c r="G36"/>
  <c r="G37"/>
  <c r="G38"/>
  <c r="G39"/>
  <c r="G40"/>
  <c r="G41"/>
  <c r="G42"/>
  <c r="G43"/>
  <c r="G44"/>
  <c r="G6"/>
  <c r="D34"/>
  <c r="E34"/>
  <c r="F34"/>
  <c r="C34"/>
  <c r="F28"/>
  <c r="F25"/>
  <c r="F20"/>
  <c r="F22"/>
  <c r="F21"/>
  <c r="F19"/>
  <c r="G19" s="1"/>
  <c r="D28"/>
  <c r="G28" s="1"/>
  <c r="D27"/>
  <c r="G27" s="1"/>
  <c r="D26"/>
  <c r="G26" s="1"/>
  <c r="D25"/>
  <c r="G25" s="1"/>
  <c r="D24"/>
  <c r="G24" s="1"/>
  <c r="D23"/>
  <c r="G23" s="1"/>
  <c r="D22"/>
  <c r="G22" s="1"/>
  <c r="D21"/>
  <c r="D20"/>
  <c r="G20" s="1"/>
  <c r="D18"/>
  <c r="G18" s="1"/>
  <c r="F14"/>
  <c r="F12"/>
  <c r="F10"/>
  <c r="F15" s="1"/>
  <c r="D12"/>
  <c r="G12" s="1"/>
  <c r="D13"/>
  <c r="G13" s="1"/>
  <c r="D14"/>
  <c r="G14" s="1"/>
  <c r="D10"/>
  <c r="F7"/>
  <c r="D6"/>
  <c r="F5"/>
  <c r="D5"/>
  <c r="D7" s="1"/>
  <c r="G7" s="1"/>
  <c r="E28"/>
  <c r="E25"/>
  <c r="E24"/>
  <c r="E22"/>
  <c r="E20"/>
  <c r="E19"/>
  <c r="E14"/>
  <c r="E13"/>
  <c r="E12"/>
  <c r="E10"/>
  <c r="E6"/>
  <c r="E5"/>
  <c r="E7" s="1"/>
  <c r="F39"/>
  <c r="D39"/>
  <c r="F38"/>
  <c r="F44" s="1"/>
  <c r="D38"/>
  <c r="D44" s="1"/>
  <c r="F37"/>
  <c r="D37"/>
  <c r="C19"/>
  <c r="C20"/>
  <c r="C21"/>
  <c r="C22"/>
  <c r="C23"/>
  <c r="C24"/>
  <c r="C26"/>
  <c r="C27"/>
  <c r="C28"/>
  <c r="C18"/>
  <c r="C14"/>
  <c r="C13"/>
  <c r="C12"/>
  <c r="C15"/>
  <c r="C10"/>
  <c r="D37" i="2"/>
  <c r="C6" i="1"/>
  <c r="C5"/>
  <c r="C7" s="1"/>
  <c r="D15" l="1"/>
  <c r="G15" s="1"/>
  <c r="F29"/>
  <c r="G10"/>
  <c r="C29"/>
  <c r="C46" s="1"/>
  <c r="C48" s="1"/>
  <c r="E15"/>
  <c r="E29"/>
  <c r="E46" s="1"/>
  <c r="E48" s="1"/>
  <c r="D29"/>
  <c r="G5"/>
  <c r="F46"/>
  <c r="F48" s="1"/>
  <c r="F52" s="1"/>
  <c r="D46" l="1"/>
  <c r="D48" s="1"/>
  <c r="G29"/>
  <c r="G46" l="1"/>
  <c r="D52"/>
  <c r="G48"/>
</calcChain>
</file>

<file path=xl/sharedStrings.xml><?xml version="1.0" encoding="utf-8"?>
<sst xmlns="http://schemas.openxmlformats.org/spreadsheetml/2006/main" count="195" uniqueCount="111">
  <si>
    <t>Appendix A: 2-Year Washington Savings Goals and Budgets</t>
  </si>
  <si>
    <t>Low Income Programs</t>
  </si>
  <si>
    <t>Programs</t>
  </si>
  <si>
    <t xml:space="preserve">     LI W/O Conversions</t>
  </si>
  <si>
    <t xml:space="preserve">     Conversions</t>
  </si>
  <si>
    <t xml:space="preserve">     LI Total</t>
  </si>
  <si>
    <t>MWh Savings</t>
  </si>
  <si>
    <t>Estimated Electric Budget</t>
  </si>
  <si>
    <t>Therm Savings</t>
  </si>
  <si>
    <t>Estimated Gas Budget</t>
  </si>
  <si>
    <t>Total Tariff Budget</t>
  </si>
  <si>
    <t xml:space="preserve">     Web Tstat</t>
  </si>
  <si>
    <t xml:space="preserve">     Simple Steps</t>
  </si>
  <si>
    <t xml:space="preserve">Residential Programs </t>
  </si>
  <si>
    <t xml:space="preserve">     Prescriptive Rebates W/O conversions</t>
  </si>
  <si>
    <t xml:space="preserve">     Prescriptive Rebates Conv only</t>
  </si>
  <si>
    <t>Residential Total</t>
  </si>
  <si>
    <t>Non-Residential Programs</t>
  </si>
  <si>
    <t xml:space="preserve">     Exterior Prescriptive Lighting</t>
  </si>
  <si>
    <t>Program:</t>
  </si>
  <si>
    <t>kWh</t>
  </si>
  <si>
    <t>therms</t>
  </si>
  <si>
    <t>CIC</t>
  </si>
  <si>
    <t>$CIC Elec</t>
  </si>
  <si>
    <t>$CIC Gas</t>
  </si>
  <si>
    <t>Electric AC PV</t>
  </si>
  <si>
    <t>NG AC PV</t>
  </si>
  <si>
    <t>NEBs</t>
  </si>
  <si>
    <t>Electric Incentive$</t>
  </si>
  <si>
    <t>Gas Incentive $</t>
  </si>
  <si>
    <t>Electric Savings $</t>
  </si>
  <si>
    <t>Gas Savings $</t>
  </si>
  <si>
    <t>3rd Party Costs $</t>
  </si>
  <si>
    <t>NIUC $</t>
  </si>
  <si>
    <t>TRC</t>
  </si>
  <si>
    <t xml:space="preserve">UCT </t>
  </si>
  <si>
    <t>PCT</t>
  </si>
  <si>
    <t>RIM</t>
  </si>
  <si>
    <t>WA LI</t>
  </si>
  <si>
    <t>NA</t>
  </si>
  <si>
    <t>Legacy Opower</t>
  </si>
  <si>
    <t>Web Tstat</t>
  </si>
  <si>
    <t>Prescriptive Res</t>
  </si>
  <si>
    <t>SSSS</t>
  </si>
  <si>
    <t>Residential</t>
  </si>
  <si>
    <t>Exterior Lighting</t>
  </si>
  <si>
    <t>NonRes HVAC</t>
  </si>
  <si>
    <t>NonRes Shell</t>
  </si>
  <si>
    <t>Energy Smart</t>
  </si>
  <si>
    <t>Food Service Equipment</t>
  </si>
  <si>
    <t>Green Motors</t>
  </si>
  <si>
    <t>Interior Lighting</t>
  </si>
  <si>
    <t>Site Specific</t>
  </si>
  <si>
    <t>VFD</t>
  </si>
  <si>
    <t>Air Guardian</t>
  </si>
  <si>
    <t>SMB</t>
  </si>
  <si>
    <t>Non-Residential</t>
  </si>
  <si>
    <t>WA E/G TOTAL</t>
  </si>
  <si>
    <t>WA E/G TOTAL W/LI</t>
  </si>
  <si>
    <t>Res Conversions</t>
  </si>
  <si>
    <t>LI Conversions</t>
  </si>
  <si>
    <t>NEEA</t>
  </si>
  <si>
    <t>WA TOTAL Budget:</t>
  </si>
  <si>
    <t>Electric</t>
  </si>
  <si>
    <t>Gas</t>
  </si>
  <si>
    <t>Incentives</t>
  </si>
  <si>
    <t>3rd Party</t>
  </si>
  <si>
    <t>NIUC</t>
  </si>
  <si>
    <t>Est EM&amp;V</t>
  </si>
  <si>
    <t>Embedded in CE</t>
  </si>
  <si>
    <t>2015 Budget</t>
  </si>
  <si>
    <t xml:space="preserve">     Prescriptive Small NG HVAC</t>
  </si>
  <si>
    <t xml:space="preserve">     Prescriptive Shell</t>
  </si>
  <si>
    <t xml:space="preserve">     Energy Smart Grocery</t>
  </si>
  <si>
    <t xml:space="preserve">     Prescriptive Food Service Equipment</t>
  </si>
  <si>
    <t xml:space="preserve">     Green Motors</t>
  </si>
  <si>
    <t>C/I</t>
  </si>
  <si>
    <t>WA ELEC TOTAL</t>
  </si>
  <si>
    <t>WA ELEC TOTAL W/LI</t>
  </si>
  <si>
    <t>Res Converersions</t>
  </si>
  <si>
    <t>WA ELEC Everything</t>
  </si>
  <si>
    <t>Regular Income Portfolio</t>
  </si>
  <si>
    <t>Low Income Portfolio</t>
  </si>
  <si>
    <t>WA NG TOTAL</t>
  </si>
  <si>
    <t>WA NG TOTAL W/LI</t>
  </si>
  <si>
    <t xml:space="preserve">     Interior Lighting</t>
  </si>
  <si>
    <t xml:space="preserve">     Site Specific</t>
  </si>
  <si>
    <t xml:space="preserve">     Prescriptive Motor Control</t>
  </si>
  <si>
    <t xml:space="preserve">     Air Guardian</t>
  </si>
  <si>
    <t xml:space="preserve">     Small Business Program</t>
  </si>
  <si>
    <t>Non-Residential Total</t>
  </si>
  <si>
    <t>Business Plan Totals</t>
  </si>
  <si>
    <t>Regional Efficiency Programs</t>
  </si>
  <si>
    <t xml:space="preserve">     NEEA Electric (WA Portion)</t>
  </si>
  <si>
    <t xml:space="preserve">     NEEA Gas (WA Portion)</t>
  </si>
  <si>
    <t>Regional Total</t>
  </si>
  <si>
    <t>Portfolio Support</t>
  </si>
  <si>
    <t xml:space="preserve">     Estimated EM&amp;V</t>
  </si>
  <si>
    <t xml:space="preserve">     Memberships</t>
  </si>
  <si>
    <t xml:space="preserve">     Outreach</t>
  </si>
  <si>
    <t xml:space="preserve">     Training/Travel</t>
  </si>
  <si>
    <t xml:space="preserve">     Regulatory</t>
  </si>
  <si>
    <t xml:space="preserve">     CPA Development</t>
  </si>
  <si>
    <t xml:space="preserve">     Labor</t>
  </si>
  <si>
    <t>Portfolio Support Total</t>
  </si>
  <si>
    <t>Totals included in cost effectiveness</t>
  </si>
  <si>
    <t>Portfolio Totals</t>
  </si>
  <si>
    <t>I-937 MWh Only Savings</t>
  </si>
  <si>
    <t>Estimated EM&amp;V Percentages</t>
  </si>
  <si>
    <t>Supplemental Budget Items</t>
  </si>
  <si>
    <t xml:space="preserve">     Opower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</si>
</sst>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0" borderId="0" xfId="0"/>
    <xf numFmtId="0" fontId="0" fillId="0" borderId="4" xfId="0" applyBorder="1"/>
    <xf numFmtId="43" fontId="0" fillId="0" borderId="0" xfId="1" applyFont="1"/>
    <xf numFmtId="43" fontId="0" fillId="0" borderId="4" xfId="1" applyFont="1" applyBorder="1"/>
    <xf numFmtId="164" fontId="0" fillId="0" borderId="0" xfId="2" applyNumberFormat="1" applyFont="1"/>
    <xf numFmtId="164" fontId="0" fillId="0" borderId="4" xfId="2" applyNumberFormat="1" applyFont="1" applyBorder="1"/>
    <xf numFmtId="0" fontId="0" fillId="0" borderId="0" xfId="0" applyAlignment="1">
      <alignment wrapText="1"/>
    </xf>
    <xf numFmtId="165" fontId="0" fillId="0" borderId="0" xfId="1" applyNumberFormat="1" applyFont="1"/>
    <xf numFmtId="164" fontId="0" fillId="0" borderId="0" xfId="0" applyNumberFormat="1"/>
    <xf numFmtId="43" fontId="0" fillId="0" borderId="0" xfId="1" applyNumberFormat="1" applyFont="1"/>
    <xf numFmtId="0" fontId="0" fillId="0" borderId="0" xfId="0" applyFill="1"/>
    <xf numFmtId="165" fontId="0" fillId="0" borderId="4" xfId="1" applyNumberFormat="1" applyFont="1" applyBorder="1"/>
    <xf numFmtId="0" fontId="0" fillId="0" borderId="0" xfId="0" applyFill="1" applyBorder="1"/>
    <xf numFmtId="43" fontId="0" fillId="0" borderId="0" xfId="1" applyFont="1" applyAlignment="1">
      <alignment horizontal="right"/>
    </xf>
    <xf numFmtId="43" fontId="0" fillId="0" borderId="0" xfId="1" applyFont="1" applyBorder="1"/>
    <xf numFmtId="43" fontId="0" fillId="0" borderId="0" xfId="1" applyFont="1" applyFill="1"/>
    <xf numFmtId="43" fontId="0" fillId="0" borderId="4" xfId="1" applyFont="1" applyBorder="1" applyAlignment="1">
      <alignment horizontal="right"/>
    </xf>
    <xf numFmtId="165" fontId="0" fillId="0" borderId="0" xfId="0" applyNumberFormat="1" applyFill="1"/>
    <xf numFmtId="43" fontId="0" fillId="0" borderId="4" xfId="1" applyNumberFormat="1" applyFont="1" applyBorder="1"/>
    <xf numFmtId="43" fontId="0" fillId="0" borderId="0" xfId="1" applyNumberFormat="1" applyFont="1" applyBorder="1"/>
    <xf numFmtId="43" fontId="0" fillId="0" borderId="0" xfId="1" applyFont="1" applyBorder="1" applyAlignment="1">
      <alignment horizontal="right"/>
    </xf>
    <xf numFmtId="0" fontId="0" fillId="0" borderId="4" xfId="0" applyFill="1" applyBorder="1"/>
    <xf numFmtId="165" fontId="0" fillId="0" borderId="4" xfId="0" applyNumberFormat="1" applyBorder="1"/>
    <xf numFmtId="164" fontId="0" fillId="0" borderId="4" xfId="0" applyNumberFormat="1" applyBorder="1"/>
    <xf numFmtId="164" fontId="0" fillId="0" borderId="0" xfId="2" applyNumberFormat="1" applyFont="1" applyBorder="1"/>
    <xf numFmtId="165" fontId="0" fillId="0" borderId="0" xfId="1" applyNumberFormat="1" applyFont="1" applyBorder="1"/>
    <xf numFmtId="164" fontId="0" fillId="0" borderId="0" xfId="2" applyNumberFormat="1" applyFont="1" applyFill="1"/>
    <xf numFmtId="164" fontId="0" fillId="0" borderId="4" xfId="2" applyNumberFormat="1" applyFont="1" applyFill="1" applyBorder="1"/>
    <xf numFmtId="165" fontId="0" fillId="0" borderId="0" xfId="1" applyNumberFormat="1" applyFont="1" applyFill="1"/>
    <xf numFmtId="0" fontId="0" fillId="0" borderId="0" xfId="0" applyFill="1" applyAlignment="1">
      <alignment wrapText="1"/>
    </xf>
    <xf numFmtId="164" fontId="0" fillId="0" borderId="0" xfId="2" applyNumberFormat="1" applyFont="1" applyFill="1" applyBorder="1"/>
    <xf numFmtId="165" fontId="0" fillId="2" borderId="1" xfId="1" applyNumberFormat="1" applyFont="1" applyFill="1" applyBorder="1"/>
    <xf numFmtId="165" fontId="0" fillId="2" borderId="2" xfId="1" applyNumberFormat="1" applyFont="1" applyFill="1" applyBorder="1"/>
    <xf numFmtId="165" fontId="0" fillId="0" borderId="0" xfId="0" applyNumberFormat="1" applyBorder="1"/>
    <xf numFmtId="0" fontId="0" fillId="0" borderId="0" xfId="0"/>
    <xf numFmtId="0" fontId="0" fillId="0" borderId="4" xfId="0" applyBorder="1"/>
    <xf numFmtId="43" fontId="0" fillId="0" borderId="0" xfId="1" applyFont="1"/>
    <xf numFmtId="43" fontId="0" fillId="0" borderId="4" xfId="1" applyFont="1" applyBorder="1"/>
    <xf numFmtId="164" fontId="0" fillId="0" borderId="0" xfId="2" applyNumberFormat="1" applyFont="1"/>
    <xf numFmtId="164" fontId="0" fillId="0" borderId="4" xfId="2" applyNumberFormat="1" applyFont="1" applyBorder="1"/>
    <xf numFmtId="0" fontId="0" fillId="0" borderId="0" xfId="0" applyAlignment="1">
      <alignment wrapText="1"/>
    </xf>
    <xf numFmtId="165" fontId="0" fillId="0" borderId="0" xfId="1" applyNumberFormat="1" applyFont="1"/>
    <xf numFmtId="0" fontId="0" fillId="0" borderId="0" xfId="0" applyFill="1"/>
    <xf numFmtId="165" fontId="0" fillId="0" borderId="4" xfId="1" applyNumberFormat="1" applyFont="1" applyBorder="1"/>
    <xf numFmtId="0" fontId="0" fillId="0" borderId="0" xfId="0" applyFill="1" applyBorder="1"/>
    <xf numFmtId="43" fontId="0" fillId="0" borderId="0" xfId="1" applyFont="1" applyAlignment="1">
      <alignment horizontal="right" vertical="center"/>
    </xf>
    <xf numFmtId="43" fontId="0" fillId="0" borderId="0" xfId="1" applyFont="1" applyBorder="1"/>
    <xf numFmtId="43" fontId="0" fillId="0" borderId="0" xfId="1" applyFont="1" applyFill="1"/>
    <xf numFmtId="165" fontId="0" fillId="0" borderId="0" xfId="0" applyNumberFormat="1" applyFill="1"/>
    <xf numFmtId="0" fontId="0" fillId="0" borderId="4" xfId="0" applyFill="1" applyBorder="1"/>
    <xf numFmtId="165" fontId="0" fillId="0" borderId="0" xfId="0" applyNumberFormat="1"/>
    <xf numFmtId="165" fontId="0" fillId="0" borderId="4" xfId="0" applyNumberFormat="1" applyBorder="1"/>
    <xf numFmtId="43" fontId="0" fillId="0" borderId="4" xfId="1" applyFont="1" applyFill="1" applyBorder="1"/>
    <xf numFmtId="0" fontId="0" fillId="0" borderId="0" xfId="0"/>
    <xf numFmtId="43" fontId="0" fillId="0" borderId="0" xfId="1" applyFont="1"/>
    <xf numFmtId="43" fontId="0" fillId="0" borderId="4" xfId="1" applyFont="1" applyBorder="1"/>
    <xf numFmtId="164" fontId="0" fillId="0" borderId="0" xfId="2" applyNumberFormat="1" applyFont="1"/>
    <xf numFmtId="164" fontId="0" fillId="0" borderId="4" xfId="2" applyNumberFormat="1" applyFont="1" applyBorder="1"/>
    <xf numFmtId="0" fontId="0" fillId="0" borderId="0" xfId="0" applyAlignment="1">
      <alignment wrapText="1"/>
    </xf>
    <xf numFmtId="165" fontId="0" fillId="0" borderId="0" xfId="1" applyNumberFormat="1" applyFont="1"/>
    <xf numFmtId="0" fontId="0" fillId="0" borderId="0" xfId="0" applyFill="1"/>
    <xf numFmtId="165" fontId="0" fillId="0" borderId="4" xfId="1" applyNumberFormat="1" applyFont="1" applyBorder="1"/>
    <xf numFmtId="0" fontId="0" fillId="0" borderId="0" xfId="0" applyFill="1" applyBorder="1"/>
    <xf numFmtId="43" fontId="0" fillId="0" borderId="0" xfId="1" applyFont="1" applyBorder="1"/>
    <xf numFmtId="43" fontId="0" fillId="0" borderId="0" xfId="1" applyNumberFormat="1" applyFont="1" applyBorder="1"/>
    <xf numFmtId="43" fontId="0" fillId="0" borderId="0" xfId="1" applyFont="1" applyBorder="1" applyAlignment="1">
      <alignment horizontal="right"/>
    </xf>
    <xf numFmtId="0" fontId="0" fillId="0" borderId="4" xfId="0" applyFill="1" applyBorder="1"/>
    <xf numFmtId="164" fontId="0" fillId="0" borderId="0" xfId="2" applyNumberFormat="1" applyFont="1" applyBorder="1"/>
    <xf numFmtId="0" fontId="0" fillId="0" borderId="0" xfId="0" applyBorder="1"/>
    <xf numFmtId="164" fontId="0" fillId="0" borderId="0" xfId="2" applyNumberFormat="1" applyFont="1" applyFill="1" applyBorder="1"/>
    <xf numFmtId="164" fontId="0" fillId="2" borderId="1" xfId="0" applyNumberFormat="1" applyFill="1" applyBorder="1"/>
    <xf numFmtId="6" fontId="0" fillId="2" borderId="1" xfId="0" applyNumberFormat="1" applyFill="1" applyBorder="1"/>
    <xf numFmtId="6" fontId="0" fillId="2" borderId="2" xfId="0" applyNumberFormat="1" applyFill="1" applyBorder="1"/>
    <xf numFmtId="0" fontId="0" fillId="2" borderId="5" xfId="0" applyFill="1" applyBorder="1"/>
    <xf numFmtId="6" fontId="0" fillId="2" borderId="5" xfId="0" applyNumberFormat="1" applyFill="1" applyBorder="1"/>
    <xf numFmtId="6" fontId="0" fillId="2" borderId="3" xfId="0" applyNumberFormat="1" applyFill="1" applyBorder="1"/>
    <xf numFmtId="0" fontId="0" fillId="3" borderId="1" xfId="0" applyFill="1" applyBorder="1"/>
    <xf numFmtId="165" fontId="0" fillId="3" borderId="1" xfId="1" applyNumberFormat="1" applyFont="1" applyFill="1" applyBorder="1"/>
    <xf numFmtId="164" fontId="0" fillId="3" borderId="1" xfId="0" applyNumberFormat="1" applyFill="1" applyBorder="1"/>
    <xf numFmtId="165" fontId="0" fillId="4" borderId="1" xfId="1" applyNumberFormat="1" applyFont="1" applyFill="1" applyBorder="1"/>
    <xf numFmtId="165" fontId="0" fillId="4" borderId="2" xfId="1" applyNumberFormat="1" applyFont="1" applyFill="1" applyBorder="1"/>
    <xf numFmtId="0" fontId="0" fillId="6" borderId="3" xfId="0" applyFill="1" applyBorder="1"/>
    <xf numFmtId="165" fontId="0" fillId="6" borderId="3" xfId="1" applyNumberFormat="1" applyFont="1" applyFill="1" applyBorder="1"/>
    <xf numFmtId="6" fontId="0" fillId="6" borderId="3" xfId="0" applyNumberFormat="1" applyFill="1" applyBorder="1"/>
    <xf numFmtId="165" fontId="0" fillId="6" borderId="3" xfId="0" applyNumberFormat="1" applyFill="1" applyBorder="1"/>
    <xf numFmtId="0" fontId="0" fillId="5" borderId="1" xfId="0" applyFill="1" applyBorder="1"/>
    <xf numFmtId="165" fontId="0" fillId="4" borderId="1" xfId="0" applyNumberFormat="1" applyFill="1" applyBorder="1"/>
    <xf numFmtId="10" fontId="0" fillId="2" borderId="1" xfId="0" applyNumberFormat="1" applyFill="1" applyBorder="1"/>
    <xf numFmtId="10" fontId="0" fillId="5" borderId="1" xfId="3" applyNumberFormat="1" applyFont="1" applyFill="1" applyBorder="1"/>
    <xf numFmtId="6" fontId="0" fillId="3" borderId="1" xfId="0" applyNumberFormat="1" applyFill="1" applyBorder="1"/>
    <xf numFmtId="6" fontId="0" fillId="0" borderId="2" xfId="0" applyNumberFormat="1" applyFill="1" applyBorder="1"/>
    <xf numFmtId="0" fontId="0" fillId="2" borderId="6" xfId="0" applyFill="1" applyBorder="1"/>
    <xf numFmtId="6" fontId="0" fillId="7" borderId="2" xfId="0" applyNumberFormat="1" applyFill="1" applyBorder="1"/>
    <xf numFmtId="6" fontId="0" fillId="7" borderId="1" xfId="0" applyNumberFormat="1" applyFill="1" applyBorder="1"/>
    <xf numFmtId="0" fontId="5" fillId="7" borderId="7" xfId="0" applyFont="1" applyFill="1" applyBorder="1"/>
  </cellXfs>
  <cellStyles count="19">
    <cellStyle name="Comma" xfId="1" builtinId="3"/>
    <cellStyle name="Comma 2" xfId="5"/>
    <cellStyle name="Comma 2 2" xfId="14"/>
    <cellStyle name="Comma 2 3" xfId="17"/>
    <cellStyle name="Comma 3" xfId="12"/>
    <cellStyle name="Currency" xfId="2" builtinId="4"/>
    <cellStyle name="Currency 2" xfId="7"/>
    <cellStyle name="Currency 2 2" xfId="15"/>
    <cellStyle name="Currency 2 2 2" xfId="8"/>
    <cellStyle name="Currency 3" xfId="9"/>
    <cellStyle name="Currency 5" xfId="10"/>
    <cellStyle name="Normal" xfId="0" builtinId="0"/>
    <cellStyle name="Normal 13" xfId="11"/>
    <cellStyle name="Normal 2" xfId="4"/>
    <cellStyle name="Percent" xfId="3" builtinId="5"/>
    <cellStyle name="Percent 2" xfId="6"/>
    <cellStyle name="Percent 2 2" xfId="16"/>
    <cellStyle name="Percent 2 3" xfId="18"/>
    <cellStyle name="Percent 3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tabSelected="1" workbookViewId="0">
      <selection activeCell="J54" sqref="J54"/>
    </sheetView>
  </sheetViews>
  <sheetFormatPr defaultRowHeight="15"/>
  <cols>
    <col min="1" max="1" width="9.140625" style="1"/>
    <col min="2" max="2" width="36.5703125" style="1" customWidth="1"/>
    <col min="3" max="3" width="15.7109375" style="1" customWidth="1"/>
    <col min="4" max="4" width="26.85546875" style="1" customWidth="1"/>
    <col min="5" max="5" width="17.42578125" style="1" customWidth="1"/>
    <col min="6" max="6" width="24" style="1" customWidth="1"/>
    <col min="7" max="7" width="19.140625" style="1" customWidth="1"/>
    <col min="8" max="16384" width="9.140625" style="1"/>
  </cols>
  <sheetData>
    <row r="1" spans="1:7" ht="18.75">
      <c r="A1" s="2" t="s">
        <v>0</v>
      </c>
    </row>
    <row r="3" spans="1:7">
      <c r="B3" s="81" t="s">
        <v>2</v>
      </c>
      <c r="C3" s="81" t="s">
        <v>6</v>
      </c>
      <c r="D3" s="81" t="s">
        <v>7</v>
      </c>
      <c r="E3" s="81" t="s">
        <v>8</v>
      </c>
      <c r="F3" s="81" t="s">
        <v>9</v>
      </c>
      <c r="G3" s="81" t="s">
        <v>10</v>
      </c>
    </row>
    <row r="4" spans="1:7">
      <c r="B4" s="3" t="s">
        <v>1</v>
      </c>
      <c r="C4" s="36"/>
      <c r="D4" s="3"/>
      <c r="E4" s="3"/>
      <c r="F4" s="3"/>
      <c r="G4" s="3"/>
    </row>
    <row r="5" spans="1:7">
      <c r="B5" s="3" t="s">
        <v>3</v>
      </c>
      <c r="C5" s="84">
        <f>('WA EG'!B2/1000)*2</f>
        <v>1037.346</v>
      </c>
      <c r="D5" s="76">
        <f>('WA EG'!J2+'WA ELEC'!N2)*2</f>
        <v>1883006</v>
      </c>
      <c r="E5" s="36">
        <f>'WA EG'!C2*2</f>
        <v>46024</v>
      </c>
      <c r="F5" s="76">
        <f>('WA EG'!K2+'WA NG'!N2)*2</f>
        <v>611370</v>
      </c>
      <c r="G5" s="76">
        <f>D5+F5</f>
        <v>2494376</v>
      </c>
    </row>
    <row r="6" spans="1:7" ht="15.75" thickBot="1">
      <c r="B6" s="4" t="s">
        <v>4</v>
      </c>
      <c r="C6" s="37">
        <f>'WA EG'!B29/500</f>
        <v>1324.556</v>
      </c>
      <c r="D6" s="77">
        <f>('WA ELEC'!J29+'WA ELEC'!N29)*2</f>
        <v>1552212</v>
      </c>
      <c r="E6" s="37">
        <f>'WA EG'!C29*2</f>
        <v>-42780</v>
      </c>
      <c r="F6" s="4">
        <v>0</v>
      </c>
      <c r="G6" s="77">
        <f t="shared" ref="G6:G48" si="0">D6+F6</f>
        <v>1552212</v>
      </c>
    </row>
    <row r="7" spans="1:7" ht="15.75" thickTop="1">
      <c r="B7" s="86" t="s">
        <v>5</v>
      </c>
      <c r="C7" s="87">
        <f>C5+C6</f>
        <v>2361.902</v>
      </c>
      <c r="D7" s="88">
        <f>D5+D6</f>
        <v>3435218</v>
      </c>
      <c r="E7" s="87">
        <f>E5+E6</f>
        <v>3244</v>
      </c>
      <c r="F7" s="88">
        <f>F5</f>
        <v>611370</v>
      </c>
      <c r="G7" s="88">
        <f t="shared" si="0"/>
        <v>4046588</v>
      </c>
    </row>
    <row r="8" spans="1:7">
      <c r="B8" s="3"/>
      <c r="C8" s="36"/>
      <c r="D8" s="3"/>
      <c r="E8" s="36"/>
      <c r="F8" s="3"/>
      <c r="G8" s="76"/>
    </row>
    <row r="9" spans="1:7">
      <c r="B9" s="81" t="s">
        <v>13</v>
      </c>
      <c r="C9" s="82"/>
      <c r="D9" s="81"/>
      <c r="E9" s="82"/>
      <c r="F9" s="81"/>
      <c r="G9" s="94"/>
    </row>
    <row r="10" spans="1:7">
      <c r="B10" s="3" t="s">
        <v>11</v>
      </c>
      <c r="C10" s="84">
        <f>'WA EG'!B5/500</f>
        <v>17.760000000000002</v>
      </c>
      <c r="D10" s="80">
        <f>('WA EG'!G4*2)</f>
        <v>2412240</v>
      </c>
      <c r="E10" s="36">
        <f>'WA EG'!C5*2</f>
        <v>10774</v>
      </c>
      <c r="F10" s="80">
        <f>('WA EG'!K5)*2</f>
        <v>31080</v>
      </c>
      <c r="G10" s="76">
        <f t="shared" si="0"/>
        <v>2443320</v>
      </c>
    </row>
    <row r="11" spans="1:7">
      <c r="B11" s="3" t="s">
        <v>110</v>
      </c>
      <c r="C11" s="84">
        <v>13110</v>
      </c>
      <c r="D11" s="80">
        <v>812750</v>
      </c>
      <c r="E11" s="36">
        <v>0</v>
      </c>
      <c r="F11" s="80">
        <v>0</v>
      </c>
      <c r="G11" s="76">
        <v>812750</v>
      </c>
    </row>
    <row r="12" spans="1:7">
      <c r="B12" s="3" t="s">
        <v>14</v>
      </c>
      <c r="C12" s="84">
        <f>'WA EG'!B6/500</f>
        <v>4632.5219999999999</v>
      </c>
      <c r="D12" s="80">
        <f>'WA EG'!J6*2</f>
        <v>575150</v>
      </c>
      <c r="E12" s="36">
        <f>'WA EG'!C6*2</f>
        <v>505362</v>
      </c>
      <c r="F12" s="80">
        <f>'WA EG'!K6*2</f>
        <v>1536070</v>
      </c>
      <c r="G12" s="76">
        <f t="shared" si="0"/>
        <v>2111220</v>
      </c>
    </row>
    <row r="13" spans="1:7">
      <c r="B13" s="3" t="s">
        <v>15</v>
      </c>
      <c r="C13" s="36">
        <f>'WA EG'!B27/500</f>
        <v>13214.802</v>
      </c>
      <c r="D13" s="80">
        <f>'WA EG'!J27*2</f>
        <v>2550040</v>
      </c>
      <c r="E13" s="36">
        <f>'WA EG'!C27*2</f>
        <v>-576992</v>
      </c>
      <c r="F13" s="80">
        <v>0</v>
      </c>
      <c r="G13" s="76">
        <f t="shared" si="0"/>
        <v>2550040</v>
      </c>
    </row>
    <row r="14" spans="1:7" ht="15.75" thickBot="1">
      <c r="B14" s="4" t="s">
        <v>12</v>
      </c>
      <c r="C14" s="85">
        <f>'WA EG'!B7/500</f>
        <v>17685.164000000001</v>
      </c>
      <c r="D14" s="77">
        <f>('WA EG'!J7+'WA ELEC'!N7)*2</f>
        <v>1409526</v>
      </c>
      <c r="E14" s="37">
        <f>'WA EG'!C7*2</f>
        <v>22548</v>
      </c>
      <c r="F14" s="77">
        <f>('WA EG'!K7)*2</f>
        <v>38668</v>
      </c>
      <c r="G14" s="77">
        <f t="shared" si="0"/>
        <v>1448194</v>
      </c>
    </row>
    <row r="15" spans="1:7" ht="15.75" thickTop="1">
      <c r="B15" s="86" t="s">
        <v>16</v>
      </c>
      <c r="C15" s="87">
        <f>SUM(C10:C14)</f>
        <v>48660.248</v>
      </c>
      <c r="D15" s="88">
        <f>SUM(D10:D14)</f>
        <v>7759706</v>
      </c>
      <c r="E15" s="87">
        <f>SUM(E10:E14)</f>
        <v>-38308</v>
      </c>
      <c r="F15" s="88">
        <f>SUM(F10:F14)</f>
        <v>1605818</v>
      </c>
      <c r="G15" s="88">
        <f t="shared" si="0"/>
        <v>9365524</v>
      </c>
    </row>
    <row r="16" spans="1:7">
      <c r="B16" s="3"/>
      <c r="C16" s="36"/>
      <c r="D16" s="3"/>
      <c r="E16" s="3"/>
      <c r="F16" s="3"/>
      <c r="G16" s="76"/>
    </row>
    <row r="17" spans="2:7">
      <c r="B17" s="81" t="s">
        <v>17</v>
      </c>
      <c r="C17" s="82"/>
      <c r="D17" s="81"/>
      <c r="E17" s="81"/>
      <c r="F17" s="81"/>
      <c r="G17" s="94"/>
    </row>
    <row r="18" spans="2:7">
      <c r="B18" s="3" t="s">
        <v>18</v>
      </c>
      <c r="C18" s="84">
        <f>'WA EG'!B10/500</f>
        <v>7791.9279999999999</v>
      </c>
      <c r="D18" s="76">
        <f>'WA EG'!J10*2</f>
        <v>1630960</v>
      </c>
      <c r="E18" s="36">
        <v>0</v>
      </c>
      <c r="F18" s="76">
        <v>0</v>
      </c>
      <c r="G18" s="76">
        <f t="shared" si="0"/>
        <v>1630960</v>
      </c>
    </row>
    <row r="19" spans="2:7">
      <c r="B19" s="3" t="s">
        <v>71</v>
      </c>
      <c r="C19" s="84">
        <f>'WA EG'!B11/500</f>
        <v>0</v>
      </c>
      <c r="D19" s="76">
        <v>0</v>
      </c>
      <c r="E19" s="36">
        <f>'WA EG'!C11*2</f>
        <v>58314</v>
      </c>
      <c r="F19" s="76">
        <f>'WA EG'!K11*2</f>
        <v>77030</v>
      </c>
      <c r="G19" s="76">
        <f t="shared" si="0"/>
        <v>77030</v>
      </c>
    </row>
    <row r="20" spans="2:7">
      <c r="B20" s="3" t="s">
        <v>72</v>
      </c>
      <c r="C20" s="84">
        <f>'WA EG'!B12/500</f>
        <v>63.707999999999998</v>
      </c>
      <c r="D20" s="76">
        <f>'WA EG'!J12*2</f>
        <v>9452</v>
      </c>
      <c r="E20" s="36">
        <f>'WA EG'!C12*2</f>
        <v>12102</v>
      </c>
      <c r="F20" s="76">
        <f>'WA EG'!K12*2</f>
        <v>43270</v>
      </c>
      <c r="G20" s="76">
        <f t="shared" si="0"/>
        <v>52722</v>
      </c>
    </row>
    <row r="21" spans="2:7">
      <c r="B21" s="3" t="s">
        <v>73</v>
      </c>
      <c r="C21" s="84">
        <f>'WA EG'!B13/500</f>
        <v>3744.4360000000001</v>
      </c>
      <c r="D21" s="76">
        <f>('WA EG'!J13+'WA ELEC'!N13)*2</f>
        <v>772826</v>
      </c>
      <c r="E21" s="36">
        <v>0</v>
      </c>
      <c r="F21" s="76">
        <f>0</f>
        <v>0</v>
      </c>
      <c r="G21" s="76">
        <f t="shared" si="0"/>
        <v>772826</v>
      </c>
    </row>
    <row r="22" spans="2:7">
      <c r="B22" s="3" t="s">
        <v>74</v>
      </c>
      <c r="C22" s="84">
        <f>'WA EG'!B14/500</f>
        <v>703.41200000000003</v>
      </c>
      <c r="D22" s="76">
        <f>'WA EG'!J14*2</f>
        <v>29330</v>
      </c>
      <c r="E22" s="36">
        <f>'WA EG'!C14*2</f>
        <v>46976</v>
      </c>
      <c r="F22" s="76">
        <f>'WA EG'!M14*2</f>
        <v>363670</v>
      </c>
      <c r="G22" s="76">
        <f t="shared" si="0"/>
        <v>393000</v>
      </c>
    </row>
    <row r="23" spans="2:7">
      <c r="B23" s="3" t="s">
        <v>75</v>
      </c>
      <c r="C23" s="84">
        <f>'WA EG'!B15/500</f>
        <v>69.876000000000005</v>
      </c>
      <c r="D23" s="76">
        <f>'WA EG'!J15*2</f>
        <v>6556</v>
      </c>
      <c r="E23" s="36">
        <v>0</v>
      </c>
      <c r="F23" s="76">
        <v>0</v>
      </c>
      <c r="G23" s="76">
        <f t="shared" si="0"/>
        <v>6556</v>
      </c>
    </row>
    <row r="24" spans="2:7">
      <c r="B24" s="3" t="s">
        <v>85</v>
      </c>
      <c r="C24" s="84">
        <f>'WA EG'!B16/500</f>
        <v>5923.558</v>
      </c>
      <c r="D24" s="76">
        <f>'WA EG'!J16*2</f>
        <v>1095792</v>
      </c>
      <c r="E24" s="36">
        <f>'WA EG'!C16*2</f>
        <v>-57628</v>
      </c>
      <c r="F24" s="76">
        <v>0</v>
      </c>
      <c r="G24" s="76">
        <f t="shared" si="0"/>
        <v>1095792</v>
      </c>
    </row>
    <row r="25" spans="2:7">
      <c r="B25" s="3" t="s">
        <v>86</v>
      </c>
      <c r="C25" s="84">
        <f>'WA EG'!B17/500</f>
        <v>21278</v>
      </c>
      <c r="D25" s="76">
        <f>'WA EG'!J17*2</f>
        <v>4255600</v>
      </c>
      <c r="E25" s="36">
        <f>'WA EG'!C17*2</f>
        <v>362610</v>
      </c>
      <c r="F25" s="76">
        <f>'WA EG'!K17*2</f>
        <v>1087830</v>
      </c>
      <c r="G25" s="76">
        <f t="shared" si="0"/>
        <v>5343430</v>
      </c>
    </row>
    <row r="26" spans="2:7">
      <c r="B26" s="3" t="s">
        <v>87</v>
      </c>
      <c r="C26" s="84">
        <f>'WA EG'!B18/500</f>
        <v>2863.06</v>
      </c>
      <c r="D26" s="76">
        <f>'WA EG'!J18*2</f>
        <v>288600</v>
      </c>
      <c r="E26" s="36">
        <v>0</v>
      </c>
      <c r="F26" s="76">
        <v>0</v>
      </c>
      <c r="G26" s="76">
        <f t="shared" si="0"/>
        <v>288600</v>
      </c>
    </row>
    <row r="27" spans="2:7">
      <c r="B27" s="3" t="s">
        <v>88</v>
      </c>
      <c r="C27" s="84">
        <f>'WA EG'!B19/500</f>
        <v>600</v>
      </c>
      <c r="D27" s="76">
        <f>('WA EG'!L19+'WA EG'!N19)*2</f>
        <v>294000</v>
      </c>
      <c r="E27" s="36">
        <v>0</v>
      </c>
      <c r="F27" s="76">
        <v>0</v>
      </c>
      <c r="G27" s="76">
        <f t="shared" si="0"/>
        <v>294000</v>
      </c>
    </row>
    <row r="28" spans="2:7" ht="15.75" thickBot="1">
      <c r="B28" s="4" t="s">
        <v>89</v>
      </c>
      <c r="C28" s="85">
        <f>'WA EG'!B20/500</f>
        <v>2793.36</v>
      </c>
      <c r="D28" s="77">
        <f>('WA EG'!J20+'WA ELEC'!N20)*2</f>
        <v>644770</v>
      </c>
      <c r="E28" s="37">
        <f>'WA EG'!C20*2</f>
        <v>70596</v>
      </c>
      <c r="F28" s="77">
        <f>('WA EG'!K20+'WA NG'!N20)*2</f>
        <v>131164</v>
      </c>
      <c r="G28" s="95">
        <f t="shared" si="0"/>
        <v>775934</v>
      </c>
    </row>
    <row r="29" spans="2:7" ht="15.75" thickTop="1">
      <c r="B29" s="86" t="s">
        <v>90</v>
      </c>
      <c r="C29" s="87">
        <f>SUM(C18:C28)</f>
        <v>45831.338000000003</v>
      </c>
      <c r="D29" s="88">
        <f>SUM(D18:D28)</f>
        <v>9027886</v>
      </c>
      <c r="E29" s="89">
        <f>SUM(E18:E28)</f>
        <v>492970</v>
      </c>
      <c r="F29" s="88">
        <f>SUM(F18:F28)</f>
        <v>1702964</v>
      </c>
      <c r="G29" s="88">
        <f t="shared" si="0"/>
        <v>10730850</v>
      </c>
    </row>
    <row r="30" spans="2:7">
      <c r="B30" s="3"/>
      <c r="C30" s="3"/>
      <c r="D30" s="3"/>
      <c r="E30" s="3"/>
      <c r="F30" s="3"/>
      <c r="G30" s="76"/>
    </row>
    <row r="31" spans="2:7">
      <c r="B31" s="81" t="s">
        <v>92</v>
      </c>
      <c r="C31" s="81"/>
      <c r="D31" s="81"/>
      <c r="E31" s="81"/>
      <c r="F31" s="81"/>
      <c r="G31" s="94">
        <f t="shared" si="0"/>
        <v>0</v>
      </c>
    </row>
    <row r="32" spans="2:7">
      <c r="B32" s="3" t="s">
        <v>93</v>
      </c>
      <c r="C32" s="36">
        <v>6219</v>
      </c>
      <c r="D32" s="98">
        <v>2800000</v>
      </c>
      <c r="E32" s="3"/>
      <c r="F32" s="3"/>
      <c r="G32" s="76">
        <f t="shared" si="0"/>
        <v>2800000</v>
      </c>
    </row>
    <row r="33" spans="2:7" ht="15.75" thickBot="1">
      <c r="B33" s="4" t="s">
        <v>94</v>
      </c>
      <c r="C33" s="4"/>
      <c r="D33" s="4"/>
      <c r="E33" s="4"/>
      <c r="F33" s="97">
        <v>791878</v>
      </c>
      <c r="G33" s="77">
        <f t="shared" si="0"/>
        <v>791878</v>
      </c>
    </row>
    <row r="34" spans="2:7" ht="15.75" thickTop="1">
      <c r="B34" s="86" t="s">
        <v>95</v>
      </c>
      <c r="C34" s="89">
        <f>SUM(C32:C33)</f>
        <v>6219</v>
      </c>
      <c r="D34" s="88">
        <f>SUM(D32:D33)</f>
        <v>2800000</v>
      </c>
      <c r="E34" s="89">
        <f>SUM(E32:E33)</f>
        <v>0</v>
      </c>
      <c r="F34" s="88">
        <f>SUM(F32:F33)</f>
        <v>791878</v>
      </c>
      <c r="G34" s="88">
        <f t="shared" si="0"/>
        <v>3591878</v>
      </c>
    </row>
    <row r="35" spans="2:7">
      <c r="B35" s="3"/>
      <c r="C35" s="3"/>
      <c r="D35" s="3"/>
      <c r="E35" s="3"/>
      <c r="F35" s="75"/>
      <c r="G35" s="76"/>
    </row>
    <row r="36" spans="2:7">
      <c r="B36" s="81" t="s">
        <v>96</v>
      </c>
      <c r="C36" s="81"/>
      <c r="D36" s="81"/>
      <c r="E36" s="81"/>
      <c r="F36" s="83"/>
      <c r="G36" s="94">
        <f t="shared" si="0"/>
        <v>0</v>
      </c>
    </row>
    <row r="37" spans="2:7">
      <c r="B37" s="3" t="s">
        <v>97</v>
      </c>
      <c r="C37" s="3"/>
      <c r="D37" s="76">
        <f>791781*2</f>
        <v>1583562</v>
      </c>
      <c r="E37" s="3"/>
      <c r="F37" s="76">
        <f>173870*2</f>
        <v>347740</v>
      </c>
      <c r="G37" s="76">
        <f t="shared" si="0"/>
        <v>1931302</v>
      </c>
    </row>
    <row r="38" spans="2:7">
      <c r="B38" s="3" t="s">
        <v>98</v>
      </c>
      <c r="C38" s="3"/>
      <c r="D38" s="76">
        <f>139822*2</f>
        <v>279644</v>
      </c>
      <c r="E38" s="3"/>
      <c r="F38" s="76">
        <f>1900*2</f>
        <v>3800</v>
      </c>
      <c r="G38" s="76">
        <f t="shared" si="0"/>
        <v>283444</v>
      </c>
    </row>
    <row r="39" spans="2:7">
      <c r="B39" s="3" t="s">
        <v>99</v>
      </c>
      <c r="C39" s="3"/>
      <c r="D39" s="76">
        <f>2*336000</f>
        <v>672000</v>
      </c>
      <c r="E39" s="3"/>
      <c r="F39" s="76">
        <f>2*250000</f>
        <v>500000</v>
      </c>
      <c r="G39" s="76">
        <f t="shared" si="0"/>
        <v>1172000</v>
      </c>
    </row>
    <row r="40" spans="2:7">
      <c r="B40" s="3" t="s">
        <v>100</v>
      </c>
      <c r="C40" s="3"/>
      <c r="D40" s="76">
        <v>84000</v>
      </c>
      <c r="E40" s="3"/>
      <c r="F40" s="76">
        <v>30000</v>
      </c>
      <c r="G40" s="76">
        <f t="shared" si="0"/>
        <v>114000</v>
      </c>
    </row>
    <row r="41" spans="2:7">
      <c r="B41" s="78" t="s">
        <v>101</v>
      </c>
      <c r="C41" s="78"/>
      <c r="D41" s="79">
        <v>28000</v>
      </c>
      <c r="E41" s="78"/>
      <c r="F41" s="76">
        <v>10000</v>
      </c>
      <c r="G41" s="76">
        <f t="shared" si="0"/>
        <v>38000</v>
      </c>
    </row>
    <row r="42" spans="2:7">
      <c r="B42" s="3" t="s">
        <v>102</v>
      </c>
      <c r="C42" s="3"/>
      <c r="D42" s="76">
        <v>157500</v>
      </c>
      <c r="E42" s="3"/>
      <c r="F42" s="76">
        <v>150000</v>
      </c>
      <c r="G42" s="76">
        <f t="shared" si="0"/>
        <v>307500</v>
      </c>
    </row>
    <row r="43" spans="2:7" ht="15.75" thickBot="1">
      <c r="B43" s="4" t="s">
        <v>103</v>
      </c>
      <c r="C43" s="4"/>
      <c r="D43" s="77">
        <v>3267417</v>
      </c>
      <c r="E43" s="4"/>
      <c r="F43" s="77">
        <v>1597902</v>
      </c>
      <c r="G43" s="77">
        <f t="shared" si="0"/>
        <v>4865319</v>
      </c>
    </row>
    <row r="44" spans="2:7" ht="15.75" thickTop="1">
      <c r="B44" s="86" t="s">
        <v>104</v>
      </c>
      <c r="C44" s="86"/>
      <c r="D44" s="88">
        <f>SUM(D37:D43)</f>
        <v>6072123</v>
      </c>
      <c r="E44" s="86"/>
      <c r="F44" s="88">
        <f>SUM(F37:F43)</f>
        <v>2639442</v>
      </c>
      <c r="G44" s="88">
        <f t="shared" si="0"/>
        <v>8711565</v>
      </c>
    </row>
    <row r="45" spans="2:7" ht="15.75" thickBot="1">
      <c r="B45" s="4"/>
      <c r="C45" s="4"/>
      <c r="D45" s="4"/>
      <c r="E45" s="4"/>
      <c r="F45" s="4"/>
      <c r="G45" s="77"/>
    </row>
    <row r="46" spans="2:7" ht="15.75" thickTop="1">
      <c r="B46" s="86" t="s">
        <v>105</v>
      </c>
      <c r="C46" s="89">
        <f>C7+C15+C29</f>
        <v>96853.488000000012</v>
      </c>
      <c r="D46" s="88">
        <f>D7+D15+D29+D44</f>
        <v>26294933</v>
      </c>
      <c r="E46" s="89">
        <f t="shared" ref="E46" si="1">E7+E15+E29+E44</f>
        <v>457906</v>
      </c>
      <c r="F46" s="88">
        <f>F7+F15+F29+F44</f>
        <v>6559594</v>
      </c>
      <c r="G46" s="88">
        <f t="shared" si="0"/>
        <v>32854527</v>
      </c>
    </row>
    <row r="47" spans="2:7" ht="15.75" thickBot="1">
      <c r="B47" s="4"/>
      <c r="C47" s="96"/>
      <c r="D47" s="4"/>
      <c r="E47" s="4"/>
      <c r="F47" s="4"/>
      <c r="G47" s="77"/>
    </row>
    <row r="48" spans="2:7" ht="15.75" thickTop="1">
      <c r="B48" s="86" t="s">
        <v>106</v>
      </c>
      <c r="C48" s="89">
        <f>C46+C34</f>
        <v>103072.48800000001</v>
      </c>
      <c r="D48" s="88">
        <f t="shared" ref="D48:F48" si="2">D46+D34</f>
        <v>29094933</v>
      </c>
      <c r="E48" s="89">
        <f t="shared" si="2"/>
        <v>457906</v>
      </c>
      <c r="F48" s="88">
        <f t="shared" si="2"/>
        <v>7351472</v>
      </c>
      <c r="G48" s="88">
        <f t="shared" si="0"/>
        <v>36446405</v>
      </c>
    </row>
    <row r="49" spans="2:7">
      <c r="B49" s="3"/>
      <c r="C49" s="3"/>
      <c r="D49" s="3"/>
      <c r="E49" s="3"/>
      <c r="F49" s="3"/>
      <c r="G49" s="3"/>
    </row>
    <row r="50" spans="2:7">
      <c r="B50" s="84" t="s">
        <v>107</v>
      </c>
      <c r="C50" s="91">
        <f>SUM(C18:C28)+C14+C12+C10+C5+C11</f>
        <v>82314.13</v>
      </c>
      <c r="D50" s="3"/>
      <c r="E50" s="3"/>
      <c r="F50" s="3"/>
      <c r="G50" s="3"/>
    </row>
    <row r="51" spans="2:7">
      <c r="B51" s="3"/>
      <c r="C51" s="3"/>
      <c r="D51" s="92"/>
      <c r="E51" s="3"/>
      <c r="F51" s="3"/>
      <c r="G51" s="3"/>
    </row>
    <row r="52" spans="2:7">
      <c r="B52" s="90" t="s">
        <v>108</v>
      </c>
      <c r="C52" s="90"/>
      <c r="D52" s="93">
        <f>D37/D48</f>
        <v>5.4427415247871508E-2</v>
      </c>
      <c r="E52" s="90"/>
      <c r="F52" s="93">
        <f>F37/F48</f>
        <v>4.7302091336265714E-2</v>
      </c>
      <c r="G52" s="3"/>
    </row>
    <row r="53" spans="2:7" ht="15.75" thickBot="1"/>
    <row r="54" spans="2:7" ht="15.75" thickBot="1">
      <c r="B54" s="99" t="s">
        <v>109</v>
      </c>
    </row>
  </sheetData>
  <pageMargins left="0.7" right="0.7" top="0.75" bottom="0.75" header="0.3" footer="0.3"/>
  <pageSetup paperSize="17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4"/>
  <sheetViews>
    <sheetView topLeftCell="B1" workbookViewId="0">
      <selection activeCell="B4" sqref="B4:S4"/>
    </sheetView>
  </sheetViews>
  <sheetFormatPr defaultRowHeight="15"/>
  <cols>
    <col min="1" max="1" width="22.85546875" bestFit="1" customWidth="1"/>
    <col min="2" max="2" width="11.5703125" bestFit="1" customWidth="1"/>
    <col min="3" max="3" width="10.140625" bestFit="1" customWidth="1"/>
    <col min="4" max="5" width="12.5703125" bestFit="1" customWidth="1"/>
    <col min="6" max="6" width="11.5703125" bestFit="1" customWidth="1"/>
    <col min="7" max="7" width="13.28515625" bestFit="1" customWidth="1"/>
    <col min="8" max="8" width="15.42578125" bestFit="1" customWidth="1"/>
    <col min="9" max="11" width="11.5703125" bestFit="1" customWidth="1"/>
    <col min="12" max="13" width="12.5703125" bestFit="1" customWidth="1"/>
    <col min="14" max="15" width="11.5703125" bestFit="1" customWidth="1"/>
  </cols>
  <sheetData>
    <row r="1" spans="1:19" ht="30">
      <c r="A1" s="5" t="s">
        <v>19</v>
      </c>
      <c r="B1" s="5" t="s">
        <v>20</v>
      </c>
      <c r="C1" s="5" t="s">
        <v>21</v>
      </c>
      <c r="D1" s="5" t="s">
        <v>22</v>
      </c>
      <c r="E1" s="5" t="s">
        <v>23</v>
      </c>
      <c r="F1" s="5" t="s">
        <v>24</v>
      </c>
      <c r="G1" s="5" t="s">
        <v>25</v>
      </c>
      <c r="H1" s="5" t="s">
        <v>26</v>
      </c>
      <c r="I1" s="5" t="s">
        <v>27</v>
      </c>
      <c r="J1" s="34" t="s">
        <v>28</v>
      </c>
      <c r="K1" s="34" t="s">
        <v>29</v>
      </c>
      <c r="L1" s="11" t="s">
        <v>30</v>
      </c>
      <c r="M1" s="11" t="s">
        <v>31</v>
      </c>
      <c r="N1" s="11" t="s">
        <v>32</v>
      </c>
      <c r="O1" s="11" t="s">
        <v>33</v>
      </c>
      <c r="P1" s="11" t="s">
        <v>34</v>
      </c>
      <c r="Q1" s="11" t="s">
        <v>35</v>
      </c>
      <c r="R1" s="11" t="s">
        <v>36</v>
      </c>
      <c r="S1" s="11" t="s">
        <v>37</v>
      </c>
    </row>
    <row r="2" spans="1:19" ht="15.75" thickBot="1">
      <c r="A2" s="26" t="s">
        <v>38</v>
      </c>
      <c r="B2" s="16">
        <v>518673</v>
      </c>
      <c r="C2" s="16">
        <v>23012</v>
      </c>
      <c r="D2" s="10">
        <v>1640874</v>
      </c>
      <c r="E2" s="10">
        <v>1476787</v>
      </c>
      <c r="F2" s="10">
        <v>164087</v>
      </c>
      <c r="G2" s="10">
        <v>809990</v>
      </c>
      <c r="H2" s="10">
        <v>290197</v>
      </c>
      <c r="I2" s="10">
        <v>563990</v>
      </c>
      <c r="J2" s="32">
        <v>561500</v>
      </c>
      <c r="K2" s="32">
        <v>253339</v>
      </c>
      <c r="L2" s="10">
        <v>1144421</v>
      </c>
      <c r="M2" s="10">
        <v>537023</v>
      </c>
      <c r="N2" s="10">
        <v>422226</v>
      </c>
      <c r="O2" s="10">
        <v>62399</v>
      </c>
      <c r="P2" s="8">
        <v>0.7829582606249168</v>
      </c>
      <c r="Q2" s="8">
        <v>0.76967888298560017</v>
      </c>
      <c r="R2" s="21" t="s">
        <v>39</v>
      </c>
      <c r="S2" s="21">
        <v>0.3358608081832784</v>
      </c>
    </row>
    <row r="3" spans="1:19" ht="15.75" thickTop="1">
      <c r="A3" s="15"/>
      <c r="B3" s="5"/>
      <c r="C3" s="5"/>
      <c r="D3" s="9"/>
      <c r="E3" s="9"/>
      <c r="F3" s="9"/>
      <c r="G3" s="9"/>
      <c r="H3" s="9"/>
      <c r="I3" s="9"/>
      <c r="J3" s="31"/>
      <c r="K3" s="31"/>
      <c r="L3" s="9"/>
      <c r="M3" s="9"/>
      <c r="N3" s="9"/>
      <c r="O3" s="9"/>
      <c r="P3" s="5"/>
      <c r="Q3" s="5"/>
      <c r="R3" s="18"/>
      <c r="S3" s="18"/>
    </row>
    <row r="4" spans="1:19">
      <c r="A4" s="15" t="s">
        <v>40</v>
      </c>
      <c r="B4" s="64">
        <v>13110000</v>
      </c>
      <c r="C4" s="64"/>
      <c r="D4" s="61"/>
      <c r="E4" s="61"/>
      <c r="F4" s="61"/>
      <c r="G4" s="61">
        <v>1206120</v>
      </c>
      <c r="H4" s="61"/>
      <c r="I4" s="61"/>
      <c r="J4" s="61"/>
      <c r="K4" s="61"/>
      <c r="L4" s="61">
        <v>2097600</v>
      </c>
      <c r="M4" s="61"/>
      <c r="N4" s="61">
        <v>812750</v>
      </c>
      <c r="O4" s="61">
        <v>95845</v>
      </c>
      <c r="P4" s="50">
        <f>G4/(N4+O4)</f>
        <v>1.3274561273174517</v>
      </c>
      <c r="Q4" s="50">
        <f>(G4/(N4+O4))/1.1</f>
        <v>1.2067782975613195</v>
      </c>
      <c r="R4" s="50" t="s">
        <v>39</v>
      </c>
      <c r="S4" s="50">
        <f>G4/(L4+N4+O4)/1.1</f>
        <v>0.36473772568736462</v>
      </c>
    </row>
    <row r="5" spans="1:19">
      <c r="A5" s="15" t="s">
        <v>41</v>
      </c>
      <c r="B5" s="12">
        <v>8880</v>
      </c>
      <c r="C5" s="12">
        <v>5387</v>
      </c>
      <c r="D5" s="9">
        <v>76923</v>
      </c>
      <c r="E5" s="9">
        <v>3846</v>
      </c>
      <c r="F5" s="9">
        <v>73077</v>
      </c>
      <c r="G5" s="9">
        <v>8959</v>
      </c>
      <c r="H5" s="9">
        <v>37504</v>
      </c>
      <c r="I5" s="9">
        <v>0</v>
      </c>
      <c r="J5" s="31">
        <v>1110</v>
      </c>
      <c r="K5" s="31">
        <v>15540</v>
      </c>
      <c r="L5" s="9">
        <v>11514</v>
      </c>
      <c r="M5" s="9">
        <v>62340</v>
      </c>
      <c r="N5" s="9">
        <v>0</v>
      </c>
      <c r="O5" s="9">
        <v>6660</v>
      </c>
      <c r="P5" s="14">
        <v>0.55589055190648817</v>
      </c>
      <c r="Q5" s="14">
        <v>1.8120588120588119</v>
      </c>
      <c r="R5" s="18">
        <v>1.2253247722860983</v>
      </c>
      <c r="S5" s="18">
        <v>0.43515427524597589</v>
      </c>
    </row>
    <row r="6" spans="1:19">
      <c r="A6" s="15" t="s">
        <v>42</v>
      </c>
      <c r="B6" s="12">
        <v>2316261</v>
      </c>
      <c r="C6" s="12">
        <v>252681</v>
      </c>
      <c r="D6" s="9">
        <v>4178919</v>
      </c>
      <c r="E6" s="9">
        <v>1253676</v>
      </c>
      <c r="F6" s="9">
        <v>2925243</v>
      </c>
      <c r="G6" s="9">
        <v>3848702</v>
      </c>
      <c r="H6" s="9">
        <v>2910550</v>
      </c>
      <c r="I6" s="9">
        <v>0</v>
      </c>
      <c r="J6" s="31">
        <v>287575</v>
      </c>
      <c r="K6" s="31">
        <v>768035</v>
      </c>
      <c r="L6" s="9">
        <v>5622762</v>
      </c>
      <c r="M6" s="9">
        <v>11522704</v>
      </c>
      <c r="N6" s="9"/>
      <c r="O6" s="9">
        <v>422244</v>
      </c>
      <c r="P6" s="14">
        <v>1.4690311992859197</v>
      </c>
      <c r="Q6" s="14">
        <v>4.1579036531717914</v>
      </c>
      <c r="R6" s="18">
        <v>5.489519608850741</v>
      </c>
      <c r="S6" s="18">
        <v>0.33028049348880867</v>
      </c>
    </row>
    <row r="7" spans="1:19" ht="15.75" thickBot="1">
      <c r="A7" s="26" t="s">
        <v>43</v>
      </c>
      <c r="B7" s="16">
        <v>8842582</v>
      </c>
      <c r="C7" s="16">
        <v>11274</v>
      </c>
      <c r="D7" s="10">
        <v>1343620</v>
      </c>
      <c r="E7" s="10">
        <v>1295236</v>
      </c>
      <c r="F7" s="10">
        <v>48385</v>
      </c>
      <c r="G7" s="10">
        <v>4640903</v>
      </c>
      <c r="H7" s="10">
        <v>55768</v>
      </c>
      <c r="I7" s="10">
        <v>5234154</v>
      </c>
      <c r="J7" s="32">
        <v>433724</v>
      </c>
      <c r="K7" s="32">
        <v>19334</v>
      </c>
      <c r="L7" s="10">
        <v>7140111</v>
      </c>
      <c r="M7" s="10">
        <v>89372</v>
      </c>
      <c r="N7" s="10">
        <v>271039</v>
      </c>
      <c r="O7" s="10">
        <v>86936</v>
      </c>
      <c r="P7" s="23">
        <v>5.8361860489717001</v>
      </c>
      <c r="Q7" s="23">
        <v>5.2645218000881702</v>
      </c>
      <c r="R7" s="21">
        <v>13.995249067442806</v>
      </c>
      <c r="S7" s="21">
        <v>0.53155426965135077</v>
      </c>
    </row>
    <row r="8" spans="1:19" ht="15.75" thickTop="1">
      <c r="A8" s="17" t="s">
        <v>44</v>
      </c>
      <c r="B8" s="12">
        <v>13167723</v>
      </c>
      <c r="C8" s="12">
        <v>269342</v>
      </c>
      <c r="D8" s="12">
        <v>5599462</v>
      </c>
      <c r="E8" s="12">
        <v>2552758</v>
      </c>
      <c r="F8" s="12">
        <v>3046705</v>
      </c>
      <c r="G8" s="12">
        <v>8580644</v>
      </c>
      <c r="H8" s="12">
        <v>3003822</v>
      </c>
      <c r="I8" s="12">
        <v>5234154</v>
      </c>
      <c r="J8" s="33">
        <v>722409</v>
      </c>
      <c r="K8" s="33">
        <v>802909</v>
      </c>
      <c r="L8" s="12">
        <v>12946387</v>
      </c>
      <c r="M8" s="12">
        <v>11674416</v>
      </c>
      <c r="N8" s="12">
        <v>271039</v>
      </c>
      <c r="O8" s="12">
        <v>611685</v>
      </c>
      <c r="P8" s="24">
        <v>2.5945907753958308</v>
      </c>
      <c r="Q8" s="24">
        <v>4.3734007659636864</v>
      </c>
      <c r="R8" s="25">
        <v>7.3279091264324485</v>
      </c>
      <c r="S8" s="25">
        <v>0.3900227353407073</v>
      </c>
    </row>
    <row r="9" spans="1:19">
      <c r="A9" s="15"/>
      <c r="B9" s="12"/>
      <c r="C9" s="12"/>
      <c r="D9" s="9"/>
      <c r="E9" s="9"/>
      <c r="F9" s="9"/>
      <c r="G9" s="9"/>
      <c r="H9" s="9"/>
      <c r="I9" s="9"/>
      <c r="J9" s="31"/>
      <c r="K9" s="31"/>
      <c r="L9" s="9"/>
      <c r="M9" s="9"/>
      <c r="N9" s="9"/>
      <c r="O9" s="9"/>
      <c r="P9" s="14"/>
      <c r="Q9" s="14"/>
      <c r="R9" s="18"/>
      <c r="S9" s="18"/>
    </row>
    <row r="10" spans="1:19">
      <c r="A10" s="15" t="s">
        <v>45</v>
      </c>
      <c r="B10" s="22">
        <v>3895964</v>
      </c>
      <c r="C10" s="12">
        <v>0</v>
      </c>
      <c r="D10" s="9">
        <v>1740031</v>
      </c>
      <c r="E10" s="9">
        <v>1740031</v>
      </c>
      <c r="F10" s="9"/>
      <c r="G10" s="9">
        <v>2971640</v>
      </c>
      <c r="H10" s="9"/>
      <c r="I10" s="9">
        <v>808626</v>
      </c>
      <c r="J10" s="31">
        <v>815480</v>
      </c>
      <c r="K10" s="31"/>
      <c r="L10" s="9">
        <v>5038676</v>
      </c>
      <c r="M10" s="9"/>
      <c r="N10" s="9"/>
      <c r="O10" s="9">
        <v>244644</v>
      </c>
      <c r="P10" s="7">
        <v>1.9047279781324398</v>
      </c>
      <c r="Q10" s="7">
        <v>2.5482782288589907</v>
      </c>
      <c r="R10" s="7">
        <v>6.324477503133954</v>
      </c>
      <c r="S10" s="7">
        <v>0.44339745523709584</v>
      </c>
    </row>
    <row r="11" spans="1:19">
      <c r="A11" s="15" t="s">
        <v>46</v>
      </c>
      <c r="B11" s="12">
        <v>0</v>
      </c>
      <c r="C11" s="12">
        <v>29157</v>
      </c>
      <c r="D11" s="9">
        <v>82939</v>
      </c>
      <c r="E11" s="9">
        <v>0</v>
      </c>
      <c r="F11" s="9">
        <v>82939</v>
      </c>
      <c r="G11" s="9">
        <v>0</v>
      </c>
      <c r="H11" s="9">
        <v>221918</v>
      </c>
      <c r="I11" s="9">
        <v>0</v>
      </c>
      <c r="J11" s="31">
        <v>0</v>
      </c>
      <c r="K11" s="31">
        <v>38515</v>
      </c>
      <c r="L11" s="9">
        <v>0</v>
      </c>
      <c r="M11" s="9">
        <v>359902</v>
      </c>
      <c r="N11" s="9">
        <v>0</v>
      </c>
      <c r="O11" s="9">
        <v>15406</v>
      </c>
      <c r="P11" s="19">
        <v>2.2565254969749353</v>
      </c>
      <c r="Q11" s="19">
        <v>3.7414668934855873</v>
      </c>
      <c r="R11" s="19">
        <v>8.1015216999819923</v>
      </c>
      <c r="S11" s="19">
        <v>0.4879994103759337</v>
      </c>
    </row>
    <row r="12" spans="1:19">
      <c r="A12" s="15" t="s">
        <v>47</v>
      </c>
      <c r="B12" s="22">
        <v>31854</v>
      </c>
      <c r="C12" s="12">
        <v>6051</v>
      </c>
      <c r="D12" s="9">
        <v>57271</v>
      </c>
      <c r="E12" s="9">
        <v>11454</v>
      </c>
      <c r="F12" s="9">
        <v>45817</v>
      </c>
      <c r="G12" s="9">
        <v>47444</v>
      </c>
      <c r="H12" s="9">
        <v>61679</v>
      </c>
      <c r="I12" s="9"/>
      <c r="J12" s="31">
        <v>4726</v>
      </c>
      <c r="K12" s="31">
        <v>21635</v>
      </c>
      <c r="L12" s="9">
        <v>60576</v>
      </c>
      <c r="M12" s="9">
        <v>102692</v>
      </c>
      <c r="N12" s="9">
        <v>0</v>
      </c>
      <c r="O12" s="9">
        <v>13180</v>
      </c>
      <c r="P12" s="24">
        <v>1.5489205263232602</v>
      </c>
      <c r="Q12" s="24">
        <v>2.5088573195601342</v>
      </c>
      <c r="R12" s="25">
        <v>5.2820446457457138</v>
      </c>
      <c r="S12" s="25">
        <v>0.48963275791508271</v>
      </c>
    </row>
    <row r="13" spans="1:19">
      <c r="A13" s="15" t="s">
        <v>48</v>
      </c>
      <c r="B13" s="22">
        <v>1872218</v>
      </c>
      <c r="C13" s="5">
        <v>3264</v>
      </c>
      <c r="D13" s="9">
        <v>383900</v>
      </c>
      <c r="E13" s="9">
        <v>383900</v>
      </c>
      <c r="F13" s="9">
        <v>0</v>
      </c>
      <c r="G13" s="9">
        <v>659428</v>
      </c>
      <c r="H13" s="9">
        <v>12644</v>
      </c>
      <c r="I13" s="9">
        <v>239220</v>
      </c>
      <c r="J13" s="31">
        <v>217913</v>
      </c>
      <c r="K13" s="31">
        <v>0</v>
      </c>
      <c r="L13" s="9">
        <v>1185840</v>
      </c>
      <c r="M13" s="9">
        <v>20145</v>
      </c>
      <c r="N13" s="9">
        <v>168500</v>
      </c>
      <c r="O13" s="9">
        <v>21791</v>
      </c>
      <c r="P13" s="20">
        <v>1.5870886168539737</v>
      </c>
      <c r="Q13" s="20">
        <v>1.4967382618851002</v>
      </c>
      <c r="R13" s="19">
        <v>8.7067360696922051</v>
      </c>
      <c r="S13" s="25">
        <v>0.37888098605553627</v>
      </c>
    </row>
    <row r="14" spans="1:19">
      <c r="A14" s="15" t="s">
        <v>49</v>
      </c>
      <c r="B14" s="12">
        <v>351706</v>
      </c>
      <c r="C14" s="12">
        <v>23488</v>
      </c>
      <c r="D14" s="9">
        <v>145237</v>
      </c>
      <c r="E14" s="9">
        <v>87142</v>
      </c>
      <c r="F14" s="9">
        <v>58095</v>
      </c>
      <c r="G14" s="9">
        <v>159786</v>
      </c>
      <c r="H14" s="9">
        <v>113372</v>
      </c>
      <c r="I14" s="9">
        <v>10229</v>
      </c>
      <c r="J14" s="31">
        <v>14665</v>
      </c>
      <c r="K14" s="31">
        <v>42973</v>
      </c>
      <c r="L14" s="9">
        <v>278069</v>
      </c>
      <c r="M14" s="9">
        <v>181835</v>
      </c>
      <c r="N14" s="9">
        <v>0</v>
      </c>
      <c r="O14" s="9">
        <v>17291</v>
      </c>
      <c r="P14" s="24">
        <v>1.7436195609371923</v>
      </c>
      <c r="Q14" s="24">
        <v>3.3141434497384794</v>
      </c>
      <c r="R14" s="25">
        <v>5.3668763342047283</v>
      </c>
      <c r="S14" s="25">
        <v>0.46476896526579325</v>
      </c>
    </row>
    <row r="15" spans="1:19">
      <c r="A15" s="15" t="s">
        <v>50</v>
      </c>
      <c r="B15" s="22">
        <v>34938</v>
      </c>
      <c r="C15" s="5">
        <v>0</v>
      </c>
      <c r="D15" s="9">
        <v>5079</v>
      </c>
      <c r="E15" s="9">
        <v>5079</v>
      </c>
      <c r="F15" s="9">
        <v>0</v>
      </c>
      <c r="G15" s="9">
        <v>14455</v>
      </c>
      <c r="H15" s="9">
        <v>0</v>
      </c>
      <c r="I15" s="9">
        <v>0</v>
      </c>
      <c r="J15" s="31">
        <v>3278</v>
      </c>
      <c r="K15" s="31">
        <v>0</v>
      </c>
      <c r="L15" s="9">
        <v>26150</v>
      </c>
      <c r="M15" s="9">
        <v>0</v>
      </c>
      <c r="N15" s="9">
        <v>0</v>
      </c>
      <c r="O15" s="9">
        <v>1747</v>
      </c>
      <c r="P15" s="20">
        <v>2.1176384412540288</v>
      </c>
      <c r="Q15" s="20">
        <v>2.6151062867480777</v>
      </c>
      <c r="R15" s="19">
        <v>14.519711271515824</v>
      </c>
      <c r="S15" s="25">
        <v>0.42194226142742586</v>
      </c>
    </row>
    <row r="16" spans="1:19">
      <c r="A16" s="15" t="s">
        <v>51</v>
      </c>
      <c r="B16" s="22">
        <v>2961779</v>
      </c>
      <c r="C16" s="5">
        <v>-28814</v>
      </c>
      <c r="D16" s="9">
        <v>1363568</v>
      </c>
      <c r="E16" s="9">
        <v>1363568</v>
      </c>
      <c r="F16" s="9">
        <v>0</v>
      </c>
      <c r="G16" s="9">
        <v>2369128</v>
      </c>
      <c r="H16" s="9">
        <v>-204177</v>
      </c>
      <c r="I16" s="9">
        <v>670179</v>
      </c>
      <c r="J16" s="31">
        <v>547896</v>
      </c>
      <c r="K16" s="31">
        <v>0</v>
      </c>
      <c r="L16" s="9">
        <v>3809844</v>
      </c>
      <c r="M16" s="9">
        <v>-329988</v>
      </c>
      <c r="N16" s="9">
        <v>0</v>
      </c>
      <c r="O16" s="9">
        <v>164369</v>
      </c>
      <c r="P16" s="20">
        <v>1.8555280747831882</v>
      </c>
      <c r="Q16" s="20">
        <v>2.7632093009305141</v>
      </c>
      <c r="R16" s="19">
        <v>5.0878723310350242</v>
      </c>
      <c r="S16" s="25">
        <v>0.4699543286083584</v>
      </c>
    </row>
    <row r="17" spans="1:19">
      <c r="A17" s="15" t="s">
        <v>52</v>
      </c>
      <c r="B17" s="12">
        <v>10639000</v>
      </c>
      <c r="C17" s="12">
        <v>181305</v>
      </c>
      <c r="D17" s="9">
        <f>E17+F17</f>
        <v>8022082</v>
      </c>
      <c r="E17" s="9">
        <v>6297847</v>
      </c>
      <c r="F17" s="9">
        <v>1724235</v>
      </c>
      <c r="G17" s="9">
        <v>10039687</v>
      </c>
      <c r="H17" s="9">
        <v>1545664</v>
      </c>
      <c r="I17" s="9">
        <v>0</v>
      </c>
      <c r="J17" s="31">
        <v>2127800</v>
      </c>
      <c r="K17" s="31">
        <v>543915</v>
      </c>
      <c r="L17" s="9">
        <v>16553186</v>
      </c>
      <c r="M17" s="9">
        <v>2517663</v>
      </c>
      <c r="N17" s="9">
        <v>0</v>
      </c>
      <c r="O17" s="9">
        <v>1730269</v>
      </c>
      <c r="P17" s="24">
        <f>(G17+H17)/(E17+F17+O17)</f>
        <v>1.1879546788256494</v>
      </c>
      <c r="Q17" s="24">
        <f>((G17+H17)/(J17+K17+O17))/1.1</f>
        <v>2.3925887219779245</v>
      </c>
      <c r="R17" s="25">
        <f>(L17+M17)/(D17-J17-K17)</f>
        <v>3.5644001617085332</v>
      </c>
      <c r="S17" s="25">
        <f>(G17+H17)/(J17+K17+L17+M17+O17)/1.1</f>
        <v>0.44869476439964751</v>
      </c>
    </row>
    <row r="18" spans="1:19">
      <c r="A18" s="15" t="s">
        <v>53</v>
      </c>
      <c r="B18" s="22">
        <v>1431530</v>
      </c>
      <c r="C18" s="5">
        <v>0</v>
      </c>
      <c r="D18" s="9">
        <v>222000</v>
      </c>
      <c r="E18" s="9">
        <v>222000</v>
      </c>
      <c r="F18" s="9">
        <v>0</v>
      </c>
      <c r="G18" s="9">
        <v>1159450</v>
      </c>
      <c r="H18" s="9">
        <v>0</v>
      </c>
      <c r="I18" s="9">
        <v>0</v>
      </c>
      <c r="J18" s="31">
        <v>144300</v>
      </c>
      <c r="K18" s="31">
        <v>0</v>
      </c>
      <c r="L18" s="9">
        <v>1979834</v>
      </c>
      <c r="M18" s="9">
        <v>0</v>
      </c>
      <c r="N18" s="9">
        <v>0</v>
      </c>
      <c r="O18" s="9">
        <v>384005</v>
      </c>
      <c r="P18" s="7">
        <v>1.9132680423428849</v>
      </c>
      <c r="Q18" s="7">
        <v>1.9951457104238164</v>
      </c>
      <c r="R18" s="7">
        <v>25.480489060489059</v>
      </c>
      <c r="S18" s="25">
        <v>0.42067026588239331</v>
      </c>
    </row>
    <row r="19" spans="1:19">
      <c r="A19" s="15" t="s">
        <v>54</v>
      </c>
      <c r="B19" s="22">
        <v>300000</v>
      </c>
      <c r="C19" s="5">
        <v>0</v>
      </c>
      <c r="D19" s="9">
        <v>18000</v>
      </c>
      <c r="E19" s="9">
        <v>18000</v>
      </c>
      <c r="F19" s="9">
        <v>0</v>
      </c>
      <c r="G19" s="9">
        <v>64980</v>
      </c>
      <c r="H19" s="9">
        <v>0</v>
      </c>
      <c r="I19" s="9">
        <v>0</v>
      </c>
      <c r="J19" s="31">
        <v>18000</v>
      </c>
      <c r="K19" s="31">
        <v>0</v>
      </c>
      <c r="L19" s="9">
        <v>129000</v>
      </c>
      <c r="M19" s="9">
        <v>0</v>
      </c>
      <c r="N19" s="9">
        <v>18000</v>
      </c>
      <c r="O19" s="9">
        <v>4500</v>
      </c>
      <c r="P19" s="7">
        <v>1.6044444444444443</v>
      </c>
      <c r="Q19" s="7">
        <v>1.4585858585858584</v>
      </c>
      <c r="R19" s="18" t="s">
        <v>39</v>
      </c>
      <c r="S19" s="25">
        <v>0.34886017699115046</v>
      </c>
    </row>
    <row r="20" spans="1:19" ht="15.75" thickBot="1">
      <c r="A20" s="26" t="s">
        <v>55</v>
      </c>
      <c r="B20" s="16">
        <v>1396680</v>
      </c>
      <c r="C20" s="16">
        <v>35298</v>
      </c>
      <c r="D20" s="10">
        <v>228216</v>
      </c>
      <c r="E20" s="10">
        <v>189784</v>
      </c>
      <c r="F20" s="10">
        <v>38432</v>
      </c>
      <c r="G20" s="10">
        <v>751667</v>
      </c>
      <c r="H20" s="10">
        <v>158314</v>
      </c>
      <c r="I20" s="10">
        <v>39211</v>
      </c>
      <c r="J20" s="32">
        <v>189792</v>
      </c>
      <c r="K20" s="32">
        <v>38425</v>
      </c>
      <c r="L20" s="10">
        <v>1250509</v>
      </c>
      <c r="M20" s="10">
        <v>260323</v>
      </c>
      <c r="N20" s="10">
        <v>159751</v>
      </c>
      <c r="O20" s="10">
        <v>22822</v>
      </c>
      <c r="P20" s="23">
        <v>2.549145040915036</v>
      </c>
      <c r="Q20" s="23">
        <v>2.2216251649469054</v>
      </c>
      <c r="R20" s="21" t="s">
        <v>39</v>
      </c>
      <c r="S20" s="21">
        <v>0.43092903286910744</v>
      </c>
    </row>
    <row r="21" spans="1:19" ht="15.75" thickTop="1">
      <c r="A21" s="17" t="s">
        <v>56</v>
      </c>
      <c r="B21" s="12">
        <v>28782309</v>
      </c>
      <c r="C21" s="12">
        <v>249749</v>
      </c>
      <c r="D21" s="9">
        <v>15741141</v>
      </c>
      <c r="E21" s="9">
        <v>13791613</v>
      </c>
      <c r="F21" s="9">
        <v>1949518</v>
      </c>
      <c r="G21" s="9">
        <v>23774107</v>
      </c>
      <c r="H21" s="9">
        <v>1909414</v>
      </c>
      <c r="I21" s="9">
        <v>1767465</v>
      </c>
      <c r="J21" s="31">
        <v>5257178</v>
      </c>
      <c r="K21" s="31">
        <v>685463</v>
      </c>
      <c r="L21" s="9">
        <v>39439571</v>
      </c>
      <c r="M21" s="9">
        <v>3112572</v>
      </c>
      <c r="N21" s="9">
        <v>346251</v>
      </c>
      <c r="O21" s="9">
        <v>2620024</v>
      </c>
      <c r="P21" s="14">
        <v>1.4673852337490116</v>
      </c>
      <c r="Q21" s="14">
        <v>2.620818902607843</v>
      </c>
      <c r="R21" s="18">
        <v>4.5231012910139308</v>
      </c>
      <c r="S21" s="25">
        <v>0.45416873582022477</v>
      </c>
    </row>
    <row r="22" spans="1:19">
      <c r="A22" s="17"/>
      <c r="B22" s="12"/>
      <c r="C22" s="12"/>
      <c r="D22" s="9"/>
      <c r="E22" s="9"/>
      <c r="F22" s="9"/>
      <c r="G22" s="9"/>
      <c r="H22" s="9"/>
      <c r="I22" s="9"/>
      <c r="J22" s="31"/>
      <c r="K22" s="31"/>
      <c r="L22" s="9"/>
      <c r="M22" s="9"/>
      <c r="N22" s="9"/>
      <c r="O22" s="9"/>
      <c r="P22" s="14"/>
      <c r="Q22" s="14"/>
      <c r="R22" s="18"/>
      <c r="S22" s="18"/>
    </row>
    <row r="23" spans="1:19" ht="15.75" thickBot="1">
      <c r="A23" s="26" t="s">
        <v>57</v>
      </c>
      <c r="B23" s="16">
        <v>41950032</v>
      </c>
      <c r="C23" s="16">
        <v>519091</v>
      </c>
      <c r="D23" s="10">
        <v>21340603</v>
      </c>
      <c r="E23" s="10">
        <v>16344371</v>
      </c>
      <c r="F23" s="10">
        <v>4996223</v>
      </c>
      <c r="G23" s="10">
        <v>32354751</v>
      </c>
      <c r="H23" s="10">
        <v>4913236</v>
      </c>
      <c r="I23" s="10">
        <v>7001619</v>
      </c>
      <c r="J23" s="32">
        <v>5979587</v>
      </c>
      <c r="K23" s="32">
        <v>1488372</v>
      </c>
      <c r="L23" s="10">
        <v>52385958</v>
      </c>
      <c r="M23" s="10">
        <v>14786988</v>
      </c>
      <c r="N23" s="10">
        <v>617290</v>
      </c>
      <c r="O23" s="10">
        <v>3231709</v>
      </c>
      <c r="P23" s="23">
        <v>1.7574555564633376</v>
      </c>
      <c r="Q23" s="23">
        <v>2.9937363187013841</v>
      </c>
      <c r="R23" s="21">
        <v>5.3468224946881069</v>
      </c>
      <c r="S23" s="21">
        <v>0.43207936870454067</v>
      </c>
    </row>
    <row r="24" spans="1:19" ht="15.75" thickTop="1">
      <c r="A24" s="17"/>
      <c r="B24" s="12"/>
      <c r="C24" s="12"/>
      <c r="D24" s="9"/>
      <c r="E24" s="9"/>
      <c r="F24" s="9"/>
      <c r="G24" s="9"/>
      <c r="H24" s="9"/>
      <c r="I24" s="9"/>
      <c r="J24" s="31"/>
      <c r="K24" s="31"/>
      <c r="L24" s="9"/>
      <c r="M24" s="9"/>
      <c r="N24" s="9"/>
      <c r="O24" s="9"/>
      <c r="P24" s="14"/>
      <c r="Q24" s="14"/>
      <c r="R24" s="18"/>
      <c r="S24" s="18"/>
    </row>
    <row r="25" spans="1:19" ht="15.75" thickBot="1">
      <c r="A25" s="26" t="s">
        <v>58</v>
      </c>
      <c r="B25" s="16">
        <v>42468705</v>
      </c>
      <c r="C25" s="16">
        <v>542103</v>
      </c>
      <c r="D25" s="10">
        <v>22981477</v>
      </c>
      <c r="E25" s="10">
        <v>17821158</v>
      </c>
      <c r="F25" s="10">
        <v>5160310</v>
      </c>
      <c r="G25" s="10">
        <v>33164741</v>
      </c>
      <c r="H25" s="10">
        <v>5203433</v>
      </c>
      <c r="I25" s="10">
        <v>7565609</v>
      </c>
      <c r="J25" s="32">
        <v>6541087</v>
      </c>
      <c r="K25" s="32">
        <v>2544620</v>
      </c>
      <c r="L25" s="10">
        <v>53530379</v>
      </c>
      <c r="M25" s="10">
        <v>15324011</v>
      </c>
      <c r="N25" s="10">
        <v>1039516</v>
      </c>
      <c r="O25" s="10">
        <v>3294108</v>
      </c>
      <c r="P25" s="23">
        <v>1.6816259621372076</v>
      </c>
      <c r="Q25" s="23">
        <v>2.5992471742308303</v>
      </c>
      <c r="R25" s="21">
        <v>5.4995152481654488</v>
      </c>
      <c r="S25" s="21">
        <v>0.42437655566836463</v>
      </c>
    </row>
    <row r="26" spans="1:19" ht="15.75" thickTop="1">
      <c r="A26" s="15"/>
      <c r="B26" s="12"/>
      <c r="C26" s="12"/>
      <c r="D26" s="9"/>
      <c r="E26" s="9"/>
      <c r="F26" s="9"/>
      <c r="G26" s="9"/>
      <c r="H26" s="9"/>
      <c r="I26" s="9"/>
      <c r="J26" s="31"/>
      <c r="K26" s="31"/>
      <c r="L26" s="9"/>
      <c r="M26" s="9"/>
      <c r="N26" s="9"/>
      <c r="O26" s="9"/>
      <c r="P26" s="14"/>
      <c r="Q26" s="14"/>
      <c r="R26" s="18"/>
      <c r="S26" s="18"/>
    </row>
    <row r="27" spans="1:19" ht="15.75" thickBot="1">
      <c r="A27" s="26" t="s">
        <v>59</v>
      </c>
      <c r="B27" s="16">
        <v>6607401</v>
      </c>
      <c r="C27" s="16">
        <v>-288496</v>
      </c>
      <c r="D27" s="10">
        <v>3364358</v>
      </c>
      <c r="E27" s="10">
        <v>3364358</v>
      </c>
      <c r="F27" s="10"/>
      <c r="G27" s="10">
        <v>8681907</v>
      </c>
      <c r="H27" s="10">
        <v>-2575288</v>
      </c>
      <c r="I27" s="10"/>
      <c r="J27" s="32">
        <v>1275020</v>
      </c>
      <c r="K27" s="32"/>
      <c r="L27" s="10">
        <v>11216431</v>
      </c>
      <c r="M27" s="10">
        <v>-4352639</v>
      </c>
      <c r="N27" s="10"/>
      <c r="O27" s="10">
        <v>318755</v>
      </c>
      <c r="P27" s="23">
        <v>1.6580047910558269</v>
      </c>
      <c r="Q27" s="23">
        <v>3.4832217961643379</v>
      </c>
      <c r="R27" s="23">
        <v>3.2851515647540035</v>
      </c>
      <c r="S27" s="23">
        <v>0.65704750432364301</v>
      </c>
    </row>
    <row r="28" spans="1:19" ht="15.75" thickTop="1">
      <c r="A28" s="17"/>
      <c r="B28" s="30"/>
      <c r="C28" s="30"/>
      <c r="D28" s="29"/>
      <c r="E28" s="29"/>
      <c r="F28" s="29"/>
      <c r="G28" s="29"/>
      <c r="H28" s="29"/>
      <c r="I28" s="29"/>
      <c r="J28" s="35"/>
      <c r="K28" s="35"/>
      <c r="L28" s="29"/>
      <c r="M28" s="29"/>
      <c r="N28" s="29"/>
      <c r="O28" s="29"/>
      <c r="P28" s="24"/>
      <c r="Q28" s="24"/>
      <c r="R28" s="24"/>
      <c r="S28" s="24"/>
    </row>
    <row r="29" spans="1:19" ht="15.75" thickBot="1">
      <c r="A29" s="26" t="s">
        <v>60</v>
      </c>
      <c r="B29" s="16">
        <v>662278</v>
      </c>
      <c r="C29" s="16">
        <v>-21390</v>
      </c>
      <c r="D29" s="10">
        <v>808227</v>
      </c>
      <c r="E29" s="10">
        <v>808227</v>
      </c>
      <c r="F29" s="10"/>
      <c r="G29" s="10">
        <v>922908</v>
      </c>
      <c r="H29" s="10">
        <v>-202797</v>
      </c>
      <c r="I29" s="10">
        <v>250000</v>
      </c>
      <c r="J29" s="32">
        <v>674875</v>
      </c>
      <c r="K29" s="32">
        <v>0</v>
      </c>
      <c r="L29" s="10">
        <v>1234362</v>
      </c>
      <c r="M29" s="10">
        <v>-349959</v>
      </c>
      <c r="N29" s="10">
        <v>51055</v>
      </c>
      <c r="O29" s="10">
        <v>51055</v>
      </c>
      <c r="P29" s="23">
        <v>0.83803803640713992</v>
      </c>
      <c r="Q29" s="23">
        <v>0.90180370509052321</v>
      </c>
      <c r="R29" s="23">
        <v>6.6320940068390426</v>
      </c>
      <c r="S29" s="23">
        <v>0.40693509354897406</v>
      </c>
    </row>
    <row r="30" spans="1:19" ht="15.75" thickTop="1">
      <c r="A30" s="17"/>
      <c r="B30" s="30"/>
      <c r="C30" s="30"/>
      <c r="D30" s="29"/>
      <c r="E30" s="29"/>
      <c r="F30" s="29"/>
      <c r="G30" s="29"/>
      <c r="H30" s="29"/>
      <c r="I30" s="29"/>
      <c r="J30" s="35"/>
      <c r="K30" s="35"/>
      <c r="L30" s="29"/>
      <c r="M30" s="29"/>
      <c r="N30" s="29"/>
      <c r="O30" s="29"/>
      <c r="P30" s="24"/>
      <c r="Q30" s="24"/>
      <c r="R30" s="24"/>
      <c r="S30" s="24"/>
    </row>
    <row r="31" spans="1:19" ht="15.75" thickBot="1">
      <c r="A31" s="26" t="s">
        <v>61</v>
      </c>
      <c r="B31" s="16">
        <v>3109800</v>
      </c>
      <c r="C31" s="16"/>
      <c r="D31" s="10"/>
      <c r="E31" s="10"/>
      <c r="F31" s="10"/>
      <c r="G31" s="10"/>
      <c r="H31" s="10"/>
      <c r="I31" s="10"/>
      <c r="J31" s="32"/>
      <c r="K31" s="32"/>
      <c r="L31" s="10"/>
      <c r="M31" s="10"/>
      <c r="N31" s="10"/>
      <c r="O31" s="10"/>
      <c r="P31" s="23"/>
      <c r="Q31" s="23"/>
      <c r="R31" s="23"/>
      <c r="S31" s="23"/>
    </row>
    <row r="32" spans="1:19" ht="15.75" thickTop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14"/>
      <c r="Q32" s="14"/>
      <c r="R32" s="18"/>
      <c r="S32" s="18"/>
    </row>
    <row r="33" spans="1:19" ht="15.75" thickBot="1">
      <c r="A33" s="6" t="s">
        <v>62</v>
      </c>
      <c r="B33" s="27">
        <v>52848184</v>
      </c>
      <c r="C33" s="27">
        <v>232217</v>
      </c>
      <c r="D33" s="10">
        <v>27154062</v>
      </c>
      <c r="E33" s="10">
        <v>21993743</v>
      </c>
      <c r="F33" s="10">
        <v>5160310</v>
      </c>
      <c r="G33" s="10">
        <v>42769556</v>
      </c>
      <c r="H33" s="10">
        <v>2425348</v>
      </c>
      <c r="I33" s="10">
        <v>7815609</v>
      </c>
      <c r="J33" s="32">
        <v>8490982</v>
      </c>
      <c r="K33" s="32">
        <v>2544620</v>
      </c>
      <c r="L33" s="10">
        <v>65981172</v>
      </c>
      <c r="M33" s="10">
        <v>10621413</v>
      </c>
      <c r="N33" s="10">
        <v>1090571</v>
      </c>
      <c r="O33" s="10">
        <v>3663918</v>
      </c>
      <c r="P33" s="23">
        <v>1.6613262382237288</v>
      </c>
      <c r="Q33" s="23">
        <v>2.6020291056990335</v>
      </c>
      <c r="R33" s="21">
        <v>5.2373610133970612</v>
      </c>
      <c r="S33" s="21">
        <v>0.44513661061186277</v>
      </c>
    </row>
    <row r="34" spans="1:19" s="58" customFormat="1" ht="15.75" thickTop="1">
      <c r="A34" s="73"/>
      <c r="B34" s="38"/>
      <c r="C34" s="38"/>
      <c r="D34" s="72"/>
      <c r="E34" s="72"/>
      <c r="F34" s="72"/>
      <c r="G34" s="72"/>
      <c r="H34" s="72"/>
      <c r="I34" s="72"/>
      <c r="J34" s="74"/>
      <c r="K34" s="74"/>
      <c r="L34" s="72"/>
      <c r="M34" s="72"/>
      <c r="N34" s="72"/>
      <c r="O34" s="72"/>
      <c r="P34" s="69"/>
      <c r="Q34" s="69"/>
      <c r="R34" s="70"/>
      <c r="S34" s="70"/>
    </row>
    <row r="35" spans="1:19" s="58" customFormat="1">
      <c r="A35" s="73"/>
      <c r="B35" s="38"/>
      <c r="C35" s="38" t="s">
        <v>91</v>
      </c>
      <c r="D35" s="72"/>
      <c r="E35" s="72"/>
      <c r="F35" s="72"/>
      <c r="G35" s="72"/>
      <c r="H35" s="72"/>
      <c r="I35" s="72"/>
      <c r="J35" s="74"/>
      <c r="K35" s="74"/>
      <c r="L35" s="72"/>
      <c r="M35" s="72"/>
      <c r="N35" s="72"/>
      <c r="O35" s="72"/>
      <c r="P35" s="69"/>
      <c r="Q35" s="69"/>
      <c r="R35" s="70"/>
      <c r="S35" s="70"/>
    </row>
    <row r="36" spans="1:19">
      <c r="A36" s="5"/>
      <c r="B36" s="5"/>
      <c r="C36" s="5"/>
      <c r="D36" s="5"/>
      <c r="E36" s="5" t="s">
        <v>63</v>
      </c>
      <c r="F36" s="5" t="s">
        <v>64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>
      <c r="A37" s="5"/>
      <c r="B37" s="5"/>
      <c r="C37" s="5" t="s">
        <v>65</v>
      </c>
      <c r="D37" s="13">
        <f>E37+F37</f>
        <v>10742979</v>
      </c>
      <c r="E37" s="13">
        <v>8914520</v>
      </c>
      <c r="F37" s="13">
        <v>1828459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>
      <c r="A38" s="5"/>
      <c r="B38" s="5"/>
      <c r="C38" s="5" t="s">
        <v>66</v>
      </c>
      <c r="D38" s="13">
        <v>1090571</v>
      </c>
      <c r="E38" s="9">
        <v>1011068</v>
      </c>
      <c r="F38" s="9">
        <v>79503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ht="15.75" thickBot="1">
      <c r="A39" s="5"/>
      <c r="B39" s="5"/>
      <c r="C39" s="6" t="s">
        <v>67</v>
      </c>
      <c r="D39" s="28">
        <v>3663918</v>
      </c>
      <c r="E39" s="10">
        <v>3049541</v>
      </c>
      <c r="F39" s="10">
        <v>614377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ht="15.75" thickTop="1">
      <c r="A40" s="5"/>
      <c r="B40" s="5"/>
      <c r="C40" s="5"/>
      <c r="D40" s="13">
        <v>15790091</v>
      </c>
      <c r="E40" s="13">
        <v>12551591</v>
      </c>
      <c r="F40" s="13">
        <v>3238500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>
      <c r="A41" s="5"/>
      <c r="B41" s="5"/>
      <c r="C41" s="5" t="s">
        <v>61</v>
      </c>
      <c r="D41" s="5"/>
      <c r="E41" s="9">
        <v>1400000</v>
      </c>
      <c r="F41" s="9">
        <v>395939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15.75" thickBot="1">
      <c r="A42" s="5"/>
      <c r="B42" s="5"/>
      <c r="C42" s="6" t="s">
        <v>68</v>
      </c>
      <c r="D42" s="6"/>
      <c r="E42" s="10">
        <v>0</v>
      </c>
      <c r="F42" s="10">
        <v>0</v>
      </c>
      <c r="G42" s="9">
        <v>900000</v>
      </c>
      <c r="H42" s="5" t="s">
        <v>69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ht="15.75" thickTop="1">
      <c r="A43" s="5"/>
      <c r="B43" s="5"/>
      <c r="C43" s="5"/>
      <c r="D43" s="5"/>
      <c r="E43" s="13">
        <v>13951591</v>
      </c>
      <c r="F43" s="13">
        <v>3634439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>
      <c r="A44" s="5"/>
      <c r="B44" s="5"/>
      <c r="C44" s="5"/>
      <c r="D44" s="5" t="s">
        <v>70</v>
      </c>
      <c r="E44" s="9">
        <v>11263910</v>
      </c>
      <c r="F44" s="9">
        <v>2914280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6"/>
  <sheetViews>
    <sheetView workbookViewId="0">
      <selection activeCell="C23" sqref="C23"/>
    </sheetView>
  </sheetViews>
  <sheetFormatPr defaultRowHeight="15"/>
  <cols>
    <col min="1" max="1" width="23.42578125" bestFit="1" customWidth="1"/>
    <col min="2" max="2" width="11.5703125" bestFit="1" customWidth="1"/>
    <col min="3" max="3" width="9.7109375" bestFit="1" customWidth="1"/>
    <col min="4" max="5" width="12.5703125" bestFit="1" customWidth="1"/>
    <col min="7" max="7" width="13.28515625" bestFit="1" customWidth="1"/>
    <col min="8" max="8" width="12.28515625" bestFit="1" customWidth="1"/>
    <col min="9" max="10" width="11.5703125" bestFit="1" customWidth="1"/>
    <col min="12" max="12" width="12.5703125" bestFit="1" customWidth="1"/>
    <col min="13" max="13" width="12.28515625" bestFit="1" customWidth="1"/>
    <col min="14" max="14" width="10.5703125" bestFit="1" customWidth="1"/>
    <col min="15" max="15" width="11.5703125" bestFit="1" customWidth="1"/>
    <col min="17" max="17" width="10.5703125" bestFit="1" customWidth="1"/>
  </cols>
  <sheetData>
    <row r="1" spans="1:19" ht="45">
      <c r="A1" s="39" t="s">
        <v>19</v>
      </c>
      <c r="B1" s="39" t="s">
        <v>20</v>
      </c>
      <c r="C1" s="39" t="s">
        <v>21</v>
      </c>
      <c r="D1" s="39" t="s">
        <v>22</v>
      </c>
      <c r="E1" s="39" t="s">
        <v>23</v>
      </c>
      <c r="F1" s="39" t="s">
        <v>24</v>
      </c>
      <c r="G1" s="39" t="s">
        <v>25</v>
      </c>
      <c r="H1" s="39" t="s">
        <v>26</v>
      </c>
      <c r="I1" s="39" t="s">
        <v>27</v>
      </c>
      <c r="J1" s="45" t="s">
        <v>28</v>
      </c>
      <c r="K1" s="45" t="s">
        <v>29</v>
      </c>
      <c r="L1" s="45" t="s">
        <v>30</v>
      </c>
      <c r="M1" s="45" t="s">
        <v>31</v>
      </c>
      <c r="N1" s="45" t="s">
        <v>32</v>
      </c>
      <c r="O1" s="45" t="s">
        <v>33</v>
      </c>
      <c r="P1" s="45" t="s">
        <v>34</v>
      </c>
      <c r="Q1" s="45" t="s">
        <v>35</v>
      </c>
      <c r="R1" s="45" t="s">
        <v>36</v>
      </c>
      <c r="S1" s="45" t="s">
        <v>37</v>
      </c>
    </row>
    <row r="2" spans="1:19" ht="15.75" thickBot="1">
      <c r="A2" s="54" t="s">
        <v>38</v>
      </c>
      <c r="B2" s="48">
        <v>518673</v>
      </c>
      <c r="C2" s="40"/>
      <c r="D2" s="44">
        <v>0</v>
      </c>
      <c r="E2" s="44">
        <v>1476787</v>
      </c>
      <c r="F2" s="44"/>
      <c r="G2" s="44">
        <v>809990</v>
      </c>
      <c r="H2" s="44"/>
      <c r="I2" s="44">
        <v>507591</v>
      </c>
      <c r="J2" s="44">
        <v>561500</v>
      </c>
      <c r="K2" s="44"/>
      <c r="L2" s="44">
        <v>1144421</v>
      </c>
      <c r="M2" s="44"/>
      <c r="N2" s="44">
        <v>380003</v>
      </c>
      <c r="O2" s="44">
        <v>51055</v>
      </c>
      <c r="P2" s="42">
        <v>0.6906121828555255</v>
      </c>
      <c r="Q2" s="42">
        <v>0.74187558354730443</v>
      </c>
      <c r="R2" s="42" t="s">
        <v>39</v>
      </c>
      <c r="S2" s="42">
        <v>0.34492192014989387</v>
      </c>
    </row>
    <row r="3" spans="1:19" ht="15.75" thickTop="1">
      <c r="A3" s="47"/>
      <c r="B3" s="39"/>
      <c r="C3" s="39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39"/>
      <c r="Q3" s="39"/>
      <c r="R3" s="39"/>
      <c r="S3" s="39"/>
    </row>
    <row r="4" spans="1:19">
      <c r="A4" s="47" t="s">
        <v>40</v>
      </c>
      <c r="B4" s="46">
        <v>13110000</v>
      </c>
      <c r="C4" s="46"/>
      <c r="D4" s="43"/>
      <c r="E4" s="43"/>
      <c r="F4" s="43"/>
      <c r="G4" s="43">
        <v>1206120</v>
      </c>
      <c r="H4" s="43"/>
      <c r="I4" s="43"/>
      <c r="J4" s="43"/>
      <c r="K4" s="43"/>
      <c r="L4" s="43">
        <v>2097600</v>
      </c>
      <c r="M4" s="43"/>
      <c r="N4" s="43">
        <v>812750</v>
      </c>
      <c r="O4" s="43">
        <v>95845</v>
      </c>
      <c r="P4" s="50">
        <f>G4/(N4+O4)</f>
        <v>1.3274561273174517</v>
      </c>
      <c r="Q4" s="50">
        <f>(G4/(N4+O4))</f>
        <v>1.3274561273174517</v>
      </c>
      <c r="R4" s="50" t="s">
        <v>39</v>
      </c>
      <c r="S4" s="50">
        <f>G4/(L4+N4+O4)</f>
        <v>0.40121149825610114</v>
      </c>
    </row>
    <row r="5" spans="1:19">
      <c r="A5" s="47" t="s">
        <v>41</v>
      </c>
      <c r="B5" s="46">
        <v>8880</v>
      </c>
      <c r="C5" s="46"/>
      <c r="D5" s="43"/>
      <c r="E5" s="43">
        <v>3846</v>
      </c>
      <c r="F5" s="43"/>
      <c r="G5" s="43">
        <v>8959</v>
      </c>
      <c r="H5" s="43"/>
      <c r="I5" s="43"/>
      <c r="J5" s="43">
        <v>1110</v>
      </c>
      <c r="K5" s="43"/>
      <c r="L5" s="43">
        <v>11514</v>
      </c>
      <c r="M5" s="43"/>
      <c r="N5" s="43"/>
      <c r="O5" s="43">
        <v>333</v>
      </c>
      <c r="P5" s="50">
        <v>2.1438143096434552</v>
      </c>
      <c r="Q5" s="50">
        <v>5.6441756441756441</v>
      </c>
      <c r="R5" s="50">
        <v>4.208333333333333</v>
      </c>
      <c r="S5" s="50">
        <v>0.62921123716909777</v>
      </c>
    </row>
    <row r="6" spans="1:19">
      <c r="A6" s="47" t="s">
        <v>42</v>
      </c>
      <c r="B6" s="46">
        <v>2316261</v>
      </c>
      <c r="C6" s="46"/>
      <c r="D6" s="43"/>
      <c r="E6" s="43">
        <v>1253676</v>
      </c>
      <c r="F6" s="43"/>
      <c r="G6" s="43">
        <v>2925243</v>
      </c>
      <c r="H6" s="43"/>
      <c r="I6" s="43"/>
      <c r="J6" s="43">
        <v>287575</v>
      </c>
      <c r="K6" s="43"/>
      <c r="L6" s="43">
        <v>5622762</v>
      </c>
      <c r="M6" s="43"/>
      <c r="N6" s="43"/>
      <c r="O6" s="43">
        <v>126673</v>
      </c>
      <c r="P6" s="41">
        <v>2.1192053603834973</v>
      </c>
      <c r="Q6" s="41">
        <v>6.4196129327886142</v>
      </c>
      <c r="R6" s="41">
        <v>5.8200560810929707</v>
      </c>
      <c r="S6" s="41">
        <v>0.44094197789965561</v>
      </c>
    </row>
    <row r="7" spans="1:19" ht="15.75" thickBot="1">
      <c r="A7" s="54" t="s">
        <v>43</v>
      </c>
      <c r="B7" s="48">
        <v>8842582</v>
      </c>
      <c r="C7" s="48"/>
      <c r="D7" s="44"/>
      <c r="E7" s="44">
        <v>1295236</v>
      </c>
      <c r="F7" s="44"/>
      <c r="G7" s="44">
        <v>4640906</v>
      </c>
      <c r="H7" s="44"/>
      <c r="I7" s="44">
        <v>5050581</v>
      </c>
      <c r="J7" s="44">
        <v>433724</v>
      </c>
      <c r="K7" s="44"/>
      <c r="L7" s="44">
        <v>7140111</v>
      </c>
      <c r="M7" s="44"/>
      <c r="N7" s="44">
        <v>271039</v>
      </c>
      <c r="O7" s="44">
        <v>82302</v>
      </c>
      <c r="P7" s="42">
        <v>5.8786984168771008</v>
      </c>
      <c r="Q7" s="42">
        <v>5.3604282423249083</v>
      </c>
      <c r="R7" s="42">
        <v>14.150344974881371</v>
      </c>
      <c r="S7" s="42">
        <v>0.53275270537704733</v>
      </c>
    </row>
    <row r="8" spans="1:19" ht="15.75" thickTop="1">
      <c r="A8" s="49" t="s">
        <v>44</v>
      </c>
      <c r="B8" s="53">
        <v>13167723</v>
      </c>
      <c r="C8" s="53">
        <v>0</v>
      </c>
      <c r="D8" s="53">
        <v>0</v>
      </c>
      <c r="E8" s="53">
        <v>2552758</v>
      </c>
      <c r="F8" s="53">
        <v>0</v>
      </c>
      <c r="G8" s="53">
        <v>7657188</v>
      </c>
      <c r="H8" s="53">
        <v>0</v>
      </c>
      <c r="I8" s="53">
        <v>5050581</v>
      </c>
      <c r="J8" s="53">
        <v>722409</v>
      </c>
      <c r="K8" s="53">
        <v>0</v>
      </c>
      <c r="L8" s="53">
        <v>12946387</v>
      </c>
      <c r="M8" s="53">
        <v>0</v>
      </c>
      <c r="N8" s="53">
        <v>271039</v>
      </c>
      <c r="O8" s="53">
        <v>305153</v>
      </c>
      <c r="P8" s="52">
        <v>4.0613525304015727</v>
      </c>
      <c r="Q8" s="52">
        <v>5.3604455872127001</v>
      </c>
      <c r="R8" s="51">
        <v>9.8325335769298636</v>
      </c>
      <c r="S8" s="51">
        <v>0.48915738503956618</v>
      </c>
    </row>
    <row r="9" spans="1:19">
      <c r="A9" s="47"/>
      <c r="B9" s="39"/>
      <c r="C9" s="39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1"/>
      <c r="Q9" s="41"/>
      <c r="R9" s="41"/>
      <c r="S9" s="41"/>
    </row>
    <row r="10" spans="1:19">
      <c r="A10" s="47" t="s">
        <v>45</v>
      </c>
      <c r="B10" s="53">
        <v>3895964</v>
      </c>
      <c r="C10" s="39"/>
      <c r="D10" s="43"/>
      <c r="E10" s="43">
        <v>1740031</v>
      </c>
      <c r="F10" s="43"/>
      <c r="G10" s="43">
        <v>2971640</v>
      </c>
      <c r="H10" s="43"/>
      <c r="I10" s="43">
        <v>808626</v>
      </c>
      <c r="J10" s="43">
        <v>815480</v>
      </c>
      <c r="K10" s="43"/>
      <c r="L10" s="43">
        <v>5038676</v>
      </c>
      <c r="M10" s="43"/>
      <c r="N10" s="43"/>
      <c r="O10" s="43">
        <v>244644</v>
      </c>
      <c r="P10" s="41">
        <v>1.9047279781324398</v>
      </c>
      <c r="Q10" s="41">
        <v>2.5482782288589907</v>
      </c>
      <c r="R10" s="41">
        <v>6.324477503133954</v>
      </c>
      <c r="S10" s="41">
        <v>0.44339745523709584</v>
      </c>
    </row>
    <row r="11" spans="1:19">
      <c r="A11" s="47" t="s">
        <v>46</v>
      </c>
      <c r="B11" s="53">
        <v>0</v>
      </c>
      <c r="C11" s="39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1"/>
      <c r="Q11" s="41"/>
      <c r="R11" s="41"/>
      <c r="S11" s="41"/>
    </row>
    <row r="12" spans="1:19">
      <c r="A12" s="47" t="s">
        <v>47</v>
      </c>
      <c r="B12" s="53">
        <v>31854</v>
      </c>
      <c r="C12" s="39"/>
      <c r="D12" s="43"/>
      <c r="E12" s="43">
        <v>11454</v>
      </c>
      <c r="F12" s="43"/>
      <c r="G12" s="43">
        <v>47444</v>
      </c>
      <c r="H12" s="43"/>
      <c r="I12" s="43"/>
      <c r="J12" s="43">
        <v>4726</v>
      </c>
      <c r="K12" s="43"/>
      <c r="L12" s="43">
        <v>60576</v>
      </c>
      <c r="M12" s="43">
        <v>0</v>
      </c>
      <c r="N12" s="43">
        <v>0</v>
      </c>
      <c r="O12" s="43">
        <v>2636</v>
      </c>
      <c r="P12" s="52">
        <v>3.3672107877927608</v>
      </c>
      <c r="Q12" s="52">
        <v>5.8585858585858581</v>
      </c>
      <c r="R12" s="51">
        <v>9.0035671819262788</v>
      </c>
      <c r="S12" s="51">
        <v>0.63549177190968242</v>
      </c>
    </row>
    <row r="13" spans="1:19">
      <c r="A13" s="47" t="s">
        <v>48</v>
      </c>
      <c r="B13" s="53">
        <v>1872218</v>
      </c>
      <c r="C13" s="39">
        <v>3264</v>
      </c>
      <c r="D13" s="43">
        <v>383900</v>
      </c>
      <c r="E13" s="43">
        <v>383900</v>
      </c>
      <c r="F13" s="43">
        <v>0</v>
      </c>
      <c r="G13" s="43">
        <v>659428</v>
      </c>
      <c r="H13" s="43">
        <v>12644</v>
      </c>
      <c r="I13" s="43">
        <v>239220</v>
      </c>
      <c r="J13" s="43">
        <v>217913</v>
      </c>
      <c r="K13" s="43">
        <v>0</v>
      </c>
      <c r="L13" s="43">
        <v>1185840</v>
      </c>
      <c r="M13" s="43">
        <v>20145</v>
      </c>
      <c r="N13" s="43">
        <v>168500</v>
      </c>
      <c r="O13" s="43">
        <v>21791</v>
      </c>
      <c r="P13" s="52">
        <v>1.5870886168539737</v>
      </c>
      <c r="Q13" s="52">
        <v>1.4967382618851002</v>
      </c>
      <c r="R13" s="51">
        <v>8.7067360696922051</v>
      </c>
      <c r="S13" s="51">
        <v>0.37888098605553627</v>
      </c>
    </row>
    <row r="14" spans="1:19">
      <c r="A14" s="47" t="s">
        <v>49</v>
      </c>
      <c r="B14" s="53">
        <v>351706</v>
      </c>
      <c r="C14" s="39">
        <v>0</v>
      </c>
      <c r="D14" s="43">
        <v>0</v>
      </c>
      <c r="E14" s="43">
        <v>87142</v>
      </c>
      <c r="F14" s="43">
        <v>0</v>
      </c>
      <c r="G14" s="43">
        <v>159786</v>
      </c>
      <c r="H14" s="43">
        <v>0</v>
      </c>
      <c r="I14" s="43">
        <v>6137</v>
      </c>
      <c r="J14" s="43">
        <v>14665</v>
      </c>
      <c r="K14" s="43">
        <v>0</v>
      </c>
      <c r="L14" s="43">
        <v>278069</v>
      </c>
      <c r="M14" s="43">
        <v>0</v>
      </c>
      <c r="N14" s="43">
        <v>0</v>
      </c>
      <c r="O14" s="43">
        <v>10375</v>
      </c>
      <c r="P14" s="52">
        <v>1.7014776910692495</v>
      </c>
      <c r="Q14" s="52">
        <v>5.8011182108626196</v>
      </c>
      <c r="R14" s="51">
        <v>3.9213267657325774</v>
      </c>
      <c r="S14" s="51">
        <v>0.47971277659191913</v>
      </c>
    </row>
    <row r="15" spans="1:19">
      <c r="A15" s="47" t="s">
        <v>50</v>
      </c>
      <c r="B15" s="53">
        <v>34938</v>
      </c>
      <c r="C15" s="39">
        <v>0</v>
      </c>
      <c r="D15" s="43">
        <v>5079</v>
      </c>
      <c r="E15" s="43">
        <v>5079</v>
      </c>
      <c r="F15" s="43">
        <v>0</v>
      </c>
      <c r="G15" s="43">
        <v>14455</v>
      </c>
      <c r="H15" s="43">
        <v>0</v>
      </c>
      <c r="I15" s="43">
        <v>0</v>
      </c>
      <c r="J15" s="43">
        <v>3278</v>
      </c>
      <c r="K15" s="43">
        <v>0</v>
      </c>
      <c r="L15" s="43">
        <v>26150</v>
      </c>
      <c r="M15" s="43">
        <v>0</v>
      </c>
      <c r="N15" s="43">
        <v>0</v>
      </c>
      <c r="O15" s="43">
        <v>1747</v>
      </c>
      <c r="P15" s="52">
        <v>2.1176384412540288</v>
      </c>
      <c r="Q15" s="52">
        <v>2.6151062867480777</v>
      </c>
      <c r="R15" s="51">
        <v>14.519711271515824</v>
      </c>
      <c r="S15" s="51">
        <v>0.42194226142742586</v>
      </c>
    </row>
    <row r="16" spans="1:19">
      <c r="A16" s="47" t="s">
        <v>51</v>
      </c>
      <c r="B16" s="53">
        <v>2961779</v>
      </c>
      <c r="C16" s="39">
        <v>-28814</v>
      </c>
      <c r="D16" s="43">
        <v>1363568</v>
      </c>
      <c r="E16" s="43">
        <v>1363568</v>
      </c>
      <c r="F16" s="43">
        <v>0</v>
      </c>
      <c r="G16" s="43">
        <v>2369128</v>
      </c>
      <c r="H16" s="43">
        <v>-204177</v>
      </c>
      <c r="I16" s="43">
        <v>670179</v>
      </c>
      <c r="J16" s="43">
        <v>547896</v>
      </c>
      <c r="K16" s="43">
        <v>0</v>
      </c>
      <c r="L16" s="43">
        <v>3809844</v>
      </c>
      <c r="M16" s="43">
        <v>-329988</v>
      </c>
      <c r="N16" s="43">
        <v>0</v>
      </c>
      <c r="O16" s="43">
        <v>164369</v>
      </c>
      <c r="P16" s="52">
        <v>1.8555280747831882</v>
      </c>
      <c r="Q16" s="52">
        <v>2.7632093009305141</v>
      </c>
      <c r="R16" s="51">
        <v>5.0878723310350242</v>
      </c>
      <c r="S16" s="51">
        <v>0.4699543286083584</v>
      </c>
    </row>
    <row r="17" spans="1:19">
      <c r="A17" s="47" t="s">
        <v>52</v>
      </c>
      <c r="B17" s="53">
        <v>16505640</v>
      </c>
      <c r="C17" s="39">
        <v>0</v>
      </c>
      <c r="D17" s="43">
        <v>11494900</v>
      </c>
      <c r="E17" s="43">
        <v>9770665</v>
      </c>
      <c r="F17" s="43"/>
      <c r="G17" s="43">
        <v>15576129</v>
      </c>
      <c r="H17" s="43">
        <v>0</v>
      </c>
      <c r="I17" s="43">
        <v>0</v>
      </c>
      <c r="J17" s="43">
        <v>3301125</v>
      </c>
      <c r="K17" s="43">
        <v>0</v>
      </c>
      <c r="L17" s="43">
        <v>25681073</v>
      </c>
      <c r="M17" s="43">
        <v>0</v>
      </c>
      <c r="N17" s="43">
        <v>0</v>
      </c>
      <c r="O17" s="43">
        <v>1470729</v>
      </c>
      <c r="P17" s="41">
        <v>1.3856047568477716</v>
      </c>
      <c r="Q17" s="41">
        <v>2.9674246682164358</v>
      </c>
      <c r="R17" s="41">
        <v>3.9695361648587073</v>
      </c>
      <c r="S17" s="51">
        <v>0.46544876917742589</v>
      </c>
    </row>
    <row r="18" spans="1:19">
      <c r="A18" s="47" t="s">
        <v>53</v>
      </c>
      <c r="B18" s="53">
        <v>1431530</v>
      </c>
      <c r="C18" s="39">
        <v>0</v>
      </c>
      <c r="D18" s="43">
        <v>222000</v>
      </c>
      <c r="E18" s="43">
        <v>222000</v>
      </c>
      <c r="F18" s="43">
        <v>0</v>
      </c>
      <c r="G18" s="43">
        <v>1159450</v>
      </c>
      <c r="H18" s="43">
        <v>0</v>
      </c>
      <c r="I18" s="43">
        <v>0</v>
      </c>
      <c r="J18" s="43">
        <v>144300</v>
      </c>
      <c r="K18" s="43">
        <v>0</v>
      </c>
      <c r="L18" s="43">
        <v>1979834</v>
      </c>
      <c r="M18" s="43">
        <v>0</v>
      </c>
      <c r="N18" s="43">
        <v>0</v>
      </c>
      <c r="O18" s="43">
        <v>384005</v>
      </c>
      <c r="P18" s="41">
        <v>1.9132680423428849</v>
      </c>
      <c r="Q18" s="41">
        <v>1.9951457104238164</v>
      </c>
      <c r="R18" s="41">
        <v>25.480489060489059</v>
      </c>
      <c r="S18" s="51">
        <v>0.42067026588239331</v>
      </c>
    </row>
    <row r="19" spans="1:19">
      <c r="A19" s="47" t="s">
        <v>54</v>
      </c>
      <c r="B19" s="53">
        <v>300000</v>
      </c>
      <c r="C19" s="39">
        <v>0</v>
      </c>
      <c r="D19" s="43">
        <v>18000</v>
      </c>
      <c r="E19" s="43">
        <v>18000</v>
      </c>
      <c r="F19" s="43">
        <v>0</v>
      </c>
      <c r="G19" s="43">
        <v>64980</v>
      </c>
      <c r="H19" s="43">
        <v>0</v>
      </c>
      <c r="I19" s="43">
        <v>0</v>
      </c>
      <c r="J19" s="43">
        <v>18000</v>
      </c>
      <c r="K19" s="43">
        <v>0</v>
      </c>
      <c r="L19" s="43">
        <v>129000</v>
      </c>
      <c r="M19" s="43">
        <v>0</v>
      </c>
      <c r="N19" s="43">
        <v>18000</v>
      </c>
      <c r="O19" s="43">
        <v>4500</v>
      </c>
      <c r="P19" s="41">
        <v>1.6044444444444443</v>
      </c>
      <c r="Q19" s="41">
        <v>1.4585858585858584</v>
      </c>
      <c r="R19" s="41" t="s">
        <v>39</v>
      </c>
      <c r="S19" s="51">
        <v>0.34886017699115046</v>
      </c>
    </row>
    <row r="20" spans="1:19" ht="15.75" thickBot="1">
      <c r="A20" s="54" t="s">
        <v>55</v>
      </c>
      <c r="B20" s="48">
        <v>1392680</v>
      </c>
      <c r="C20" s="40">
        <v>0</v>
      </c>
      <c r="D20" s="44">
        <v>228216</v>
      </c>
      <c r="E20" s="44">
        <v>189784</v>
      </c>
      <c r="F20" s="44">
        <v>0</v>
      </c>
      <c r="G20" s="44">
        <v>751667</v>
      </c>
      <c r="H20" s="44">
        <v>0</v>
      </c>
      <c r="I20" s="44">
        <v>32545</v>
      </c>
      <c r="J20" s="44">
        <v>189784</v>
      </c>
      <c r="K20" s="44">
        <v>0</v>
      </c>
      <c r="L20" s="44">
        <v>1250509</v>
      </c>
      <c r="M20" s="44">
        <v>0</v>
      </c>
      <c r="N20" s="44">
        <v>132593</v>
      </c>
      <c r="O20" s="44">
        <v>18979</v>
      </c>
      <c r="P20" s="42">
        <v>2.297343535780827</v>
      </c>
      <c r="Q20" s="42">
        <v>2.0018210793530402</v>
      </c>
      <c r="R20" s="42" t="s">
        <v>39</v>
      </c>
      <c r="S20" s="42">
        <v>0.42969533848661789</v>
      </c>
    </row>
    <row r="21" spans="1:19" ht="15.75" thickTop="1">
      <c r="A21" s="49" t="s">
        <v>76</v>
      </c>
      <c r="B21" s="55">
        <v>28778309</v>
      </c>
      <c r="C21" s="55">
        <v>-25550</v>
      </c>
      <c r="D21" s="43">
        <v>13715663</v>
      </c>
      <c r="E21" s="43">
        <v>13791623</v>
      </c>
      <c r="F21" s="43">
        <v>0</v>
      </c>
      <c r="G21" s="43">
        <v>23774107</v>
      </c>
      <c r="H21" s="43">
        <v>-191533</v>
      </c>
      <c r="I21" s="43">
        <v>1756707</v>
      </c>
      <c r="J21" s="43">
        <v>5257167</v>
      </c>
      <c r="K21" s="43">
        <v>0</v>
      </c>
      <c r="L21" s="43">
        <v>39439571</v>
      </c>
      <c r="M21" s="43">
        <v>-309843</v>
      </c>
      <c r="N21" s="43">
        <v>319093</v>
      </c>
      <c r="O21" s="43">
        <v>2323775</v>
      </c>
      <c r="P21" s="52">
        <v>1.5418354605567035</v>
      </c>
      <c r="Q21" s="52">
        <v>2.7137479310362083</v>
      </c>
      <c r="R21" s="51">
        <v>4.7907488186710436</v>
      </c>
      <c r="S21" s="51">
        <v>0.45630981257549613</v>
      </c>
    </row>
    <row r="22" spans="1:19">
      <c r="A22" s="49"/>
      <c r="B22" s="39"/>
      <c r="C22" s="39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1"/>
      <c r="Q22" s="41"/>
      <c r="R22" s="41"/>
      <c r="S22" s="41"/>
    </row>
    <row r="23" spans="1:19" ht="15.75" thickBot="1">
      <c r="A23" s="54" t="s">
        <v>77</v>
      </c>
      <c r="B23" s="56">
        <v>41946032</v>
      </c>
      <c r="C23" s="56">
        <v>-25550</v>
      </c>
      <c r="D23" s="44">
        <v>13715663</v>
      </c>
      <c r="E23" s="44">
        <v>16344381</v>
      </c>
      <c r="F23" s="44">
        <v>0</v>
      </c>
      <c r="G23" s="44">
        <v>31431295</v>
      </c>
      <c r="H23" s="44">
        <v>-191533</v>
      </c>
      <c r="I23" s="44">
        <v>6807288</v>
      </c>
      <c r="J23" s="44">
        <v>5979576</v>
      </c>
      <c r="K23" s="44">
        <v>0</v>
      </c>
      <c r="L23" s="44">
        <v>52385958</v>
      </c>
      <c r="M23" s="44">
        <v>-309843</v>
      </c>
      <c r="N23" s="44">
        <v>590132</v>
      </c>
      <c r="O23" s="44">
        <v>2628928</v>
      </c>
      <c r="P23" s="57">
        <v>1.9448035751992709</v>
      </c>
      <c r="Q23" s="57">
        <v>3.0873907431888417</v>
      </c>
      <c r="R23" s="42">
        <v>5.6810912506313436</v>
      </c>
      <c r="S23" s="42">
        <v>0.4639461271739807</v>
      </c>
    </row>
    <row r="24" spans="1:19" ht="15.75" thickTop="1">
      <c r="A24" s="49"/>
      <c r="B24" s="39"/>
      <c r="C24" s="39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1"/>
      <c r="Q24" s="41"/>
      <c r="R24" s="41"/>
      <c r="S24" s="41"/>
    </row>
    <row r="25" spans="1:19" ht="15.75" thickBot="1">
      <c r="A25" s="54" t="s">
        <v>78</v>
      </c>
      <c r="B25" s="56">
        <v>42464705</v>
      </c>
      <c r="C25" s="56">
        <v>-25550</v>
      </c>
      <c r="D25" s="44">
        <v>13715663</v>
      </c>
      <c r="E25" s="44">
        <v>17821168</v>
      </c>
      <c r="F25" s="44">
        <v>0</v>
      </c>
      <c r="G25" s="44">
        <v>32241285</v>
      </c>
      <c r="H25" s="44">
        <v>-191533</v>
      </c>
      <c r="I25" s="44">
        <v>7314879</v>
      </c>
      <c r="J25" s="44">
        <v>6541076</v>
      </c>
      <c r="K25" s="44">
        <v>0</v>
      </c>
      <c r="L25" s="44">
        <v>53530379</v>
      </c>
      <c r="M25" s="44">
        <v>-309843</v>
      </c>
      <c r="N25" s="44">
        <v>970135</v>
      </c>
      <c r="O25" s="44">
        <v>2679983</v>
      </c>
      <c r="P25" s="57">
        <v>1.833361588122854</v>
      </c>
      <c r="Q25" s="57">
        <v>2.8589523643469232</v>
      </c>
      <c r="R25" s="42">
        <v>5.366571035058934</v>
      </c>
      <c r="S25" s="42">
        <v>0.4599350044542232</v>
      </c>
    </row>
    <row r="26" spans="1:19" ht="15.75" thickTop="1">
      <c r="A26" s="47"/>
      <c r="B26" s="39"/>
      <c r="C26" s="39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1"/>
      <c r="Q26" s="41"/>
      <c r="R26" s="41"/>
      <c r="S26" s="41"/>
    </row>
    <row r="27" spans="1:19" ht="15.75" thickBot="1">
      <c r="A27" s="54" t="s">
        <v>79</v>
      </c>
      <c r="B27" s="48">
        <v>6607401</v>
      </c>
      <c r="C27" s="48">
        <v>-288496</v>
      </c>
      <c r="D27" s="44">
        <v>3364358</v>
      </c>
      <c r="E27" s="44">
        <v>3364358</v>
      </c>
      <c r="F27" s="44"/>
      <c r="G27" s="44">
        <v>8681907</v>
      </c>
      <c r="H27" s="44">
        <v>-2575288</v>
      </c>
      <c r="I27" s="44"/>
      <c r="J27" s="44">
        <v>1275020</v>
      </c>
      <c r="K27" s="44"/>
      <c r="L27" s="44">
        <v>11216431</v>
      </c>
      <c r="M27" s="44">
        <v>-4352639</v>
      </c>
      <c r="N27" s="44"/>
      <c r="O27" s="44">
        <v>318755</v>
      </c>
      <c r="P27" s="57">
        <v>1.6580047910558269</v>
      </c>
      <c r="Q27" s="57">
        <v>3.4832217961643379</v>
      </c>
      <c r="R27" s="42">
        <v>3.2851515647540035</v>
      </c>
      <c r="S27" s="42">
        <v>0.65704750432364301</v>
      </c>
    </row>
    <row r="28" spans="1:19" ht="15.75" thickTop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41"/>
      <c r="Q28" s="41"/>
      <c r="R28" s="41"/>
      <c r="S28" s="41"/>
    </row>
    <row r="29" spans="1:19" ht="15.75" thickBot="1">
      <c r="A29" s="40" t="s">
        <v>60</v>
      </c>
      <c r="B29" s="48">
        <v>662278</v>
      </c>
      <c r="C29" s="48">
        <v>-21390</v>
      </c>
      <c r="D29" s="44">
        <v>0</v>
      </c>
      <c r="E29" s="44">
        <v>808227</v>
      </c>
      <c r="F29" s="44"/>
      <c r="G29" s="44">
        <v>922908</v>
      </c>
      <c r="H29" s="44">
        <v>-202797</v>
      </c>
      <c r="I29" s="44">
        <v>250000</v>
      </c>
      <c r="J29" s="44">
        <v>674875</v>
      </c>
      <c r="K29" s="44">
        <v>0</v>
      </c>
      <c r="L29" s="44">
        <v>1234362</v>
      </c>
      <c r="M29" s="44">
        <v>-349959</v>
      </c>
      <c r="N29" s="44">
        <v>101231</v>
      </c>
      <c r="O29" s="44">
        <v>51055</v>
      </c>
      <c r="P29" s="57">
        <v>1.0099925768833946</v>
      </c>
      <c r="Q29" s="57">
        <v>0.79143765680002265</v>
      </c>
      <c r="R29" s="42">
        <v>8.5068315435838979</v>
      </c>
      <c r="S29" s="42">
        <v>0.38286678733602719</v>
      </c>
    </row>
    <row r="30" spans="1:19" ht="15.75" thickTop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</row>
    <row r="31" spans="1:19" ht="15.75" thickBot="1">
      <c r="A31" s="40" t="s">
        <v>80</v>
      </c>
      <c r="B31" s="56">
        <v>49734384</v>
      </c>
      <c r="C31" s="56">
        <v>-335436</v>
      </c>
      <c r="D31" s="56">
        <v>17080021</v>
      </c>
      <c r="E31" s="56">
        <v>21993753</v>
      </c>
      <c r="F31" s="56">
        <v>0</v>
      </c>
      <c r="G31" s="56">
        <v>41846100</v>
      </c>
      <c r="H31" s="56">
        <v>-2969618</v>
      </c>
      <c r="I31" s="56">
        <v>7564879</v>
      </c>
      <c r="J31" s="56">
        <v>8490971</v>
      </c>
      <c r="K31" s="56">
        <v>0</v>
      </c>
      <c r="L31" s="56">
        <v>65981172</v>
      </c>
      <c r="M31" s="56">
        <v>-5012441</v>
      </c>
      <c r="N31" s="56">
        <v>1071366</v>
      </c>
      <c r="O31" s="56">
        <v>3049793</v>
      </c>
      <c r="P31" s="57">
        <v>1.778346448190214</v>
      </c>
      <c r="Q31" s="57">
        <v>2.8022432660967147</v>
      </c>
      <c r="R31" s="42">
        <v>5.0755177710785819</v>
      </c>
      <c r="S31" s="42">
        <v>0.48079892161087928</v>
      </c>
    </row>
    <row r="32" spans="1:19" ht="15.75" thickTop="1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</row>
    <row r="33" spans="1:19" ht="15.75" thickBot="1">
      <c r="A33" s="40" t="s">
        <v>81</v>
      </c>
      <c r="B33" s="56">
        <v>48553433</v>
      </c>
      <c r="C33" s="56">
        <v>-314046</v>
      </c>
      <c r="D33" s="56">
        <v>17080021</v>
      </c>
      <c r="E33" s="56">
        <v>19708739</v>
      </c>
      <c r="F33" s="56">
        <v>0</v>
      </c>
      <c r="G33" s="56">
        <v>40113202</v>
      </c>
      <c r="H33" s="56">
        <v>-2766821</v>
      </c>
      <c r="I33" s="56">
        <v>6807288</v>
      </c>
      <c r="J33" s="56">
        <v>7254596</v>
      </c>
      <c r="K33" s="56">
        <v>0</v>
      </c>
      <c r="L33" s="56">
        <v>63602389</v>
      </c>
      <c r="M33" s="56">
        <v>-4662482</v>
      </c>
      <c r="N33" s="56">
        <v>590132</v>
      </c>
      <c r="O33" s="56">
        <v>2947683</v>
      </c>
      <c r="P33" s="57">
        <v>1.899364051979489</v>
      </c>
      <c r="Q33" s="57">
        <v>3.1458453031992066</v>
      </c>
      <c r="R33" s="42">
        <v>5.2791424508294149</v>
      </c>
      <c r="S33" s="42">
        <v>0.48736665702121068</v>
      </c>
    </row>
    <row r="34" spans="1:19" ht="15.75" thickTop="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1:19" ht="15.75" thickBot="1">
      <c r="A35" s="40" t="s">
        <v>82</v>
      </c>
      <c r="B35" s="56">
        <v>1180951</v>
      </c>
      <c r="C35" s="56">
        <v>-21390</v>
      </c>
      <c r="D35" s="56">
        <v>0</v>
      </c>
      <c r="E35" s="56">
        <v>2285014</v>
      </c>
      <c r="F35" s="56">
        <v>0</v>
      </c>
      <c r="G35" s="56">
        <v>1732898</v>
      </c>
      <c r="H35" s="56">
        <v>-202797</v>
      </c>
      <c r="I35" s="56">
        <v>757591</v>
      </c>
      <c r="J35" s="56">
        <v>1236375</v>
      </c>
      <c r="K35" s="56">
        <v>0</v>
      </c>
      <c r="L35" s="56">
        <v>2378783</v>
      </c>
      <c r="M35" s="56">
        <v>-349959</v>
      </c>
      <c r="N35" s="56">
        <v>481234</v>
      </c>
      <c r="O35" s="56">
        <v>102110</v>
      </c>
      <c r="P35" s="57">
        <v>0.79756153171954125</v>
      </c>
      <c r="Q35" s="57">
        <v>0.76440423443999261</v>
      </c>
      <c r="R35" s="42">
        <v>2.6571727734711375</v>
      </c>
      <c r="S35" s="42">
        <v>0.36179715544298197</v>
      </c>
    </row>
    <row r="36" spans="1:19" ht="15.75" thickTop="1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9"/>
  <sheetViews>
    <sheetView workbookViewId="0">
      <selection activeCell="F27" sqref="F27"/>
    </sheetView>
  </sheetViews>
  <sheetFormatPr defaultRowHeight="15"/>
  <cols>
    <col min="1" max="1" width="22.85546875" bestFit="1" customWidth="1"/>
    <col min="4" max="4" width="12.5703125" bestFit="1" customWidth="1"/>
    <col min="6" max="6" width="11.5703125" bestFit="1" customWidth="1"/>
    <col min="8" max="8" width="11.5703125" bestFit="1" customWidth="1"/>
    <col min="11" max="11" width="10.5703125" bestFit="1" customWidth="1"/>
    <col min="13" max="13" width="12.5703125" bestFit="1" customWidth="1"/>
    <col min="15" max="15" width="10" bestFit="1" customWidth="1"/>
  </cols>
  <sheetData>
    <row r="1" spans="1:19" ht="45">
      <c r="A1" s="58" t="s">
        <v>19</v>
      </c>
      <c r="B1" s="58" t="s">
        <v>20</v>
      </c>
      <c r="C1" s="58" t="s">
        <v>21</v>
      </c>
      <c r="D1" s="58" t="s">
        <v>22</v>
      </c>
      <c r="E1" s="58" t="s">
        <v>23</v>
      </c>
      <c r="F1" s="58" t="s">
        <v>24</v>
      </c>
      <c r="G1" s="58" t="s">
        <v>25</v>
      </c>
      <c r="H1" s="58" t="s">
        <v>26</v>
      </c>
      <c r="I1" s="58" t="s">
        <v>27</v>
      </c>
      <c r="J1" s="63" t="s">
        <v>28</v>
      </c>
      <c r="K1" s="63" t="s">
        <v>29</v>
      </c>
      <c r="L1" s="63" t="s">
        <v>30</v>
      </c>
      <c r="M1" s="63" t="s">
        <v>31</v>
      </c>
      <c r="N1" s="63" t="s">
        <v>32</v>
      </c>
      <c r="O1" s="63" t="s">
        <v>33</v>
      </c>
      <c r="P1" s="63" t="s">
        <v>34</v>
      </c>
      <c r="Q1" s="63" t="s">
        <v>35</v>
      </c>
      <c r="R1" s="63" t="s">
        <v>36</v>
      </c>
      <c r="S1" s="63" t="s">
        <v>37</v>
      </c>
    </row>
    <row r="2" spans="1:19" ht="15.75" thickBot="1">
      <c r="A2" s="71" t="s">
        <v>38</v>
      </c>
      <c r="B2" s="60"/>
      <c r="C2" s="66">
        <v>23012</v>
      </c>
      <c r="D2" s="62">
        <v>0</v>
      </c>
      <c r="E2" s="62">
        <v>0</v>
      </c>
      <c r="F2" s="62">
        <v>164087</v>
      </c>
      <c r="G2" s="62"/>
      <c r="H2" s="62">
        <v>290197</v>
      </c>
      <c r="I2" s="62">
        <v>56399</v>
      </c>
      <c r="J2" s="62"/>
      <c r="K2" s="62">
        <v>253339</v>
      </c>
      <c r="L2" s="62"/>
      <c r="M2" s="62">
        <v>537023</v>
      </c>
      <c r="N2" s="62">
        <v>52346</v>
      </c>
      <c r="O2" s="62">
        <v>11344</v>
      </c>
      <c r="P2" s="60">
        <v>1.5216461714747318</v>
      </c>
      <c r="Q2" s="60">
        <v>0.83214928143940947</v>
      </c>
      <c r="R2" s="60" t="s">
        <v>39</v>
      </c>
      <c r="S2" s="60">
        <v>0.30920748385344221</v>
      </c>
    </row>
    <row r="3" spans="1:19" ht="15.75" thickTop="1">
      <c r="A3" s="65"/>
      <c r="B3" s="64"/>
      <c r="C3" s="64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59"/>
      <c r="Q3" s="59"/>
      <c r="R3" s="59"/>
      <c r="S3" s="59"/>
    </row>
    <row r="4" spans="1:19">
      <c r="A4" s="65" t="s">
        <v>40</v>
      </c>
      <c r="B4" s="64"/>
      <c r="C4" s="64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59"/>
      <c r="Q4" s="59"/>
      <c r="R4" s="59"/>
      <c r="S4" s="59"/>
    </row>
    <row r="5" spans="1:19">
      <c r="A5" s="65" t="s">
        <v>41</v>
      </c>
      <c r="B5" s="64"/>
      <c r="C5" s="64">
        <v>5387</v>
      </c>
      <c r="D5" s="61"/>
      <c r="E5" s="61"/>
      <c r="F5" s="61">
        <v>73077</v>
      </c>
      <c r="G5" s="61"/>
      <c r="H5" s="61">
        <v>37504</v>
      </c>
      <c r="I5" s="61"/>
      <c r="J5" s="61"/>
      <c r="K5" s="61">
        <v>15540</v>
      </c>
      <c r="L5" s="61"/>
      <c r="M5" s="61">
        <v>62340</v>
      </c>
      <c r="N5" s="61">
        <v>0</v>
      </c>
      <c r="O5" s="61">
        <v>6327</v>
      </c>
      <c r="P5" s="68">
        <v>0.47231877487280238</v>
      </c>
      <c r="Q5" s="68">
        <v>1.5591780058785132</v>
      </c>
      <c r="R5" s="68">
        <v>1.083476719328432</v>
      </c>
      <c r="S5" s="68">
        <v>0.4052945717101904</v>
      </c>
    </row>
    <row r="6" spans="1:19">
      <c r="A6" s="65" t="s">
        <v>42</v>
      </c>
      <c r="B6" s="64"/>
      <c r="C6" s="64">
        <v>252681</v>
      </c>
      <c r="D6" s="61"/>
      <c r="E6" s="61"/>
      <c r="F6" s="61">
        <v>2925243</v>
      </c>
      <c r="G6" s="61"/>
      <c r="H6" s="61">
        <v>2910550</v>
      </c>
      <c r="I6" s="61"/>
      <c r="J6" s="61"/>
      <c r="K6" s="61">
        <v>768035</v>
      </c>
      <c r="L6" s="61"/>
      <c r="M6" s="61">
        <v>11522704</v>
      </c>
      <c r="N6" s="61"/>
      <c r="O6" s="61">
        <v>295571</v>
      </c>
      <c r="P6" s="68">
        <v>0.90366907247670936</v>
      </c>
      <c r="Q6" s="68">
        <v>2.4877205896305075</v>
      </c>
      <c r="R6" s="68">
        <v>5.3414895550174117</v>
      </c>
      <c r="S6" s="68">
        <v>0.21043502821716611</v>
      </c>
    </row>
    <row r="7" spans="1:19" ht="15.75" thickBot="1">
      <c r="A7" s="71" t="s">
        <v>43</v>
      </c>
      <c r="B7" s="66"/>
      <c r="C7" s="66">
        <v>11274</v>
      </c>
      <c r="D7" s="62"/>
      <c r="E7" s="62"/>
      <c r="F7" s="62">
        <v>48385</v>
      </c>
      <c r="G7" s="62"/>
      <c r="H7" s="62">
        <v>55768</v>
      </c>
      <c r="I7" s="62"/>
      <c r="J7" s="62"/>
      <c r="K7" s="62">
        <v>6793</v>
      </c>
      <c r="L7" s="62"/>
      <c r="M7" s="62">
        <v>89372</v>
      </c>
      <c r="N7" s="62"/>
      <c r="O7" s="62">
        <v>4634</v>
      </c>
      <c r="P7" s="60">
        <v>1.0518493370301212</v>
      </c>
      <c r="Q7" s="60">
        <v>4.4367009554722863</v>
      </c>
      <c r="R7" s="60">
        <v>2.1487786112713985</v>
      </c>
      <c r="S7" s="60">
        <v>0.50346610581454188</v>
      </c>
    </row>
    <row r="8" spans="1:19" ht="15.75" thickTop="1">
      <c r="A8" s="67" t="s">
        <v>44</v>
      </c>
      <c r="B8" s="64"/>
      <c r="C8" s="64">
        <v>269342</v>
      </c>
      <c r="D8" s="64">
        <v>0</v>
      </c>
      <c r="E8" s="64">
        <v>0</v>
      </c>
      <c r="F8" s="64">
        <v>3046705</v>
      </c>
      <c r="G8" s="64">
        <v>0</v>
      </c>
      <c r="H8" s="64">
        <v>3003822</v>
      </c>
      <c r="I8" s="64">
        <v>0</v>
      </c>
      <c r="J8" s="64">
        <v>0</v>
      </c>
      <c r="K8" s="64">
        <v>790368</v>
      </c>
      <c r="L8" s="64">
        <v>0</v>
      </c>
      <c r="M8" s="64">
        <v>11674416</v>
      </c>
      <c r="N8" s="64">
        <v>0</v>
      </c>
      <c r="O8" s="64">
        <v>306532</v>
      </c>
      <c r="P8" s="68">
        <v>0.89579770233956024</v>
      </c>
      <c r="Q8" s="68">
        <v>2.4895134221235047</v>
      </c>
      <c r="R8" s="68">
        <v>5.1740568895515162</v>
      </c>
      <c r="S8" s="68">
        <v>0.21403260400102855</v>
      </c>
    </row>
    <row r="9" spans="1:19">
      <c r="A9" s="65"/>
      <c r="B9" s="64"/>
      <c r="C9" s="64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59"/>
      <c r="Q9" s="59"/>
      <c r="R9" s="59"/>
      <c r="S9" s="59"/>
    </row>
    <row r="10" spans="1:19">
      <c r="A10" s="65" t="s">
        <v>45</v>
      </c>
      <c r="B10" s="64">
        <v>0</v>
      </c>
      <c r="C10" s="64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59"/>
      <c r="Q10" s="59"/>
      <c r="R10" s="59"/>
      <c r="S10" s="59"/>
    </row>
    <row r="11" spans="1:19">
      <c r="A11" s="65" t="s">
        <v>46</v>
      </c>
      <c r="B11" s="64">
        <v>0</v>
      </c>
      <c r="C11" s="64">
        <v>29157</v>
      </c>
      <c r="D11" s="61">
        <v>82939</v>
      </c>
      <c r="E11" s="61">
        <v>0</v>
      </c>
      <c r="F11" s="61">
        <v>82939</v>
      </c>
      <c r="G11" s="61">
        <v>0</v>
      </c>
      <c r="H11" s="61">
        <v>221918</v>
      </c>
      <c r="I11" s="61">
        <v>0</v>
      </c>
      <c r="J11" s="61">
        <v>0</v>
      </c>
      <c r="K11" s="61">
        <v>38515</v>
      </c>
      <c r="L11" s="61">
        <v>0</v>
      </c>
      <c r="M11" s="61">
        <v>359902</v>
      </c>
      <c r="N11" s="61">
        <v>0</v>
      </c>
      <c r="O11" s="61">
        <v>15406</v>
      </c>
      <c r="P11" s="68">
        <v>2.2565254969749353</v>
      </c>
      <c r="Q11" s="68">
        <v>3.7414668934855873</v>
      </c>
      <c r="R11" s="68">
        <v>8.1015216999819923</v>
      </c>
      <c r="S11" s="68">
        <v>0.4879994103759337</v>
      </c>
    </row>
    <row r="12" spans="1:19">
      <c r="A12" s="65" t="s">
        <v>47</v>
      </c>
      <c r="B12" s="64">
        <v>0</v>
      </c>
      <c r="C12" s="64">
        <v>6051</v>
      </c>
      <c r="D12" s="61">
        <v>57271</v>
      </c>
      <c r="E12" s="61">
        <v>0</v>
      </c>
      <c r="F12" s="61">
        <v>45817</v>
      </c>
      <c r="G12" s="61">
        <v>0</v>
      </c>
      <c r="H12" s="61">
        <v>61679</v>
      </c>
      <c r="I12" s="61">
        <v>0</v>
      </c>
      <c r="J12" s="61">
        <v>0</v>
      </c>
      <c r="K12" s="61">
        <v>21635</v>
      </c>
      <c r="L12" s="61">
        <v>0</v>
      </c>
      <c r="M12" s="61">
        <v>102692</v>
      </c>
      <c r="N12" s="61">
        <v>0</v>
      </c>
      <c r="O12" s="61">
        <v>10544</v>
      </c>
      <c r="P12" s="68">
        <v>1.0943560263302639</v>
      </c>
      <c r="Q12" s="68">
        <v>1.7424972243332042</v>
      </c>
      <c r="R12" s="68">
        <v>4.2466297245885372</v>
      </c>
      <c r="S12" s="68">
        <v>0.41615981196847357</v>
      </c>
    </row>
    <row r="13" spans="1:19">
      <c r="A13" s="65" t="s">
        <v>48</v>
      </c>
      <c r="B13" s="64">
        <v>0</v>
      </c>
      <c r="C13" s="64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8"/>
      <c r="Q13" s="68"/>
      <c r="R13" s="68"/>
      <c r="S13" s="68"/>
    </row>
    <row r="14" spans="1:19">
      <c r="A14" s="65" t="s">
        <v>49</v>
      </c>
      <c r="B14" s="64">
        <v>0</v>
      </c>
      <c r="C14" s="64">
        <v>23488</v>
      </c>
      <c r="D14" s="61">
        <v>145237</v>
      </c>
      <c r="E14" s="61">
        <v>0</v>
      </c>
      <c r="F14" s="61">
        <v>58095</v>
      </c>
      <c r="G14" s="61">
        <v>0</v>
      </c>
      <c r="H14" s="61">
        <v>113372</v>
      </c>
      <c r="I14" s="61">
        <v>4092</v>
      </c>
      <c r="J14" s="61">
        <v>0</v>
      </c>
      <c r="K14" s="61">
        <v>42973</v>
      </c>
      <c r="L14" s="61">
        <v>0</v>
      </c>
      <c r="M14" s="61">
        <v>181835</v>
      </c>
      <c r="N14" s="61">
        <v>0</v>
      </c>
      <c r="O14" s="61">
        <v>7168</v>
      </c>
      <c r="P14" s="68">
        <v>1.7998559673934695</v>
      </c>
      <c r="Q14" s="68">
        <v>2.0555125455306942</v>
      </c>
      <c r="R14" s="68">
        <v>12.295132918926068</v>
      </c>
      <c r="S14" s="68">
        <v>0.4447379039210953</v>
      </c>
    </row>
    <row r="15" spans="1:19">
      <c r="A15" s="65" t="s">
        <v>50</v>
      </c>
      <c r="B15" s="64">
        <v>0</v>
      </c>
      <c r="C15" s="64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59"/>
      <c r="Q15" s="59"/>
      <c r="R15" s="59"/>
      <c r="S15" s="59"/>
    </row>
    <row r="16" spans="1:19">
      <c r="A16" s="65" t="s">
        <v>51</v>
      </c>
      <c r="B16" s="64">
        <v>0</v>
      </c>
      <c r="C16" s="64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59"/>
      <c r="Q16" s="59"/>
      <c r="R16" s="59"/>
      <c r="S16" s="59"/>
    </row>
    <row r="17" spans="1:19">
      <c r="A17" s="65" t="s">
        <v>52</v>
      </c>
      <c r="B17" s="64">
        <v>0</v>
      </c>
      <c r="C17" s="64">
        <v>181305</v>
      </c>
      <c r="D17" s="61">
        <v>11494900</v>
      </c>
      <c r="E17" s="61">
        <v>0</v>
      </c>
      <c r="F17" s="61">
        <v>1724235</v>
      </c>
      <c r="G17" s="61">
        <v>0</v>
      </c>
      <c r="H17" s="61">
        <v>1545664</v>
      </c>
      <c r="I17" s="61">
        <v>0</v>
      </c>
      <c r="J17" s="61">
        <v>0</v>
      </c>
      <c r="K17" s="61">
        <v>543915</v>
      </c>
      <c r="L17" s="61">
        <v>0</v>
      </c>
      <c r="M17" s="61">
        <v>2517663</v>
      </c>
      <c r="N17" s="61">
        <v>0</v>
      </c>
      <c r="O17" s="61">
        <v>259540</v>
      </c>
      <c r="P17" s="68">
        <v>0.77915287772050756</v>
      </c>
      <c r="Q17" s="68">
        <v>1.7488833735667719</v>
      </c>
      <c r="R17" s="68">
        <v>2.1330342618950793</v>
      </c>
      <c r="S17" s="68">
        <v>0.42351829715174227</v>
      </c>
    </row>
    <row r="18" spans="1:19">
      <c r="A18" s="65" t="s">
        <v>53</v>
      </c>
      <c r="B18" s="64">
        <v>0</v>
      </c>
      <c r="C18" s="64">
        <v>0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59"/>
      <c r="Q18" s="59"/>
      <c r="R18" s="59"/>
      <c r="S18" s="59"/>
    </row>
    <row r="19" spans="1:19">
      <c r="A19" s="65" t="s">
        <v>54</v>
      </c>
      <c r="B19" s="64">
        <v>0</v>
      </c>
      <c r="C19" s="64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59"/>
      <c r="Q19" s="59"/>
      <c r="R19" s="59"/>
      <c r="S19" s="59"/>
    </row>
    <row r="20" spans="1:19" ht="15.75" thickBot="1">
      <c r="A20" s="71" t="s">
        <v>55</v>
      </c>
      <c r="B20" s="66">
        <v>0</v>
      </c>
      <c r="C20" s="66">
        <v>35298</v>
      </c>
      <c r="D20" s="62">
        <v>228216</v>
      </c>
      <c r="E20" s="62">
        <v>0</v>
      </c>
      <c r="F20" s="62">
        <v>38432</v>
      </c>
      <c r="G20" s="62">
        <v>0</v>
      </c>
      <c r="H20" s="62">
        <v>158314</v>
      </c>
      <c r="I20" s="62">
        <v>6666</v>
      </c>
      <c r="J20" s="62">
        <v>0</v>
      </c>
      <c r="K20" s="62">
        <v>38432</v>
      </c>
      <c r="L20" s="62">
        <v>0</v>
      </c>
      <c r="M20" s="62">
        <v>260323</v>
      </c>
      <c r="N20" s="62">
        <v>27157</v>
      </c>
      <c r="O20" s="62">
        <v>3843</v>
      </c>
      <c r="P20" s="60">
        <v>2.3761378038944581</v>
      </c>
      <c r="Q20" s="60">
        <v>2.0728456357561091</v>
      </c>
      <c r="R20" s="60" t="e">
        <v>#DIV/0!</v>
      </c>
      <c r="S20" s="60">
        <v>0.47609614075440027</v>
      </c>
    </row>
    <row r="21" spans="1:19" ht="15.75" thickTop="1">
      <c r="A21" s="67" t="s">
        <v>76</v>
      </c>
      <c r="B21" s="64">
        <v>0</v>
      </c>
      <c r="C21" s="64">
        <v>275299</v>
      </c>
      <c r="D21" s="64">
        <v>12008563</v>
      </c>
      <c r="E21" s="64">
        <v>0</v>
      </c>
      <c r="F21" s="64">
        <v>1949518</v>
      </c>
      <c r="G21" s="64">
        <v>0</v>
      </c>
      <c r="H21" s="64">
        <v>2100947</v>
      </c>
      <c r="I21" s="64">
        <v>10758</v>
      </c>
      <c r="J21" s="64">
        <v>0</v>
      </c>
      <c r="K21" s="64">
        <v>685470</v>
      </c>
      <c r="L21" s="64">
        <v>0</v>
      </c>
      <c r="M21" s="64">
        <v>3422415</v>
      </c>
      <c r="N21" s="64">
        <v>27157</v>
      </c>
      <c r="O21" s="64">
        <v>296501</v>
      </c>
      <c r="P21" s="68">
        <v>0.92896678479800943</v>
      </c>
      <c r="Q21" s="68">
        <v>1.8926754764329383</v>
      </c>
      <c r="R21" s="68">
        <v>2.7160147399465844</v>
      </c>
      <c r="S21" s="68">
        <v>0.43408133846579294</v>
      </c>
    </row>
    <row r="22" spans="1:19">
      <c r="A22" s="67"/>
      <c r="B22" s="64"/>
      <c r="C22" s="64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59"/>
      <c r="Q22" s="59"/>
      <c r="R22" s="59"/>
      <c r="S22" s="59"/>
    </row>
    <row r="23" spans="1:19" ht="15.75" thickBot="1">
      <c r="A23" s="71" t="s">
        <v>83</v>
      </c>
      <c r="B23" s="66">
        <v>0</v>
      </c>
      <c r="C23" s="66">
        <v>544641</v>
      </c>
      <c r="D23" s="66">
        <v>12008563</v>
      </c>
      <c r="E23" s="66">
        <v>0</v>
      </c>
      <c r="F23" s="66">
        <v>4996223</v>
      </c>
      <c r="G23" s="66">
        <v>0</v>
      </c>
      <c r="H23" s="66">
        <v>5104769</v>
      </c>
      <c r="I23" s="66">
        <v>10758</v>
      </c>
      <c r="J23" s="66">
        <v>0</v>
      </c>
      <c r="K23" s="66">
        <v>1475838</v>
      </c>
      <c r="L23" s="66">
        <v>0</v>
      </c>
      <c r="M23" s="66">
        <v>15096831</v>
      </c>
      <c r="N23" s="66">
        <v>27157</v>
      </c>
      <c r="O23" s="66">
        <v>603033</v>
      </c>
      <c r="P23" s="60">
        <v>0.9091986315259829</v>
      </c>
      <c r="Q23" s="60">
        <v>2.2035315251787209</v>
      </c>
      <c r="R23" s="60">
        <v>4.2914593148192601</v>
      </c>
      <c r="S23" s="60">
        <v>0.27045996664357591</v>
      </c>
    </row>
    <row r="24" spans="1:19" ht="15.75" thickTop="1">
      <c r="A24" s="6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</row>
    <row r="25" spans="1:19" ht="15.75" thickBot="1">
      <c r="A25" s="71" t="s">
        <v>84</v>
      </c>
      <c r="B25" s="66">
        <v>0</v>
      </c>
      <c r="C25" s="66">
        <v>567653</v>
      </c>
      <c r="D25" s="66">
        <v>12008563</v>
      </c>
      <c r="E25" s="66">
        <v>0</v>
      </c>
      <c r="F25" s="66">
        <v>5160310</v>
      </c>
      <c r="G25" s="66">
        <v>0</v>
      </c>
      <c r="H25" s="66">
        <v>5394966</v>
      </c>
      <c r="I25" s="66">
        <v>67157</v>
      </c>
      <c r="J25" s="66">
        <v>0</v>
      </c>
      <c r="K25" s="66">
        <v>1729177</v>
      </c>
      <c r="L25" s="66">
        <v>0</v>
      </c>
      <c r="M25" s="66">
        <v>15633854</v>
      </c>
      <c r="N25" s="66">
        <v>79503</v>
      </c>
      <c r="O25" s="66">
        <v>614377</v>
      </c>
      <c r="P25" s="60">
        <v>0.93302796800240506</v>
      </c>
      <c r="Q25" s="60">
        <v>2.0241020105818994</v>
      </c>
      <c r="R25" s="60">
        <v>4.5760426657899886</v>
      </c>
      <c r="S25" s="60">
        <v>0.2730882594420731</v>
      </c>
    </row>
    <row r="26" spans="1:19" ht="15.75" thickTop="1">
      <c r="A26" s="65"/>
      <c r="B26" s="64"/>
      <c r="C26" s="64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59"/>
      <c r="Q26" s="59"/>
      <c r="R26" s="59"/>
      <c r="S26" s="59"/>
    </row>
    <row r="27" spans="1:19" ht="15.75" thickBot="1">
      <c r="A27" s="71" t="s">
        <v>79</v>
      </c>
      <c r="B27" s="66"/>
      <c r="C27" s="66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0"/>
      <c r="Q27" s="60"/>
      <c r="R27" s="60"/>
      <c r="S27" s="60"/>
    </row>
    <row r="28" spans="1:19" ht="15.75" thickTop="1">
      <c r="A28" s="58"/>
      <c r="B28" s="64"/>
      <c r="C28" s="64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</row>
    <row r="29" spans="1:19">
      <c r="A29" s="58"/>
      <c r="B29" s="64"/>
      <c r="C29" s="64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C9FF752C62EEC49B6E6DFE0ED78D158" ma:contentTypeVersion="119" ma:contentTypeDescription="" ma:contentTypeScope="" ma:versionID="2dca227f7d2c3253a97295416043450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2015-10-30T07:00:00+00:00</OpenedDate>
    <Date1 xmlns="dc463f71-b30c-4ab2-9473-d307f9d35888">2015-10-30T07:00:00+00:00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152076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790728E-8CBF-4DA8-89C0-60656FD552B5}"/>
</file>

<file path=customXml/itemProps2.xml><?xml version="1.0" encoding="utf-8"?>
<ds:datastoreItem xmlns:ds="http://schemas.openxmlformats.org/officeDocument/2006/customXml" ds:itemID="{012D8BB8-8A7C-4E90-9EBA-91243FFE87BC}"/>
</file>

<file path=customXml/itemProps3.xml><?xml version="1.0" encoding="utf-8"?>
<ds:datastoreItem xmlns:ds="http://schemas.openxmlformats.org/officeDocument/2006/customXml" ds:itemID="{F8BD9C91-2E71-4859-B058-049F2A60905A}"/>
</file>

<file path=customXml/itemProps4.xml><?xml version="1.0" encoding="utf-8"?>
<ds:datastoreItem xmlns:ds="http://schemas.openxmlformats.org/officeDocument/2006/customXml" ds:itemID="{0C6A8B39-3370-46D4-9170-9D8EC1451E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WA 2 Year Plan</vt:lpstr>
      <vt:lpstr>WA EG</vt:lpstr>
      <vt:lpstr>WA ELEC</vt:lpstr>
      <vt:lpstr>WA NG</vt:lpstr>
    </vt:vector>
  </TitlesOfParts>
  <Company>Avista 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mrd0036</dc:creator>
  <cp:lastModifiedBy>mrd0036</cp:lastModifiedBy>
  <cp:lastPrinted>2015-10-26T18:49:46Z</cp:lastPrinted>
  <dcterms:created xsi:type="dcterms:W3CDTF">2015-09-23T15:32:31Z</dcterms:created>
  <dcterms:modified xsi:type="dcterms:W3CDTF">2015-11-09T17:15:57Z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0x0101006E56B4D1795A2E4DB2F0B01679ED314A008C9FF752C62EEC49B6E6DFE0ED78D158</vt:lpwstr>
  </property>
  <property fmtid="{D5CDD505-2E9C-101B-9397-08002B2CF9AE}" pid="3" name="_docset_NoMedatataSyncRequired">
    <vt:lpwstr>False</vt:lpwstr>
  </property>
</Properties>
</file>