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488" windowWidth="15180" windowHeight="6336" activeTab="0"/>
  </bookViews>
  <sheets>
    <sheet name="WUTC_KENT_SF" sheetId="1" r:id="rId1"/>
    <sheet name="Value" sheetId="2" r:id="rId2"/>
    <sheet name="Commodity Tonnages" sheetId="3" r:id="rId3"/>
    <sheet name="Pricing" sheetId="4" r:id="rId4"/>
    <sheet name="Single Family" sheetId="5" r:id="rId5"/>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_xlfn.IFERROR" hidden="1">#NAME?</definedName>
    <definedName name="color">#REF!</definedName>
    <definedName name="_xlnm.Print_Area" localSheetId="4">'Single Family'!$A$1:$O$98</definedName>
    <definedName name="_xlnm.Print_Area" localSheetId="0">'WUTC_KENT_SF'!$A$1:$P$67</definedName>
    <definedName name="_xlnm.Print_Titles" localSheetId="4">'Single Family'!$A:$B,'Single Family'!$1:$6</definedName>
  </definedNames>
  <calcPr fullCalcOnLoad="1"/>
</workbook>
</file>

<file path=xl/comments1.xml><?xml version="1.0" encoding="utf-8"?>
<comments xmlns="http://schemas.openxmlformats.org/spreadsheetml/2006/main">
  <authors>
    <author>Alex Brenner</author>
    <author>Vander Zalm, Connor</author>
    <author>Christensen, Abby Rose</author>
  </authors>
  <commentList>
    <comment ref="F37" authorId="0">
      <text>
        <r>
          <rPr>
            <b/>
            <sz val="8"/>
            <rFont val="Tahoma"/>
            <family val="2"/>
          </rPr>
          <t>Monthly Base Credit:</t>
        </r>
        <r>
          <rPr>
            <sz val="8"/>
            <rFont val="Tahoma"/>
            <family val="2"/>
          </rPr>
          <t xml:space="preserve">
This number will be the "12 month running average 'Base Credit'" from the second year of the review period. (eg if the review period covers Oct 2008 through Sept 2009 this number would be the base credit that was calculated for 2009)</t>
        </r>
      </text>
    </comment>
    <comment ref="B9" authorId="1">
      <text>
        <r>
          <rPr>
            <b/>
            <sz val="9"/>
            <rFont val="Tahoma"/>
            <family val="2"/>
          </rPr>
          <t>Vander Zalm, Connor:</t>
        </r>
        <r>
          <rPr>
            <sz val="9"/>
            <rFont val="Tahoma"/>
            <family val="2"/>
          </rPr>
          <t xml:space="preserve">
This Information comes from Debbie G's "Tons Master Files" which can be found in:
V:\Division\Accounting\2013\Accounts Receivable\County &amp; City Reporting (Shortcut in V:\District\Accounting\WUTC Files\RSA)
Then Choose the applicable location file, the "route split and tons" folder and then the month file. Within these files you will see a file called:
"Tons Master" for single family. Go to the "Tons" tab and sum all the recycle tonnage for each location that is subject to WUTC. Each area that is regulated by WUTC should be identified.
Customer Counts are totaled the exact same way by using the recyle customer counts just a few rows above the tonnage summation for each area.
this is also where Multifamily tons come from. go to tab "recycle tons" and scroll to mutlifamily tons. then sum the areas that are regulated by the WUTC.
"EOM Com counts" is where Multifamily yards are found. there is a tab labeled "multifamily yards." this tab will have yards data.
</t>
        </r>
      </text>
    </comment>
    <comment ref="B8" authorId="2">
      <text>
        <r>
          <rPr>
            <b/>
            <sz val="9"/>
            <rFont val="Tahoma"/>
            <family val="2"/>
          </rPr>
          <t>Christensen, Abby Rose:</t>
        </r>
        <r>
          <rPr>
            <sz val="9"/>
            <rFont val="Tahoma"/>
            <family val="2"/>
          </rPr>
          <t xml:space="preserve">
Only includes Black Diamond, Covington, and Unincorp. County
</t>
        </r>
        <r>
          <rPr>
            <b/>
            <sz val="9"/>
            <rFont val="Tahoma"/>
            <family val="2"/>
          </rPr>
          <t>Vander Zalm, Connor:</t>
        </r>
        <r>
          <rPr>
            <sz val="9"/>
            <rFont val="Tahoma"/>
            <family val="2"/>
          </rPr>
          <t xml:space="preserve">
We will continue to include Auburn and Renton (although they have annexed) until they have independent city contracts and are no longer to WUTC rates and commodity credits.
This timeline varies between the 2 areas and there is no actual hard date on which they convert. Will have to monitor this.
Now Includes Auburn and Renton*</t>
        </r>
      </text>
    </comment>
    <comment ref="F33" authorId="0">
      <text>
        <r>
          <rPr>
            <b/>
            <sz val="8"/>
            <rFont val="Tahoma"/>
            <family val="2"/>
          </rPr>
          <t>Monthly Base Credit:</t>
        </r>
        <r>
          <rPr>
            <sz val="8"/>
            <rFont val="Tahoma"/>
            <family val="2"/>
          </rPr>
          <t xml:space="preserve">
This number will be the "12 month running average 'Base Credit'" from the second year of the review period. (eg if the review period covers Oct 2008 through Sept 2009 this number would be the base credit that was calculated for 2009)</t>
        </r>
      </text>
    </comment>
    <comment ref="G56" authorId="2">
      <text>
        <r>
          <rPr>
            <b/>
            <sz val="9"/>
            <rFont val="Tahoma"/>
            <family val="2"/>
          </rPr>
          <t>Christensen, Abby Rose:</t>
        </r>
        <r>
          <rPr>
            <sz val="9"/>
            <rFont val="Tahoma"/>
            <family val="2"/>
          </rPr>
          <t xml:space="preserve">
copy and paste this value into cell F37 </t>
        </r>
      </text>
    </comment>
  </commentList>
</comments>
</file>

<file path=xl/comments2.xml><?xml version="1.0" encoding="utf-8"?>
<comments xmlns="http://schemas.openxmlformats.org/spreadsheetml/2006/main">
  <authors>
    <author>Vander Zalm, Connor</author>
  </authors>
  <commentList>
    <comment ref="Q7" authorId="0">
      <text>
        <r>
          <rPr>
            <b/>
            <sz val="9"/>
            <rFont val="Tahoma"/>
            <family val="2"/>
          </rPr>
          <t>Vander Zalm, Connor:</t>
        </r>
        <r>
          <rPr>
            <sz val="9"/>
            <rFont val="Tahoma"/>
            <family val="2"/>
          </rPr>
          <t xml:space="preserve">
This comes from Alex Brenner's "4176 218070 Commodity Credit Adjustment" JE workbook. On the summary tab he has a column labeled "SF (or MF) Passback."
this is the only piece of info we take from this workbook. Other info comes from Debbie G's "Tons Mater File" or  Jeff Sichmeller from the MRF for Commodity sales prices per ton
</t>
        </r>
      </text>
    </comment>
  </commentList>
</comments>
</file>

<file path=xl/comments5.xml><?xml version="1.0" encoding="utf-8"?>
<comments xmlns="http://schemas.openxmlformats.org/spreadsheetml/2006/main">
  <authors>
    <author>Vander Zalm, Connor</author>
  </authors>
  <commentList>
    <comment ref="C7" authorId="0">
      <text>
        <r>
          <rPr>
            <b/>
            <sz val="9"/>
            <rFont val="Tahoma"/>
            <family val="2"/>
          </rPr>
          <t>Vander Zalm, Connor:</t>
        </r>
        <r>
          <rPr>
            <sz val="9"/>
            <rFont val="Tahoma"/>
            <family val="2"/>
          </rPr>
          <t xml:space="preserve">
This Information comes from Debbie G's "Tons Master Files" which can be found in:
V:\Division\Accounting\2013\Accounts Receivable\County &amp; City Reporting (Shortcut in V:\District\Accounting\WUTC Files\RSA)
Then Choose the applicable location file, the "route split and tons" folder and then the month file. Within these files you will see a file called:
"Tons Master" for single family. Go to the "Tons" tab and sum all the recycle tonnage for each location that is subject to WUTC. Each area that is regulated by WUTC should be identified.
Customer Counts are totaled the exact same way by using the recyle customer counts just a few rows above the tonnage summation for each area.
this is also where Multifamily tons come from. go to tab "recycle tons" and scroll to mutlifamily tons. then sum the areas that are regulated by the WUTC.
"EOM Com counts" is where Multifamily yards are found. there is a tab labeled "multifamily yards." this tab will have yards data.
</t>
        </r>
      </text>
    </comment>
  </commentList>
</comments>
</file>

<file path=xl/sharedStrings.xml><?xml version="1.0" encoding="utf-8"?>
<sst xmlns="http://schemas.openxmlformats.org/spreadsheetml/2006/main" count="194" uniqueCount="81">
  <si>
    <t>Kent-Meridian Disposal</t>
  </si>
  <si>
    <t>Deferred Accounting Methodology</t>
  </si>
  <si>
    <t>Single Family</t>
  </si>
  <si>
    <t>Commodity</t>
  </si>
  <si>
    <t>Revenue</t>
  </si>
  <si>
    <t>Annual</t>
  </si>
  <si>
    <t>Month</t>
  </si>
  <si>
    <t>Customers</t>
  </si>
  <si>
    <t>per Customer</t>
  </si>
  <si>
    <t>(b1)</t>
  </si>
  <si>
    <t>(b2)</t>
  </si>
  <si>
    <t>(a)</t>
  </si>
  <si>
    <t>(c)</t>
  </si>
  <si>
    <t>(d)</t>
  </si>
  <si>
    <t>Commodity Gain/Loss Calculation</t>
  </si>
  <si>
    <t>Actual Commodity Revenues</t>
  </si>
  <si>
    <t>Monthly Base Credit per customer</t>
  </si>
  <si>
    <t xml:space="preserve">   Base Credits Billed</t>
  </si>
  <si>
    <t xml:space="preserve">      Total Base Credits Billed</t>
  </si>
  <si>
    <t>Total Annual Customers</t>
  </si>
  <si>
    <t>Kent Meridian Disposal</t>
  </si>
  <si>
    <t>Alum</t>
  </si>
  <si>
    <t>Glass</t>
  </si>
  <si>
    <t>Tin/Iron</t>
  </si>
  <si>
    <t>ONP</t>
  </si>
  <si>
    <t>MWP</t>
  </si>
  <si>
    <t>Pet</t>
  </si>
  <si>
    <t>HDPE</t>
  </si>
  <si>
    <t>OCC</t>
  </si>
  <si>
    <t>Other</t>
  </si>
  <si>
    <t>Total</t>
  </si>
  <si>
    <t xml:space="preserve"> </t>
  </si>
  <si>
    <t>Monthly Average</t>
  </si>
  <si>
    <t xml:space="preserve">Total </t>
  </si>
  <si>
    <t>Total Tons</t>
  </si>
  <si>
    <t>Sorted Glass Percentage</t>
  </si>
  <si>
    <t>Sorted Glass</t>
  </si>
  <si>
    <t>Sampled Tons</t>
  </si>
  <si>
    <t>Sampling Percentages</t>
  </si>
  <si>
    <t>Magazines</t>
  </si>
  <si>
    <t>Tin</t>
  </si>
  <si>
    <t>Plastic</t>
  </si>
  <si>
    <t>Aluminum</t>
  </si>
  <si>
    <t>Ferris Metal</t>
  </si>
  <si>
    <t>Glass Contamination</t>
  </si>
  <si>
    <t>Trash</t>
  </si>
  <si>
    <t>Mixed Paper</t>
  </si>
  <si>
    <t>Sampled Tonnage</t>
  </si>
  <si>
    <t>Recovery Percentages</t>
  </si>
  <si>
    <t>Recovered Tonnages</t>
  </si>
  <si>
    <t xml:space="preserve">Product Sales Rates </t>
  </si>
  <si>
    <t>Product Value</t>
  </si>
  <si>
    <t>Total Value</t>
  </si>
  <si>
    <t>Value per Ton</t>
  </si>
  <si>
    <t>12 month running average "BASE CREDIT"</t>
  </si>
  <si>
    <t>Glass (cont.)</t>
  </si>
  <si>
    <t>Total Additional Passback</t>
  </si>
  <si>
    <t>Single-Family Additional Credit</t>
  </si>
  <si>
    <t>TG-12______</t>
  </si>
  <si>
    <t>For use in Budget Calculation</t>
  </si>
  <si>
    <t>Total Trailing 12 Mo. Commodity Value / Customer</t>
  </si>
  <si>
    <t>Most recent Total # of Customers</t>
  </si>
  <si>
    <t>Base Credit to be Passed Back</t>
  </si>
  <si>
    <t>Budget total Revenue</t>
  </si>
  <si>
    <t>Budget Revenue Passed Back</t>
  </si>
  <si>
    <t>Current Plan Part A Total</t>
  </si>
  <si>
    <t>Prior Plan Part B Total</t>
  </si>
  <si>
    <t>% of Revenue Passed Back</t>
  </si>
  <si>
    <t>% Passed Back</t>
  </si>
  <si>
    <t>Average</t>
  </si>
  <si>
    <t>Commodities</t>
  </si>
  <si>
    <t>Budget</t>
  </si>
  <si>
    <t>Weigted Ave $/Tn</t>
  </si>
  <si>
    <t>Variance - $ / ton</t>
  </si>
  <si>
    <t>Total Revenue Impact</t>
  </si>
  <si>
    <t>average</t>
  </si>
  <si>
    <t>Retained</t>
  </si>
  <si>
    <t>-</t>
  </si>
  <si>
    <t>2014/2015 plan year total tons</t>
  </si>
  <si>
    <t>2014/2015 plan YTD ave tons/month</t>
  </si>
  <si>
    <t xml:space="preserve">12 month </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</si>
</sst>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_);_(* \(#,##0.0\);_(* &quot;-&quot;??_);_(@_)"/>
    <numFmt numFmtId="167" formatCode="_(* #,##0.000_);_(* \(#,##0.000\);_(* &quot;-&quot;??_);_(@_)"/>
    <numFmt numFmtId="168" formatCode="_(* #,##0.000_);_(* \(#,##0.000\);_(* &quot;-&quot;???_);_(@_)"/>
    <numFmt numFmtId="169" formatCode="0.000"/>
    <numFmt numFmtId="170" formatCode="mm/dd/yy"/>
    <numFmt numFmtId="171" formatCode="0.0"/>
    <numFmt numFmtId="172" formatCode="0.0000"/>
    <numFmt numFmtId="173" formatCode="0.00000"/>
    <numFmt numFmtId="174" formatCode="0.000000"/>
    <numFmt numFmtId="175" formatCode="0.0000000"/>
    <numFmt numFmtId="176" formatCode="0.00000000"/>
    <numFmt numFmtId="177" formatCode="General_)"/>
    <numFmt numFmtId="178" formatCode="#,##0.0000_);\(#,##0.0000\)"/>
    <numFmt numFmtId="179" formatCode="0_)"/>
    <numFmt numFmtId="180" formatCode="#,##0.000_);\(#,##0.000\)"/>
    <numFmt numFmtId="181" formatCode="0.0000%"/>
    <numFmt numFmtId="182" formatCode="#,##0.000000_);\(#,##0.000000\)"/>
    <numFmt numFmtId="183" formatCode="&quot;$&quot;#,##0.0_);\(&quot;$&quot;#,##0.0\)"/>
    <numFmt numFmtId="184" formatCode="#,##0.000_);[Red]\(#,##0.000\)"/>
    <numFmt numFmtId="185" formatCode="#,##0.0000_);[Red]\(#,##0.0000\)"/>
    <numFmt numFmtId="186" formatCode="&quot;$&quot;\ \ #,##0_);[Red]&quot;$&quot;\ \ \(#,##0\)"/>
    <numFmt numFmtId="187" formatCode="#,##0.0_);[Red]\(#,##0.0\)"/>
    <numFmt numFmtId="188" formatCode="mmmm\ dd\,\ yyyy"/>
    <numFmt numFmtId="189" formatCode="0.000000000"/>
    <numFmt numFmtId="190" formatCode="0.000%"/>
    <numFmt numFmtId="191" formatCode="#,##0.0_);\(#,##0.0\)"/>
    <numFmt numFmtId="192" formatCode="#,##0.00000_);\(#,##0.00000\)"/>
    <numFmt numFmtId="193" formatCode="_(* #,##0.0_);_(* \(#,##0.0\);_(* &quot;-&quot;_);_(@_)"/>
    <numFmt numFmtId="194" formatCode="_(* #,##0.00_);_(* \(#,##0.00\);_(* &quot;-&quot;_);_(@_)"/>
    <numFmt numFmtId="195" formatCode="_(* #,##0.000_);_(* \(#,##0.000\);_(* &quot;-&quot;_);_(@_)"/>
    <numFmt numFmtId="196" formatCode="_(* #,##0.0000_);_(* \(#,##0.0000\);_(* &quot;-&quot;_);_(@_)"/>
    <numFmt numFmtId="197" formatCode="mmmm"/>
    <numFmt numFmtId="198" formatCode="&quot;$&quot;#,##0.0_);[Red]\(&quot;$&quot;#,##0.0\)"/>
    <numFmt numFmtId="199" formatCode="#,##0.00000_);[Red]\(#,##0.00000\)"/>
    <numFmt numFmtId="200" formatCode="#,##0.000000_);[Red]\(#,##0.000000\)"/>
    <numFmt numFmtId="201" formatCode="&quot;$&quot;#,##0.0000_);[Red]\(&quot;$&quot;#,##0.0000\)"/>
    <numFmt numFmtId="202" formatCode="_(* #,##0.0000_);_(* \(#,##0.0000\);_(* &quot;-&quot;??_);_(@_)"/>
    <numFmt numFmtId="203" formatCode="#,##0.0"/>
    <numFmt numFmtId="204" formatCode="_(* #,##0.00000_);_(* \(#,##0.00000\);_(* &quot;-&quot;??_);_(@_)"/>
    <numFmt numFmtId="205" formatCode="yyyy"/>
    <numFmt numFmtId="206" formatCode="0.0_)"/>
    <numFmt numFmtId="207" formatCode="0.00_)"/>
    <numFmt numFmtId="208" formatCode="&quot;$&quot;\ #,##0.00_);[Red]\(&quot;$&quot;\ #,##0.00\)"/>
    <numFmt numFmtId="209" formatCode="#,##0.000"/>
    <numFmt numFmtId="210" formatCode="#,##0.0000"/>
    <numFmt numFmtId="211" formatCode="mmmm\ d\,\ yyyy"/>
    <numFmt numFmtId="212" formatCode="&quot;$&quot;\ \ #,##0.00_);[Red]\(&quot;$&quot;\ \ #,##0.00\)"/>
    <numFmt numFmtId="213" formatCode="_(* #,##0.000000_);_(* \(#,##0.000000\);_(* &quot;-&quot;??_);_(@_)"/>
    <numFmt numFmtId="214" formatCode="_(* #,##0.0000000_);_(* \(#,##0.0000000\);_(* &quot;-&quot;??_);_(@_)"/>
    <numFmt numFmtId="215" formatCode="_(* #,##0.00000000_);_(* \(#,##0.00000000\);_(* &quot;-&quot;??_);_(@_)"/>
    <numFmt numFmtId="216" formatCode="_(* #,##0.000000000_);_(* \(#,##0.000000000\);_(* &quot;-&quot;??_);_(@_)"/>
    <numFmt numFmtId="217" formatCode="mmmm\ yyyy"/>
    <numFmt numFmtId="218" formatCode="0.000E+00"/>
    <numFmt numFmtId="219" formatCode="#,##0.000000000_);\(#,##0.000000000\)"/>
    <numFmt numFmtId="220" formatCode="_(* #,##0.0_);_(* \(#,##0.0\);_(* &quot;-&quot;?_);_(@_)"/>
    <numFmt numFmtId="221" formatCode="_(&quot;$&quot;* #,##0.000_);_(&quot;$&quot;* \(#,##0.000\);_(&quot;$&quot;* &quot;-&quot;??_);_(@_)"/>
    <numFmt numFmtId="222" formatCode="_(&quot;$&quot;* #,##0.0_);_(&quot;$&quot;* \(#,##0.0\);_(&quot;$&quot;* &quot;-&quot;??_);_(@_)"/>
    <numFmt numFmtId="223" formatCode="_(&quot;$&quot;* #,##0_);_(&quot;$&quot;* \(#,##0\);_(&quot;$&quot;* &quot;-&quot;??_);_(@_)"/>
    <numFmt numFmtId="224" formatCode="mmm\-yyyy"/>
    <numFmt numFmtId="225" formatCode="mmmm\-yy"/>
    <numFmt numFmtId="226" formatCode="_(* #,##0.0000_);_(* \(#,##0.0000\);_(* &quot;-&quot;????_);_(@_)"/>
  </numFmts>
  <fonts count="55">
    <font>
      <sz val="10"/>
      <name val="Arial"/>
      <family val="0"/>
    </font>
    <font>
      <b/>
      <sz val="10"/>
      <name val="Arial"/>
      <family val="0"/>
    </font>
    <font>
      <i/>
      <sz val="10"/>
      <name val="Arial"/>
      <family val="0"/>
    </font>
    <font>
      <b/>
      <i/>
      <sz val="10"/>
      <name val="Arial"/>
      <family val="0"/>
    </font>
    <font>
      <u val="single"/>
      <sz val="10"/>
      <color indexed="36"/>
      <name val="Arial"/>
      <family val="2"/>
    </font>
    <font>
      <u val="single"/>
      <sz val="10"/>
      <color indexed="12"/>
      <name val="Arial"/>
      <family val="2"/>
    </font>
    <font>
      <sz val="10"/>
      <name val="MS Sans Serif"/>
      <family val="2"/>
    </font>
    <font>
      <sz val="8"/>
      <name val="Arial"/>
      <family val="2"/>
    </font>
    <font>
      <sz val="8"/>
      <name val="Helv"/>
      <family val="0"/>
    </font>
    <font>
      <b/>
      <sz val="8"/>
      <name val="Arial"/>
      <family val="2"/>
    </font>
    <font>
      <u val="single"/>
      <sz val="8"/>
      <name val="Arial"/>
      <family val="2"/>
    </font>
    <font>
      <b/>
      <u val="single"/>
      <sz val="8"/>
      <name val="Arial"/>
      <family val="2"/>
    </font>
    <font>
      <sz val="8"/>
      <color indexed="12"/>
      <name val="Arial"/>
      <family val="2"/>
    </font>
    <font>
      <i/>
      <sz val="8"/>
      <name val="Arial"/>
      <family val="2"/>
    </font>
    <font>
      <b/>
      <sz val="8"/>
      <name val="Tahoma"/>
      <family val="2"/>
    </font>
    <font>
      <sz val="8"/>
      <name val="Tahoma"/>
      <family val="2"/>
    </font>
    <font>
      <b/>
      <i/>
      <sz val="8"/>
      <name val="Arial"/>
      <family val="2"/>
    </font>
    <font>
      <i/>
      <sz val="8"/>
      <color indexed="12"/>
      <name val="Arial"/>
      <family val="2"/>
    </font>
    <font>
      <sz val="9"/>
      <name val="Tahoma"/>
      <family val="2"/>
    </font>
    <font>
      <b/>
      <sz val="9"/>
      <name val="Tahoma"/>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3"/>
        <bgColor indexed="64"/>
      </patternFill>
    </fill>
    <fill>
      <patternFill patternType="solid">
        <fgColor rgb="FF92D050"/>
        <bgColor indexed="64"/>
      </patternFill>
    </fill>
    <fill>
      <patternFill patternType="solid">
        <fgColor rgb="FFFFFF00"/>
        <bgColor indexed="64"/>
      </patternFill>
    </fill>
    <fill>
      <patternFill patternType="solid">
        <fgColor theme="0" tint="-0.149990007281303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ck"/>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medium"/>
      <top style="medium"/>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5"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6"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49">
    <xf numFmtId="0" fontId="0" fillId="0" borderId="0" xfId="0" applyAlignment="1">
      <alignment/>
    </xf>
    <xf numFmtId="0" fontId="1" fillId="0" borderId="0" xfId="57" applyFont="1">
      <alignment/>
      <protection/>
    </xf>
    <xf numFmtId="0" fontId="7" fillId="0" borderId="0" xfId="57" applyFont="1">
      <alignment/>
      <protection/>
    </xf>
    <xf numFmtId="0" fontId="7" fillId="0" borderId="0" xfId="57" applyFont="1" applyAlignment="1">
      <alignment horizontal="center"/>
      <protection/>
    </xf>
    <xf numFmtId="0" fontId="8" fillId="0" borderId="0" xfId="57" applyFont="1" applyAlignment="1">
      <alignment horizontal="center"/>
      <protection/>
    </xf>
    <xf numFmtId="0" fontId="6" fillId="0" borderId="0" xfId="57">
      <alignment/>
      <protection/>
    </xf>
    <xf numFmtId="0" fontId="9" fillId="0" borderId="0" xfId="57" applyFont="1">
      <alignment/>
      <protection/>
    </xf>
    <xf numFmtId="14" fontId="7" fillId="0" borderId="0" xfId="57" applyNumberFormat="1" applyFont="1" applyAlignment="1">
      <alignment horizontal="center"/>
      <protection/>
    </xf>
    <xf numFmtId="0" fontId="10" fillId="0" borderId="0" xfId="57" applyFont="1">
      <alignment/>
      <protection/>
    </xf>
    <xf numFmtId="0" fontId="11" fillId="0" borderId="0" xfId="57" applyFont="1">
      <alignment/>
      <protection/>
    </xf>
    <xf numFmtId="0" fontId="11" fillId="0" borderId="0" xfId="57" applyFont="1" applyAlignment="1">
      <alignment horizontal="center"/>
      <protection/>
    </xf>
    <xf numFmtId="0" fontId="9" fillId="0" borderId="0" xfId="57" applyFont="1" applyAlignment="1">
      <alignment horizontal="center"/>
      <protection/>
    </xf>
    <xf numFmtId="194" fontId="9" fillId="0" borderId="0" xfId="57" applyNumberFormat="1" applyFont="1" applyAlignment="1">
      <alignment horizontal="center"/>
      <protection/>
    </xf>
    <xf numFmtId="1" fontId="7" fillId="0" borderId="0" xfId="57" applyNumberFormat="1" applyFont="1">
      <alignment/>
      <protection/>
    </xf>
    <xf numFmtId="41" fontId="7" fillId="0" borderId="0" xfId="57" applyNumberFormat="1" applyFont="1">
      <alignment/>
      <protection/>
    </xf>
    <xf numFmtId="194" fontId="9" fillId="0" borderId="0" xfId="57" applyNumberFormat="1" applyFont="1">
      <alignment/>
      <protection/>
    </xf>
    <xf numFmtId="194" fontId="7" fillId="0" borderId="0" xfId="57" applyNumberFormat="1" applyFont="1">
      <alignment/>
      <protection/>
    </xf>
    <xf numFmtId="197" fontId="7" fillId="0" borderId="0" xfId="57" applyNumberFormat="1" applyFont="1" applyAlignment="1">
      <alignment horizontal="right"/>
      <protection/>
    </xf>
    <xf numFmtId="41" fontId="12" fillId="0" borderId="0" xfId="57" applyNumberFormat="1" applyFont="1" applyAlignment="1">
      <alignment horizontal="center"/>
      <protection/>
    </xf>
    <xf numFmtId="194" fontId="7" fillId="0" borderId="0" xfId="57" applyNumberFormat="1" applyFont="1" applyAlignment="1">
      <alignment horizontal="center"/>
      <protection/>
    </xf>
    <xf numFmtId="194" fontId="7" fillId="0" borderId="0" xfId="57" applyNumberFormat="1" applyFont="1" applyFill="1" applyAlignment="1">
      <alignment horizontal="center"/>
      <protection/>
    </xf>
    <xf numFmtId="41" fontId="12" fillId="0" borderId="0" xfId="57" applyNumberFormat="1" applyFont="1">
      <alignment/>
      <protection/>
    </xf>
    <xf numFmtId="41" fontId="13" fillId="0" borderId="0" xfId="57" applyNumberFormat="1" applyFont="1" applyAlignment="1">
      <alignment horizontal="left"/>
      <protection/>
    </xf>
    <xf numFmtId="41" fontId="7" fillId="0" borderId="10" xfId="57" applyNumberFormat="1" applyFont="1" applyBorder="1">
      <alignment/>
      <protection/>
    </xf>
    <xf numFmtId="195" fontId="7" fillId="0" borderId="0" xfId="57" applyNumberFormat="1" applyFont="1">
      <alignment/>
      <protection/>
    </xf>
    <xf numFmtId="194" fontId="6" fillId="0" borderId="0" xfId="57" applyNumberFormat="1">
      <alignment/>
      <protection/>
    </xf>
    <xf numFmtId="197" fontId="7" fillId="0" borderId="0" xfId="57" applyNumberFormat="1" applyFont="1">
      <alignment/>
      <protection/>
    </xf>
    <xf numFmtId="41" fontId="7" fillId="0" borderId="11" xfId="57" applyNumberFormat="1" applyFont="1" applyBorder="1">
      <alignment/>
      <protection/>
    </xf>
    <xf numFmtId="41" fontId="9" fillId="0" borderId="12" xfId="57" applyNumberFormat="1" applyFont="1" applyBorder="1">
      <alignment/>
      <protection/>
    </xf>
    <xf numFmtId="41" fontId="7" fillId="0" borderId="12" xfId="57" applyNumberFormat="1" applyFont="1" applyBorder="1">
      <alignment/>
      <protection/>
    </xf>
    <xf numFmtId="41" fontId="10" fillId="0" borderId="0" xfId="57" applyNumberFormat="1" applyFont="1">
      <alignment/>
      <protection/>
    </xf>
    <xf numFmtId="41" fontId="7" fillId="0" borderId="0" xfId="57" applyNumberFormat="1" applyFont="1" applyAlignment="1">
      <alignment horizontal="right"/>
      <protection/>
    </xf>
    <xf numFmtId="1" fontId="10" fillId="0" borderId="0" xfId="57" applyNumberFormat="1" applyFont="1">
      <alignment/>
      <protection/>
    </xf>
    <xf numFmtId="195" fontId="12" fillId="0" borderId="0" xfId="57" applyNumberFormat="1" applyFont="1">
      <alignment/>
      <protection/>
    </xf>
    <xf numFmtId="41" fontId="7" fillId="0" borderId="0" xfId="57" applyNumberFormat="1" applyFont="1" applyBorder="1">
      <alignment/>
      <protection/>
    </xf>
    <xf numFmtId="41" fontId="7" fillId="0" borderId="13" xfId="57" applyNumberFormat="1" applyFont="1" applyBorder="1">
      <alignment/>
      <protection/>
    </xf>
    <xf numFmtId="41" fontId="7" fillId="0" borderId="14" xfId="57" applyNumberFormat="1" applyFont="1" applyBorder="1">
      <alignment/>
      <protection/>
    </xf>
    <xf numFmtId="41" fontId="7" fillId="0" borderId="15" xfId="57" applyNumberFormat="1" applyFont="1" applyBorder="1">
      <alignment/>
      <protection/>
    </xf>
    <xf numFmtId="195" fontId="7" fillId="0" borderId="11" xfId="57" applyNumberFormat="1" applyFont="1" applyBorder="1">
      <alignment/>
      <protection/>
    </xf>
    <xf numFmtId="194" fontId="7" fillId="0" borderId="0" xfId="57" applyNumberFormat="1" applyFont="1" applyFill="1" applyBorder="1">
      <alignment/>
      <protection/>
    </xf>
    <xf numFmtId="197" fontId="7" fillId="0" borderId="0" xfId="57" applyNumberFormat="1" applyFont="1" applyFill="1" applyBorder="1" applyAlignment="1">
      <alignment horizontal="right"/>
      <protection/>
    </xf>
    <xf numFmtId="41" fontId="13" fillId="0" borderId="0" xfId="57" applyNumberFormat="1" applyFont="1" applyFill="1" applyBorder="1" applyAlignment="1">
      <alignment horizontal="left"/>
      <protection/>
    </xf>
    <xf numFmtId="41" fontId="7" fillId="0" borderId="0" xfId="57" applyNumberFormat="1" applyFont="1" applyFill="1" applyBorder="1">
      <alignment/>
      <protection/>
    </xf>
    <xf numFmtId="41" fontId="12" fillId="0" borderId="0" xfId="57" applyNumberFormat="1" applyFont="1" applyFill="1" applyBorder="1">
      <alignment/>
      <protection/>
    </xf>
    <xf numFmtId="1" fontId="7" fillId="0" borderId="0" xfId="57" applyNumberFormat="1" applyFont="1" applyFill="1" applyBorder="1">
      <alignment/>
      <protection/>
    </xf>
    <xf numFmtId="0" fontId="6" fillId="0" borderId="0" xfId="57" applyFill="1" applyBorder="1">
      <alignment/>
      <protection/>
    </xf>
    <xf numFmtId="194" fontId="6" fillId="0" borderId="0" xfId="57" applyNumberFormat="1" applyFill="1" applyBorder="1">
      <alignment/>
      <protection/>
    </xf>
    <xf numFmtId="197" fontId="7" fillId="0" borderId="0" xfId="57" applyNumberFormat="1" applyFont="1" applyFill="1" applyBorder="1">
      <alignment/>
      <protection/>
    </xf>
    <xf numFmtId="195" fontId="7" fillId="0" borderId="0" xfId="57" applyNumberFormat="1" applyFont="1" applyFill="1" applyBorder="1">
      <alignment/>
      <protection/>
    </xf>
    <xf numFmtId="194" fontId="7" fillId="0" borderId="13" xfId="57" applyNumberFormat="1" applyFont="1" applyBorder="1">
      <alignment/>
      <protection/>
    </xf>
    <xf numFmtId="194" fontId="7" fillId="0" borderId="15" xfId="57" applyNumberFormat="1" applyFont="1" applyBorder="1">
      <alignment/>
      <protection/>
    </xf>
    <xf numFmtId="2" fontId="6" fillId="0" borderId="0" xfId="57" applyNumberFormat="1">
      <alignment/>
      <protection/>
    </xf>
    <xf numFmtId="0" fontId="1" fillId="0" borderId="0" xfId="0" applyFont="1" applyBorder="1" applyAlignment="1">
      <alignment/>
    </xf>
    <xf numFmtId="0" fontId="0" fillId="0" borderId="0" xfId="0" applyBorder="1" applyAlignment="1">
      <alignment/>
    </xf>
    <xf numFmtId="0" fontId="1" fillId="0" borderId="0" xfId="0" applyFont="1" applyFill="1" applyBorder="1" applyAlignment="1">
      <alignment/>
    </xf>
    <xf numFmtId="17" fontId="0" fillId="0" borderId="0" xfId="0" applyNumberFormat="1" applyBorder="1" applyAlignment="1">
      <alignment/>
    </xf>
    <xf numFmtId="17" fontId="1" fillId="0" borderId="0" xfId="0" applyNumberFormat="1" applyFont="1" applyAlignment="1">
      <alignment horizontal="center"/>
    </xf>
    <xf numFmtId="209" fontId="0" fillId="0" borderId="0" xfId="0" applyNumberFormat="1" applyBorder="1" applyAlignment="1">
      <alignment/>
    </xf>
    <xf numFmtId="209" fontId="0" fillId="0" borderId="0" xfId="0" applyNumberFormat="1" applyAlignment="1">
      <alignment/>
    </xf>
    <xf numFmtId="17" fontId="7" fillId="0" borderId="0" xfId="0" applyNumberFormat="1" applyFont="1" applyAlignment="1">
      <alignment/>
    </xf>
    <xf numFmtId="0" fontId="7" fillId="0" borderId="0" xfId="0" applyFont="1" applyAlignment="1">
      <alignment/>
    </xf>
    <xf numFmtId="2" fontId="7" fillId="0" borderId="0" xfId="0" applyNumberFormat="1" applyFont="1" applyAlignment="1">
      <alignment/>
    </xf>
    <xf numFmtId="2" fontId="0" fillId="0" borderId="0" xfId="0" applyNumberFormat="1" applyAlignment="1">
      <alignment/>
    </xf>
    <xf numFmtId="0" fontId="7" fillId="0" borderId="0" xfId="0" applyFont="1" applyAlignment="1">
      <alignment horizontal="center"/>
    </xf>
    <xf numFmtId="17" fontId="0" fillId="0" borderId="0" xfId="0" applyNumberFormat="1" applyAlignment="1">
      <alignment/>
    </xf>
    <xf numFmtId="4" fontId="7" fillId="0" borderId="0" xfId="0" applyNumberFormat="1" applyFont="1" applyAlignment="1">
      <alignment/>
    </xf>
    <xf numFmtId="4" fontId="0" fillId="0" borderId="0" xfId="0" applyNumberFormat="1" applyAlignment="1">
      <alignment/>
    </xf>
    <xf numFmtId="4" fontId="1" fillId="0" borderId="0" xfId="0" applyNumberFormat="1" applyFont="1" applyAlignment="1">
      <alignment horizontal="center"/>
    </xf>
    <xf numFmtId="9" fontId="0" fillId="0" borderId="0" xfId="60" applyAlignment="1">
      <alignment/>
    </xf>
    <xf numFmtId="40" fontId="7" fillId="0" borderId="0" xfId="0" applyNumberFormat="1" applyFont="1" applyAlignment="1">
      <alignment/>
    </xf>
    <xf numFmtId="43" fontId="7" fillId="0" borderId="0" xfId="42" applyFont="1" applyAlignment="1">
      <alignment/>
    </xf>
    <xf numFmtId="44" fontId="7" fillId="0" borderId="11" xfId="44" applyNumberFormat="1" applyFont="1" applyBorder="1" applyAlignment="1">
      <alignment/>
    </xf>
    <xf numFmtId="44" fontId="7" fillId="0" borderId="10" xfId="44" applyNumberFormat="1" applyFont="1" applyBorder="1" applyAlignment="1">
      <alignment/>
    </xf>
    <xf numFmtId="44" fontId="7" fillId="0" borderId="0" xfId="44" applyFont="1" applyAlignment="1">
      <alignment/>
    </xf>
    <xf numFmtId="41" fontId="7" fillId="0" borderId="0" xfId="57" applyNumberFormat="1" applyFont="1" applyAlignment="1">
      <alignment horizontal="left" indent="1"/>
      <protection/>
    </xf>
    <xf numFmtId="4" fontId="7" fillId="0" borderId="10" xfId="0" applyNumberFormat="1" applyFont="1" applyBorder="1" applyAlignment="1">
      <alignment/>
    </xf>
    <xf numFmtId="40" fontId="7" fillId="0" borderId="10" xfId="0" applyNumberFormat="1" applyFont="1" applyBorder="1" applyAlignment="1">
      <alignment/>
    </xf>
    <xf numFmtId="43" fontId="7" fillId="0" borderId="10" xfId="42" applyFont="1" applyBorder="1" applyAlignment="1">
      <alignment/>
    </xf>
    <xf numFmtId="0" fontId="9" fillId="0" borderId="0" xfId="0" applyFont="1" applyAlignment="1">
      <alignment/>
    </xf>
    <xf numFmtId="0" fontId="7" fillId="0" borderId="0" xfId="0" applyFont="1" applyFill="1" applyBorder="1" applyAlignment="1">
      <alignment horizontal="center"/>
    </xf>
    <xf numFmtId="0" fontId="9" fillId="0" borderId="0" xfId="0" applyFont="1" applyAlignment="1">
      <alignment horizontal="center"/>
    </xf>
    <xf numFmtId="0" fontId="9" fillId="0" borderId="0" xfId="0" applyFont="1" applyAlignment="1">
      <alignment horizontal="centerContinuous"/>
    </xf>
    <xf numFmtId="17" fontId="7" fillId="33" borderId="0" xfId="0" applyNumberFormat="1" applyFont="1" applyFill="1" applyBorder="1" applyAlignment="1">
      <alignment horizontal="center"/>
    </xf>
    <xf numFmtId="17" fontId="7" fillId="0" borderId="0" xfId="0" applyNumberFormat="1" applyFont="1" applyFill="1" applyBorder="1" applyAlignment="1">
      <alignment horizontal="center"/>
    </xf>
    <xf numFmtId="2" fontId="9" fillId="0" borderId="0" xfId="0" applyNumberFormat="1" applyFont="1" applyAlignment="1">
      <alignment/>
    </xf>
    <xf numFmtId="2" fontId="9" fillId="33" borderId="0" xfId="0" applyNumberFormat="1" applyFont="1" applyFill="1" applyBorder="1" applyAlignment="1">
      <alignment/>
    </xf>
    <xf numFmtId="9" fontId="7" fillId="0" borderId="0" xfId="60" applyFont="1" applyFill="1" applyAlignment="1">
      <alignment/>
    </xf>
    <xf numFmtId="43" fontId="7" fillId="0" borderId="14" xfId="42" applyFont="1" applyBorder="1" applyAlignment="1">
      <alignment/>
    </xf>
    <xf numFmtId="43" fontId="7" fillId="0" borderId="0" xfId="0" applyNumberFormat="1" applyFont="1" applyAlignment="1">
      <alignment/>
    </xf>
    <xf numFmtId="0" fontId="7" fillId="0" borderId="0" xfId="0" applyFont="1" applyFill="1" applyAlignment="1">
      <alignment/>
    </xf>
    <xf numFmtId="10" fontId="7" fillId="33" borderId="0" xfId="0" applyNumberFormat="1" applyFont="1" applyFill="1" applyAlignment="1">
      <alignment/>
    </xf>
    <xf numFmtId="10" fontId="7" fillId="33" borderId="0" xfId="60" applyNumberFormat="1" applyFont="1" applyFill="1" applyAlignment="1">
      <alignment/>
    </xf>
    <xf numFmtId="10" fontId="7" fillId="0" borderId="0" xfId="60" applyNumberFormat="1" applyFont="1" applyAlignment="1">
      <alignment/>
    </xf>
    <xf numFmtId="10" fontId="9" fillId="34" borderId="0" xfId="60" applyNumberFormat="1" applyFont="1" applyFill="1" applyAlignment="1">
      <alignment/>
    </xf>
    <xf numFmtId="9" fontId="7" fillId="0" borderId="0" xfId="60" applyFont="1" applyAlignment="1">
      <alignment/>
    </xf>
    <xf numFmtId="43" fontId="7" fillId="0" borderId="0" xfId="42" applyNumberFormat="1" applyFont="1" applyAlignment="1">
      <alignment/>
    </xf>
    <xf numFmtId="0" fontId="9" fillId="0" borderId="0" xfId="0" applyFont="1" applyAlignment="1" quotePrefix="1">
      <alignment horizontal="left"/>
    </xf>
    <xf numFmtId="44" fontId="7" fillId="33" borderId="16" xfId="44" applyFont="1" applyFill="1" applyBorder="1" applyAlignment="1">
      <alignment/>
    </xf>
    <xf numFmtId="44" fontId="7" fillId="0" borderId="14" xfId="44" applyFont="1" applyBorder="1" applyAlignment="1">
      <alignment/>
    </xf>
    <xf numFmtId="44" fontId="9" fillId="0" borderId="0" xfId="44" applyFont="1" applyBorder="1" applyAlignment="1">
      <alignment/>
    </xf>
    <xf numFmtId="43" fontId="9" fillId="0" borderId="0" xfId="42" applyFont="1" applyBorder="1" applyAlignment="1">
      <alignment/>
    </xf>
    <xf numFmtId="43" fontId="9" fillId="0" borderId="13" xfId="42" applyFont="1" applyBorder="1" applyAlignment="1">
      <alignment/>
    </xf>
    <xf numFmtId="44" fontId="7" fillId="0" borderId="0" xfId="0" applyNumberFormat="1" applyFont="1" applyAlignment="1">
      <alignment/>
    </xf>
    <xf numFmtId="44" fontId="7" fillId="0" borderId="0" xfId="44" applyFont="1" applyBorder="1" applyAlignment="1">
      <alignment/>
    </xf>
    <xf numFmtId="44" fontId="9" fillId="0" borderId="0" xfId="0" applyNumberFormat="1" applyFont="1" applyBorder="1" applyAlignment="1">
      <alignment/>
    </xf>
    <xf numFmtId="0" fontId="7" fillId="0" borderId="0" xfId="0" applyFont="1" applyBorder="1" applyAlignment="1">
      <alignment/>
    </xf>
    <xf numFmtId="44" fontId="7" fillId="0" borderId="0" xfId="44" applyNumberFormat="1" applyFont="1" applyBorder="1" applyAlignment="1">
      <alignment/>
    </xf>
    <xf numFmtId="0" fontId="0" fillId="0" borderId="0" xfId="0" applyNumberFormat="1" applyAlignment="1">
      <alignment/>
    </xf>
    <xf numFmtId="0" fontId="1" fillId="0" borderId="0" xfId="0" applyNumberFormat="1" applyFont="1" applyAlignment="1">
      <alignment horizontal="center"/>
    </xf>
    <xf numFmtId="194" fontId="7" fillId="0" borderId="0" xfId="57" applyNumberFormat="1" applyFont="1" applyAlignment="1">
      <alignment horizontal="right"/>
      <protection/>
    </xf>
    <xf numFmtId="194" fontId="7" fillId="0" borderId="10" xfId="57" applyNumberFormat="1" applyFont="1" applyBorder="1">
      <alignment/>
      <protection/>
    </xf>
    <xf numFmtId="221" fontId="7" fillId="0" borderId="11" xfId="44" applyNumberFormat="1" applyFont="1" applyBorder="1" applyAlignment="1">
      <alignment/>
    </xf>
    <xf numFmtId="165" fontId="0" fillId="0" borderId="0" xfId="60" applyNumberFormat="1" applyAlignment="1">
      <alignment/>
    </xf>
    <xf numFmtId="165" fontId="1" fillId="0" borderId="0" xfId="60" applyNumberFormat="1" applyFont="1" applyAlignment="1">
      <alignment/>
    </xf>
    <xf numFmtId="0" fontId="16" fillId="0" borderId="17" xfId="57" applyFont="1" applyBorder="1" applyAlignment="1">
      <alignment horizontal="center"/>
      <protection/>
    </xf>
    <xf numFmtId="0" fontId="7" fillId="0" borderId="0" xfId="57" applyFont="1" applyBorder="1">
      <alignment/>
      <protection/>
    </xf>
    <xf numFmtId="194" fontId="16" fillId="0" borderId="18" xfId="57" applyNumberFormat="1" applyFont="1" applyBorder="1" applyAlignment="1">
      <alignment horizontal="center"/>
      <protection/>
    </xf>
    <xf numFmtId="194" fontId="7" fillId="0" borderId="0" xfId="57" applyNumberFormat="1" applyFont="1" applyBorder="1">
      <alignment/>
      <protection/>
    </xf>
    <xf numFmtId="194" fontId="17" fillId="0" borderId="18" xfId="57" applyNumberFormat="1" applyFont="1" applyFill="1" applyBorder="1" applyAlignment="1">
      <alignment horizontal="center"/>
      <protection/>
    </xf>
    <xf numFmtId="41" fontId="13" fillId="0" borderId="18" xfId="57" applyNumberFormat="1" applyFont="1" applyBorder="1">
      <alignment/>
      <protection/>
    </xf>
    <xf numFmtId="194" fontId="9" fillId="0" borderId="0" xfId="57" applyNumberFormat="1" applyFont="1" applyBorder="1">
      <alignment/>
      <protection/>
    </xf>
    <xf numFmtId="0" fontId="6" fillId="0" borderId="0" xfId="57" applyBorder="1">
      <alignment/>
      <protection/>
    </xf>
    <xf numFmtId="195" fontId="9" fillId="0" borderId="18" xfId="57" applyNumberFormat="1" applyFont="1" applyBorder="1">
      <alignment/>
      <protection/>
    </xf>
    <xf numFmtId="41" fontId="7" fillId="0" borderId="19" xfId="57" applyNumberFormat="1" applyFont="1" applyBorder="1">
      <alignment/>
      <protection/>
    </xf>
    <xf numFmtId="165" fontId="7" fillId="0" borderId="0" xfId="60" applyNumberFormat="1" applyFont="1" applyAlignment="1">
      <alignment/>
    </xf>
    <xf numFmtId="194" fontId="7" fillId="35" borderId="0" xfId="57" applyNumberFormat="1" applyFont="1" applyFill="1">
      <alignment/>
      <protection/>
    </xf>
    <xf numFmtId="9" fontId="7" fillId="35" borderId="16" xfId="60" applyFont="1" applyFill="1" applyBorder="1" applyAlignment="1">
      <alignment/>
    </xf>
    <xf numFmtId="194" fontId="7" fillId="35" borderId="15" xfId="57" applyNumberFormat="1" applyFont="1" applyFill="1" applyBorder="1">
      <alignment/>
      <protection/>
    </xf>
    <xf numFmtId="195" fontId="7" fillId="36" borderId="11" xfId="57" applyNumberFormat="1" applyFont="1" applyFill="1" applyBorder="1">
      <alignment/>
      <protection/>
    </xf>
    <xf numFmtId="4" fontId="7" fillId="32" borderId="7" xfId="58" applyNumberFormat="1" applyFont="1" applyAlignment="1">
      <alignment/>
    </xf>
    <xf numFmtId="10" fontId="7" fillId="0" borderId="0" xfId="0" applyNumberFormat="1" applyFont="1" applyFill="1" applyAlignment="1">
      <alignment/>
    </xf>
    <xf numFmtId="17" fontId="7" fillId="0" borderId="0" xfId="0" applyNumberFormat="1" applyFont="1" applyAlignment="1">
      <alignment horizontal="center"/>
    </xf>
    <xf numFmtId="44" fontId="7" fillId="37" borderId="16" xfId="44" applyFont="1" applyFill="1" applyBorder="1" applyAlignment="1">
      <alignment/>
    </xf>
    <xf numFmtId="44" fontId="7" fillId="0" borderId="16" xfId="44" applyFont="1" applyBorder="1" applyAlignment="1">
      <alignment/>
    </xf>
    <xf numFmtId="0" fontId="9" fillId="0" borderId="0" xfId="0" applyFont="1" applyAlignment="1">
      <alignment/>
    </xf>
    <xf numFmtId="44" fontId="7" fillId="37" borderId="20" xfId="44" applyFont="1" applyFill="1" applyBorder="1" applyAlignment="1">
      <alignment/>
    </xf>
    <xf numFmtId="44" fontId="7" fillId="0" borderId="20" xfId="44" applyFont="1" applyBorder="1" applyAlignment="1">
      <alignment/>
    </xf>
    <xf numFmtId="7" fontId="0" fillId="0" borderId="0" xfId="0" applyNumberFormat="1" applyFont="1" applyFill="1" applyBorder="1" applyAlignment="1">
      <alignment horizontal="center"/>
    </xf>
    <xf numFmtId="44" fontId="20" fillId="0" borderId="0" xfId="0" applyNumberFormat="1" applyFont="1" applyFill="1" applyBorder="1" applyAlignment="1">
      <alignment/>
    </xf>
    <xf numFmtId="4" fontId="7" fillId="0" borderId="0" xfId="58" applyNumberFormat="1" applyFont="1" applyFill="1" applyBorder="1" applyAlignment="1">
      <alignment/>
    </xf>
    <xf numFmtId="0" fontId="1" fillId="0" borderId="0" xfId="0" applyFont="1" applyAlignment="1">
      <alignment/>
    </xf>
    <xf numFmtId="44" fontId="7" fillId="33" borderId="16" xfId="44" applyFont="1" applyFill="1" applyBorder="1" applyAlignment="1">
      <alignment horizontal="center"/>
    </xf>
    <xf numFmtId="7" fontId="0" fillId="0" borderId="0" xfId="44" applyNumberFormat="1" applyBorder="1" applyAlignment="1">
      <alignment/>
    </xf>
    <xf numFmtId="0" fontId="7" fillId="0" borderId="0" xfId="0" applyFont="1" applyFill="1" applyAlignment="1">
      <alignment horizontal="center"/>
    </xf>
    <xf numFmtId="44" fontId="7" fillId="0" borderId="0" xfId="0" applyNumberFormat="1" applyFont="1" applyFill="1" applyAlignment="1">
      <alignment/>
    </xf>
    <xf numFmtId="164" fontId="7" fillId="0" borderId="0" xfId="42" applyNumberFormat="1" applyFont="1" applyFill="1" applyAlignment="1">
      <alignment/>
    </xf>
    <xf numFmtId="0" fontId="13" fillId="0" borderId="0" xfId="0" applyFont="1" applyFill="1" applyAlignment="1">
      <alignment/>
    </xf>
    <xf numFmtId="223" fontId="7" fillId="0" borderId="0" xfId="44" applyNumberFormat="1" applyFont="1" applyFill="1" applyAlignment="1">
      <alignment/>
    </xf>
    <xf numFmtId="43" fontId="13" fillId="0" borderId="0" xfId="42" applyNumberFormat="1" applyFont="1" applyFill="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98REC_CR"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externalLink" Target="externalLinks/externalLink8.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19050</xdr:colOff>
      <xdr:row>83</xdr:row>
      <xdr:rowOff>0</xdr:rowOff>
    </xdr:from>
    <xdr:to>
      <xdr:col>20</xdr:col>
      <xdr:colOff>19050</xdr:colOff>
      <xdr:row>84</xdr:row>
      <xdr:rowOff>114300</xdr:rowOff>
    </xdr:to>
    <xdr:sp>
      <xdr:nvSpPr>
        <xdr:cNvPr id="1" name="Double Bracket 1"/>
        <xdr:cNvSpPr>
          <a:spLocks/>
        </xdr:cNvSpPr>
      </xdr:nvSpPr>
      <xdr:spPr>
        <a:xfrm>
          <a:off x="10915650" y="11591925"/>
          <a:ext cx="2543175"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istrict\Accounting\WUTC%20Files\RSA\2013-14%20Plan%20Year\WUTC%20Filing%20Working%20Documents\SeaTac%20Multi%20Family%20Commodity%20Credit%20Template%20-%2020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astSide%20Multi%20Family%20Commodity%20Credit%20Template%20-%20201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astSide%20Single%20Family%20Commodity%20Credit%20Template%20-%20201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Kent%20Meridian%20Multi%20Family%20Commodity%20Credit%20Template%20-%20201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SeaTac%20Multi%20Family%20Commodity%20Credit%20Template%20-%20201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SeaTac%20Single%20Family%20Commodity%20Credit%20Template%20-%202015.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District\Accounting\WUTC%20Files\RSA\2013-14%20Plan%20Year\WUTC%20Filing%20Working%20Documents\Kent%20Meridian%20Single%20Family%20Commodity%20Credit%20Template%20-%202014.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District\Accounting\WUTC%20Files\RSA\2015-2017%20Plan%20Year\2014-2015%20Additional%20passback%20to%20customer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UTC_AW of Kent_MF"/>
      <sheetName val="Value"/>
      <sheetName val="Commodity Tonnages"/>
      <sheetName val="Pricing"/>
      <sheetName val="Multi_Family"/>
    </sheetNames>
    <sheetDataSet>
      <sheetData sheetId="0">
        <row r="56">
          <cell r="O56">
            <v>0.5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UTC_AW of Bellevue_MF"/>
      <sheetName val="Value"/>
      <sheetName val="Commodity Tonnages"/>
      <sheetName val="Pricing"/>
      <sheetName val="Multi_Family"/>
    </sheetNames>
    <sheetDataSet>
      <sheetData sheetId="4">
        <row r="7">
          <cell r="C7">
            <v>35.26</v>
          </cell>
          <cell r="D7">
            <v>34.83</v>
          </cell>
          <cell r="E7">
            <v>32.77</v>
          </cell>
          <cell r="F7">
            <v>33.75</v>
          </cell>
          <cell r="G7">
            <v>38.63</v>
          </cell>
          <cell r="H7">
            <v>38.85</v>
          </cell>
          <cell r="I7">
            <v>36.6</v>
          </cell>
          <cell r="J7">
            <v>40.38</v>
          </cell>
          <cell r="K7">
            <v>40.39</v>
          </cell>
          <cell r="L7">
            <v>36.77</v>
          </cell>
          <cell r="M7">
            <v>41.29</v>
          </cell>
          <cell r="N7">
            <v>38.75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WUTC_LYNNWOOD_SF"/>
      <sheetName val="WUTC_AW of Bellevue_SF"/>
      <sheetName val="Value"/>
      <sheetName val="Commodity Tonnages"/>
      <sheetName val="Pricing"/>
      <sheetName val="Single Family"/>
    </sheetNames>
    <sheetDataSet>
      <sheetData sheetId="5">
        <row r="7">
          <cell r="C7">
            <v>364.42</v>
          </cell>
          <cell r="D7">
            <v>327.13</v>
          </cell>
          <cell r="E7">
            <v>365.38</v>
          </cell>
          <cell r="F7">
            <v>323.07</v>
          </cell>
          <cell r="G7">
            <v>356.7</v>
          </cell>
          <cell r="H7">
            <v>390.18</v>
          </cell>
          <cell r="I7">
            <v>326.56</v>
          </cell>
          <cell r="J7">
            <v>386.64</v>
          </cell>
          <cell r="K7">
            <v>416.36</v>
          </cell>
          <cell r="L7">
            <v>307.24</v>
          </cell>
          <cell r="M7">
            <v>351.71</v>
          </cell>
          <cell r="N7">
            <v>349.22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WUTC_LYNNWOOD_SF"/>
      <sheetName val="WUTC_KENT_MF"/>
      <sheetName val="Value"/>
      <sheetName val="Commodity Tonnages"/>
      <sheetName val="Pricing"/>
      <sheetName val="Multi_Family"/>
    </sheetNames>
    <sheetDataSet>
      <sheetData sheetId="5">
        <row r="7">
          <cell r="C7">
            <v>10.29</v>
          </cell>
          <cell r="D7">
            <v>8.58</v>
          </cell>
          <cell r="E7">
            <v>8.69</v>
          </cell>
          <cell r="F7">
            <v>7.27</v>
          </cell>
          <cell r="G7">
            <v>9.07</v>
          </cell>
          <cell r="H7">
            <v>8.19</v>
          </cell>
          <cell r="I7">
            <v>7.5</v>
          </cell>
          <cell r="J7">
            <v>8.9</v>
          </cell>
          <cell r="K7">
            <v>6.37</v>
          </cell>
          <cell r="L7">
            <v>5.12</v>
          </cell>
          <cell r="M7">
            <v>6.66</v>
          </cell>
          <cell r="N7">
            <v>5.4</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WUTC_AW of Kent (SeaTac)_MF"/>
      <sheetName val="Value"/>
      <sheetName val="Commodity Tonnages"/>
      <sheetName val="Pricing"/>
      <sheetName val="Multi_Family"/>
    </sheetNames>
    <sheetDataSet>
      <sheetData sheetId="4">
        <row r="7">
          <cell r="C7">
            <v>5.68</v>
          </cell>
          <cell r="D7">
            <v>6.11</v>
          </cell>
          <cell r="E7">
            <v>2.74</v>
          </cell>
          <cell r="F7">
            <v>2.83</v>
          </cell>
          <cell r="G7">
            <v>2.81</v>
          </cell>
          <cell r="H7">
            <v>2.39</v>
          </cell>
          <cell r="I7">
            <v>2.24</v>
          </cell>
          <cell r="J7">
            <v>2.68</v>
          </cell>
          <cell r="K7">
            <v>14.8</v>
          </cell>
          <cell r="L7">
            <v>13.19</v>
          </cell>
          <cell r="M7">
            <v>14.98</v>
          </cell>
          <cell r="N7">
            <v>12.42</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WUTC_LYNNWOOD_SF"/>
      <sheetName val="WUTC_AW of Kent (SeaTac)_SF"/>
      <sheetName val="Value"/>
      <sheetName val="Commodity Tonnages"/>
      <sheetName val="Pricing"/>
      <sheetName val="Single Family"/>
    </sheetNames>
    <sheetDataSet>
      <sheetData sheetId="5">
        <row r="7">
          <cell r="C7">
            <v>118.90405630317431</v>
          </cell>
          <cell r="D7">
            <v>156.5962906011166</v>
          </cell>
          <cell r="E7">
            <v>147.80333927480925</v>
          </cell>
          <cell r="F7">
            <v>118.46694219476814</v>
          </cell>
          <cell r="G7">
            <v>98.36885088710054</v>
          </cell>
          <cell r="H7">
            <v>100.03723042041923</v>
          </cell>
          <cell r="I7">
            <v>89.05843211571941</v>
          </cell>
          <cell r="J7">
            <v>172.74523447181363</v>
          </cell>
          <cell r="K7">
            <v>125.49624728451403</v>
          </cell>
          <cell r="L7">
            <v>92.82132269386597</v>
          </cell>
          <cell r="M7">
            <v>115.03739244941634</v>
          </cell>
          <cell r="N7">
            <v>104.2472911770905</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WUTC_KENT_SF"/>
      <sheetName val="Value"/>
      <sheetName val="Commodity Tonnages"/>
      <sheetName val="Pricing"/>
      <sheetName val="Single Family"/>
    </sheetNames>
    <sheetDataSet>
      <sheetData sheetId="4">
        <row r="69">
          <cell r="N69">
            <v>73.71</v>
          </cell>
        </row>
        <row r="70">
          <cell r="N70">
            <v>98.651</v>
          </cell>
        </row>
        <row r="71">
          <cell r="N71">
            <v>0</v>
          </cell>
        </row>
        <row r="72">
          <cell r="N72">
            <v>81.676</v>
          </cell>
        </row>
        <row r="73">
          <cell r="N73">
            <v>177.28199999999998</v>
          </cell>
        </row>
        <row r="74">
          <cell r="N74">
            <v>1092</v>
          </cell>
        </row>
        <row r="75">
          <cell r="N75">
            <v>0</v>
          </cell>
        </row>
        <row r="76">
          <cell r="N76">
            <v>-17.75</v>
          </cell>
        </row>
        <row r="77">
          <cell r="N77">
            <v>-120.17</v>
          </cell>
        </row>
        <row r="78">
          <cell r="N78">
            <v>-120.17</v>
          </cell>
        </row>
        <row r="79">
          <cell r="N79">
            <v>69.23</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2014-2015"/>
      <sheetName val="2013-2014"/>
      <sheetName val="Sheet3"/>
    </sheetNames>
    <sheetDataSet>
      <sheetData sheetId="0">
        <row r="7">
          <cell r="C7">
            <v>3397.6389077482795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A103"/>
  <sheetViews>
    <sheetView showGridLines="0" tabSelected="1" zoomScale="90" zoomScaleNormal="90" zoomScalePageLayoutView="90" workbookViewId="0" topLeftCell="A48">
      <selection activeCell="N64" sqref="N64"/>
    </sheetView>
  </sheetViews>
  <sheetFormatPr defaultColWidth="9.140625" defaultRowHeight="12.75"/>
  <cols>
    <col min="1" max="1" width="18.7109375" style="5" customWidth="1"/>
    <col min="2" max="2" width="10.140625" style="5" customWidth="1"/>
    <col min="3" max="3" width="4.57421875" style="5" customWidth="1"/>
    <col min="4" max="4" width="11.28125" style="5" customWidth="1"/>
    <col min="5" max="5" width="5.57421875" style="5" customWidth="1"/>
    <col min="6" max="6" width="13.00390625" style="5" customWidth="1"/>
    <col min="7" max="7" width="8.7109375" style="5" customWidth="1"/>
    <col min="8" max="8" width="4.7109375" style="5" bestFit="1" customWidth="1"/>
    <col min="9" max="9" width="10.421875" style="5" customWidth="1"/>
    <col min="10" max="10" width="9.421875" style="5" customWidth="1"/>
    <col min="11" max="11" width="5.421875" style="5" bestFit="1" customWidth="1"/>
    <col min="12" max="14" width="9.57421875" style="5" customWidth="1"/>
    <col min="15" max="15" width="15.28125" style="5" bestFit="1" customWidth="1"/>
    <col min="16" max="16" width="36.7109375" style="5" bestFit="1" customWidth="1"/>
    <col min="17" max="22" width="9.57421875" style="5" customWidth="1"/>
    <col min="23" max="24" width="10.421875" style="5" customWidth="1"/>
    <col min="25" max="25" width="9.8515625" style="5" customWidth="1"/>
    <col min="26" max="26" width="9.140625" style="5" customWidth="1"/>
    <col min="27" max="27" width="10.421875" style="5" customWidth="1"/>
    <col min="28" max="16384" width="9.140625" style="5" customWidth="1"/>
  </cols>
  <sheetData>
    <row r="1" spans="1:27" ht="12.75">
      <c r="A1" s="1" t="s">
        <v>0</v>
      </c>
      <c r="B1" s="2"/>
      <c r="C1" s="2"/>
      <c r="D1" s="2"/>
      <c r="E1" s="2"/>
      <c r="F1" s="2"/>
      <c r="G1" s="3"/>
      <c r="H1" s="2"/>
      <c r="I1" s="2"/>
      <c r="J1" s="1" t="s">
        <v>58</v>
      </c>
      <c r="K1" s="2"/>
      <c r="L1" s="2"/>
      <c r="M1" s="2"/>
      <c r="N1" s="2"/>
      <c r="O1" s="2"/>
      <c r="P1" s="2"/>
      <c r="Q1" s="2"/>
      <c r="R1" s="2"/>
      <c r="S1" s="2"/>
      <c r="T1" s="2"/>
      <c r="U1" s="2"/>
      <c r="V1" s="2"/>
      <c r="W1" s="4"/>
      <c r="X1" s="4"/>
      <c r="Y1" s="4"/>
      <c r="Z1" s="4"/>
      <c r="AA1" s="4"/>
    </row>
    <row r="2" spans="1:27" ht="12.75">
      <c r="A2" s="6" t="s">
        <v>1</v>
      </c>
      <c r="B2" s="2"/>
      <c r="C2" s="2"/>
      <c r="D2" s="2"/>
      <c r="E2" s="2"/>
      <c r="F2" s="7"/>
      <c r="G2" s="7"/>
      <c r="H2" s="2"/>
      <c r="I2" s="2"/>
      <c r="J2" s="2"/>
      <c r="K2" s="2"/>
      <c r="L2" s="2"/>
      <c r="M2" s="2"/>
      <c r="N2" s="2"/>
      <c r="O2" s="2"/>
      <c r="P2" s="2"/>
      <c r="Q2" s="2"/>
      <c r="R2" s="2"/>
      <c r="S2" s="2"/>
      <c r="T2" s="2"/>
      <c r="U2" s="2"/>
      <c r="V2" s="2"/>
      <c r="W2" s="7"/>
      <c r="X2" s="7"/>
      <c r="Y2" s="7"/>
      <c r="Z2" s="7"/>
      <c r="AA2" s="7"/>
    </row>
    <row r="3" spans="1:27" ht="12.75">
      <c r="A3" s="6" t="str">
        <f>"For the Year Ended April "&amp;YEAR(A22)</f>
        <v>For the Year Ended April 2015</v>
      </c>
      <c r="B3" s="2"/>
      <c r="C3" s="2"/>
      <c r="D3" s="2"/>
      <c r="E3" s="2"/>
      <c r="F3" s="3"/>
      <c r="G3" s="3"/>
      <c r="H3" s="2"/>
      <c r="I3" s="2"/>
      <c r="J3" s="2"/>
      <c r="K3" s="2"/>
      <c r="L3" s="2"/>
      <c r="M3" s="2"/>
      <c r="N3" s="2"/>
      <c r="O3" s="2"/>
      <c r="P3" s="2"/>
      <c r="Q3" s="2"/>
      <c r="R3" s="2"/>
      <c r="S3" s="2"/>
      <c r="T3" s="2"/>
      <c r="U3" s="2"/>
      <c r="V3" s="2"/>
      <c r="W3" s="3"/>
      <c r="X3" s="3"/>
      <c r="Y3" s="3"/>
      <c r="Z3" s="3"/>
      <c r="AA3" s="3"/>
    </row>
    <row r="4" spans="1:22" ht="12.75">
      <c r="A4" s="6" t="s">
        <v>2</v>
      </c>
      <c r="B4" s="8"/>
      <c r="C4" s="8"/>
      <c r="D4" s="8"/>
      <c r="E4" s="8"/>
      <c r="F4" s="8"/>
      <c r="G4" s="2"/>
      <c r="H4" s="8"/>
      <c r="I4" s="2"/>
      <c r="J4" s="2"/>
      <c r="K4" s="8"/>
      <c r="L4" s="2"/>
      <c r="M4" s="2"/>
      <c r="N4" s="2"/>
      <c r="O4" s="2"/>
      <c r="P4" s="2"/>
      <c r="Q4" s="2"/>
      <c r="R4" s="2"/>
      <c r="S4" s="2"/>
      <c r="T4" s="2"/>
      <c r="U4" s="2"/>
      <c r="V4" s="2"/>
    </row>
    <row r="5" spans="1:27" ht="12.75">
      <c r="A5" s="9"/>
      <c r="B5" s="10"/>
      <c r="C5" s="11"/>
      <c r="D5" s="11"/>
      <c r="E5" s="11"/>
      <c r="F5" s="12" t="s">
        <v>3</v>
      </c>
      <c r="G5" s="11"/>
      <c r="H5" s="11"/>
      <c r="I5" s="11"/>
      <c r="J5" s="11"/>
      <c r="K5" s="11"/>
      <c r="L5" s="2"/>
      <c r="M5" s="2"/>
      <c r="N5" s="2"/>
      <c r="O5" s="114" t="str">
        <f>"Total "&amp;F5</f>
        <v>Total Commodity</v>
      </c>
      <c r="P5" s="115"/>
      <c r="Q5" s="2"/>
      <c r="R5" s="2"/>
      <c r="S5" s="2"/>
      <c r="T5" s="2"/>
      <c r="U5" s="2"/>
      <c r="V5" s="13"/>
      <c r="W5" s="14"/>
      <c r="X5" s="14"/>
      <c r="Y5" s="14"/>
      <c r="AA5" s="14"/>
    </row>
    <row r="6" spans="1:16" s="16" customFormat="1" ht="11.25">
      <c r="A6" s="15"/>
      <c r="B6" s="12"/>
      <c r="C6" s="12"/>
      <c r="D6" s="12" t="s">
        <v>3</v>
      </c>
      <c r="E6" s="12"/>
      <c r="F6" s="12" t="s">
        <v>4</v>
      </c>
      <c r="G6" s="12"/>
      <c r="H6" s="12"/>
      <c r="I6" s="12"/>
      <c r="J6" s="12" t="s">
        <v>5</v>
      </c>
      <c r="K6" s="12"/>
      <c r="O6" s="116" t="str">
        <f>+F6</f>
        <v>Revenue</v>
      </c>
      <c r="P6" s="117"/>
    </row>
    <row r="7" spans="1:16" s="16" customFormat="1" ht="11.25">
      <c r="A7" s="15" t="s">
        <v>6</v>
      </c>
      <c r="B7" s="12" t="s">
        <v>7</v>
      </c>
      <c r="C7" s="12"/>
      <c r="D7" s="12" t="s">
        <v>4</v>
      </c>
      <c r="E7" s="12"/>
      <c r="F7" s="12" t="s">
        <v>8</v>
      </c>
      <c r="G7" s="12"/>
      <c r="H7" s="12"/>
      <c r="I7" s="12"/>
      <c r="J7" s="12" t="s">
        <v>7</v>
      </c>
      <c r="K7" s="12"/>
      <c r="O7" s="116" t="str">
        <f>+F7</f>
        <v>per Customer</v>
      </c>
      <c r="P7" s="117"/>
    </row>
    <row r="8" spans="1:16" s="16" customFormat="1" ht="11.25">
      <c r="A8" s="17">
        <f>+'Single Family'!C6</f>
        <v>41760</v>
      </c>
      <c r="B8" s="18">
        <v>19635</v>
      </c>
      <c r="C8" s="19"/>
      <c r="D8" s="20">
        <f>VLOOKUP(A8,Value!$A$6:$O$17,15,)</f>
        <v>19419.089223018393</v>
      </c>
      <c r="E8" s="19"/>
      <c r="F8" s="73">
        <f>ROUND(D8/B8,2)</f>
        <v>0.99</v>
      </c>
      <c r="G8" s="19"/>
      <c r="H8" s="19"/>
      <c r="I8" s="19"/>
      <c r="J8" s="14">
        <f>+B8</f>
        <v>19635</v>
      </c>
      <c r="K8" s="13">
        <v>2013</v>
      </c>
      <c r="O8" s="118">
        <f>VLOOKUP(A8,Value!$A$7:$N$18,13,FALSE)</f>
        <v>38828.26123305433</v>
      </c>
      <c r="P8" s="117"/>
    </row>
    <row r="9" spans="1:16" s="16" customFormat="1" ht="11.25">
      <c r="A9" s="17">
        <f>Value!A8</f>
        <v>41820</v>
      </c>
      <c r="B9" s="18">
        <v>20065</v>
      </c>
      <c r="C9" s="22"/>
      <c r="D9" s="20">
        <f>VLOOKUP(A9,Value!$A$6:$O$17,15,)</f>
        <v>18517.260486211668</v>
      </c>
      <c r="E9" s="14"/>
      <c r="F9" s="70">
        <f>ROUND(D9/B9,2)</f>
        <v>0.92</v>
      </c>
      <c r="G9" s="14"/>
      <c r="H9" s="14"/>
      <c r="I9" s="14"/>
      <c r="J9" s="14">
        <f>+B9</f>
        <v>20065</v>
      </c>
      <c r="K9" s="13">
        <v>2013</v>
      </c>
      <c r="O9" s="118">
        <f>VLOOKUP(A9,Value!$A$7:$N$18,13,FALSE)</f>
        <v>37023.04010572415</v>
      </c>
      <c r="P9" s="117"/>
    </row>
    <row r="10" spans="1:16" s="16" customFormat="1" ht="11.25">
      <c r="A10" s="17">
        <f>Value!A9</f>
        <v>41851</v>
      </c>
      <c r="B10" s="18">
        <v>19880</v>
      </c>
      <c r="C10" s="14"/>
      <c r="D10" s="20">
        <f>VLOOKUP(A10,Value!$A$6:$O$17,15,)</f>
        <v>18142.885622766466</v>
      </c>
      <c r="E10" s="14"/>
      <c r="F10" s="70">
        <f>ROUND(D10/B10,2)</f>
        <v>0.91</v>
      </c>
      <c r="G10" s="14"/>
      <c r="H10" s="14"/>
      <c r="I10" s="14"/>
      <c r="J10" s="14">
        <f>+B10</f>
        <v>19880</v>
      </c>
      <c r="K10" s="13">
        <v>2013</v>
      </c>
      <c r="O10" s="118">
        <f>VLOOKUP(A10,Value!$A$7:$N$18,13,FALSE)</f>
        <v>36273.34276535453</v>
      </c>
      <c r="P10" s="117"/>
    </row>
    <row r="11" spans="2:16" s="16" customFormat="1" ht="11.25">
      <c r="B11" s="21"/>
      <c r="C11" s="14"/>
      <c r="E11" s="14"/>
      <c r="F11" s="73"/>
      <c r="G11" s="24"/>
      <c r="H11" s="22"/>
      <c r="I11" s="14"/>
      <c r="J11" s="14"/>
      <c r="K11" s="13"/>
      <c r="O11" s="118"/>
      <c r="P11" s="117"/>
    </row>
    <row r="12" spans="1:16" s="16" customFormat="1" ht="11.25">
      <c r="A12" s="17" t="s">
        <v>66</v>
      </c>
      <c r="B12" s="23">
        <f>SUM(B8:B11)</f>
        <v>59580</v>
      </c>
      <c r="C12" s="22" t="s">
        <v>9</v>
      </c>
      <c r="D12" s="72">
        <f>SUM(D8:D11)</f>
        <v>56079.235331996526</v>
      </c>
      <c r="E12" s="14"/>
      <c r="F12" s="72">
        <f>ROUND(D12/B12,2)</f>
        <v>0.94</v>
      </c>
      <c r="G12" s="14"/>
      <c r="H12" s="14"/>
      <c r="I12" s="14"/>
      <c r="J12" s="14"/>
      <c r="K12" s="13"/>
      <c r="O12" s="118"/>
      <c r="P12" s="117"/>
    </row>
    <row r="13" spans="1:18" s="16" customFormat="1" ht="11.25">
      <c r="A13" s="17"/>
      <c r="B13" s="21"/>
      <c r="C13" s="14"/>
      <c r="E13" s="14"/>
      <c r="F13" s="73"/>
      <c r="G13" s="24"/>
      <c r="H13" s="22"/>
      <c r="I13" s="14"/>
      <c r="J13" s="14"/>
      <c r="K13" s="13"/>
      <c r="O13" s="118"/>
      <c r="P13" s="117"/>
      <c r="Q13" s="14"/>
      <c r="R13" s="14"/>
    </row>
    <row r="14" spans="1:16" s="16" customFormat="1" ht="11.25">
      <c r="A14" s="17">
        <f>Value!A10</f>
        <v>41882</v>
      </c>
      <c r="B14" s="21">
        <v>19723</v>
      </c>
      <c r="C14" s="14"/>
      <c r="D14" s="20">
        <f>VLOOKUP(A14,Value!$A$6:$O$17,15,)</f>
        <v>18783.0977751192</v>
      </c>
      <c r="E14" s="14"/>
      <c r="F14" s="70">
        <f>ROUND(D14/B14,2)</f>
        <v>0.95</v>
      </c>
      <c r="G14" s="24"/>
      <c r="H14" s="14"/>
      <c r="I14" s="14"/>
      <c r="J14" s="14">
        <f aca="true" t="shared" si="0" ref="J14:J22">+B14</f>
        <v>19723</v>
      </c>
      <c r="K14" s="13">
        <v>2013</v>
      </c>
      <c r="O14" s="118">
        <f>VLOOKUP(A14,Value!$A$7:$N$18,13,FALSE)</f>
        <v>37563.54033416723</v>
      </c>
      <c r="P14" s="117"/>
    </row>
    <row r="15" spans="1:16" s="16" customFormat="1" ht="11.25">
      <c r="A15" s="17">
        <f>Value!A11</f>
        <v>41912</v>
      </c>
      <c r="B15" s="21">
        <v>19782</v>
      </c>
      <c r="C15" s="14"/>
      <c r="D15" s="20">
        <f>VLOOKUP(A15,Value!$A$6:$O$17,15,)</f>
        <v>20121.293330601937</v>
      </c>
      <c r="E15" s="14"/>
      <c r="F15" s="70">
        <f>ROUND(D15/B15,2)</f>
        <v>1.02</v>
      </c>
      <c r="G15" s="24"/>
      <c r="H15" s="14"/>
      <c r="I15" s="14"/>
      <c r="J15" s="14">
        <f t="shared" si="0"/>
        <v>19782</v>
      </c>
      <c r="K15" s="13">
        <v>2013</v>
      </c>
      <c r="O15" s="118">
        <f>VLOOKUP(A15,Value!$A$7:$N$18,13,FALSE)</f>
        <v>40240.18240643439</v>
      </c>
      <c r="P15" s="117"/>
    </row>
    <row r="16" spans="1:25" s="16" customFormat="1" ht="11.25">
      <c r="A16" s="17">
        <f>Value!A12</f>
        <v>41943</v>
      </c>
      <c r="B16" s="21">
        <v>19798</v>
      </c>
      <c r="C16" s="14"/>
      <c r="D16" s="20">
        <f>VLOOKUP(A16,Value!$A$6:$O$17,15,)</f>
        <v>18664.568465318785</v>
      </c>
      <c r="E16" s="14"/>
      <c r="F16" s="70">
        <f>ROUND(D16/B16,2)</f>
        <v>0.94</v>
      </c>
      <c r="G16" s="24"/>
      <c r="H16" s="14"/>
      <c r="I16" s="14"/>
      <c r="J16" s="14">
        <f t="shared" si="0"/>
        <v>19798</v>
      </c>
      <c r="K16" s="13">
        <v>2013</v>
      </c>
      <c r="O16" s="118">
        <f>VLOOKUP(A16,Value!$A$7:$N$18,13,FALSE)</f>
        <v>37326.859601396805</v>
      </c>
      <c r="P16" s="117"/>
      <c r="X16" s="14"/>
      <c r="Y16" s="14"/>
    </row>
    <row r="17" spans="1:27" s="16" customFormat="1" ht="11.25">
      <c r="A17" s="17">
        <f>Value!A13</f>
        <v>41973</v>
      </c>
      <c r="B17" s="21">
        <v>19815</v>
      </c>
      <c r="C17" s="14"/>
      <c r="D17" s="20">
        <f>VLOOKUP(A17,Value!$A$6:$O$17,15,)</f>
        <v>14432.662870368598</v>
      </c>
      <c r="E17" s="14"/>
      <c r="F17" s="70">
        <f aca="true" t="shared" si="1" ref="F17:F22">ROUND(D17/B17,2)</f>
        <v>0.73</v>
      </c>
      <c r="G17" s="24"/>
      <c r="H17" s="14"/>
      <c r="I17" s="14"/>
      <c r="J17" s="14">
        <f>+B17</f>
        <v>19815</v>
      </c>
      <c r="K17" s="13">
        <v>2013</v>
      </c>
      <c r="L17" s="14"/>
      <c r="M17" s="14"/>
      <c r="N17" s="14"/>
      <c r="O17" s="118">
        <f>VLOOKUP(A17,Value!$A$7:$N$18,13,FALSE)</f>
        <v>28866.37842635828</v>
      </c>
      <c r="P17" s="117"/>
      <c r="S17" s="14"/>
      <c r="T17" s="14"/>
      <c r="U17" s="14"/>
      <c r="V17" s="14"/>
      <c r="W17" s="14"/>
      <c r="Y17" s="14"/>
      <c r="AA17" s="14"/>
    </row>
    <row r="18" spans="1:16" s="16" customFormat="1" ht="11.25">
      <c r="A18" s="17">
        <f>Value!A14</f>
        <v>42004</v>
      </c>
      <c r="B18" s="21">
        <v>19991</v>
      </c>
      <c r="C18" s="14"/>
      <c r="D18" s="20">
        <f>VLOOKUP(A18,Value!$A$6:$O$17,15,)</f>
        <v>16204.182176168504</v>
      </c>
      <c r="E18" s="14"/>
      <c r="F18" s="70">
        <f t="shared" si="1"/>
        <v>0.81</v>
      </c>
      <c r="G18" s="24"/>
      <c r="H18" s="22"/>
      <c r="I18" s="14"/>
      <c r="J18" s="14">
        <f>+B18</f>
        <v>19991</v>
      </c>
      <c r="K18" s="13">
        <v>2013</v>
      </c>
      <c r="O18" s="118">
        <f>VLOOKUP(A18,Value!$A$7:$N$18,13,FALSE)</f>
        <v>32405.482561274577</v>
      </c>
      <c r="P18" s="117"/>
    </row>
    <row r="19" spans="1:16" s="16" customFormat="1" ht="11.25">
      <c r="A19" s="17">
        <f>Value!A15</f>
        <v>42035</v>
      </c>
      <c r="B19" s="21">
        <v>19938</v>
      </c>
      <c r="C19" s="14"/>
      <c r="D19" s="20">
        <f>VLOOKUP(A19,Value!$A$6:$O$17,15,)</f>
        <v>16201.397311047236</v>
      </c>
      <c r="E19" s="14"/>
      <c r="F19" s="70">
        <f t="shared" si="1"/>
        <v>0.81</v>
      </c>
      <c r="G19" s="24"/>
      <c r="H19" s="22"/>
      <c r="I19" s="14"/>
      <c r="J19" s="14">
        <f>+B19</f>
        <v>19938</v>
      </c>
      <c r="K19" s="13">
        <v>2014</v>
      </c>
      <c r="O19" s="118">
        <f>VLOOKUP(A19,Value!$A$7:$N$18,13,FALSE)</f>
        <v>32401.593342547567</v>
      </c>
      <c r="P19" s="117"/>
    </row>
    <row r="20" spans="1:16" s="16" customFormat="1" ht="11.25">
      <c r="A20" s="17">
        <f>Value!A16</f>
        <v>42063</v>
      </c>
      <c r="B20" s="21">
        <v>19897</v>
      </c>
      <c r="C20" s="14"/>
      <c r="D20" s="20">
        <f>VLOOKUP(A20,Value!$A$6:$O$17,15,)</f>
        <v>11213.253142075115</v>
      </c>
      <c r="E20" s="14"/>
      <c r="F20" s="70">
        <f t="shared" si="1"/>
        <v>0.56</v>
      </c>
      <c r="G20" s="24"/>
      <c r="H20" s="22"/>
      <c r="I20" s="14"/>
      <c r="J20" s="14">
        <f>+B20</f>
        <v>19897</v>
      </c>
      <c r="K20" s="13">
        <v>2014</v>
      </c>
      <c r="O20" s="118">
        <f>VLOOKUP(A20,Value!$A$7:$N$18,13,FALSE)</f>
        <v>22428.52210874874</v>
      </c>
      <c r="P20" s="34"/>
    </row>
    <row r="21" spans="1:16" s="16" customFormat="1" ht="11.25">
      <c r="A21" s="17">
        <f>Value!A17</f>
        <v>42094</v>
      </c>
      <c r="B21" s="21">
        <v>19975</v>
      </c>
      <c r="C21" s="14"/>
      <c r="D21" s="20">
        <f>VLOOKUP(A21,Value!$A$6:$O$17,15,)</f>
        <v>13381.451510823228</v>
      </c>
      <c r="E21" s="14"/>
      <c r="F21" s="70">
        <f t="shared" si="1"/>
        <v>0.67</v>
      </c>
      <c r="G21" s="24"/>
      <c r="H21" s="22"/>
      <c r="I21" s="14"/>
      <c r="J21" s="14">
        <f t="shared" si="0"/>
        <v>19975</v>
      </c>
      <c r="K21" s="13">
        <v>2014</v>
      </c>
      <c r="O21" s="118">
        <f>VLOOKUP(A21,Value!$A$7:$N$18,13,FALSE)</f>
        <v>26764.08287699496</v>
      </c>
      <c r="P21" s="117"/>
    </row>
    <row r="22" spans="1:16" s="16" customFormat="1" ht="11.25">
      <c r="A22" s="17">
        <f>Value!A18</f>
        <v>42124</v>
      </c>
      <c r="B22" s="21">
        <v>20163</v>
      </c>
      <c r="C22" s="14"/>
      <c r="D22" s="20">
        <v>8463.66</v>
      </c>
      <c r="E22" s="14"/>
      <c r="F22" s="70">
        <f t="shared" si="1"/>
        <v>0.42</v>
      </c>
      <c r="G22" s="24"/>
      <c r="H22" s="22"/>
      <c r="I22" s="14"/>
      <c r="J22" s="14">
        <f t="shared" si="0"/>
        <v>20163</v>
      </c>
      <c r="K22" s="13">
        <v>2014</v>
      </c>
      <c r="O22" s="118">
        <f>VLOOKUP(A22,Value!$A$7:$N$18,13,FALSE)</f>
        <v>28445.14225757909</v>
      </c>
      <c r="P22" s="117"/>
    </row>
    <row r="23" spans="1:15" s="16" customFormat="1" ht="11.25">
      <c r="A23" s="17"/>
      <c r="B23" s="14"/>
      <c r="C23" s="14"/>
      <c r="E23" s="14"/>
      <c r="F23" s="73"/>
      <c r="G23" s="14"/>
      <c r="H23" s="14"/>
      <c r="I23" s="14"/>
      <c r="J23" s="14"/>
      <c r="K23" s="13"/>
      <c r="O23" s="119"/>
    </row>
    <row r="24" spans="1:16" s="16" customFormat="1" ht="11.25">
      <c r="A24" s="17" t="s">
        <v>65</v>
      </c>
      <c r="B24" s="23">
        <f>SUM(B14:B23)</f>
        <v>179082</v>
      </c>
      <c r="C24" s="22" t="s">
        <v>10</v>
      </c>
      <c r="D24" s="72">
        <f>SUM(D14:D23)</f>
        <v>137465.56658152258</v>
      </c>
      <c r="E24" s="14"/>
      <c r="F24" s="72">
        <f>D24/B24</f>
        <v>0.7676124154383053</v>
      </c>
      <c r="G24" s="14"/>
      <c r="H24" s="14"/>
      <c r="I24" s="14"/>
      <c r="J24" s="14"/>
      <c r="K24" s="13"/>
      <c r="O24" s="119"/>
      <c r="P24" s="120" t="s">
        <v>59</v>
      </c>
    </row>
    <row r="25" spans="4:18" ht="12.75">
      <c r="D25" s="25"/>
      <c r="F25" s="25"/>
      <c r="O25" s="119">
        <f>SUM(O8:O24)</f>
        <v>398566.42801963456</v>
      </c>
      <c r="P25" s="121"/>
      <c r="Q25" s="16"/>
      <c r="R25" s="16"/>
    </row>
    <row r="26" spans="1:16" s="16" customFormat="1" ht="12" thickBot="1">
      <c r="A26" s="26"/>
      <c r="B26" s="27">
        <f>+B12+B24</f>
        <v>238662</v>
      </c>
      <c r="C26" s="22"/>
      <c r="D26" s="71">
        <f>+D12+D24</f>
        <v>193544.8019135191</v>
      </c>
      <c r="E26" s="22" t="s">
        <v>11</v>
      </c>
      <c r="F26" s="111">
        <f>ROUND(D26/B26,3)</f>
        <v>0.811</v>
      </c>
      <c r="G26" s="22" t="s">
        <v>12</v>
      </c>
      <c r="H26" s="14"/>
      <c r="I26" s="14"/>
      <c r="J26" s="27">
        <f>SUM(J8:J25)</f>
        <v>238662</v>
      </c>
      <c r="K26" s="22" t="s">
        <v>13</v>
      </c>
      <c r="O26" s="122">
        <f>ROUND(O25/J26,3)</f>
        <v>1.67</v>
      </c>
      <c r="P26" s="117" t="s">
        <v>60</v>
      </c>
    </row>
    <row r="27" spans="1:16" s="16" customFormat="1" ht="12" thickTop="1">
      <c r="A27" s="16">
        <f>AVERAGE(B8:B10,B14:B22)</f>
        <v>19888.5</v>
      </c>
      <c r="B27" s="14"/>
      <c r="C27" s="14"/>
      <c r="D27" s="14"/>
      <c r="E27" s="14"/>
      <c r="F27" s="14"/>
      <c r="G27" s="14"/>
      <c r="H27" s="14"/>
      <c r="I27" s="14"/>
      <c r="J27" s="14"/>
      <c r="K27" s="14"/>
      <c r="O27" s="123">
        <f>+J22</f>
        <v>20163</v>
      </c>
      <c r="P27" s="117" t="s">
        <v>61</v>
      </c>
    </row>
    <row r="28" spans="2:16" s="16" customFormat="1" ht="11.25">
      <c r="B28" s="14"/>
      <c r="C28" s="14"/>
      <c r="D28" s="14"/>
      <c r="E28" s="14"/>
      <c r="F28" s="14"/>
      <c r="G28" s="14"/>
      <c r="H28" s="14"/>
      <c r="I28" s="14"/>
      <c r="J28" s="14"/>
      <c r="K28" s="14"/>
      <c r="O28" s="117"/>
      <c r="P28" s="117" t="s">
        <v>62</v>
      </c>
    </row>
    <row r="29" spans="2:11" s="16" customFormat="1" ht="12" thickBot="1">
      <c r="B29" s="28" t="s">
        <v>14</v>
      </c>
      <c r="C29" s="29"/>
      <c r="D29" s="29"/>
      <c r="E29" s="29"/>
      <c r="F29" s="14"/>
      <c r="G29" s="14"/>
      <c r="H29" s="14"/>
      <c r="I29" s="14"/>
      <c r="J29" s="14"/>
      <c r="K29" s="14"/>
    </row>
    <row r="30" spans="1:25" s="16" customFormat="1" ht="12" thickTop="1">
      <c r="A30" s="6"/>
      <c r="B30" s="30"/>
      <c r="C30" s="14"/>
      <c r="D30" s="14"/>
      <c r="E30" s="14"/>
      <c r="F30" s="14"/>
      <c r="G30" s="14"/>
      <c r="H30" s="14"/>
      <c r="I30" s="14"/>
      <c r="J30" s="14"/>
      <c r="K30" s="14"/>
      <c r="X30" s="14"/>
      <c r="Y30" s="14"/>
    </row>
    <row r="31" spans="1:18" s="16" customFormat="1" ht="11.25">
      <c r="A31" s="8"/>
      <c r="B31" s="30"/>
      <c r="C31" s="14"/>
      <c r="D31" s="14"/>
      <c r="E31" s="14"/>
      <c r="F31" s="31" t="s">
        <v>15</v>
      </c>
      <c r="G31" s="14">
        <f>ROUND(D26,0)</f>
        <v>193545</v>
      </c>
      <c r="H31" s="22" t="s">
        <v>11</v>
      </c>
      <c r="I31" s="14"/>
      <c r="J31" s="14"/>
      <c r="K31" s="14"/>
      <c r="Q31" s="13"/>
      <c r="R31" s="13"/>
    </row>
    <row r="32" spans="1:27" s="13" customFormat="1" ht="11.25">
      <c r="A32" s="32"/>
      <c r="B32" s="30"/>
      <c r="C32" s="14"/>
      <c r="D32" s="14"/>
      <c r="E32" s="14"/>
      <c r="F32" s="14"/>
      <c r="G32" s="14"/>
      <c r="H32" s="22"/>
      <c r="I32" s="14"/>
      <c r="J32" s="14"/>
      <c r="K32" s="14"/>
      <c r="O32" s="16">
        <f>12*O27*O26</f>
        <v>404066.51999999996</v>
      </c>
      <c r="P32" s="13" t="s">
        <v>63</v>
      </c>
      <c r="Q32" s="16"/>
      <c r="R32" s="16"/>
      <c r="W32" s="14"/>
      <c r="X32" s="16"/>
      <c r="Y32" s="16"/>
      <c r="AA32" s="14"/>
    </row>
    <row r="33" spans="2:16" s="16" customFormat="1" ht="11.25">
      <c r="B33" s="14" t="s">
        <v>16</v>
      </c>
      <c r="C33" s="14"/>
      <c r="D33" s="14"/>
      <c r="E33" s="14"/>
      <c r="F33" s="33">
        <v>0.842</v>
      </c>
      <c r="G33" s="14"/>
      <c r="H33" s="14"/>
      <c r="I33" s="14"/>
      <c r="J33" s="14"/>
      <c r="K33" s="14"/>
      <c r="O33" s="16">
        <f>12*O27*G56</f>
        <v>196205.5003365122</v>
      </c>
      <c r="P33" s="16" t="s">
        <v>64</v>
      </c>
    </row>
    <row r="34" spans="2:15" s="16" customFormat="1" ht="11.25">
      <c r="B34" s="74" t="str">
        <f>"Customers from "&amp;TEXT($A$8,"mm/yy")&amp;" - "&amp;TEXT($A$10,"mm/yy")</f>
        <v>Customers from 05/14 - 07/14</v>
      </c>
      <c r="D34" s="14"/>
      <c r="E34" s="14"/>
      <c r="F34" s="34">
        <f>SUM(B8:B10)</f>
        <v>59580</v>
      </c>
      <c r="G34" s="22" t="s">
        <v>9</v>
      </c>
      <c r="H34" s="14"/>
      <c r="I34" s="14"/>
      <c r="J34" s="14"/>
      <c r="K34" s="14"/>
      <c r="O34" s="124">
        <f>+O33/O32</f>
        <v>0.4855772270776411</v>
      </c>
    </row>
    <row r="35" spans="2:11" s="16" customFormat="1" ht="11.25">
      <c r="B35" s="14"/>
      <c r="C35" s="14" t="s">
        <v>17</v>
      </c>
      <c r="D35" s="14"/>
      <c r="E35" s="14"/>
      <c r="F35" s="23">
        <f>ROUND(F33*F34,0)</f>
        <v>50166</v>
      </c>
      <c r="G35" s="22"/>
      <c r="H35" s="14"/>
      <c r="I35" s="14"/>
      <c r="J35" s="14"/>
      <c r="K35" s="14"/>
    </row>
    <row r="36" spans="2:11" s="16" customFormat="1" ht="11.25">
      <c r="B36" s="14"/>
      <c r="C36" s="14"/>
      <c r="D36" s="14"/>
      <c r="E36" s="14"/>
      <c r="F36" s="34"/>
      <c r="G36" s="22"/>
      <c r="H36" s="14"/>
      <c r="I36" s="14"/>
      <c r="J36" s="14"/>
      <c r="K36" s="16">
        <f>D26/O25</f>
        <v>0.48560236966065917</v>
      </c>
    </row>
    <row r="37" spans="2:11" s="16" customFormat="1" ht="11.25">
      <c r="B37" s="14" t="s">
        <v>16</v>
      </c>
      <c r="C37" s="14"/>
      <c r="D37" s="14"/>
      <c r="E37" s="14"/>
      <c r="F37" s="33">
        <v>0.87</v>
      </c>
      <c r="G37" s="14"/>
      <c r="H37" s="14"/>
      <c r="I37" s="14"/>
      <c r="J37" s="14"/>
      <c r="K37" s="14"/>
    </row>
    <row r="38" spans="2:11" s="16" customFormat="1" ht="11.25">
      <c r="B38" s="74" t="str">
        <f>"Customers from "&amp;TEXT(A14,"mm/yy")&amp;" - "&amp;TEXT($A$22,"mm/yy")</f>
        <v>Customers from 08/14 - 04/15</v>
      </c>
      <c r="D38" s="14"/>
      <c r="E38" s="14"/>
      <c r="F38" s="14">
        <f>B24</f>
        <v>179082</v>
      </c>
      <c r="G38" s="22" t="s">
        <v>10</v>
      </c>
      <c r="H38" s="14"/>
      <c r="I38" s="14"/>
      <c r="J38" s="14"/>
      <c r="K38" s="14"/>
    </row>
    <row r="39" spans="2:11" s="16" customFormat="1" ht="11.25">
      <c r="B39" s="14"/>
      <c r="C39" s="14" t="s">
        <v>17</v>
      </c>
      <c r="D39" s="14"/>
      <c r="E39" s="14"/>
      <c r="F39" s="23">
        <f>ROUND(F37*F38,0)</f>
        <v>155801</v>
      </c>
      <c r="G39" s="22"/>
      <c r="H39" s="14"/>
      <c r="I39" s="14"/>
      <c r="J39" s="14"/>
      <c r="K39" s="14"/>
    </row>
    <row r="40" spans="2:11" s="16" customFormat="1" ht="11.25">
      <c r="B40" s="14"/>
      <c r="C40" s="14"/>
      <c r="D40" s="14"/>
      <c r="E40" s="14"/>
      <c r="F40" s="35"/>
      <c r="G40" s="22"/>
      <c r="H40" s="14"/>
      <c r="I40" s="14"/>
      <c r="J40" s="14"/>
      <c r="K40" s="14"/>
    </row>
    <row r="41" spans="2:11" s="16" customFormat="1" ht="12" thickBot="1">
      <c r="B41" s="14"/>
      <c r="C41" s="14" t="s">
        <v>18</v>
      </c>
      <c r="D41" s="14"/>
      <c r="E41" s="14"/>
      <c r="F41" s="27">
        <f>+F35+F39</f>
        <v>205967</v>
      </c>
      <c r="G41" s="36">
        <f>+F41</f>
        <v>205967</v>
      </c>
      <c r="H41" s="14"/>
      <c r="I41" s="14"/>
      <c r="J41" s="14"/>
      <c r="K41" s="14"/>
    </row>
    <row r="42" spans="2:11" s="16" customFormat="1" ht="12" thickTop="1">
      <c r="B42" s="14"/>
      <c r="C42" s="14"/>
      <c r="D42" s="14"/>
      <c r="E42" s="14"/>
      <c r="F42" s="14"/>
      <c r="G42" s="14"/>
      <c r="H42" s="14"/>
      <c r="I42" s="14"/>
      <c r="J42" s="14"/>
      <c r="K42" s="14"/>
    </row>
    <row r="43" spans="2:11" s="16" customFormat="1" ht="11.25">
      <c r="B43" s="14"/>
      <c r="C43" s="14"/>
      <c r="D43" s="14"/>
      <c r="E43" s="14"/>
      <c r="F43" s="14"/>
      <c r="G43" s="14"/>
      <c r="H43" s="14"/>
      <c r="I43" s="14"/>
      <c r="J43" s="14"/>
      <c r="K43" s="14"/>
    </row>
    <row r="44" spans="2:11" s="16" customFormat="1" ht="12" thickBot="1">
      <c r="B44" s="14"/>
      <c r="C44" s="14"/>
      <c r="D44" s="14"/>
      <c r="E44" s="14"/>
      <c r="F44" s="31" t="str">
        <f>IF(G44&lt;=0,"Excess","Deficient")&amp;" Commodity Credits"</f>
        <v>Excess Commodity Credits</v>
      </c>
      <c r="G44" s="37">
        <f>+G31-G41</f>
        <v>-12422</v>
      </c>
      <c r="H44" s="14"/>
      <c r="I44" s="14"/>
      <c r="J44" s="14"/>
      <c r="K44" s="14"/>
    </row>
    <row r="45" spans="2:25" s="16" customFormat="1" ht="12" thickTop="1">
      <c r="B45" s="14"/>
      <c r="C45" s="14"/>
      <c r="D45" s="14"/>
      <c r="E45" s="14"/>
      <c r="F45" s="14"/>
      <c r="G45" s="14"/>
      <c r="H45" s="14"/>
      <c r="I45" s="14"/>
      <c r="J45" s="14"/>
      <c r="K45" s="14"/>
      <c r="Y45" s="14"/>
    </row>
    <row r="46" spans="2:11" s="16" customFormat="1" ht="11.25">
      <c r="B46" s="14"/>
      <c r="C46" s="14"/>
      <c r="D46" s="14"/>
      <c r="E46" s="14"/>
      <c r="F46" s="14"/>
      <c r="G46" s="14"/>
      <c r="H46" s="14"/>
      <c r="I46" s="14"/>
      <c r="J46" s="14"/>
      <c r="K46" s="14"/>
    </row>
    <row r="47" spans="2:18" s="16" customFormat="1" ht="12" thickBot="1">
      <c r="B47" s="28" t="str">
        <f>$K$22&amp;" Recycle Adjustment Calculation"</f>
        <v>2014 Recycle Adjustment Calculation</v>
      </c>
      <c r="C47" s="29"/>
      <c r="D47" s="29"/>
      <c r="E47" s="29"/>
      <c r="F47" s="29"/>
      <c r="G47" s="14"/>
      <c r="H47" s="14"/>
      <c r="I47" s="14"/>
      <c r="J47" s="14"/>
      <c r="K47" s="14"/>
      <c r="O47" s="14"/>
      <c r="P47" s="14"/>
      <c r="Q47" s="14"/>
      <c r="R47" s="14"/>
    </row>
    <row r="48" spans="2:27" s="16" customFormat="1" ht="12" thickTop="1">
      <c r="B48" s="30"/>
      <c r="C48" s="14"/>
      <c r="D48" s="14"/>
      <c r="E48" s="14"/>
      <c r="F48" s="14"/>
      <c r="G48" s="14"/>
      <c r="H48" s="14"/>
      <c r="I48" s="14"/>
      <c r="J48" s="14"/>
      <c r="K48" s="14"/>
      <c r="L48" s="14"/>
      <c r="M48" s="14"/>
      <c r="N48" s="14"/>
      <c r="S48" s="14"/>
      <c r="T48" s="14"/>
      <c r="U48" s="14"/>
      <c r="V48" s="14"/>
      <c r="W48" s="14"/>
      <c r="AA48" s="14"/>
    </row>
    <row r="49" spans="2:11" s="16" customFormat="1" ht="11.25">
      <c r="B49" s="14" t="str">
        <f>$K$10&amp;"/"&amp;$K$22&amp;" True-up Computation"</f>
        <v>2013/2014 True-up Computation</v>
      </c>
      <c r="C49" s="14"/>
      <c r="D49" s="14"/>
      <c r="E49" s="14"/>
      <c r="F49" s="14"/>
      <c r="G49" s="14"/>
      <c r="H49" s="14"/>
      <c r="I49" s="14"/>
      <c r="J49" s="14"/>
      <c r="K49" s="14"/>
    </row>
    <row r="50" spans="2:11" s="16" customFormat="1" ht="11.25">
      <c r="B50" s="14"/>
      <c r="C50" s="14"/>
      <c r="D50" s="14"/>
      <c r="E50" s="14"/>
      <c r="F50" s="31" t="s">
        <v>19</v>
      </c>
      <c r="G50" s="14">
        <f>+J26</f>
        <v>238662</v>
      </c>
      <c r="H50" s="22" t="s">
        <v>13</v>
      </c>
      <c r="I50" s="14"/>
      <c r="J50" s="14"/>
      <c r="K50" s="14"/>
    </row>
    <row r="51" spans="2:11" s="16" customFormat="1" ht="11.25">
      <c r="B51" s="14"/>
      <c r="C51" s="14"/>
      <c r="D51" s="14"/>
      <c r="E51" s="14"/>
      <c r="F51" s="31" t="str">
        <f>F44</f>
        <v>Excess Commodity Credits</v>
      </c>
      <c r="G51" s="14">
        <f>+G44</f>
        <v>-12422</v>
      </c>
      <c r="H51" s="14"/>
      <c r="I51" s="14"/>
      <c r="J51" s="14"/>
      <c r="K51" s="14"/>
    </row>
    <row r="52" spans="2:11" s="16" customFormat="1" ht="11.25">
      <c r="B52" s="14"/>
      <c r="C52" s="14"/>
      <c r="D52" s="14"/>
      <c r="E52" s="14"/>
      <c r="F52" s="31"/>
      <c r="G52" s="14"/>
      <c r="H52" s="14"/>
      <c r="I52" s="14"/>
      <c r="J52" s="14"/>
      <c r="K52" s="14"/>
    </row>
    <row r="53" spans="2:11" s="16" customFormat="1" ht="12" thickBot="1">
      <c r="B53" s="14"/>
      <c r="C53" s="14"/>
      <c r="D53" s="14"/>
      <c r="E53" s="14"/>
      <c r="F53" s="31" t="str">
        <f>$K$10&amp;"/"&amp;$K$22&amp;" Monthly True-up Charge"</f>
        <v>2013/2014 Monthly True-up Charge</v>
      </c>
      <c r="G53" s="38">
        <f>ROUND(G51/G50,3)</f>
        <v>-0.052</v>
      </c>
      <c r="H53" s="14"/>
      <c r="I53" s="24">
        <f>+G53</f>
        <v>-0.052</v>
      </c>
      <c r="J53" s="14"/>
      <c r="K53" s="14"/>
    </row>
    <row r="54" spans="2:25" s="16" customFormat="1" ht="12" thickTop="1">
      <c r="B54" s="14"/>
      <c r="C54" s="14"/>
      <c r="D54" s="14"/>
      <c r="E54" s="14"/>
      <c r="F54" s="31"/>
      <c r="G54" s="14"/>
      <c r="H54" s="14"/>
      <c r="I54" s="24"/>
      <c r="J54" s="14"/>
      <c r="K54" s="14"/>
      <c r="Y54" s="14"/>
    </row>
    <row r="55" spans="2:14" s="16" customFormat="1" ht="11.25">
      <c r="B55" s="14" t="str">
        <f>$K$22&amp;"/"&amp;$K$22+1&amp;" Projected Credit at 50% Retention"</f>
        <v>2014/2015 Projected Credit at 50% Retention</v>
      </c>
      <c r="C55" s="14"/>
      <c r="D55" s="14"/>
      <c r="E55" s="14"/>
      <c r="F55" s="31"/>
      <c r="G55" s="14"/>
      <c r="H55" s="14"/>
      <c r="I55" s="24"/>
      <c r="J55" s="14"/>
      <c r="K55" s="14"/>
      <c r="N55" s="125" t="s">
        <v>67</v>
      </c>
    </row>
    <row r="56" spans="2:14" s="16" customFormat="1" ht="12" thickBot="1">
      <c r="B56" s="30"/>
      <c r="C56" s="14"/>
      <c r="D56" s="14"/>
      <c r="E56" s="14"/>
      <c r="F56" s="31" t="s">
        <v>54</v>
      </c>
      <c r="G56" s="127">
        <f>+F26/Value!P20*N56</f>
        <v>0.8109139692196605</v>
      </c>
      <c r="H56" s="14"/>
      <c r="I56" s="24">
        <f>+G56</f>
        <v>0.8109139692196605</v>
      </c>
      <c r="J56" s="22" t="s">
        <v>12</v>
      </c>
      <c r="K56" s="14"/>
      <c r="N56" s="126">
        <f>+'[1]WUTC_AW of Kent_MF'!$O$56</f>
        <v>0.5</v>
      </c>
    </row>
    <row r="57" spans="2:25" s="14" customFormat="1" ht="12" thickTop="1">
      <c r="B57" s="30"/>
      <c r="I57" s="24"/>
      <c r="X57" s="16"/>
      <c r="Y57" s="16"/>
    </row>
    <row r="58" spans="2:11" s="16" customFormat="1" ht="12" thickBot="1">
      <c r="B58" s="14"/>
      <c r="C58" s="14"/>
      <c r="D58" s="14"/>
      <c r="E58" s="14"/>
      <c r="F58" s="14"/>
      <c r="G58" s="31" t="str">
        <f>$K$22&amp;"/"&amp;$K$22+1&amp;" Adjusted Credit"</f>
        <v>2014/2015 Adjusted Credit</v>
      </c>
      <c r="H58" s="27"/>
      <c r="I58" s="38">
        <f>+I53+I56</f>
        <v>0.7589139692196605</v>
      </c>
      <c r="J58" s="14"/>
      <c r="K58" s="14"/>
    </row>
    <row r="59" s="16" customFormat="1" ht="12" thickTop="1">
      <c r="I59" s="24"/>
    </row>
    <row r="60" s="16" customFormat="1" ht="11.25"/>
    <row r="61" s="16" customFormat="1" ht="9.75"/>
    <row r="62" s="16" customFormat="1" ht="9.75"/>
    <row r="63" spans="7:9" s="16" customFormat="1" ht="9.75">
      <c r="G63" s="109" t="s">
        <v>56</v>
      </c>
      <c r="I63" s="73">
        <f>'[8]2014-2015'!$C$7</f>
        <v>3397.6389077482795</v>
      </c>
    </row>
    <row r="64" spans="1:6" s="16" customFormat="1" ht="9.75">
      <c r="A64" s="39"/>
      <c r="B64" s="39"/>
      <c r="C64" s="39"/>
      <c r="D64" s="39"/>
      <c r="E64" s="39"/>
      <c r="F64" s="39"/>
    </row>
    <row r="65" spans="1:9" s="16" customFormat="1" ht="9.75">
      <c r="A65" s="40"/>
      <c r="B65" s="42"/>
      <c r="C65" s="41"/>
      <c r="D65" s="39"/>
      <c r="E65" s="39"/>
      <c r="F65" s="39"/>
      <c r="G65" s="109" t="s">
        <v>57</v>
      </c>
      <c r="I65" s="110">
        <f>I63/(B22*12)</f>
        <v>0.01404238335791747</v>
      </c>
    </row>
    <row r="66" spans="1:6" s="16" customFormat="1" ht="9.75">
      <c r="A66" s="40"/>
      <c r="B66" s="42"/>
      <c r="C66" s="42"/>
      <c r="D66" s="39"/>
      <c r="E66" s="39"/>
      <c r="F66" s="39"/>
    </row>
    <row r="67" spans="1:9" s="16" customFormat="1" ht="10.5" thickBot="1">
      <c r="A67" s="40"/>
      <c r="B67" s="43"/>
      <c r="C67" s="42"/>
      <c r="D67" s="39"/>
      <c r="E67" s="39"/>
      <c r="F67" s="39"/>
      <c r="G67" s="31" t="str">
        <f>$K$22+1&amp;" Net Credit"</f>
        <v>2015 Net Credit</v>
      </c>
      <c r="H67" s="27"/>
      <c r="I67" s="128">
        <f>+I58+I65</f>
        <v>0.772956352577578</v>
      </c>
    </row>
    <row r="68" spans="1:6" s="16" customFormat="1" ht="10.5" thickTop="1">
      <c r="A68" s="40"/>
      <c r="B68" s="43"/>
      <c r="C68" s="42"/>
      <c r="D68" s="39"/>
      <c r="E68" s="39"/>
      <c r="F68" s="39"/>
    </row>
    <row r="69" spans="1:6" s="16" customFormat="1" ht="9.75">
      <c r="A69" s="40"/>
      <c r="B69" s="43"/>
      <c r="C69" s="42"/>
      <c r="D69" s="39"/>
      <c r="E69" s="39"/>
      <c r="F69" s="39"/>
    </row>
    <row r="70" spans="1:25" s="16" customFormat="1" ht="9.75">
      <c r="A70" s="40"/>
      <c r="B70" s="43"/>
      <c r="C70" s="42"/>
      <c r="D70" s="39"/>
      <c r="E70" s="39"/>
      <c r="F70" s="39"/>
      <c r="Y70" s="14"/>
    </row>
    <row r="71" spans="1:6" s="16" customFormat="1" ht="9.75">
      <c r="A71" s="40"/>
      <c r="B71" s="43"/>
      <c r="C71" s="42"/>
      <c r="D71" s="39"/>
      <c r="E71" s="39"/>
      <c r="F71" s="39"/>
    </row>
    <row r="72" spans="1:6" s="16" customFormat="1" ht="9.75">
      <c r="A72" s="40"/>
      <c r="B72" s="43"/>
      <c r="C72" s="42"/>
      <c r="D72" s="39"/>
      <c r="E72" s="39"/>
      <c r="F72" s="39"/>
    </row>
    <row r="73" spans="1:6" s="16" customFormat="1" ht="9.75">
      <c r="A73" s="40"/>
      <c r="B73" s="43"/>
      <c r="C73" s="42"/>
      <c r="D73" s="39"/>
      <c r="E73" s="39"/>
      <c r="F73" s="39"/>
    </row>
    <row r="74" spans="1:27" s="16" customFormat="1" ht="9.75">
      <c r="A74" s="40"/>
      <c r="B74" s="43"/>
      <c r="C74" s="42"/>
      <c r="D74" s="39"/>
      <c r="E74" s="44"/>
      <c r="F74" s="39"/>
      <c r="G74" s="14"/>
      <c r="H74" s="13"/>
      <c r="I74" s="14"/>
      <c r="J74" s="14"/>
      <c r="K74" s="13"/>
      <c r="L74" s="14"/>
      <c r="M74" s="14"/>
      <c r="N74" s="14"/>
      <c r="O74" s="14"/>
      <c r="P74" s="14"/>
      <c r="Q74" s="14"/>
      <c r="R74" s="14"/>
      <c r="S74" s="14"/>
      <c r="T74" s="14"/>
      <c r="U74" s="14"/>
      <c r="V74" s="13"/>
      <c r="W74" s="14"/>
      <c r="AA74" s="14"/>
    </row>
    <row r="75" spans="1:6" s="16" customFormat="1" ht="9.75">
      <c r="A75" s="40"/>
      <c r="B75" s="43"/>
      <c r="C75" s="42"/>
      <c r="D75" s="39"/>
      <c r="E75" s="39"/>
      <c r="F75" s="39"/>
    </row>
    <row r="76" spans="1:6" s="16" customFormat="1" ht="9.75">
      <c r="A76" s="40"/>
      <c r="B76" s="42"/>
      <c r="C76" s="42"/>
      <c r="D76" s="39"/>
      <c r="E76" s="39"/>
      <c r="F76" s="39"/>
    </row>
    <row r="77" spans="1:6" s="16" customFormat="1" ht="9.75">
      <c r="A77" s="40"/>
      <c r="B77" s="42"/>
      <c r="C77" s="41"/>
      <c r="D77" s="39"/>
      <c r="E77" s="39"/>
      <c r="F77" s="39"/>
    </row>
    <row r="78" spans="1:6" s="16" customFormat="1" ht="12">
      <c r="A78" s="45"/>
      <c r="B78" s="45"/>
      <c r="C78" s="45"/>
      <c r="D78" s="46"/>
      <c r="E78" s="39"/>
      <c r="F78" s="45"/>
    </row>
    <row r="79" spans="1:25" s="16" customFormat="1" ht="9.75">
      <c r="A79" s="47"/>
      <c r="B79" s="42"/>
      <c r="C79" s="41"/>
      <c r="D79" s="39"/>
      <c r="E79" s="39"/>
      <c r="F79" s="48"/>
      <c r="Y79" s="14"/>
    </row>
    <row r="80" s="16" customFormat="1" ht="9.75"/>
    <row r="81" s="16" customFormat="1" ht="9.75"/>
    <row r="82" s="16" customFormat="1" ht="9.75"/>
    <row r="83" s="16" customFormat="1" ht="9.75">
      <c r="B83" s="8"/>
    </row>
    <row r="84" spans="2:25" s="14" customFormat="1" ht="9.75">
      <c r="B84" s="30"/>
      <c r="X84" s="16"/>
      <c r="Y84" s="16"/>
    </row>
    <row r="85" s="16" customFormat="1" ht="9.75"/>
    <row r="86" s="16" customFormat="1" ht="9.75"/>
    <row r="87" s="16" customFormat="1" ht="9.75"/>
    <row r="88" s="16" customFormat="1" ht="9.75"/>
    <row r="89" s="16" customFormat="1" ht="9.75"/>
    <row r="90" s="16" customFormat="1" ht="9.75"/>
    <row r="91" s="16" customFormat="1" ht="9.75"/>
    <row r="92" s="16" customFormat="1" ht="9.75"/>
    <row r="93" s="16" customFormat="1" ht="9.75">
      <c r="A93" s="6"/>
    </row>
    <row r="94" s="16" customFormat="1" ht="12">
      <c r="AA94" s="5"/>
    </row>
    <row r="95" s="16" customFormat="1" ht="12">
      <c r="AA95" s="5"/>
    </row>
    <row r="96" s="16" customFormat="1" ht="12">
      <c r="AA96" s="5"/>
    </row>
    <row r="97" s="16" customFormat="1" ht="12">
      <c r="AA97" s="5"/>
    </row>
    <row r="98" spans="7:27" s="16" customFormat="1" ht="12">
      <c r="G98" s="49"/>
      <c r="I98" s="49"/>
      <c r="J98" s="49"/>
      <c r="L98" s="49"/>
      <c r="M98" s="49"/>
      <c r="N98" s="49"/>
      <c r="O98" s="49"/>
      <c r="P98" s="49"/>
      <c r="Q98" s="49"/>
      <c r="R98" s="49"/>
      <c r="S98" s="49"/>
      <c r="T98" s="49"/>
      <c r="U98" s="49"/>
      <c r="V98" s="49"/>
      <c r="W98" s="49"/>
      <c r="X98" s="49"/>
      <c r="Y98" s="49"/>
      <c r="AA98" s="5"/>
    </row>
    <row r="99" s="16" customFormat="1" ht="12">
      <c r="AA99" s="5"/>
    </row>
    <row r="100" spans="7:27" s="16" customFormat="1" ht="12.75" thickBot="1">
      <c r="G100" s="50"/>
      <c r="I100" s="50"/>
      <c r="J100" s="50"/>
      <c r="L100" s="50"/>
      <c r="M100" s="50"/>
      <c r="N100" s="50"/>
      <c r="O100" s="50"/>
      <c r="P100" s="50"/>
      <c r="Q100" s="50"/>
      <c r="R100" s="50"/>
      <c r="S100" s="50"/>
      <c r="T100" s="50"/>
      <c r="U100" s="50"/>
      <c r="V100" s="50"/>
      <c r="W100" s="50"/>
      <c r="X100" s="50"/>
      <c r="Y100" s="50"/>
      <c r="AA100" s="5"/>
    </row>
    <row r="101" ht="12.75" thickTop="1"/>
    <row r="102" spans="23:25" ht="12">
      <c r="W102" s="51"/>
      <c r="X102" s="51"/>
      <c r="Y102" s="51"/>
    </row>
    <row r="103" spans="23:27" ht="12">
      <c r="W103" s="51"/>
      <c r="AA103" s="51"/>
    </row>
  </sheetData>
  <sheetProtection/>
  <printOptions horizontalCentered="1"/>
  <pageMargins left="0" right="0" top="0.52" bottom="0.44" header="0" footer="0"/>
  <pageSetup fitToHeight="1" fitToWidth="1" orientation="portrait" scale="56" r:id="rId3"/>
  <headerFooter alignWithMargins="0">
    <oddFooter>&amp;R&amp;"Helv,Regular"&amp;6\\SERVER1\PUBLIC\EXCEL&amp;F,&amp;A</oddFooter>
  </headerFooter>
  <legacyDrawing r:id="rId2"/>
</worksheet>
</file>

<file path=xl/worksheets/sheet2.xml><?xml version="1.0" encoding="utf-8"?>
<worksheet xmlns="http://schemas.openxmlformats.org/spreadsheetml/2006/main" xmlns:r="http://schemas.openxmlformats.org/officeDocument/2006/relationships">
  <dimension ref="A1:R120"/>
  <sheetViews>
    <sheetView showGridLines="0" zoomScalePageLayoutView="0" workbookViewId="0" topLeftCell="A1">
      <selection activeCell="E37" sqref="E37"/>
    </sheetView>
  </sheetViews>
  <sheetFormatPr defaultColWidth="9.140625" defaultRowHeight="12.75"/>
  <cols>
    <col min="2" max="2" width="6.57421875" style="0" customWidth="1"/>
    <col min="3" max="3" width="8.7109375" style="0" bestFit="1" customWidth="1"/>
    <col min="4" max="4" width="9.00390625" style="0" bestFit="1" customWidth="1"/>
    <col min="5" max="5" width="12.00390625" style="0" bestFit="1" customWidth="1"/>
    <col min="11" max="12" width="9.00390625" style="0" bestFit="1" customWidth="1"/>
    <col min="13" max="13" width="8.7109375" style="0" bestFit="1" customWidth="1"/>
    <col min="14" max="14" width="3.7109375" style="66" customWidth="1"/>
    <col min="16" max="16" width="14.57421875" style="0" bestFit="1" customWidth="1"/>
  </cols>
  <sheetData>
    <row r="1" spans="1:2" ht="12.75">
      <c r="A1" s="52" t="str">
        <f>"Commodity Value Timeframe:  "&amp;TEXT(A7,"mmmm")&amp;" - "&amp;TEXT(A18,"mmmm")</f>
        <v>Commodity Value Timeframe:  May - April</v>
      </c>
      <c r="B1" s="53"/>
    </row>
    <row r="2" spans="1:2" ht="12.75">
      <c r="A2" s="54" t="str">
        <f>WUTC_KENT_SF!A1</f>
        <v>Kent-Meridian Disposal</v>
      </c>
      <c r="B2" s="54"/>
    </row>
    <row r="3" spans="1:2" ht="12.75">
      <c r="A3" s="54"/>
      <c r="B3" s="54"/>
    </row>
    <row r="4" spans="2:15" ht="12.75">
      <c r="B4" s="64"/>
      <c r="C4" s="56" t="s">
        <v>21</v>
      </c>
      <c r="D4" s="56" t="s">
        <v>22</v>
      </c>
      <c r="E4" s="56" t="s">
        <v>55</v>
      </c>
      <c r="F4" s="56" t="s">
        <v>23</v>
      </c>
      <c r="G4" s="56" t="s">
        <v>24</v>
      </c>
      <c r="H4" s="56" t="s">
        <v>25</v>
      </c>
      <c r="I4" s="56" t="s">
        <v>26</v>
      </c>
      <c r="J4" s="56" t="s">
        <v>27</v>
      </c>
      <c r="K4" s="56" t="s">
        <v>28</v>
      </c>
      <c r="L4" s="56" t="s">
        <v>29</v>
      </c>
      <c r="M4" s="56" t="s">
        <v>30</v>
      </c>
      <c r="N4"/>
      <c r="O4" s="67"/>
    </row>
    <row r="5" spans="2:15" ht="12.75">
      <c r="B5" s="64"/>
      <c r="C5" s="64"/>
      <c r="D5" s="64"/>
      <c r="E5" s="64"/>
      <c r="F5" s="64"/>
      <c r="G5" s="64"/>
      <c r="H5" s="64"/>
      <c r="I5" s="64"/>
      <c r="J5" s="64"/>
      <c r="K5" s="64"/>
      <c r="L5" s="64"/>
      <c r="M5" s="64"/>
      <c r="N5"/>
      <c r="O5" s="67" t="str">
        <f>+TEXT(P20,"00.0%")&amp;" of"</f>
        <v>50.0% of</v>
      </c>
    </row>
    <row r="6" spans="2:17" ht="12.75">
      <c r="B6" s="64"/>
      <c r="C6" s="64"/>
      <c r="D6" s="64"/>
      <c r="E6" s="64"/>
      <c r="F6" s="64"/>
      <c r="G6" s="64"/>
      <c r="H6" s="64"/>
      <c r="I6" s="64"/>
      <c r="J6" s="64"/>
      <c r="K6" s="64"/>
      <c r="L6" s="64"/>
      <c r="M6" s="64"/>
      <c r="N6"/>
      <c r="O6" s="67" t="s">
        <v>30</v>
      </c>
      <c r="P6" s="56" t="s">
        <v>68</v>
      </c>
      <c r="Q6" s="140" t="s">
        <v>76</v>
      </c>
    </row>
    <row r="7" spans="1:18" ht="12.75">
      <c r="A7" s="59">
        <f>+Pricing!A7</f>
        <v>41760</v>
      </c>
      <c r="B7" s="64"/>
      <c r="C7" s="69">
        <f>'Commodity Tonnages'!C7*Pricing!C7</f>
        <v>4981.569904894835</v>
      </c>
      <c r="D7" s="69">
        <f>'Commodity Tonnages'!D7*Pricing!D7</f>
        <v>-1653.6218734439049</v>
      </c>
      <c r="E7" s="69">
        <f>'Commodity Tonnages'!E7*Pricing!E7</f>
        <v>0</v>
      </c>
      <c r="F7" s="69">
        <f>'Commodity Tonnages'!F7*Pricing!F7</f>
        <v>815.2416021017775</v>
      </c>
      <c r="G7" s="69">
        <f>'Commodity Tonnages'!G7*Pricing!G7</f>
        <v>9023.11981920173</v>
      </c>
      <c r="H7" s="69">
        <f>'Commodity Tonnages'!H7*Pricing!H7</f>
        <v>13893.137481265005</v>
      </c>
      <c r="I7" s="69">
        <f>'Commodity Tonnages'!I7*Pricing!I7</f>
        <v>2615.712755837209</v>
      </c>
      <c r="J7" s="69">
        <f>'Commodity Tonnages'!J7*Pricing!J7</f>
        <v>2615.712755837209</v>
      </c>
      <c r="K7" s="69">
        <f>'Commodity Tonnages'!K7*Pricing!K7</f>
        <v>10928.080357870696</v>
      </c>
      <c r="L7" s="69">
        <f>'Commodity Tonnages'!L7*Pricing!L7</f>
        <v>-4390.691570510227</v>
      </c>
      <c r="M7" s="65">
        <f aca="true" t="shared" si="0" ref="M7:M18">SUM(C7:L7)</f>
        <v>38828.26123305433</v>
      </c>
      <c r="N7"/>
      <c r="O7" s="139">
        <f>M7-Q7</f>
        <v>19419.089223018393</v>
      </c>
      <c r="P7" s="112">
        <f>_xlfn.IFERROR(O7/M7,0)</f>
        <v>0.5001277061174969</v>
      </c>
      <c r="Q7" s="129">
        <v>19409.172010035934</v>
      </c>
      <c r="R7" s="68"/>
    </row>
    <row r="8" spans="1:18" ht="12.75">
      <c r="A8" s="59">
        <f>+Pricing!A8</f>
        <v>41820</v>
      </c>
      <c r="B8" s="64"/>
      <c r="C8" s="69">
        <f>'Commodity Tonnages'!C8*Pricing!C8</f>
        <v>4642.01434609451</v>
      </c>
      <c r="D8" s="69">
        <f>'Commodity Tonnages'!D8*Pricing!D8</f>
        <v>-728.3218643678359</v>
      </c>
      <c r="E8" s="69">
        <f>'Commodity Tonnages'!E8*Pricing!E8</f>
        <v>0</v>
      </c>
      <c r="F8" s="69">
        <f>'Commodity Tonnages'!F8*Pricing!F8</f>
        <v>722.4619512747481</v>
      </c>
      <c r="G8" s="69">
        <f>'Commodity Tonnages'!G8*Pricing!G8</f>
        <v>8499.057656892277</v>
      </c>
      <c r="H8" s="69">
        <f>'Commodity Tonnages'!H8*Pricing!H8</f>
        <v>12982.961172342768</v>
      </c>
      <c r="I8" s="69">
        <f>'Commodity Tonnages'!I8*Pricing!I8</f>
        <v>2525.501850983895</v>
      </c>
      <c r="J8" s="69">
        <f>'Commodity Tonnages'!J8*Pricing!J8</f>
        <v>2525.501850983895</v>
      </c>
      <c r="K8" s="69">
        <f>'Commodity Tonnages'!K8*Pricing!K8</f>
        <v>10059.545018275243</v>
      </c>
      <c r="L8" s="69">
        <f>'Commodity Tonnages'!L8*Pricing!L8</f>
        <v>-4205.681876755358</v>
      </c>
      <c r="M8" s="65">
        <f t="shared" si="0"/>
        <v>37023.04010572415</v>
      </c>
      <c r="N8"/>
      <c r="O8" s="139">
        <f aca="true" t="shared" si="1" ref="O8:O18">M8-Q8</f>
        <v>18517.260486211668</v>
      </c>
      <c r="P8" s="112">
        <f aca="true" t="shared" si="2" ref="P8:P18">_xlfn.IFERROR(O8/M8,0)</f>
        <v>0.5001550502966046</v>
      </c>
      <c r="Q8" s="129">
        <v>18505.77961951248</v>
      </c>
      <c r="R8" s="68"/>
    </row>
    <row r="9" spans="1:18" ht="12.75">
      <c r="A9" s="59">
        <f>+Pricing!A9</f>
        <v>41851</v>
      </c>
      <c r="B9" s="60"/>
      <c r="C9" s="69">
        <f>'Commodity Tonnages'!C9*Pricing!C9</f>
        <v>4522.929738045366</v>
      </c>
      <c r="D9" s="69">
        <f>'Commodity Tonnages'!D9*Pricing!D9</f>
        <v>-748.5321842354462</v>
      </c>
      <c r="E9" s="69">
        <f>'Commodity Tonnages'!E9*Pricing!E9</f>
        <v>0</v>
      </c>
      <c r="F9" s="69">
        <f>'Commodity Tonnages'!F9*Pricing!F9</f>
        <v>677.8921333141138</v>
      </c>
      <c r="G9" s="69">
        <f>'Commodity Tonnages'!G9*Pricing!G9</f>
        <v>8087.493389560124</v>
      </c>
      <c r="H9" s="69">
        <f>'Commodity Tonnages'!H9*Pricing!H9</f>
        <v>12265.457016705055</v>
      </c>
      <c r="I9" s="69">
        <f>'Commodity Tonnages'!I9*Pricing!I9</f>
        <v>2673.985107086879</v>
      </c>
      <c r="J9" s="69">
        <f>'Commodity Tonnages'!J9*Pricing!J9</f>
        <v>2673.985107086879</v>
      </c>
      <c r="K9" s="69">
        <f>'Commodity Tonnages'!K9*Pricing!K9</f>
        <v>10089.902772128848</v>
      </c>
      <c r="L9" s="69">
        <f>'Commodity Tonnages'!L9*Pricing!L9</f>
        <v>-3969.7703143372855</v>
      </c>
      <c r="M9" s="65">
        <f t="shared" si="0"/>
        <v>36273.34276535453</v>
      </c>
      <c r="N9" s="65"/>
      <c r="O9" s="139">
        <f t="shared" si="1"/>
        <v>18142.885622766466</v>
      </c>
      <c r="P9" s="112">
        <f t="shared" si="2"/>
        <v>0.5001713169952215</v>
      </c>
      <c r="Q9" s="129">
        <v>18130.457142588064</v>
      </c>
      <c r="R9" s="68"/>
    </row>
    <row r="10" spans="1:18" ht="12.75">
      <c r="A10" s="59">
        <f>+Pricing!A10</f>
        <v>41882</v>
      </c>
      <c r="B10" s="60"/>
      <c r="C10" s="69">
        <f>'Commodity Tonnages'!C10*Pricing!C10</f>
        <v>4956.495265794452</v>
      </c>
      <c r="D10" s="69">
        <f>'Commodity Tonnages'!D10*Pricing!D10</f>
        <v>-894.1267382615463</v>
      </c>
      <c r="E10" s="69">
        <f>'Commodity Tonnages'!E10*Pricing!E10</f>
        <v>0</v>
      </c>
      <c r="F10" s="69">
        <f>'Commodity Tonnages'!F10*Pricing!F10</f>
        <v>701.8584375004381</v>
      </c>
      <c r="G10" s="69">
        <f>'Commodity Tonnages'!G10*Pricing!G10</f>
        <v>8344.508586716918</v>
      </c>
      <c r="H10" s="69">
        <f>'Commodity Tonnages'!H10*Pricing!H10</f>
        <v>12709.291302594602</v>
      </c>
      <c r="I10" s="69">
        <f>'Commodity Tonnages'!I10*Pricing!I10</f>
        <v>2820.408774260394</v>
      </c>
      <c r="J10" s="69">
        <f>'Commodity Tonnages'!J10*Pricing!J10</f>
        <v>2820.408774260394</v>
      </c>
      <c r="K10" s="69">
        <f>'Commodity Tonnages'!K10*Pricing!K10</f>
        <v>10242.304677371254</v>
      </c>
      <c r="L10" s="69">
        <f>'Commodity Tonnages'!L10*Pricing!L10</f>
        <v>-4137.608746069681</v>
      </c>
      <c r="M10" s="65">
        <f t="shared" si="0"/>
        <v>37563.54033416723</v>
      </c>
      <c r="N10" s="65"/>
      <c r="O10" s="139">
        <f t="shared" si="1"/>
        <v>18783.0977751192</v>
      </c>
      <c r="P10" s="112">
        <f t="shared" si="2"/>
        <v>0.5000353429954625</v>
      </c>
      <c r="Q10" s="129">
        <v>18780.442559048028</v>
      </c>
      <c r="R10" s="68"/>
    </row>
    <row r="11" spans="1:18" ht="12.75">
      <c r="A11" s="59">
        <f>+Pricing!A11</f>
        <v>41912</v>
      </c>
      <c r="B11" s="60"/>
      <c r="C11" s="69">
        <f>'Commodity Tonnages'!C11*Pricing!C11</f>
        <v>5469.435639273125</v>
      </c>
      <c r="D11" s="69">
        <f>'Commodity Tonnages'!D11*Pricing!D11</f>
        <v>291.2834938701941</v>
      </c>
      <c r="E11" s="69">
        <f>'Commodity Tonnages'!E11*Pricing!E11</f>
        <v>0</v>
      </c>
      <c r="F11" s="69">
        <f>'Commodity Tonnages'!F11*Pricing!F11</f>
        <v>801.9984831476619</v>
      </c>
      <c r="G11" s="69">
        <f>'Commodity Tonnages'!G11*Pricing!G11</f>
        <v>8279.337905802522</v>
      </c>
      <c r="H11" s="69">
        <f>'Commodity Tonnages'!H11*Pricing!H11</f>
        <v>12808.020501814535</v>
      </c>
      <c r="I11" s="69">
        <f>'Commodity Tonnages'!I11*Pricing!I11</f>
        <v>3388.129657421064</v>
      </c>
      <c r="J11" s="69">
        <f>'Commodity Tonnages'!J11*Pricing!J11</f>
        <v>3388.129657421064</v>
      </c>
      <c r="K11" s="69">
        <f>'Commodity Tonnages'!K11*Pricing!K11</f>
        <v>10329.400868767601</v>
      </c>
      <c r="L11" s="69">
        <f>'Commodity Tonnages'!L11*Pricing!L11</f>
        <v>-4515.553801083386</v>
      </c>
      <c r="M11" s="65">
        <f t="shared" si="0"/>
        <v>40240.18240643439</v>
      </c>
      <c r="N11" s="65"/>
      <c r="O11" s="139">
        <f t="shared" si="1"/>
        <v>20121.293330601937</v>
      </c>
      <c r="P11" s="112">
        <f t="shared" si="2"/>
        <v>0.5000298738055559</v>
      </c>
      <c r="Q11" s="129">
        <v>20118.889075832452</v>
      </c>
      <c r="R11" s="68"/>
    </row>
    <row r="12" spans="1:18" ht="12.75">
      <c r="A12" s="59">
        <f>+Pricing!A12</f>
        <v>41943</v>
      </c>
      <c r="B12" s="60"/>
      <c r="C12" s="69">
        <f>'Commodity Tonnages'!C12*Pricing!C12</f>
        <v>5019.654865109623</v>
      </c>
      <c r="D12" s="69">
        <f>'Commodity Tonnages'!D12*Pricing!D12</f>
        <v>104.59882361414262</v>
      </c>
      <c r="E12" s="69">
        <f>'Commodity Tonnages'!E12*Pricing!E12</f>
        <v>0</v>
      </c>
      <c r="F12" s="69">
        <f>'Commodity Tonnages'!F12*Pricing!F12</f>
        <v>608.391881423076</v>
      </c>
      <c r="G12" s="69">
        <f>'Commodity Tonnages'!G12*Pricing!G12</f>
        <v>7944.841778086429</v>
      </c>
      <c r="H12" s="69">
        <f>'Commodity Tonnages'!H12*Pricing!H12</f>
        <v>11629.51632632383</v>
      </c>
      <c r="I12" s="69">
        <f>'Commodity Tonnages'!I12*Pricing!I12</f>
        <v>3074.9517249446485</v>
      </c>
      <c r="J12" s="69">
        <f>'Commodity Tonnages'!J12*Pricing!J12</f>
        <v>3074.9517249446485</v>
      </c>
      <c r="K12" s="69">
        <f>'Commodity Tonnages'!K12*Pricing!K12</f>
        <v>10111.349328529877</v>
      </c>
      <c r="L12" s="69">
        <f>'Commodity Tonnages'!L12*Pricing!L12</f>
        <v>-4241.39685157947</v>
      </c>
      <c r="M12" s="65">
        <f t="shared" si="0"/>
        <v>37326.859601396805</v>
      </c>
      <c r="N12" s="65"/>
      <c r="O12" s="139">
        <f t="shared" si="1"/>
        <v>18664.568465318785</v>
      </c>
      <c r="P12" s="112">
        <f t="shared" si="2"/>
        <v>0.5000305052349043</v>
      </c>
      <c r="Q12" s="129">
        <v>18662.29113607802</v>
      </c>
      <c r="R12" s="68"/>
    </row>
    <row r="13" spans="1:18" ht="12.75">
      <c r="A13" s="59">
        <f>+Pricing!A13</f>
        <v>41973</v>
      </c>
      <c r="B13" s="60"/>
      <c r="C13" s="69">
        <f>'Commodity Tonnages'!C13*Pricing!C13</f>
        <v>4518.635667875475</v>
      </c>
      <c r="D13" s="69">
        <f>'Commodity Tonnages'!D13*Pricing!D13</f>
        <v>-255.4042422166076</v>
      </c>
      <c r="E13" s="69">
        <f>'Commodity Tonnages'!E13*Pricing!E13</f>
        <v>0</v>
      </c>
      <c r="F13" s="69">
        <f>'Commodity Tonnages'!F13*Pricing!F13</f>
        <v>426.5027241015964</v>
      </c>
      <c r="G13" s="69">
        <f>'Commodity Tonnages'!G13*Pricing!G13</f>
        <v>6079.8242911264515</v>
      </c>
      <c r="H13" s="69">
        <f>'Commodity Tonnages'!H13*Pricing!H13</f>
        <v>8871.093031930679</v>
      </c>
      <c r="I13" s="69">
        <f>'Commodity Tonnages'!I13*Pricing!I13</f>
        <v>2298.69141084692</v>
      </c>
      <c r="J13" s="69">
        <f>'Commodity Tonnages'!J13*Pricing!J13</f>
        <v>2298.69141084692</v>
      </c>
      <c r="K13" s="69">
        <f>'Commodity Tonnages'!K13*Pricing!K13</f>
        <v>8113.210341670415</v>
      </c>
      <c r="L13" s="69">
        <f>'Commodity Tonnages'!L13*Pricing!L13</f>
        <v>-3484.866209823572</v>
      </c>
      <c r="M13" s="65">
        <f t="shared" si="0"/>
        <v>28866.37842635828</v>
      </c>
      <c r="N13" s="65"/>
      <c r="O13" s="139">
        <f t="shared" si="1"/>
        <v>14432.662870368598</v>
      </c>
      <c r="P13" s="112">
        <f t="shared" si="2"/>
        <v>0.4999817662332709</v>
      </c>
      <c r="Q13" s="129">
        <v>14433.71555598968</v>
      </c>
      <c r="R13" s="68"/>
    </row>
    <row r="14" spans="1:18" ht="12.75">
      <c r="A14" s="59">
        <f>+Pricing!A14</f>
        <v>42004</v>
      </c>
      <c r="B14" s="60"/>
      <c r="C14" s="69">
        <f>'Commodity Tonnages'!C14*Pricing!C14</f>
        <v>5309.2199719872115</v>
      </c>
      <c r="D14" s="69">
        <f>'Commodity Tonnages'!D14*Pricing!D14</f>
        <v>-501.3602603946963</v>
      </c>
      <c r="E14" s="69">
        <f>'Commodity Tonnages'!E14*Pricing!E14</f>
        <v>0</v>
      </c>
      <c r="F14" s="69">
        <f>'Commodity Tonnages'!F14*Pricing!F14</f>
        <v>523.1393053339021</v>
      </c>
      <c r="G14" s="69">
        <f>'Commodity Tonnages'!G14*Pricing!G14</f>
        <v>7050.581661387581</v>
      </c>
      <c r="H14" s="69">
        <f>'Commodity Tonnages'!H14*Pricing!H14</f>
        <v>10283.20205343263</v>
      </c>
      <c r="I14" s="69">
        <f>'Commodity Tonnages'!I14*Pricing!I14</f>
        <v>2291.2906940988055</v>
      </c>
      <c r="J14" s="69">
        <f>'Commodity Tonnages'!J14*Pricing!J14</f>
        <v>2291.2906940988055</v>
      </c>
      <c r="K14" s="69">
        <f>'Commodity Tonnages'!K14*Pricing!K14</f>
        <v>9397.214415246153</v>
      </c>
      <c r="L14" s="69">
        <f>'Commodity Tonnages'!L14*Pricing!L14</f>
        <v>-4239.095973915819</v>
      </c>
      <c r="M14" s="65">
        <f t="shared" si="0"/>
        <v>32405.482561274577</v>
      </c>
      <c r="N14" s="65"/>
      <c r="O14" s="139">
        <f t="shared" si="1"/>
        <v>16204.182176168504</v>
      </c>
      <c r="P14" s="112">
        <f t="shared" si="2"/>
        <v>0.5000444645602327</v>
      </c>
      <c r="Q14" s="129">
        <v>16201.300385106073</v>
      </c>
      <c r="R14" s="68"/>
    </row>
    <row r="15" spans="1:18" ht="12.75">
      <c r="A15" s="59">
        <f>+Pricing!A15</f>
        <v>42035</v>
      </c>
      <c r="B15" s="60"/>
      <c r="C15" s="69">
        <f>'Commodity Tonnages'!C15*Pricing!C15</f>
        <v>5256.429731323889</v>
      </c>
      <c r="D15" s="69">
        <f>'Commodity Tonnages'!D15*Pricing!D15</f>
        <v>-440.74874969781587</v>
      </c>
      <c r="E15" s="69">
        <f>'Commodity Tonnages'!E15*Pricing!E15</f>
        <v>0</v>
      </c>
      <c r="F15" s="69">
        <f>'Commodity Tonnages'!F15*Pricing!F15</f>
        <v>554.420262484257</v>
      </c>
      <c r="G15" s="69">
        <f>'Commodity Tonnages'!G15*Pricing!G15</f>
        <v>7303.043935194668</v>
      </c>
      <c r="H15" s="69">
        <f>'Commodity Tonnages'!H15*Pricing!H15</f>
        <v>10859.980774687363</v>
      </c>
      <c r="I15" s="69">
        <f>'Commodity Tonnages'!I15*Pricing!I15</f>
        <v>1856.4418991582966</v>
      </c>
      <c r="J15" s="69">
        <f>'Commodity Tonnages'!J15*Pricing!J15</f>
        <v>1856.4418991582966</v>
      </c>
      <c r="K15" s="69">
        <f>'Commodity Tonnages'!K15*Pricing!K15</f>
        <v>9671.285101537262</v>
      </c>
      <c r="L15" s="69">
        <f>'Commodity Tonnages'!L15*Pricing!L15</f>
        <v>-4515.701511298656</v>
      </c>
      <c r="M15" s="65">
        <f t="shared" si="0"/>
        <v>32401.593342547567</v>
      </c>
      <c r="N15" s="65"/>
      <c r="O15" s="139">
        <f t="shared" si="1"/>
        <v>16201.397311047236</v>
      </c>
      <c r="P15" s="112">
        <f t="shared" si="2"/>
        <v>0.500018537352997</v>
      </c>
      <c r="Q15" s="129">
        <v>16200.19603150033</v>
      </c>
      <c r="R15" s="68"/>
    </row>
    <row r="16" spans="1:18" ht="12.75">
      <c r="A16" s="59">
        <f>+Pricing!A16</f>
        <v>42063</v>
      </c>
      <c r="B16" s="60"/>
      <c r="C16" s="69">
        <f>'Commodity Tonnages'!C16*Pricing!C16</f>
        <v>4003.4672703177234</v>
      </c>
      <c r="D16" s="69">
        <f>'Commodity Tonnages'!D16*Pricing!D16</f>
        <v>-785.2175524157363</v>
      </c>
      <c r="E16" s="69">
        <f>'Commodity Tonnages'!E16*Pricing!E16</f>
        <v>0</v>
      </c>
      <c r="F16" s="69">
        <f>'Commodity Tonnages'!F16*Pricing!F16</f>
        <v>314.3430594898865</v>
      </c>
      <c r="G16" s="69">
        <f>'Commodity Tonnages'!G16*Pricing!G16</f>
        <v>5560.804705031474</v>
      </c>
      <c r="H16" s="69">
        <f>'Commodity Tonnages'!H16*Pricing!H16</f>
        <v>8149.308469564129</v>
      </c>
      <c r="I16" s="69">
        <f>'Commodity Tonnages'!I16*Pricing!I16</f>
        <v>1140.3468392012649</v>
      </c>
      <c r="J16" s="69">
        <f>'Commodity Tonnages'!J16*Pricing!J16</f>
        <v>1140.3468392012649</v>
      </c>
      <c r="K16" s="69">
        <f>'Commodity Tonnages'!K16*Pricing!K16</f>
        <v>6377.680162186788</v>
      </c>
      <c r="L16" s="69">
        <f>'Commodity Tonnages'!L16*Pricing!L16</f>
        <v>-3472.5576838280567</v>
      </c>
      <c r="M16" s="65">
        <f t="shared" si="0"/>
        <v>22428.52210874874</v>
      </c>
      <c r="N16" s="65"/>
      <c r="O16" s="139">
        <f t="shared" si="1"/>
        <v>11213.253142075115</v>
      </c>
      <c r="P16" s="112">
        <f t="shared" si="2"/>
        <v>0.4999550611362457</v>
      </c>
      <c r="Q16" s="129">
        <v>11215.268966673626</v>
      </c>
      <c r="R16" s="68"/>
    </row>
    <row r="17" spans="1:18" ht="12.75">
      <c r="A17" s="59">
        <f>+Pricing!A17</f>
        <v>42094</v>
      </c>
      <c r="B17" s="60"/>
      <c r="C17" s="69">
        <f>'Commodity Tonnages'!C17*Pricing!C17</f>
        <v>4328.199052392775</v>
      </c>
      <c r="D17" s="69">
        <f>'Commodity Tonnages'!D17*Pricing!D17</f>
        <v>-508.97741468007484</v>
      </c>
      <c r="E17" s="69">
        <f>'Commodity Tonnages'!E17*Pricing!E17</f>
        <v>0</v>
      </c>
      <c r="F17" s="69">
        <f>'Commodity Tonnages'!F17*Pricing!F17</f>
        <v>363.5533562866229</v>
      </c>
      <c r="G17" s="69">
        <f>'Commodity Tonnages'!G17*Pricing!G17</f>
        <v>6476.2069966824165</v>
      </c>
      <c r="H17" s="69">
        <f>'Commodity Tonnages'!H17*Pricing!H17</f>
        <v>10000.711554262238</v>
      </c>
      <c r="I17" s="69">
        <f>'Commodity Tonnages'!I17*Pricing!I17</f>
        <v>1484.0458018647942</v>
      </c>
      <c r="J17" s="69">
        <f>'Commodity Tonnages'!J17*Pricing!J17</f>
        <v>1484.0458018647942</v>
      </c>
      <c r="K17" s="69">
        <f>'Commodity Tonnages'!K17*Pricing!K17</f>
        <v>7086.006368142499</v>
      </c>
      <c r="L17" s="69">
        <f>'Commodity Tonnages'!L17*Pricing!L17</f>
        <v>-3949.7086398211063</v>
      </c>
      <c r="M17" s="65">
        <f t="shared" si="0"/>
        <v>26764.08287699496</v>
      </c>
      <c r="N17" s="65"/>
      <c r="O17" s="139">
        <f t="shared" si="1"/>
        <v>13381.451510823228</v>
      </c>
      <c r="P17" s="112">
        <f t="shared" si="2"/>
        <v>0.4999779582331679</v>
      </c>
      <c r="Q17" s="129">
        <v>13382.63136617173</v>
      </c>
      <c r="R17" s="68"/>
    </row>
    <row r="18" spans="1:18" ht="12.75">
      <c r="A18" s="59">
        <f>+Pricing!A18</f>
        <v>42124</v>
      </c>
      <c r="B18" s="60"/>
      <c r="C18" s="69">
        <f>'Commodity Tonnages'!C18*Pricing!C18</f>
        <v>4222.768066797753</v>
      </c>
      <c r="D18" s="69">
        <f>'Commodity Tonnages'!D18*Pricing!D18</f>
        <v>-1429.0536741981855</v>
      </c>
      <c r="E18" s="69">
        <f>'Commodity Tonnages'!E18*Pricing!E18</f>
        <v>0</v>
      </c>
      <c r="F18" s="69">
        <f>'Commodity Tonnages'!F18*Pricing!F18</f>
        <v>375.97590143066867</v>
      </c>
      <c r="G18" s="69">
        <f>'Commodity Tonnages'!G18*Pricing!G18</f>
        <v>6934.321377626245</v>
      </c>
      <c r="H18" s="69">
        <f>'Commodity Tonnages'!H18*Pricing!H18</f>
        <v>10469.640264613156</v>
      </c>
      <c r="I18" s="69">
        <f>'Commodity Tonnages'!I18*Pricing!I18</f>
        <v>1864.850828558966</v>
      </c>
      <c r="J18" s="69">
        <f>'Commodity Tonnages'!J18*Pricing!J18</f>
        <v>1864.850828558966</v>
      </c>
      <c r="K18" s="69">
        <f>'Commodity Tonnages'!K18*Pricing!K18</f>
        <v>8276.697303901019</v>
      </c>
      <c r="L18" s="69">
        <f>'Commodity Tonnages'!L18*Pricing!L18</f>
        <v>-4134.908639709497</v>
      </c>
      <c r="M18" s="65">
        <f t="shared" si="0"/>
        <v>28445.14225757909</v>
      </c>
      <c r="N18" s="65"/>
      <c r="O18" s="139">
        <f t="shared" si="1"/>
        <v>14223.214277911226</v>
      </c>
      <c r="P18" s="112">
        <f t="shared" si="2"/>
        <v>0.5000226101566256</v>
      </c>
      <c r="Q18" s="129">
        <v>14221.927979667864</v>
      </c>
      <c r="R18" s="68"/>
    </row>
    <row r="19" spans="1:15" ht="6.75" customHeight="1">
      <c r="A19" s="60"/>
      <c r="B19" s="60"/>
      <c r="C19" s="69"/>
      <c r="D19" s="69"/>
      <c r="E19" s="69"/>
      <c r="F19" s="69"/>
      <c r="G19" s="69"/>
      <c r="H19" s="69"/>
      <c r="I19" s="69"/>
      <c r="J19" s="69"/>
      <c r="K19" s="69"/>
      <c r="L19" s="69"/>
      <c r="M19" s="65"/>
      <c r="N19"/>
      <c r="O19" s="65"/>
    </row>
    <row r="20" spans="1:16" ht="12.75">
      <c r="A20" s="63" t="s">
        <v>33</v>
      </c>
      <c r="B20" s="60"/>
      <c r="C20" s="76">
        <f aca="true" t="shared" si="3" ref="C20:L20">SUM(C7:C19)</f>
        <v>57230.81951990675</v>
      </c>
      <c r="D20" s="76">
        <f t="shared" si="3"/>
        <v>-7549.482236427513</v>
      </c>
      <c r="E20" s="76">
        <f t="shared" si="3"/>
        <v>0</v>
      </c>
      <c r="F20" s="76">
        <f t="shared" si="3"/>
        <v>6885.779097888749</v>
      </c>
      <c r="G20" s="76">
        <f t="shared" si="3"/>
        <v>89583.14210330884</v>
      </c>
      <c r="H20" s="76">
        <f t="shared" si="3"/>
        <v>134922.31994953597</v>
      </c>
      <c r="I20" s="76">
        <f t="shared" si="3"/>
        <v>28034.357344263142</v>
      </c>
      <c r="J20" s="76">
        <f t="shared" si="3"/>
        <v>28034.357344263142</v>
      </c>
      <c r="K20" s="76">
        <f t="shared" si="3"/>
        <v>110682.67671562765</v>
      </c>
      <c r="L20" s="76">
        <f t="shared" si="3"/>
        <v>-49257.541818732105</v>
      </c>
      <c r="M20" s="75">
        <f>SUM(C20:L20)</f>
        <v>398566.4280196346</v>
      </c>
      <c r="N20" s="61"/>
      <c r="O20" s="75">
        <f>SUM(O7:O19)</f>
        <v>199304.3561914304</v>
      </c>
      <c r="P20" s="113">
        <f>+O20/M20</f>
        <v>0.5000530455656241</v>
      </c>
    </row>
    <row r="21" spans="1:15" ht="12.75">
      <c r="A21" s="60"/>
      <c r="B21" s="60"/>
      <c r="C21" s="65"/>
      <c r="D21" s="65"/>
      <c r="E21" s="65"/>
      <c r="F21" s="65"/>
      <c r="G21" s="65"/>
      <c r="H21" s="65"/>
      <c r="I21" s="65"/>
      <c r="J21" s="65"/>
      <c r="K21" s="65"/>
      <c r="L21" s="65"/>
      <c r="M21" s="65"/>
      <c r="N21"/>
      <c r="O21" s="66"/>
    </row>
    <row r="22" spans="1:15" ht="12.75">
      <c r="A22" s="60"/>
      <c r="B22" s="60"/>
      <c r="C22" s="60"/>
      <c r="D22" s="60"/>
      <c r="E22" s="60"/>
      <c r="F22" s="60"/>
      <c r="G22" s="60"/>
      <c r="H22" s="60"/>
      <c r="I22" s="60"/>
      <c r="J22" s="60"/>
      <c r="K22" s="60"/>
      <c r="L22" s="60"/>
      <c r="M22" s="61"/>
      <c r="N22"/>
      <c r="O22" s="66"/>
    </row>
    <row r="23" spans="1:11" ht="12.75">
      <c r="A23" s="60"/>
      <c r="B23" s="60"/>
      <c r="C23" s="60"/>
      <c r="D23" s="60"/>
      <c r="E23" s="60"/>
      <c r="F23" s="60"/>
      <c r="G23" s="60"/>
      <c r="H23" s="60"/>
      <c r="I23" s="60"/>
      <c r="J23" s="60"/>
      <c r="K23" s="60"/>
    </row>
    <row r="24" spans="1:11" ht="12.75">
      <c r="A24" s="60"/>
      <c r="B24" s="60"/>
      <c r="C24" s="60"/>
      <c r="D24" s="60"/>
      <c r="E24" s="60"/>
      <c r="F24" s="60"/>
      <c r="G24" s="60"/>
      <c r="H24" s="60"/>
      <c r="I24" s="60"/>
      <c r="J24" s="60"/>
      <c r="K24" s="60"/>
    </row>
    <row r="25" spans="1:11" ht="12.75">
      <c r="A25" s="60"/>
      <c r="B25" s="60"/>
      <c r="C25" s="60"/>
      <c r="D25" s="60"/>
      <c r="E25" s="60"/>
      <c r="F25" s="60"/>
      <c r="G25" s="60"/>
      <c r="H25" s="60"/>
      <c r="I25" s="60"/>
      <c r="J25" s="60"/>
      <c r="K25" s="60"/>
    </row>
    <row r="26" spans="1:11" ht="12.75">
      <c r="A26" s="60"/>
      <c r="B26" s="60"/>
      <c r="C26" s="60"/>
      <c r="D26" s="60"/>
      <c r="E26" s="60"/>
      <c r="F26" s="60"/>
      <c r="G26" s="60"/>
      <c r="H26" s="60"/>
      <c r="I26" s="60"/>
      <c r="J26" s="60"/>
      <c r="K26" s="60"/>
    </row>
    <row r="27" spans="1:11" ht="12.75">
      <c r="A27" s="60"/>
      <c r="B27" s="60"/>
      <c r="C27" s="60"/>
      <c r="D27" s="60"/>
      <c r="E27" s="60"/>
      <c r="F27" s="60"/>
      <c r="G27" s="60"/>
      <c r="H27" s="60"/>
      <c r="I27" s="60"/>
      <c r="J27" s="60"/>
      <c r="K27" s="60"/>
    </row>
    <row r="28" spans="1:11" ht="12.75">
      <c r="A28" s="60"/>
      <c r="B28" s="60"/>
      <c r="C28" s="60"/>
      <c r="D28" s="60"/>
      <c r="E28" s="60"/>
      <c r="F28" s="60"/>
      <c r="G28" s="60"/>
      <c r="H28" s="60"/>
      <c r="I28" s="60"/>
      <c r="J28" s="60"/>
      <c r="K28" s="60"/>
    </row>
    <row r="29" spans="1:11" ht="12.75">
      <c r="A29" s="60"/>
      <c r="B29" s="60"/>
      <c r="C29" s="60"/>
      <c r="D29" s="60"/>
      <c r="E29" s="60"/>
      <c r="F29" s="60"/>
      <c r="G29" s="60"/>
      <c r="H29" s="60"/>
      <c r="I29" s="60"/>
      <c r="J29" s="60"/>
      <c r="K29" s="60"/>
    </row>
    <row r="30" spans="1:11" ht="12.75">
      <c r="A30" s="60"/>
      <c r="B30" s="60"/>
      <c r="C30" s="60"/>
      <c r="D30" s="60"/>
      <c r="E30" s="60"/>
      <c r="F30" s="60"/>
      <c r="G30" s="60"/>
      <c r="H30" s="60"/>
      <c r="I30" s="60"/>
      <c r="J30" s="60"/>
      <c r="K30" s="60"/>
    </row>
    <row r="31" spans="1:11" ht="12.75">
      <c r="A31" s="60"/>
      <c r="B31" s="60"/>
      <c r="C31" s="60"/>
      <c r="D31" s="60"/>
      <c r="E31" s="60"/>
      <c r="F31" s="60"/>
      <c r="G31" s="60"/>
      <c r="H31" s="60"/>
      <c r="I31" s="60"/>
      <c r="J31" s="60"/>
      <c r="K31" s="60"/>
    </row>
    <row r="32" spans="1:11" ht="12.75">
      <c r="A32" s="60"/>
      <c r="B32" s="60"/>
      <c r="C32" s="60"/>
      <c r="D32" s="60"/>
      <c r="E32" s="60"/>
      <c r="F32" s="60"/>
      <c r="G32" s="60"/>
      <c r="H32" s="60"/>
      <c r="I32" s="60"/>
      <c r="J32" s="60"/>
      <c r="K32" s="60"/>
    </row>
    <row r="33" spans="1:11" ht="12.75">
      <c r="A33" s="60"/>
      <c r="B33" s="60"/>
      <c r="C33" s="60"/>
      <c r="D33" s="60"/>
      <c r="E33" s="60"/>
      <c r="F33" s="60"/>
      <c r="G33" s="60"/>
      <c r="H33" s="60"/>
      <c r="I33" s="60"/>
      <c r="J33" s="60"/>
      <c r="K33" s="60"/>
    </row>
    <row r="34" spans="1:11" ht="12.75">
      <c r="A34" s="60"/>
      <c r="B34" s="60"/>
      <c r="C34" s="60"/>
      <c r="D34" s="60"/>
      <c r="E34" s="60"/>
      <c r="F34" s="60"/>
      <c r="G34" s="60"/>
      <c r="H34" s="60"/>
      <c r="I34" s="60"/>
      <c r="J34" s="60"/>
      <c r="K34" s="60"/>
    </row>
    <row r="35" spans="1:11" ht="12.75">
      <c r="A35" s="60"/>
      <c r="B35" s="60"/>
      <c r="C35" s="60"/>
      <c r="D35" s="60"/>
      <c r="E35" s="60"/>
      <c r="F35" s="60"/>
      <c r="G35" s="60"/>
      <c r="H35" s="60"/>
      <c r="I35" s="60"/>
      <c r="J35" s="60"/>
      <c r="K35" s="60"/>
    </row>
    <row r="36" spans="1:11" ht="12.75">
      <c r="A36" s="60"/>
      <c r="B36" s="60"/>
      <c r="C36" s="60"/>
      <c r="D36" s="60"/>
      <c r="E36" s="60"/>
      <c r="F36" s="60"/>
      <c r="G36" s="60"/>
      <c r="H36" s="60"/>
      <c r="I36" s="60"/>
      <c r="J36" s="60"/>
      <c r="K36" s="60"/>
    </row>
    <row r="37" spans="1:11" ht="12.75">
      <c r="A37" s="60"/>
      <c r="B37" s="60"/>
      <c r="C37" s="60"/>
      <c r="D37" s="60"/>
      <c r="E37" s="60"/>
      <c r="F37" s="60"/>
      <c r="G37" s="60"/>
      <c r="H37" s="60"/>
      <c r="I37" s="60"/>
      <c r="J37" s="60"/>
      <c r="K37" s="60"/>
    </row>
    <row r="38" spans="1:11" ht="12.75">
      <c r="A38" s="60"/>
      <c r="B38" s="60"/>
      <c r="C38" s="60"/>
      <c r="D38" s="60"/>
      <c r="E38" s="60"/>
      <c r="F38" s="60"/>
      <c r="G38" s="60"/>
      <c r="H38" s="60"/>
      <c r="I38" s="60"/>
      <c r="J38" s="60"/>
      <c r="K38" s="60"/>
    </row>
    <row r="39" spans="1:11" ht="12.75">
      <c r="A39" s="60"/>
      <c r="B39" s="60"/>
      <c r="C39" s="60"/>
      <c r="D39" s="60"/>
      <c r="E39" s="60"/>
      <c r="F39" s="60"/>
      <c r="G39" s="60"/>
      <c r="H39" s="60"/>
      <c r="I39" s="60"/>
      <c r="J39" s="60"/>
      <c r="K39" s="60"/>
    </row>
    <row r="40" spans="1:11" ht="12.75">
      <c r="A40" s="60"/>
      <c r="B40" s="60"/>
      <c r="C40" s="60"/>
      <c r="D40" s="60"/>
      <c r="E40" s="60"/>
      <c r="F40" s="60"/>
      <c r="G40" s="60"/>
      <c r="H40" s="60"/>
      <c r="I40" s="60"/>
      <c r="J40" s="60"/>
      <c r="K40" s="60"/>
    </row>
    <row r="41" spans="1:11" ht="12.75">
      <c r="A41" s="60"/>
      <c r="B41" s="60"/>
      <c r="C41" s="60"/>
      <c r="D41" s="60"/>
      <c r="E41" s="60"/>
      <c r="F41" s="60"/>
      <c r="G41" s="60"/>
      <c r="H41" s="60"/>
      <c r="I41" s="60"/>
      <c r="J41" s="60"/>
      <c r="K41" s="60"/>
    </row>
    <row r="42" spans="1:11" ht="12.75">
      <c r="A42" s="60"/>
      <c r="B42" s="60"/>
      <c r="C42" s="60"/>
      <c r="D42" s="60"/>
      <c r="E42" s="60"/>
      <c r="F42" s="60"/>
      <c r="G42" s="60"/>
      <c r="H42" s="60"/>
      <c r="I42" s="60"/>
      <c r="J42" s="60"/>
      <c r="K42" s="60"/>
    </row>
    <row r="43" spans="1:11" ht="12.75">
      <c r="A43" s="60"/>
      <c r="B43" s="60"/>
      <c r="C43" s="60"/>
      <c r="D43" s="60"/>
      <c r="E43" s="60"/>
      <c r="F43" s="60"/>
      <c r="G43" s="60"/>
      <c r="H43" s="60"/>
      <c r="I43" s="60"/>
      <c r="J43" s="60"/>
      <c r="K43" s="60"/>
    </row>
    <row r="44" spans="1:11" ht="12.75">
      <c r="A44" s="60"/>
      <c r="B44" s="60"/>
      <c r="C44" s="60"/>
      <c r="D44" s="60"/>
      <c r="E44" s="60"/>
      <c r="F44" s="60"/>
      <c r="G44" s="60"/>
      <c r="H44" s="60"/>
      <c r="I44" s="60"/>
      <c r="J44" s="60"/>
      <c r="K44" s="60"/>
    </row>
    <row r="45" spans="1:11" ht="12.75">
      <c r="A45" s="60"/>
      <c r="B45" s="60"/>
      <c r="C45" s="60"/>
      <c r="D45" s="60"/>
      <c r="E45" s="60"/>
      <c r="F45" s="60"/>
      <c r="G45" s="60"/>
      <c r="H45" s="60"/>
      <c r="I45" s="60"/>
      <c r="J45" s="60"/>
      <c r="K45" s="60"/>
    </row>
    <row r="46" spans="1:11" ht="12.75">
      <c r="A46" s="60"/>
      <c r="B46" s="60"/>
      <c r="C46" s="60"/>
      <c r="D46" s="60"/>
      <c r="E46" s="60"/>
      <c r="F46" s="60"/>
      <c r="G46" s="60"/>
      <c r="H46" s="60"/>
      <c r="I46" s="60"/>
      <c r="J46" s="60"/>
      <c r="K46" s="60"/>
    </row>
    <row r="47" spans="1:11" ht="12.75">
      <c r="A47" s="60"/>
      <c r="B47" s="60"/>
      <c r="C47" s="60"/>
      <c r="D47" s="60"/>
      <c r="E47" s="60"/>
      <c r="F47" s="60"/>
      <c r="G47" s="60"/>
      <c r="H47" s="60"/>
      <c r="I47" s="60"/>
      <c r="J47" s="60"/>
      <c r="K47" s="60"/>
    </row>
    <row r="48" spans="1:11" ht="12.75">
      <c r="A48" s="60"/>
      <c r="B48" s="60"/>
      <c r="C48" s="60"/>
      <c r="D48" s="60"/>
      <c r="E48" s="60"/>
      <c r="F48" s="60"/>
      <c r="G48" s="60"/>
      <c r="H48" s="60"/>
      <c r="I48" s="60"/>
      <c r="J48" s="60"/>
      <c r="K48" s="60"/>
    </row>
    <row r="49" spans="1:11" ht="12.75">
      <c r="A49" s="60"/>
      <c r="B49" s="60"/>
      <c r="C49" s="60"/>
      <c r="D49" s="60"/>
      <c r="E49" s="60"/>
      <c r="F49" s="60"/>
      <c r="G49" s="60"/>
      <c r="H49" s="60"/>
      <c r="I49" s="60"/>
      <c r="J49" s="60"/>
      <c r="K49" s="60"/>
    </row>
    <row r="50" spans="1:11" ht="12.75">
      <c r="A50" s="60"/>
      <c r="B50" s="60"/>
      <c r="C50" s="60"/>
      <c r="D50" s="60"/>
      <c r="E50" s="60"/>
      <c r="F50" s="60"/>
      <c r="G50" s="60"/>
      <c r="H50" s="60"/>
      <c r="I50" s="60"/>
      <c r="J50" s="60"/>
      <c r="K50" s="60"/>
    </row>
    <row r="51" spans="1:11" ht="12.75">
      <c r="A51" s="60"/>
      <c r="B51" s="60"/>
      <c r="C51" s="60"/>
      <c r="D51" s="60"/>
      <c r="E51" s="60"/>
      <c r="F51" s="60"/>
      <c r="G51" s="60"/>
      <c r="H51" s="60"/>
      <c r="I51" s="60"/>
      <c r="J51" s="60"/>
      <c r="K51" s="60"/>
    </row>
    <row r="52" spans="1:11" ht="12.75">
      <c r="A52" s="60"/>
      <c r="B52" s="60"/>
      <c r="C52" s="60"/>
      <c r="D52" s="60"/>
      <c r="E52" s="60"/>
      <c r="F52" s="60"/>
      <c r="G52" s="60"/>
      <c r="H52" s="60"/>
      <c r="I52" s="60"/>
      <c r="J52" s="60"/>
      <c r="K52" s="60"/>
    </row>
    <row r="53" spans="1:11" ht="12.75">
      <c r="A53" s="60"/>
      <c r="B53" s="60"/>
      <c r="C53" s="60"/>
      <c r="D53" s="60"/>
      <c r="E53" s="60"/>
      <c r="F53" s="60"/>
      <c r="G53" s="60"/>
      <c r="H53" s="60"/>
      <c r="I53" s="60"/>
      <c r="J53" s="60"/>
      <c r="K53" s="60"/>
    </row>
    <row r="54" spans="1:11" ht="12.75">
      <c r="A54" s="60"/>
      <c r="B54" s="60"/>
      <c r="C54" s="60"/>
      <c r="D54" s="60"/>
      <c r="E54" s="60"/>
      <c r="F54" s="60"/>
      <c r="G54" s="60"/>
      <c r="H54" s="60"/>
      <c r="I54" s="60"/>
      <c r="J54" s="60"/>
      <c r="K54" s="60"/>
    </row>
    <row r="55" spans="1:11" ht="12.75">
      <c r="A55" s="60"/>
      <c r="B55" s="60"/>
      <c r="C55" s="60"/>
      <c r="D55" s="60"/>
      <c r="E55" s="60"/>
      <c r="F55" s="60"/>
      <c r="G55" s="60"/>
      <c r="H55" s="60"/>
      <c r="I55" s="60"/>
      <c r="J55" s="60"/>
      <c r="K55" s="60"/>
    </row>
    <row r="56" spans="1:11" ht="12.75">
      <c r="A56" s="60"/>
      <c r="B56" s="60"/>
      <c r="C56" s="60"/>
      <c r="D56" s="60"/>
      <c r="E56" s="60"/>
      <c r="F56" s="60"/>
      <c r="G56" s="60"/>
      <c r="H56" s="60"/>
      <c r="I56" s="60"/>
      <c r="J56" s="60"/>
      <c r="K56" s="60"/>
    </row>
    <row r="57" spans="1:11" ht="12.75">
      <c r="A57" s="60"/>
      <c r="B57" s="60"/>
      <c r="C57" s="60"/>
      <c r="D57" s="60"/>
      <c r="E57" s="60"/>
      <c r="F57" s="60"/>
      <c r="G57" s="60"/>
      <c r="H57" s="60"/>
      <c r="I57" s="60"/>
      <c r="J57" s="60"/>
      <c r="K57" s="60"/>
    </row>
    <row r="58" spans="1:11" ht="12.75">
      <c r="A58" s="60"/>
      <c r="B58" s="60"/>
      <c r="C58" s="60"/>
      <c r="D58" s="60"/>
      <c r="E58" s="60"/>
      <c r="F58" s="60"/>
      <c r="G58" s="60"/>
      <c r="H58" s="60"/>
      <c r="I58" s="60"/>
      <c r="J58" s="60"/>
      <c r="K58" s="60"/>
    </row>
    <row r="59" spans="1:11" ht="12.75">
      <c r="A59" s="60"/>
      <c r="B59" s="60"/>
      <c r="C59" s="60"/>
      <c r="D59" s="60"/>
      <c r="E59" s="60"/>
      <c r="F59" s="60"/>
      <c r="G59" s="60"/>
      <c r="H59" s="60"/>
      <c r="I59" s="60"/>
      <c r="J59" s="60"/>
      <c r="K59" s="60"/>
    </row>
    <row r="60" spans="1:11" ht="12.75">
      <c r="A60" s="60"/>
      <c r="B60" s="60"/>
      <c r="C60" s="60"/>
      <c r="D60" s="60"/>
      <c r="E60" s="60"/>
      <c r="F60" s="60"/>
      <c r="G60" s="60"/>
      <c r="H60" s="60"/>
      <c r="I60" s="60"/>
      <c r="J60" s="60"/>
      <c r="K60" s="60"/>
    </row>
    <row r="61" spans="1:11" ht="12.75">
      <c r="A61" s="60"/>
      <c r="B61" s="60"/>
      <c r="C61" s="60"/>
      <c r="D61" s="60"/>
      <c r="E61" s="60"/>
      <c r="F61" s="60"/>
      <c r="G61" s="60"/>
      <c r="H61" s="60"/>
      <c r="I61" s="60"/>
      <c r="J61" s="60"/>
      <c r="K61" s="60"/>
    </row>
    <row r="62" spans="1:11" ht="12.75">
      <c r="A62" s="60"/>
      <c r="B62" s="60"/>
      <c r="C62" s="60"/>
      <c r="D62" s="60"/>
      <c r="E62" s="60"/>
      <c r="F62" s="60"/>
      <c r="G62" s="60"/>
      <c r="H62" s="60"/>
      <c r="I62" s="60"/>
      <c r="J62" s="60"/>
      <c r="K62" s="60"/>
    </row>
    <row r="63" spans="1:11" ht="12.75">
      <c r="A63" s="60"/>
      <c r="B63" s="60"/>
      <c r="C63" s="60"/>
      <c r="D63" s="60"/>
      <c r="E63" s="60"/>
      <c r="F63" s="60"/>
      <c r="G63" s="60"/>
      <c r="H63" s="60"/>
      <c r="I63" s="60"/>
      <c r="J63" s="60"/>
      <c r="K63" s="60"/>
    </row>
    <row r="64" spans="1:11" ht="12.75">
      <c r="A64" s="60"/>
      <c r="B64" s="60"/>
      <c r="C64" s="60"/>
      <c r="D64" s="60"/>
      <c r="E64" s="60"/>
      <c r="F64" s="60"/>
      <c r="G64" s="60"/>
      <c r="H64" s="60"/>
      <c r="I64" s="60"/>
      <c r="J64" s="60"/>
      <c r="K64" s="60"/>
    </row>
    <row r="65" spans="1:11" ht="12.75">
      <c r="A65" s="60"/>
      <c r="B65" s="60"/>
      <c r="C65" s="60"/>
      <c r="D65" s="60"/>
      <c r="E65" s="60"/>
      <c r="F65" s="60"/>
      <c r="G65" s="60"/>
      <c r="H65" s="60"/>
      <c r="I65" s="60"/>
      <c r="J65" s="60"/>
      <c r="K65" s="60"/>
    </row>
    <row r="66" spans="1:11" ht="12.75">
      <c r="A66" s="60"/>
      <c r="B66" s="60"/>
      <c r="C66" s="60"/>
      <c r="D66" s="60"/>
      <c r="E66" s="60"/>
      <c r="F66" s="60"/>
      <c r="G66" s="60"/>
      <c r="H66" s="60"/>
      <c r="I66" s="60"/>
      <c r="J66" s="60"/>
      <c r="K66" s="60"/>
    </row>
    <row r="67" spans="1:11" ht="12.75">
      <c r="A67" s="60"/>
      <c r="B67" s="60"/>
      <c r="C67" s="60"/>
      <c r="D67" s="60"/>
      <c r="E67" s="60"/>
      <c r="F67" s="60"/>
      <c r="G67" s="60"/>
      <c r="H67" s="60"/>
      <c r="I67" s="60"/>
      <c r="J67" s="60"/>
      <c r="K67" s="60"/>
    </row>
    <row r="68" spans="1:11" ht="12.75">
      <c r="A68" s="60"/>
      <c r="B68" s="60"/>
      <c r="C68" s="60"/>
      <c r="D68" s="60"/>
      <c r="E68" s="60"/>
      <c r="F68" s="60"/>
      <c r="G68" s="60"/>
      <c r="H68" s="60"/>
      <c r="I68" s="60"/>
      <c r="J68" s="60"/>
      <c r="K68" s="60"/>
    </row>
    <row r="69" spans="1:11" ht="12.75">
      <c r="A69" s="60"/>
      <c r="B69" s="60"/>
      <c r="C69" s="60"/>
      <c r="D69" s="60"/>
      <c r="E69" s="60"/>
      <c r="F69" s="60"/>
      <c r="G69" s="60"/>
      <c r="H69" s="60"/>
      <c r="I69" s="60"/>
      <c r="J69" s="60"/>
      <c r="K69" s="60"/>
    </row>
    <row r="70" spans="1:11" ht="12.75">
      <c r="A70" s="60"/>
      <c r="B70" s="60"/>
      <c r="C70" s="60"/>
      <c r="D70" s="60"/>
      <c r="E70" s="60"/>
      <c r="F70" s="60"/>
      <c r="G70" s="60"/>
      <c r="H70" s="60"/>
      <c r="I70" s="60"/>
      <c r="J70" s="60"/>
      <c r="K70" s="60"/>
    </row>
    <row r="71" spans="1:11" ht="12.75">
      <c r="A71" s="60"/>
      <c r="B71" s="60"/>
      <c r="C71" s="60"/>
      <c r="D71" s="60"/>
      <c r="E71" s="60"/>
      <c r="F71" s="60"/>
      <c r="G71" s="60"/>
      <c r="H71" s="60"/>
      <c r="I71" s="60"/>
      <c r="J71" s="60"/>
      <c r="K71" s="60"/>
    </row>
    <row r="72" spans="1:11" ht="12.75">
      <c r="A72" s="60"/>
      <c r="B72" s="60"/>
      <c r="C72" s="60"/>
      <c r="D72" s="60"/>
      <c r="E72" s="60"/>
      <c r="F72" s="60"/>
      <c r="G72" s="60"/>
      <c r="H72" s="60"/>
      <c r="I72" s="60"/>
      <c r="J72" s="60"/>
      <c r="K72" s="60"/>
    </row>
    <row r="73" spans="1:11" ht="12.75">
      <c r="A73" s="60"/>
      <c r="B73" s="60"/>
      <c r="C73" s="60"/>
      <c r="D73" s="60"/>
      <c r="E73" s="60"/>
      <c r="F73" s="60"/>
      <c r="G73" s="60"/>
      <c r="H73" s="60"/>
      <c r="I73" s="60"/>
      <c r="J73" s="60"/>
      <c r="K73" s="60"/>
    </row>
    <row r="74" spans="1:11" ht="12.75">
      <c r="A74" s="60"/>
      <c r="B74" s="60"/>
      <c r="C74" s="60"/>
      <c r="D74" s="60"/>
      <c r="E74" s="60"/>
      <c r="F74" s="60"/>
      <c r="G74" s="60"/>
      <c r="H74" s="60"/>
      <c r="I74" s="60"/>
      <c r="J74" s="60"/>
      <c r="K74" s="60"/>
    </row>
    <row r="75" spans="1:11" ht="12.75">
      <c r="A75" s="60"/>
      <c r="B75" s="60"/>
      <c r="C75" s="60"/>
      <c r="D75" s="60"/>
      <c r="E75" s="60"/>
      <c r="F75" s="60"/>
      <c r="G75" s="60"/>
      <c r="H75" s="60"/>
      <c r="I75" s="60"/>
      <c r="J75" s="60"/>
      <c r="K75" s="60"/>
    </row>
    <row r="76" spans="1:11" ht="12.75">
      <c r="A76" s="60"/>
      <c r="B76" s="60"/>
      <c r="C76" s="60"/>
      <c r="D76" s="60"/>
      <c r="E76" s="60"/>
      <c r="F76" s="60"/>
      <c r="G76" s="60"/>
      <c r="H76" s="60"/>
      <c r="I76" s="60"/>
      <c r="J76" s="60"/>
      <c r="K76" s="60"/>
    </row>
    <row r="77" spans="1:11" ht="12.75">
      <c r="A77" s="60"/>
      <c r="B77" s="60"/>
      <c r="C77" s="60"/>
      <c r="D77" s="60"/>
      <c r="E77" s="60"/>
      <c r="F77" s="60"/>
      <c r="G77" s="60"/>
      <c r="H77" s="60"/>
      <c r="I77" s="60"/>
      <c r="J77" s="60"/>
      <c r="K77" s="60"/>
    </row>
    <row r="78" spans="1:11" ht="12.75">
      <c r="A78" s="60"/>
      <c r="B78" s="60"/>
      <c r="C78" s="60"/>
      <c r="D78" s="60"/>
      <c r="E78" s="60"/>
      <c r="F78" s="60"/>
      <c r="G78" s="60"/>
      <c r="H78" s="60"/>
      <c r="I78" s="60"/>
      <c r="J78" s="60"/>
      <c r="K78" s="60"/>
    </row>
    <row r="79" spans="1:11" ht="12.75">
      <c r="A79" s="60"/>
      <c r="B79" s="60"/>
      <c r="C79" s="60"/>
      <c r="D79" s="60"/>
      <c r="E79" s="60"/>
      <c r="F79" s="60"/>
      <c r="G79" s="60"/>
      <c r="H79" s="60"/>
      <c r="I79" s="60"/>
      <c r="J79" s="60"/>
      <c r="K79" s="60"/>
    </row>
    <row r="80" spans="1:11" ht="12.75">
      <c r="A80" s="60"/>
      <c r="B80" s="60"/>
      <c r="C80" s="60"/>
      <c r="D80" s="60"/>
      <c r="E80" s="60"/>
      <c r="F80" s="60"/>
      <c r="G80" s="60"/>
      <c r="H80" s="60"/>
      <c r="I80" s="60"/>
      <c r="J80" s="60"/>
      <c r="K80" s="60"/>
    </row>
    <row r="81" spans="1:11" ht="12.75">
      <c r="A81" s="60"/>
      <c r="B81" s="60"/>
      <c r="C81" s="60"/>
      <c r="D81" s="60"/>
      <c r="E81" s="60"/>
      <c r="F81" s="60"/>
      <c r="G81" s="60"/>
      <c r="H81" s="60"/>
      <c r="I81" s="60"/>
      <c r="J81" s="60"/>
      <c r="K81" s="60"/>
    </row>
    <row r="82" spans="1:11" ht="12.75">
      <c r="A82" s="60"/>
      <c r="B82" s="60"/>
      <c r="C82" s="60"/>
      <c r="D82" s="60"/>
      <c r="E82" s="60"/>
      <c r="F82" s="60"/>
      <c r="G82" s="60"/>
      <c r="H82" s="60"/>
      <c r="I82" s="60"/>
      <c r="J82" s="60"/>
      <c r="K82" s="60"/>
    </row>
    <row r="83" spans="1:11" ht="12.75">
      <c r="A83" s="60"/>
      <c r="B83" s="60"/>
      <c r="C83" s="60"/>
      <c r="D83" s="60"/>
      <c r="E83" s="60"/>
      <c r="F83" s="60"/>
      <c r="G83" s="60"/>
      <c r="H83" s="60"/>
      <c r="I83" s="60"/>
      <c r="J83" s="60"/>
      <c r="K83" s="60"/>
    </row>
    <row r="84" spans="1:11" ht="12.75">
      <c r="A84" s="60"/>
      <c r="B84" s="60"/>
      <c r="C84" s="60"/>
      <c r="D84" s="60"/>
      <c r="E84" s="60"/>
      <c r="F84" s="60"/>
      <c r="G84" s="60"/>
      <c r="H84" s="60"/>
      <c r="I84" s="60"/>
      <c r="J84" s="60"/>
      <c r="K84" s="60"/>
    </row>
    <row r="85" spans="1:11" ht="12.75">
      <c r="A85" s="60"/>
      <c r="B85" s="60"/>
      <c r="C85" s="60"/>
      <c r="D85" s="60"/>
      <c r="E85" s="60"/>
      <c r="F85" s="60"/>
      <c r="G85" s="60"/>
      <c r="H85" s="60"/>
      <c r="I85" s="60"/>
      <c r="J85" s="60"/>
      <c r="K85" s="60"/>
    </row>
    <row r="86" spans="1:11" ht="12.75">
      <c r="A86" s="60"/>
      <c r="B86" s="60"/>
      <c r="C86" s="60"/>
      <c r="D86" s="60"/>
      <c r="E86" s="60"/>
      <c r="F86" s="60"/>
      <c r="G86" s="60"/>
      <c r="H86" s="60"/>
      <c r="I86" s="60"/>
      <c r="J86" s="60"/>
      <c r="K86" s="60"/>
    </row>
    <row r="87" spans="1:11" ht="12.75">
      <c r="A87" s="60"/>
      <c r="B87" s="60"/>
      <c r="C87" s="60"/>
      <c r="D87" s="60"/>
      <c r="E87" s="60"/>
      <c r="F87" s="60"/>
      <c r="G87" s="60"/>
      <c r="H87" s="60"/>
      <c r="I87" s="60"/>
      <c r="J87" s="60"/>
      <c r="K87" s="60"/>
    </row>
    <row r="88" spans="1:11" ht="12.75">
      <c r="A88" s="60"/>
      <c r="B88" s="60"/>
      <c r="C88" s="60"/>
      <c r="D88" s="60"/>
      <c r="E88" s="60"/>
      <c r="F88" s="60"/>
      <c r="G88" s="60"/>
      <c r="H88" s="60"/>
      <c r="I88" s="60"/>
      <c r="J88" s="60"/>
      <c r="K88" s="60"/>
    </row>
    <row r="89" spans="1:11" ht="12.75">
      <c r="A89" s="60"/>
      <c r="B89" s="60"/>
      <c r="C89" s="60"/>
      <c r="D89" s="60"/>
      <c r="E89" s="60"/>
      <c r="F89" s="60"/>
      <c r="G89" s="60"/>
      <c r="H89" s="60"/>
      <c r="I89" s="60"/>
      <c r="J89" s="60"/>
      <c r="K89" s="60"/>
    </row>
    <row r="90" spans="1:11" ht="12.75">
      <c r="A90" s="60"/>
      <c r="B90" s="60"/>
      <c r="C90" s="60"/>
      <c r="D90" s="60"/>
      <c r="E90" s="60"/>
      <c r="F90" s="60"/>
      <c r="G90" s="60"/>
      <c r="H90" s="60"/>
      <c r="I90" s="60"/>
      <c r="J90" s="60"/>
      <c r="K90" s="60"/>
    </row>
    <row r="91" spans="1:11" ht="12.75">
      <c r="A91" s="60"/>
      <c r="B91" s="60"/>
      <c r="C91" s="60"/>
      <c r="D91" s="60"/>
      <c r="E91" s="60"/>
      <c r="F91" s="60"/>
      <c r="G91" s="60"/>
      <c r="H91" s="60"/>
      <c r="I91" s="60"/>
      <c r="J91" s="60"/>
      <c r="K91" s="60"/>
    </row>
    <row r="92" spans="1:11" ht="12.75">
      <c r="A92" s="60"/>
      <c r="B92" s="60"/>
      <c r="C92" s="60"/>
      <c r="D92" s="60"/>
      <c r="E92" s="60"/>
      <c r="F92" s="60"/>
      <c r="G92" s="60"/>
      <c r="H92" s="60"/>
      <c r="I92" s="60"/>
      <c r="J92" s="60"/>
      <c r="K92" s="60"/>
    </row>
    <row r="93" spans="1:11" ht="12.75">
      <c r="A93" s="60"/>
      <c r="B93" s="60"/>
      <c r="C93" s="60"/>
      <c r="D93" s="60"/>
      <c r="E93" s="60"/>
      <c r="F93" s="60"/>
      <c r="G93" s="60"/>
      <c r="H93" s="60"/>
      <c r="I93" s="60"/>
      <c r="J93" s="60"/>
      <c r="K93" s="60"/>
    </row>
    <row r="94" spans="1:11" ht="12.75">
      <c r="A94" s="60"/>
      <c r="B94" s="60"/>
      <c r="C94" s="60"/>
      <c r="D94" s="60"/>
      <c r="E94" s="60"/>
      <c r="F94" s="60"/>
      <c r="G94" s="60"/>
      <c r="H94" s="60"/>
      <c r="I94" s="60"/>
      <c r="J94" s="60"/>
      <c r="K94" s="60"/>
    </row>
    <row r="95" spans="1:11" ht="12.75">
      <c r="A95" s="60"/>
      <c r="B95" s="60"/>
      <c r="C95" s="60"/>
      <c r="D95" s="60"/>
      <c r="E95" s="60"/>
      <c r="F95" s="60"/>
      <c r="G95" s="60"/>
      <c r="H95" s="60"/>
      <c r="I95" s="60"/>
      <c r="J95" s="60"/>
      <c r="K95" s="60"/>
    </row>
    <row r="96" spans="1:11" ht="12.75">
      <c r="A96" s="60"/>
      <c r="B96" s="60"/>
      <c r="C96" s="60"/>
      <c r="D96" s="60"/>
      <c r="E96" s="60"/>
      <c r="F96" s="60"/>
      <c r="G96" s="60"/>
      <c r="H96" s="60"/>
      <c r="I96" s="60"/>
      <c r="J96" s="60"/>
      <c r="K96" s="60"/>
    </row>
    <row r="97" spans="1:11" ht="12.75">
      <c r="A97" s="60"/>
      <c r="B97" s="60"/>
      <c r="C97" s="60"/>
      <c r="D97" s="60"/>
      <c r="E97" s="60"/>
      <c r="F97" s="60"/>
      <c r="G97" s="60"/>
      <c r="H97" s="60"/>
      <c r="I97" s="60"/>
      <c r="J97" s="60"/>
      <c r="K97" s="60"/>
    </row>
    <row r="98" spans="1:11" ht="12.75">
      <c r="A98" s="60"/>
      <c r="B98" s="60"/>
      <c r="C98" s="60"/>
      <c r="D98" s="60"/>
      <c r="E98" s="60"/>
      <c r="F98" s="60"/>
      <c r="G98" s="60"/>
      <c r="H98" s="60"/>
      <c r="I98" s="60"/>
      <c r="J98" s="60"/>
      <c r="K98" s="60"/>
    </row>
    <row r="99" spans="1:11" ht="12.75">
      <c r="A99" s="60"/>
      <c r="B99" s="60"/>
      <c r="C99" s="60"/>
      <c r="D99" s="60"/>
      <c r="E99" s="60"/>
      <c r="F99" s="60"/>
      <c r="G99" s="60"/>
      <c r="H99" s="60"/>
      <c r="I99" s="60"/>
      <c r="J99" s="60"/>
      <c r="K99" s="60"/>
    </row>
    <row r="100" spans="1:11" ht="12.75">
      <c r="A100" s="60"/>
      <c r="B100" s="60"/>
      <c r="C100" s="60"/>
      <c r="D100" s="60"/>
      <c r="E100" s="60"/>
      <c r="F100" s="60"/>
      <c r="G100" s="60"/>
      <c r="H100" s="60"/>
      <c r="I100" s="60"/>
      <c r="J100" s="60"/>
      <c r="K100" s="60"/>
    </row>
    <row r="101" spans="1:11" ht="12.75">
      <c r="A101" s="60"/>
      <c r="B101" s="60"/>
      <c r="C101" s="60"/>
      <c r="D101" s="60"/>
      <c r="E101" s="60"/>
      <c r="F101" s="60"/>
      <c r="G101" s="60"/>
      <c r="H101" s="60"/>
      <c r="I101" s="60"/>
      <c r="J101" s="60"/>
      <c r="K101" s="60"/>
    </row>
    <row r="102" spans="1:11" ht="12.75">
      <c r="A102" s="60"/>
      <c r="B102" s="60"/>
      <c r="C102" s="60"/>
      <c r="D102" s="60"/>
      <c r="E102" s="60"/>
      <c r="F102" s="60"/>
      <c r="G102" s="60"/>
      <c r="H102" s="60"/>
      <c r="I102" s="60"/>
      <c r="J102" s="60"/>
      <c r="K102" s="60"/>
    </row>
    <row r="103" spans="1:11" ht="12.75">
      <c r="A103" s="60"/>
      <c r="B103" s="60"/>
      <c r="C103" s="60"/>
      <c r="D103" s="60"/>
      <c r="E103" s="60"/>
      <c r="F103" s="60"/>
      <c r="G103" s="60"/>
      <c r="H103" s="60"/>
      <c r="I103" s="60"/>
      <c r="J103" s="60"/>
      <c r="K103" s="60"/>
    </row>
    <row r="104" spans="1:11" ht="12.75">
      <c r="A104" s="60"/>
      <c r="B104" s="60"/>
      <c r="C104" s="60"/>
      <c r="D104" s="60"/>
      <c r="E104" s="60"/>
      <c r="F104" s="60"/>
      <c r="G104" s="60"/>
      <c r="H104" s="60"/>
      <c r="I104" s="60"/>
      <c r="J104" s="60"/>
      <c r="K104" s="60"/>
    </row>
    <row r="105" spans="1:11" ht="12.75">
      <c r="A105" s="60"/>
      <c r="B105" s="60"/>
      <c r="C105" s="60"/>
      <c r="D105" s="60"/>
      <c r="E105" s="60"/>
      <c r="F105" s="60"/>
      <c r="G105" s="60"/>
      <c r="H105" s="60"/>
      <c r="I105" s="60"/>
      <c r="J105" s="60"/>
      <c r="K105" s="60"/>
    </row>
    <row r="106" spans="1:11" ht="12.75">
      <c r="A106" s="60"/>
      <c r="B106" s="60"/>
      <c r="C106" s="60"/>
      <c r="D106" s="60"/>
      <c r="E106" s="60"/>
      <c r="F106" s="60"/>
      <c r="G106" s="60"/>
      <c r="H106" s="60"/>
      <c r="I106" s="60"/>
      <c r="J106" s="60"/>
      <c r="K106" s="60"/>
    </row>
    <row r="107" spans="1:11" ht="12.75">
      <c r="A107" s="60"/>
      <c r="B107" s="60"/>
      <c r="C107" s="60"/>
      <c r="D107" s="60"/>
      <c r="E107" s="60"/>
      <c r="F107" s="60"/>
      <c r="G107" s="60"/>
      <c r="H107" s="60"/>
      <c r="I107" s="60"/>
      <c r="J107" s="60"/>
      <c r="K107" s="60"/>
    </row>
    <row r="108" spans="1:11" ht="12.75">
      <c r="A108" s="60"/>
      <c r="B108" s="60"/>
      <c r="C108" s="60"/>
      <c r="D108" s="60"/>
      <c r="E108" s="60"/>
      <c r="F108" s="60"/>
      <c r="G108" s="60"/>
      <c r="H108" s="60"/>
      <c r="I108" s="60"/>
      <c r="J108" s="60"/>
      <c r="K108" s="60"/>
    </row>
    <row r="109" spans="1:11" ht="12.75">
      <c r="A109" s="60"/>
      <c r="B109" s="60"/>
      <c r="C109" s="60"/>
      <c r="D109" s="60"/>
      <c r="E109" s="60"/>
      <c r="F109" s="60"/>
      <c r="G109" s="60"/>
      <c r="H109" s="60"/>
      <c r="I109" s="60"/>
      <c r="J109" s="60"/>
      <c r="K109" s="60"/>
    </row>
    <row r="110" spans="1:11" ht="12.75">
      <c r="A110" s="60"/>
      <c r="B110" s="60"/>
      <c r="C110" s="60"/>
      <c r="D110" s="60"/>
      <c r="E110" s="60"/>
      <c r="F110" s="60"/>
      <c r="G110" s="60"/>
      <c r="H110" s="60"/>
      <c r="I110" s="60"/>
      <c r="J110" s="60"/>
      <c r="K110" s="60"/>
    </row>
    <row r="111" spans="1:11" ht="12.75">
      <c r="A111" s="60"/>
      <c r="B111" s="60"/>
      <c r="C111" s="60"/>
      <c r="D111" s="60"/>
      <c r="E111" s="60"/>
      <c r="F111" s="60"/>
      <c r="G111" s="60"/>
      <c r="H111" s="60"/>
      <c r="I111" s="60"/>
      <c r="J111" s="60"/>
      <c r="K111" s="60"/>
    </row>
    <row r="112" spans="1:11" ht="12.75">
      <c r="A112" s="60"/>
      <c r="B112" s="60"/>
      <c r="C112" s="60"/>
      <c r="D112" s="60"/>
      <c r="E112" s="60"/>
      <c r="F112" s="60"/>
      <c r="G112" s="60"/>
      <c r="H112" s="60"/>
      <c r="I112" s="60"/>
      <c r="J112" s="60"/>
      <c r="K112" s="60"/>
    </row>
    <row r="113" spans="1:11" ht="12.75">
      <c r="A113" s="60"/>
      <c r="B113" s="60"/>
      <c r="C113" s="60"/>
      <c r="D113" s="60"/>
      <c r="E113" s="60"/>
      <c r="F113" s="60"/>
      <c r="G113" s="60"/>
      <c r="H113" s="60"/>
      <c r="I113" s="60"/>
      <c r="J113" s="60"/>
      <c r="K113" s="60"/>
    </row>
    <row r="114" spans="1:11" ht="12.75">
      <c r="A114" s="60"/>
      <c r="B114" s="60"/>
      <c r="C114" s="60"/>
      <c r="D114" s="60"/>
      <c r="E114" s="60"/>
      <c r="F114" s="60"/>
      <c r="G114" s="60"/>
      <c r="H114" s="60"/>
      <c r="I114" s="60"/>
      <c r="J114" s="60"/>
      <c r="K114" s="60"/>
    </row>
    <row r="115" spans="1:11" ht="12.75">
      <c r="A115" s="60"/>
      <c r="B115" s="60"/>
      <c r="C115" s="60"/>
      <c r="D115" s="60"/>
      <c r="E115" s="60"/>
      <c r="F115" s="60"/>
      <c r="G115" s="60"/>
      <c r="H115" s="60"/>
      <c r="I115" s="60"/>
      <c r="J115" s="60"/>
      <c r="K115" s="60"/>
    </row>
    <row r="116" spans="1:11" ht="12.75">
      <c r="A116" s="60"/>
      <c r="B116" s="60"/>
      <c r="C116" s="60"/>
      <c r="D116" s="60"/>
      <c r="E116" s="60"/>
      <c r="F116" s="60"/>
      <c r="G116" s="60"/>
      <c r="H116" s="60"/>
      <c r="I116" s="60"/>
      <c r="J116" s="60"/>
      <c r="K116" s="60"/>
    </row>
    <row r="117" spans="1:11" ht="12.75">
      <c r="A117" s="60"/>
      <c r="B117" s="60"/>
      <c r="C117" s="60"/>
      <c r="D117" s="60"/>
      <c r="E117" s="60"/>
      <c r="F117" s="60"/>
      <c r="G117" s="60"/>
      <c r="H117" s="60"/>
      <c r="I117" s="60"/>
      <c r="J117" s="60"/>
      <c r="K117" s="60"/>
    </row>
    <row r="118" spans="1:11" ht="12.75">
      <c r="A118" s="60"/>
      <c r="B118" s="60"/>
      <c r="C118" s="60"/>
      <c r="D118" s="60"/>
      <c r="E118" s="60"/>
      <c r="F118" s="60"/>
      <c r="G118" s="60"/>
      <c r="H118" s="60"/>
      <c r="I118" s="60"/>
      <c r="J118" s="60"/>
      <c r="K118" s="60"/>
    </row>
    <row r="119" spans="1:11" ht="12.75">
      <c r="A119" s="60"/>
      <c r="B119" s="60"/>
      <c r="C119" s="60"/>
      <c r="D119" s="60"/>
      <c r="E119" s="60"/>
      <c r="F119" s="60"/>
      <c r="G119" s="60"/>
      <c r="H119" s="60"/>
      <c r="I119" s="60"/>
      <c r="J119" s="60"/>
      <c r="K119" s="60"/>
    </row>
    <row r="120" spans="1:11" ht="12.75">
      <c r="A120" s="60"/>
      <c r="B120" s="60"/>
      <c r="C120" s="60"/>
      <c r="D120" s="60"/>
      <c r="E120" s="60"/>
      <c r="F120" s="60"/>
      <c r="G120" s="60"/>
      <c r="H120" s="60"/>
      <c r="I120" s="60"/>
      <c r="J120" s="60"/>
      <c r="K120" s="60"/>
    </row>
  </sheetData>
  <sheetProtection/>
  <printOptions/>
  <pageMargins left="0" right="0" top="0.5" bottom="0.5" header="0.5" footer="0.5"/>
  <pageSetup horizontalDpi="600" verticalDpi="600" orientation="landscape" scale="85"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P102"/>
  <sheetViews>
    <sheetView zoomScalePageLayoutView="0" workbookViewId="0" topLeftCell="A1">
      <selection activeCell="G25" sqref="G25"/>
    </sheetView>
  </sheetViews>
  <sheetFormatPr defaultColWidth="9.140625" defaultRowHeight="12.75"/>
  <cols>
    <col min="2" max="2" width="2.57421875" style="0" customWidth="1"/>
    <col min="3" max="12" width="12.28125" style="0" customWidth="1"/>
    <col min="13" max="13" width="2.28125" style="0" customWidth="1"/>
    <col min="14" max="14" width="14.8515625" style="0" bestFit="1" customWidth="1"/>
  </cols>
  <sheetData>
    <row r="1" spans="1:2" ht="12.75">
      <c r="A1" s="52" t="str">
        <f>"Residential Tonnages by Commodity:  "&amp;TEXT(A7,"mmmm")&amp;" - "&amp;TEXT(A18,"mmmm")</f>
        <v>Residential Tonnages by Commodity:  May - April</v>
      </c>
      <c r="B1" s="53"/>
    </row>
    <row r="2" spans="1:2" ht="12.75">
      <c r="A2" s="54" t="str">
        <f>Value!A2</f>
        <v>Kent-Meridian Disposal</v>
      </c>
      <c r="B2" s="54"/>
    </row>
    <row r="3" spans="1:2" ht="12.75">
      <c r="A3" s="54"/>
      <c r="B3" s="54"/>
    </row>
    <row r="4" spans="1:14" ht="12.75">
      <c r="A4" s="53"/>
      <c r="B4" s="55"/>
      <c r="C4" s="56" t="s">
        <v>21</v>
      </c>
      <c r="D4" s="56" t="s">
        <v>22</v>
      </c>
      <c r="E4" s="56" t="s">
        <v>55</v>
      </c>
      <c r="F4" s="56" t="s">
        <v>23</v>
      </c>
      <c r="G4" s="56" t="s">
        <v>24</v>
      </c>
      <c r="H4" s="56" t="s">
        <v>25</v>
      </c>
      <c r="I4" s="56" t="s">
        <v>26</v>
      </c>
      <c r="J4" s="56" t="s">
        <v>27</v>
      </c>
      <c r="K4" s="56" t="s">
        <v>28</v>
      </c>
      <c r="L4" s="56" t="s">
        <v>29</v>
      </c>
      <c r="M4" s="56"/>
      <c r="N4" s="56" t="s">
        <v>30</v>
      </c>
    </row>
    <row r="5" spans="1:12" s="58" customFormat="1" ht="12.75">
      <c r="A5" s="57"/>
      <c r="B5" s="57"/>
      <c r="C5" s="107">
        <v>55</v>
      </c>
      <c r="D5" s="108">
        <v>57</v>
      </c>
      <c r="E5" s="108">
        <v>58</v>
      </c>
      <c r="F5" s="107">
        <v>53</v>
      </c>
      <c r="G5" s="107">
        <v>50</v>
      </c>
      <c r="H5" s="107">
        <v>60</v>
      </c>
      <c r="I5" s="107">
        <v>54</v>
      </c>
      <c r="J5" s="107">
        <v>54</v>
      </c>
      <c r="K5" s="107">
        <v>51</v>
      </c>
      <c r="L5" s="107">
        <v>59</v>
      </c>
    </row>
    <row r="6" spans="1:14" ht="12.75">
      <c r="A6" s="59"/>
      <c r="B6" s="60"/>
      <c r="C6" s="61"/>
      <c r="D6" s="61"/>
      <c r="E6" s="61"/>
      <c r="F6" s="61"/>
      <c r="G6" s="61"/>
      <c r="H6" s="61"/>
      <c r="I6" s="61"/>
      <c r="J6" s="61"/>
      <c r="L6" s="60"/>
      <c r="M6" s="60"/>
      <c r="N6" s="61" t="s">
        <v>31</v>
      </c>
    </row>
    <row r="7" spans="1:16" ht="12.75">
      <c r="A7" s="59">
        <f>'Single Family'!C6</f>
        <v>41760</v>
      </c>
      <c r="B7" s="60"/>
      <c r="C7" s="65">
        <f>HLOOKUP($A7,'Single Family'!$C$6:$N$79,C$5,FALSE)</f>
        <v>4.621079493599165</v>
      </c>
      <c r="D7" s="69">
        <f>HLOOKUP($A7,'Single Family'!$C$6:$N$79,D$5,FALSE)</f>
        <v>108.93424726244433</v>
      </c>
      <c r="E7" s="69">
        <f>HLOOKUP($A7,'Single Family'!$C$6:$N$79,E$5,FALSE)</f>
        <v>0</v>
      </c>
      <c r="F7" s="65">
        <f>HLOOKUP($A7,'Single Family'!$C$6:$N$79,F$5,FALSE)</f>
        <v>10.166374885918163</v>
      </c>
      <c r="G7" s="65">
        <f>HLOOKUP($A7,'Single Family'!$C$6:$N$79,G$5,FALSE)</f>
        <v>120.1480668335783</v>
      </c>
      <c r="H7" s="65">
        <f>HLOOKUP($A7,'Single Family'!$C$6:$N$79,H$5,FALSE)</f>
        <v>198.27511747202806</v>
      </c>
      <c r="I7" s="65">
        <f>HLOOKUP($A7,'Single Family'!$C$6:$N$79,I$5,FALSE)/2</f>
        <v>13.832431284173502</v>
      </c>
      <c r="J7" s="65">
        <f>HLOOKUP($A7,'Single Family'!$C$6:$N$79,J$5,FALSE)/2</f>
        <v>13.832431284173502</v>
      </c>
      <c r="K7" s="65">
        <f>HLOOKUP($A7,'Single Family'!$C$6:$N$79,K$5,FALSE)</f>
        <v>109.79684876791616</v>
      </c>
      <c r="L7" s="69">
        <f>HLOOKUP($A7,'Single Family'!$C$6:$N$79,L$5,FALSE)</f>
        <v>36.53733519605748</v>
      </c>
      <c r="M7" s="70"/>
      <c r="N7" s="70">
        <f aca="true" t="shared" si="0" ref="N7:N18">SUM(C7:L7)</f>
        <v>616.1439324798886</v>
      </c>
      <c r="P7" s="62"/>
    </row>
    <row r="8" spans="1:16" ht="12.75">
      <c r="A8" s="59">
        <f aca="true" t="shared" si="1" ref="A8:A18">EOMONTH(A7,1)</f>
        <v>41820</v>
      </c>
      <c r="B8" s="60"/>
      <c r="C8" s="65">
        <f>HLOOKUP($A8,'Single Family'!$C$6:$N$79,C$5,FALSE)</f>
        <v>4.426361989944418</v>
      </c>
      <c r="D8" s="69">
        <f>HLOOKUP($A8,'Single Family'!$C$6:$N$79,D$5,FALSE)</f>
        <v>104.34410664295643</v>
      </c>
      <c r="E8" s="69">
        <f>HLOOKUP($A8,'Single Family'!$C$6:$N$79,E$5,FALSE)</f>
        <v>0</v>
      </c>
      <c r="F8" s="65">
        <f>HLOOKUP($A8,'Single Family'!$C$6:$N$79,F$5,FALSE)</f>
        <v>9.737996377877721</v>
      </c>
      <c r="G8" s="65">
        <f>HLOOKUP($A8,'Single Family'!$C$6:$N$79,G$5,FALSE)</f>
        <v>115.08541173855488</v>
      </c>
      <c r="H8" s="65">
        <f>HLOOKUP($A8,'Single Family'!$C$6:$N$79,H$5,FALSE)</f>
        <v>189.9204384485484</v>
      </c>
      <c r="I8" s="65">
        <f>HLOOKUP($A8,'Single Family'!$C$6:$N$79,I$5,FALSE)/2</f>
        <v>13.249576889900293</v>
      </c>
      <c r="J8" s="65">
        <f>HLOOKUP($A8,'Single Family'!$C$6:$N$79,J$5,FALSE)/2</f>
        <v>13.249576889900293</v>
      </c>
      <c r="K8" s="65">
        <f>HLOOKUP($A8,'Single Family'!$C$6:$N$79,K$5,FALSE)</f>
        <v>105.17036088107938</v>
      </c>
      <c r="L8" s="69">
        <f>HLOOKUP($A8,'Single Family'!$C$6:$N$79,L$5,FALSE)</f>
        <v>34.997768800493944</v>
      </c>
      <c r="M8" s="70"/>
      <c r="N8" s="70">
        <f t="shared" si="0"/>
        <v>590.1815986592558</v>
      </c>
      <c r="P8" s="62"/>
    </row>
    <row r="9" spans="1:16" ht="12.75">
      <c r="A9" s="59">
        <f t="shared" si="1"/>
        <v>41851</v>
      </c>
      <c r="B9" s="60"/>
      <c r="C9" s="65">
        <f>HLOOKUP($A9,'Single Family'!$C$6:$N$79,C$5,FALSE)</f>
        <v>4.178071699932905</v>
      </c>
      <c r="D9" s="69">
        <f>HLOOKUP($A9,'Single Family'!$C$6:$N$79,D$5,FALSE)</f>
        <v>98.49107687308502</v>
      </c>
      <c r="E9" s="69">
        <f>HLOOKUP($A9,'Single Family'!$C$6:$N$79,E$5,FALSE)</f>
        <v>0</v>
      </c>
      <c r="F9" s="65">
        <f>HLOOKUP($A9,'Single Family'!$C$6:$N$79,F$5,FALSE)</f>
        <v>9.191757739852392</v>
      </c>
      <c r="G9" s="65">
        <f>HLOOKUP($A9,'Single Family'!$C$6:$N$79,G$5,FALSE)</f>
        <v>108.62986419825553</v>
      </c>
      <c r="H9" s="65">
        <f>HLOOKUP($A9,'Single Family'!$C$6:$N$79,H$5,FALSE)</f>
        <v>179.26712973845446</v>
      </c>
      <c r="I9" s="65">
        <f>HLOOKUP($A9,'Single Family'!$C$6:$N$79,I$5,FALSE)/2</f>
        <v>12.506361288465829</v>
      </c>
      <c r="J9" s="65">
        <f>HLOOKUP($A9,'Single Family'!$C$6:$N$79,J$5,FALSE)/2</f>
        <v>12.506361288465829</v>
      </c>
      <c r="K9" s="65">
        <f>HLOOKUP($A9,'Single Family'!$C$6:$N$79,K$5,FALSE)</f>
        <v>99.27098359040582</v>
      </c>
      <c r="L9" s="69">
        <f>HLOOKUP($A9,'Single Family'!$C$6:$N$79,L$5,FALSE)</f>
        <v>33.03462024080291</v>
      </c>
      <c r="M9" s="70"/>
      <c r="N9" s="70">
        <f t="shared" si="0"/>
        <v>557.0762266577208</v>
      </c>
      <c r="P9" s="62"/>
    </row>
    <row r="10" spans="1:16" ht="12.75">
      <c r="A10" s="59">
        <f t="shared" si="1"/>
        <v>41882</v>
      </c>
      <c r="B10" s="60"/>
      <c r="C10" s="65">
        <f>HLOOKUP($A10,'Single Family'!$C$6:$N$79,C$5,FALSE)</f>
        <v>4.35471693284465</v>
      </c>
      <c r="D10" s="69">
        <f>HLOOKUP($A10,'Single Family'!$C$6:$N$79,D$5,FALSE)</f>
        <v>102.65519383025789</v>
      </c>
      <c r="E10" s="69">
        <f>HLOOKUP($A10,'Single Family'!$C$6:$N$79,E$5,FALSE)</f>
        <v>0</v>
      </c>
      <c r="F10" s="65">
        <f>HLOOKUP($A10,'Single Family'!$C$6:$N$79,F$5,FALSE)</f>
        <v>9.58037725225823</v>
      </c>
      <c r="G10" s="65">
        <f>HLOOKUP($A10,'Single Family'!$C$6:$N$79,G$5,FALSE)</f>
        <v>113.2226402539609</v>
      </c>
      <c r="H10" s="65">
        <f>HLOOKUP($A10,'Single Family'!$C$6:$N$79,H$5,FALSE)</f>
        <v>186.84638786525437</v>
      </c>
      <c r="I10" s="65">
        <f>HLOOKUP($A10,'Single Family'!$C$6:$N$79,I$5,FALSE)/2</f>
        <v>13.035119352314986</v>
      </c>
      <c r="J10" s="65">
        <f>HLOOKUP($A10,'Single Family'!$C$6:$N$79,J$5,FALSE)/2</f>
        <v>13.035119352314986</v>
      </c>
      <c r="K10" s="65">
        <f>HLOOKUP($A10,'Single Family'!$C$6:$N$79,K$5,FALSE)</f>
        <v>103.46807432438888</v>
      </c>
      <c r="L10" s="69">
        <f>HLOOKUP($A10,'Single Family'!$C$6:$N$79,L$5,FALSE)</f>
        <v>34.431295215691776</v>
      </c>
      <c r="M10" s="70"/>
      <c r="N10" s="70">
        <f t="shared" si="0"/>
        <v>580.6289243792867</v>
      </c>
      <c r="P10" s="62"/>
    </row>
    <row r="11" spans="1:16" ht="12.75">
      <c r="A11" s="59">
        <f t="shared" si="1"/>
        <v>41912</v>
      </c>
      <c r="B11" s="60"/>
      <c r="C11" s="65">
        <f>HLOOKUP($A11,'Single Family'!$C$6:$N$79,C$5,FALSE)</f>
        <v>4.752493482480107</v>
      </c>
      <c r="D11" s="69">
        <f>HLOOKUP($A11,'Single Family'!$C$6:$N$79,D$5,FALSE)</f>
        <v>112.03211302699772</v>
      </c>
      <c r="E11" s="69">
        <f>HLOOKUP($A11,'Single Family'!$C$6:$N$79,E$5,FALSE)</f>
        <v>0</v>
      </c>
      <c r="F11" s="65">
        <f>HLOOKUP($A11,'Single Family'!$C$6:$N$79,F$5,FALSE)</f>
        <v>10.455485661456235</v>
      </c>
      <c r="G11" s="65">
        <f>HLOOKUP($A11,'Single Family'!$C$6:$N$79,G$5,FALSE)</f>
        <v>123.56483054448277</v>
      </c>
      <c r="H11" s="65">
        <f>HLOOKUP($A11,'Single Family'!$C$6:$N$79,H$5,FALSE)</f>
        <v>203.91365368827968</v>
      </c>
      <c r="I11" s="65">
        <f>HLOOKUP($A11,'Single Family'!$C$6:$N$79,I$5,FALSE)/2</f>
        <v>14.225797157557121</v>
      </c>
      <c r="J11" s="65">
        <f>HLOOKUP($A11,'Single Family'!$C$6:$N$79,J$5,FALSE)/2</f>
        <v>14.225797157557121</v>
      </c>
      <c r="K11" s="65">
        <f>HLOOKUP($A11,'Single Family'!$C$6:$N$79,K$5,FALSE)</f>
        <v>112.91924514372734</v>
      </c>
      <c r="L11" s="69">
        <f>HLOOKUP($A11,'Single Family'!$C$6:$N$79,L$5,FALSE)</f>
        <v>37.576381801476124</v>
      </c>
      <c r="M11" s="70"/>
      <c r="N11" s="70">
        <f t="shared" si="0"/>
        <v>633.6657976640142</v>
      </c>
      <c r="P11" s="62"/>
    </row>
    <row r="12" spans="1:16" ht="12.75">
      <c r="A12" s="59">
        <f t="shared" si="1"/>
        <v>41943</v>
      </c>
      <c r="B12" s="60"/>
      <c r="C12" s="65">
        <f>HLOOKUP($A12,'Single Family'!$C$6:$N$79,C$5,FALSE)</f>
        <v>4.46395099730777</v>
      </c>
      <c r="D12" s="69">
        <f>HLOOKUP($A12,'Single Family'!$C$6:$N$79,D$5,FALSE)</f>
        <v>105.23020484320185</v>
      </c>
      <c r="E12" s="69">
        <f>HLOOKUP($A12,'Single Family'!$C$6:$N$79,E$5,FALSE)</f>
        <v>0</v>
      </c>
      <c r="F12" s="65">
        <f>HLOOKUP($A12,'Single Family'!$C$6:$N$79,F$5,FALSE)</f>
        <v>9.820692194077095</v>
      </c>
      <c r="G12" s="65">
        <f>HLOOKUP($A12,'Single Family'!$C$6:$N$79,G$5,FALSE)</f>
        <v>116.06272593000203</v>
      </c>
      <c r="H12" s="65">
        <f>HLOOKUP($A12,'Single Family'!$C$6:$N$79,H$5,FALSE)</f>
        <v>191.53325745781865</v>
      </c>
      <c r="I12" s="65">
        <f>HLOOKUP($A12,'Single Family'!$C$6:$N$79,I$5,FALSE)/2</f>
        <v>13.362093318607926</v>
      </c>
      <c r="J12" s="65">
        <f>HLOOKUP($A12,'Single Family'!$C$6:$N$79,J$5,FALSE)/2</f>
        <v>13.362093318607926</v>
      </c>
      <c r="K12" s="65">
        <f>HLOOKUP($A12,'Single Family'!$C$6:$N$79,K$5,FALSE)</f>
        <v>106.06347569603261</v>
      </c>
      <c r="L12" s="69">
        <f>HLOOKUP($A12,'Single Family'!$C$6:$N$79,L$5,FALSE)</f>
        <v>35.29497255204685</v>
      </c>
      <c r="M12" s="70"/>
      <c r="N12" s="70">
        <f t="shared" si="0"/>
        <v>595.1934663077027</v>
      </c>
      <c r="P12" s="62"/>
    </row>
    <row r="13" spans="1:16" ht="12.75">
      <c r="A13" s="59">
        <f t="shared" si="1"/>
        <v>41973</v>
      </c>
      <c r="B13" s="60"/>
      <c r="C13" s="65">
        <f>HLOOKUP($A13,'Single Family'!$C$6:$N$79,C$5,FALSE)</f>
        <v>3.667723756392431</v>
      </c>
      <c r="D13" s="69">
        <f>HLOOKUP($A13,'Single Family'!$C$6:$N$79,D$5,FALSE)</f>
        <v>86.46047468402425</v>
      </c>
      <c r="E13" s="69">
        <f>HLOOKUP($A13,'Single Family'!$C$6:$N$79,E$5,FALSE)</f>
        <v>0</v>
      </c>
      <c r="F13" s="65">
        <f>HLOOKUP($A13,'Single Family'!$C$6:$N$79,F$5,FALSE)</f>
        <v>8.068992264063349</v>
      </c>
      <c r="G13" s="65">
        <f>HLOOKUP($A13,'Single Family'!$C$6:$N$79,G$5,FALSE)</f>
        <v>95.36081766620322</v>
      </c>
      <c r="H13" s="65">
        <f>HLOOKUP($A13,'Single Family'!$C$6:$N$79,H$5,FALSE)</f>
        <v>157.36980064094445</v>
      </c>
      <c r="I13" s="65">
        <f>HLOOKUP($A13,'Single Family'!$C$6:$N$79,I$5,FALSE)/2</f>
        <v>10.978719777468012</v>
      </c>
      <c r="J13" s="65">
        <f>HLOOKUP($A13,'Single Family'!$C$6:$N$79,J$5,FALSE)/2</f>
        <v>10.978719777468012</v>
      </c>
      <c r="K13" s="65">
        <f>HLOOKUP($A13,'Single Family'!$C$6:$N$79,K$5,FALSE)</f>
        <v>87.14511645188416</v>
      </c>
      <c r="L13" s="69">
        <f>HLOOKUP($A13,'Single Family'!$C$6:$N$79,L$5,FALSE)</f>
        <v>28.99946916720955</v>
      </c>
      <c r="M13" s="70"/>
      <c r="N13" s="70">
        <f t="shared" si="0"/>
        <v>489.0298341856575</v>
      </c>
      <c r="P13" s="62"/>
    </row>
    <row r="14" spans="1:16" ht="12.75">
      <c r="A14" s="59">
        <f t="shared" si="1"/>
        <v>42004</v>
      </c>
      <c r="B14" s="60"/>
      <c r="C14" s="65">
        <f>HLOOKUP($A14,'Single Family'!$C$6:$N$79,C$5,FALSE)</f>
        <v>4.461529388224547</v>
      </c>
      <c r="D14" s="69">
        <f>HLOOKUP($A14,'Single Family'!$C$6:$N$79,D$5,FALSE)</f>
        <v>105.17311944508</v>
      </c>
      <c r="E14" s="69">
        <f>HLOOKUP($A14,'Single Family'!$C$6:$N$79,E$5,FALSE)</f>
        <v>0</v>
      </c>
      <c r="F14" s="65">
        <f>HLOOKUP($A14,'Single Family'!$C$6:$N$79,F$5,FALSE)</f>
        <v>9.815364654094004</v>
      </c>
      <c r="G14" s="65">
        <f>HLOOKUP($A14,'Single Family'!$C$6:$N$79,G$5,FALSE)</f>
        <v>115.99976409383824</v>
      </c>
      <c r="H14" s="65">
        <f>HLOOKUP($A14,'Single Family'!$C$6:$N$79,H$5,FALSE)</f>
        <v>191.42935428408782</v>
      </c>
      <c r="I14" s="65">
        <f>HLOOKUP($A14,'Single Family'!$C$6:$N$79,I$5,FALSE)/2</f>
        <v>13.354844635418813</v>
      </c>
      <c r="J14" s="65">
        <f>HLOOKUP($A14,'Single Family'!$C$6:$N$79,J$5,FALSE)/2</f>
        <v>13.354844635418813</v>
      </c>
      <c r="K14" s="65">
        <f>HLOOKUP($A14,'Single Family'!$C$6:$N$79,K$5,FALSE)</f>
        <v>106.00593826421525</v>
      </c>
      <c r="L14" s="69">
        <f>HLOOKUP($A14,'Single Family'!$C$6:$N$79,L$5,FALSE)</f>
        <v>35.27582569622883</v>
      </c>
      <c r="M14" s="70"/>
      <c r="N14" s="70">
        <f t="shared" si="0"/>
        <v>594.8705850966063</v>
      </c>
      <c r="P14" s="62"/>
    </row>
    <row r="15" spans="1:16" ht="12.75">
      <c r="A15" s="59">
        <f t="shared" si="1"/>
        <v>42035</v>
      </c>
      <c r="B15" s="60"/>
      <c r="C15" s="65">
        <f>HLOOKUP($A15,'Single Family'!$C$6:$N$79,C$5,FALSE)</f>
        <v>4.752648943330822</v>
      </c>
      <c r="D15" s="69">
        <f>HLOOKUP($A15,'Single Family'!$C$6:$N$79,D$5,FALSE)</f>
        <v>112.03577775745192</v>
      </c>
      <c r="E15" s="69">
        <f>HLOOKUP($A15,'Single Family'!$C$6:$N$79,E$5,FALSE)</f>
        <v>0</v>
      </c>
      <c r="F15" s="65">
        <f>HLOOKUP($A15,'Single Family'!$C$6:$N$79,F$5,FALSE)</f>
        <v>10.455827675327809</v>
      </c>
      <c r="G15" s="65">
        <f>HLOOKUP($A15,'Single Family'!$C$6:$N$79,G$5,FALSE)</f>
        <v>123.56887252660138</v>
      </c>
      <c r="H15" s="65">
        <f>HLOOKUP($A15,'Single Family'!$C$6:$N$79,H$5,FALSE)</f>
        <v>203.9203239951811</v>
      </c>
      <c r="I15" s="65">
        <f>HLOOKUP($A15,'Single Family'!$C$6:$N$79,I$5,FALSE)/2</f>
        <v>14.226262503703595</v>
      </c>
      <c r="J15" s="65">
        <f>HLOOKUP($A15,'Single Family'!$C$6:$N$79,J$5,FALSE)/2</f>
        <v>14.226262503703595</v>
      </c>
      <c r="K15" s="65">
        <f>HLOOKUP($A15,'Single Family'!$C$6:$N$79,K$5,FALSE)</f>
        <v>112.92293889354033</v>
      </c>
      <c r="L15" s="69">
        <f>HLOOKUP($A15,'Single Family'!$C$6:$N$79,L$5,FALSE)</f>
        <v>37.57761097860245</v>
      </c>
      <c r="M15" s="70"/>
      <c r="N15" s="70">
        <f t="shared" si="0"/>
        <v>633.686525777443</v>
      </c>
      <c r="P15" s="62"/>
    </row>
    <row r="16" spans="1:16" ht="12.75">
      <c r="A16" s="59">
        <f t="shared" si="1"/>
        <v>42063</v>
      </c>
      <c r="B16" s="60"/>
      <c r="C16" s="65">
        <f>HLOOKUP($A16,'Single Family'!$C$6:$N$79,C$5,FALSE)</f>
        <v>3.654769378668355</v>
      </c>
      <c r="D16" s="69">
        <f>HLOOKUP($A16,'Single Family'!$C$6:$N$79,D$5,FALSE)</f>
        <v>86.15509681980869</v>
      </c>
      <c r="E16" s="69">
        <f>HLOOKUP($A16,'Single Family'!$C$6:$N$79,E$5,FALSE)</f>
        <v>0</v>
      </c>
      <c r="F16" s="65">
        <f>HLOOKUP($A16,'Single Family'!$C$6:$N$79,F$5,FALSE)</f>
        <v>8.04049263307038</v>
      </c>
      <c r="G16" s="65">
        <f>HLOOKUP($A16,'Single Family'!$C$6:$N$79,G$5,FALSE)</f>
        <v>95.02400384537724</v>
      </c>
      <c r="H16" s="65">
        <f>HLOOKUP($A16,'Single Family'!$C$6:$N$79,H$5,FALSE)</f>
        <v>156.81397147406346</v>
      </c>
      <c r="I16" s="65">
        <f>HLOOKUP($A16,'Single Family'!$C$6:$N$79,I$5,FALSE)/2</f>
        <v>10.939943006813943</v>
      </c>
      <c r="J16" s="65">
        <f>HLOOKUP($A16,'Single Family'!$C$6:$N$79,J$5,FALSE)/2</f>
        <v>10.939943006813943</v>
      </c>
      <c r="K16" s="65">
        <f>HLOOKUP($A16,'Single Family'!$C$6:$N$79,K$5,FALSE)</f>
        <v>86.83732043716012</v>
      </c>
      <c r="L16" s="69">
        <f>HLOOKUP($A16,'Single Family'!$C$6:$N$79,L$5,FALSE)</f>
        <v>28.89704322067119</v>
      </c>
      <c r="M16" s="70"/>
      <c r="N16" s="70">
        <f t="shared" si="0"/>
        <v>487.30258382244733</v>
      </c>
      <c r="P16" s="62"/>
    </row>
    <row r="17" spans="1:16" ht="12.75">
      <c r="A17" s="59">
        <f t="shared" si="1"/>
        <v>42094</v>
      </c>
      <c r="B17" s="60"/>
      <c r="C17" s="65">
        <f>HLOOKUP($A17,'Single Family'!$C$6:$N$79,C$5,FALSE)</f>
        <v>4.156957351264774</v>
      </c>
      <c r="D17" s="69">
        <f>HLOOKUP($A17,'Single Family'!$C$6:$N$79,D$5,FALSE)</f>
        <v>97.99334129381495</v>
      </c>
      <c r="E17" s="69">
        <f>HLOOKUP($A17,'Single Family'!$C$6:$N$79,E$5,FALSE)</f>
        <v>0</v>
      </c>
      <c r="F17" s="65">
        <f>HLOOKUP($A17,'Single Family'!$C$6:$N$79,F$5,FALSE)</f>
        <v>9.145306172782504</v>
      </c>
      <c r="G17" s="65">
        <f>HLOOKUP($A17,'Single Family'!$C$6:$N$79,G$5,FALSE)</f>
        <v>108.08089113288413</v>
      </c>
      <c r="H17" s="65">
        <f>HLOOKUP($A17,'Single Family'!$C$6:$N$79,H$5,FALSE)</f>
        <v>178.36118341826716</v>
      </c>
      <c r="I17" s="65">
        <f>HLOOKUP($A17,'Single Family'!$C$6:$N$79,I$5,FALSE)/2</f>
        <v>12.443159004785892</v>
      </c>
      <c r="J17" s="65">
        <f>HLOOKUP($A17,'Single Family'!$C$6:$N$79,J$5,FALSE)/2</f>
        <v>12.443159004785892</v>
      </c>
      <c r="K17" s="65">
        <f>HLOOKUP($A17,'Single Family'!$C$6:$N$79,K$5,FALSE)</f>
        <v>98.76930666605104</v>
      </c>
      <c r="L17" s="69">
        <f>HLOOKUP($A17,'Single Family'!$C$6:$N$79,L$5,FALSE)</f>
        <v>32.86767612400022</v>
      </c>
      <c r="M17" s="70"/>
      <c r="N17" s="70">
        <f t="shared" si="0"/>
        <v>554.2609801686366</v>
      </c>
      <c r="P17" s="62"/>
    </row>
    <row r="18" spans="1:16" ht="12.75">
      <c r="A18" s="59">
        <f t="shared" si="1"/>
        <v>42124</v>
      </c>
      <c r="B18" s="60"/>
      <c r="C18" s="65">
        <f>HLOOKUP($A18,'Single Family'!$C$6:$N$79,C$5,FALSE)</f>
        <v>4.351875146777192</v>
      </c>
      <c r="D18" s="69">
        <f>HLOOKUP($A18,'Single Family'!$C$6:$N$79,D$5,FALSE)</f>
        <v>102.58820346002767</v>
      </c>
      <c r="E18" s="69">
        <f>HLOOKUP($A18,'Single Family'!$C$6:$N$79,E$5,FALSE)</f>
        <v>0</v>
      </c>
      <c r="F18" s="65">
        <f>HLOOKUP($A18,'Single Family'!$C$6:$N$79,F$5,FALSE)</f>
        <v>9.574125322909822</v>
      </c>
      <c r="G18" s="65">
        <f>HLOOKUP($A18,'Single Family'!$C$6:$N$79,G$5,FALSE)</f>
        <v>113.14875381620699</v>
      </c>
      <c r="H18" s="65">
        <f>HLOOKUP($A18,'Single Family'!$C$6:$N$79,H$5,FALSE)</f>
        <v>186.72445629771994</v>
      </c>
      <c r="I18" s="65">
        <f>HLOOKUP($A18,'Single Family'!$C$6:$N$79,I$5,FALSE)/2</f>
        <v>13.026612939353061</v>
      </c>
      <c r="J18" s="65">
        <f>HLOOKUP($A18,'Single Family'!$C$6:$N$79,J$5,FALSE)/2</f>
        <v>13.026612939353061</v>
      </c>
      <c r="K18" s="65">
        <f>HLOOKUP($A18,'Single Family'!$C$6:$N$79,K$5,FALSE)</f>
        <v>103.40055348742608</v>
      </c>
      <c r="L18" s="69">
        <f>HLOOKUP($A18,'Single Family'!$C$6:$N$79,L$5,FALSE)</f>
        <v>34.40882616051841</v>
      </c>
      <c r="M18" s="70"/>
      <c r="N18" s="70">
        <f t="shared" si="0"/>
        <v>580.2500195702922</v>
      </c>
      <c r="P18" s="62"/>
    </row>
    <row r="19" spans="1:15" ht="13.5" customHeight="1">
      <c r="A19" s="59"/>
      <c r="B19" s="60"/>
      <c r="C19" s="70"/>
      <c r="D19" s="70"/>
      <c r="E19" s="70"/>
      <c r="F19" s="70"/>
      <c r="G19" s="70"/>
      <c r="H19" s="70"/>
      <c r="I19" s="70"/>
      <c r="J19" s="70"/>
      <c r="K19" s="70"/>
      <c r="L19" s="70"/>
      <c r="M19" s="70"/>
      <c r="N19" s="70"/>
      <c r="O19" t="s">
        <v>32</v>
      </c>
    </row>
    <row r="20" spans="1:15" ht="12.75">
      <c r="A20" s="63" t="s">
        <v>33</v>
      </c>
      <c r="B20" s="60"/>
      <c r="C20" s="77">
        <f aca="true" t="shared" si="2" ref="C20:J20">SUM(C7:C19)</f>
        <v>51.842178560767124</v>
      </c>
      <c r="D20" s="77">
        <f t="shared" si="2"/>
        <v>1222.0929559391507</v>
      </c>
      <c r="E20" s="77">
        <f t="shared" si="2"/>
        <v>0</v>
      </c>
      <c r="F20" s="77">
        <f t="shared" si="2"/>
        <v>114.05279283368773</v>
      </c>
      <c r="G20" s="77">
        <f t="shared" si="2"/>
        <v>1347.8966425799456</v>
      </c>
      <c r="H20" s="77">
        <f t="shared" si="2"/>
        <v>2224.375074780648</v>
      </c>
      <c r="I20" s="77">
        <f t="shared" si="2"/>
        <v>155.18092115856297</v>
      </c>
      <c r="J20" s="77">
        <f t="shared" si="2"/>
        <v>155.18092115856297</v>
      </c>
      <c r="K20" s="77">
        <f>SUM(K7:K19)</f>
        <v>1231.7701626038272</v>
      </c>
      <c r="L20" s="77">
        <f>SUM(L7:L19)</f>
        <v>409.89882515379975</v>
      </c>
      <c r="M20" s="70"/>
      <c r="N20" s="77">
        <f>SUM(N7:N18)</f>
        <v>6912.290474768953</v>
      </c>
      <c r="O20" s="61">
        <f>N20/15</f>
        <v>460.81936498459686</v>
      </c>
    </row>
    <row r="21" spans="1:14" ht="12.75">
      <c r="A21" s="59"/>
      <c r="B21" s="60"/>
      <c r="C21" s="60"/>
      <c r="D21" s="60"/>
      <c r="E21" s="60"/>
      <c r="F21" s="60"/>
      <c r="G21" s="60"/>
      <c r="H21" s="60"/>
      <c r="I21" s="60"/>
      <c r="J21" s="60"/>
      <c r="K21" s="60"/>
      <c r="L21" s="60"/>
      <c r="M21" s="60"/>
      <c r="N21" s="61">
        <f>IF(N20&lt;&gt;SUM('Single Family'!$C$66:$N$66),"ERROR","")</f>
      </c>
    </row>
    <row r="22" spans="1:13" ht="12.75">
      <c r="A22" s="60"/>
      <c r="B22" s="60"/>
      <c r="C22" s="60"/>
      <c r="D22" s="60"/>
      <c r="E22" s="60"/>
      <c r="F22" s="60"/>
      <c r="G22" s="60"/>
      <c r="H22" s="60"/>
      <c r="I22" s="60"/>
      <c r="J22" s="60"/>
      <c r="K22" s="60"/>
      <c r="L22" s="60"/>
      <c r="M22" s="61"/>
    </row>
    <row r="23" spans="1:13" ht="12.75">
      <c r="A23" s="60"/>
      <c r="B23" s="60"/>
      <c r="C23" s="60"/>
      <c r="D23" s="60"/>
      <c r="E23" s="60"/>
      <c r="F23" s="60"/>
      <c r="G23" s="60"/>
      <c r="H23" s="60"/>
      <c r="I23" s="60"/>
      <c r="J23" s="60"/>
      <c r="K23" s="60"/>
      <c r="L23" s="60"/>
      <c r="M23" s="61"/>
    </row>
    <row r="24" spans="1:13" ht="12.75">
      <c r="A24" s="60"/>
      <c r="B24" s="60"/>
      <c r="C24" s="60"/>
      <c r="D24" s="60"/>
      <c r="E24" s="60"/>
      <c r="F24" s="60"/>
      <c r="G24" s="60"/>
      <c r="H24" s="60"/>
      <c r="I24" s="60"/>
      <c r="J24" s="60"/>
      <c r="K24" s="60"/>
      <c r="L24" s="60"/>
      <c r="M24" s="61"/>
    </row>
    <row r="25" spans="1:13" ht="12.75">
      <c r="A25" s="60"/>
      <c r="B25" s="60"/>
      <c r="C25" s="60"/>
      <c r="D25" s="60"/>
      <c r="E25" s="60"/>
      <c r="F25" s="60"/>
      <c r="G25" s="60"/>
      <c r="H25" s="60"/>
      <c r="I25" s="60"/>
      <c r="J25" s="60"/>
      <c r="K25" s="60"/>
      <c r="L25" s="60"/>
      <c r="M25" s="60"/>
    </row>
    <row r="26" spans="1:13" ht="12.75">
      <c r="A26" s="60"/>
      <c r="B26" s="60"/>
      <c r="C26" s="60"/>
      <c r="D26" s="60"/>
      <c r="E26" s="60"/>
      <c r="F26" s="60"/>
      <c r="G26" s="60"/>
      <c r="H26" s="60"/>
      <c r="I26" s="60"/>
      <c r="J26" s="60"/>
      <c r="K26" s="60"/>
      <c r="L26" s="60"/>
      <c r="M26" s="60"/>
    </row>
    <row r="27" spans="1:13" ht="12.75">
      <c r="A27" s="60"/>
      <c r="B27" s="60"/>
      <c r="C27" s="60"/>
      <c r="D27" s="60"/>
      <c r="E27" s="60"/>
      <c r="F27" s="60"/>
      <c r="G27" s="60"/>
      <c r="H27" s="60"/>
      <c r="I27" s="60"/>
      <c r="J27" s="60"/>
      <c r="K27" s="60"/>
      <c r="L27" s="60"/>
      <c r="M27" s="60"/>
    </row>
    <row r="28" spans="1:13" ht="12.75">
      <c r="A28" s="60"/>
      <c r="B28" s="60"/>
      <c r="C28" s="60"/>
      <c r="D28" s="60"/>
      <c r="E28" s="60"/>
      <c r="F28" s="60"/>
      <c r="G28" s="60"/>
      <c r="H28" s="60"/>
      <c r="I28" s="60"/>
      <c r="J28" s="60"/>
      <c r="K28" s="60"/>
      <c r="L28" s="60"/>
      <c r="M28" s="60"/>
    </row>
    <row r="29" spans="1:13" ht="12.75">
      <c r="A29" s="60"/>
      <c r="B29" s="60"/>
      <c r="C29" s="60"/>
      <c r="D29" s="60"/>
      <c r="E29" s="60"/>
      <c r="F29" s="60"/>
      <c r="G29" s="60"/>
      <c r="H29" s="60"/>
      <c r="I29" s="60"/>
      <c r="J29" s="60"/>
      <c r="K29" s="60"/>
      <c r="L29" s="60"/>
      <c r="M29" s="60"/>
    </row>
    <row r="30" spans="1:13" ht="12.75">
      <c r="A30" s="60"/>
      <c r="B30" s="60"/>
      <c r="C30" s="60"/>
      <c r="D30" s="60"/>
      <c r="E30" s="60"/>
      <c r="F30" s="60"/>
      <c r="G30" s="60"/>
      <c r="H30" s="60"/>
      <c r="I30" s="60"/>
      <c r="J30" s="60"/>
      <c r="K30" s="60"/>
      <c r="L30" s="60"/>
      <c r="M30" s="60"/>
    </row>
    <row r="31" spans="1:13" ht="12.75">
      <c r="A31" s="60"/>
      <c r="B31" s="60"/>
      <c r="C31" s="60"/>
      <c r="D31" s="60"/>
      <c r="E31" s="60"/>
      <c r="F31" s="60"/>
      <c r="G31" s="60"/>
      <c r="H31" s="60"/>
      <c r="I31" s="60"/>
      <c r="J31" s="60"/>
      <c r="K31" s="60"/>
      <c r="L31" s="60"/>
      <c r="M31" s="60"/>
    </row>
    <row r="32" spans="1:13" ht="12.75">
      <c r="A32" s="60"/>
      <c r="B32" s="60"/>
      <c r="C32" s="60"/>
      <c r="D32" s="60"/>
      <c r="E32" s="60"/>
      <c r="F32" s="60"/>
      <c r="G32" s="60"/>
      <c r="H32" s="60"/>
      <c r="I32" s="60"/>
      <c r="J32" s="60"/>
      <c r="K32" s="60"/>
      <c r="L32" s="60"/>
      <c r="M32" s="60"/>
    </row>
    <row r="33" spans="1:13" ht="12.75">
      <c r="A33" s="60"/>
      <c r="B33" s="60"/>
      <c r="C33" s="60"/>
      <c r="D33" s="60"/>
      <c r="E33" s="60"/>
      <c r="F33" s="60"/>
      <c r="G33" s="60"/>
      <c r="H33" s="60"/>
      <c r="I33" s="60"/>
      <c r="J33" s="60"/>
      <c r="K33" s="60"/>
      <c r="L33" s="60"/>
      <c r="M33" s="60"/>
    </row>
    <row r="34" spans="1:13" ht="12.75">
      <c r="A34" s="60"/>
      <c r="B34" s="60"/>
      <c r="C34" s="60"/>
      <c r="D34" s="60"/>
      <c r="E34" s="60"/>
      <c r="F34" s="60"/>
      <c r="G34" s="60"/>
      <c r="H34" s="60"/>
      <c r="I34" s="60"/>
      <c r="J34" s="60"/>
      <c r="K34" s="60"/>
      <c r="L34" s="60"/>
      <c r="M34" s="60"/>
    </row>
    <row r="35" spans="1:13" ht="12.75">
      <c r="A35" s="60"/>
      <c r="B35" s="60"/>
      <c r="C35" s="60"/>
      <c r="D35" s="60"/>
      <c r="E35" s="60"/>
      <c r="F35" s="60"/>
      <c r="G35" s="60"/>
      <c r="H35" s="60"/>
      <c r="I35" s="60"/>
      <c r="J35" s="60"/>
      <c r="K35" s="60"/>
      <c r="L35" s="60"/>
      <c r="M35" s="60"/>
    </row>
    <row r="36" spans="1:13" ht="12.75">
      <c r="A36" s="60"/>
      <c r="B36" s="60"/>
      <c r="C36" s="60"/>
      <c r="D36" s="60"/>
      <c r="E36" s="60"/>
      <c r="F36" s="60"/>
      <c r="G36" s="60"/>
      <c r="H36" s="60"/>
      <c r="I36" s="60"/>
      <c r="J36" s="60"/>
      <c r="K36" s="60"/>
      <c r="L36" s="60"/>
      <c r="M36" s="60"/>
    </row>
    <row r="37" spans="1:13" ht="12.75">
      <c r="A37" s="60"/>
      <c r="B37" s="60"/>
      <c r="C37" s="60"/>
      <c r="D37" s="60"/>
      <c r="E37" s="60"/>
      <c r="F37" s="60"/>
      <c r="G37" s="60"/>
      <c r="H37" s="60"/>
      <c r="I37" s="60"/>
      <c r="J37" s="60"/>
      <c r="K37" s="60"/>
      <c r="L37" s="60"/>
      <c r="M37" s="60"/>
    </row>
    <row r="38" spans="1:13" ht="12.75">
      <c r="A38" s="60"/>
      <c r="B38" s="60"/>
      <c r="C38" s="60"/>
      <c r="D38" s="60"/>
      <c r="E38" s="60"/>
      <c r="F38" s="60"/>
      <c r="G38" s="60"/>
      <c r="H38" s="60"/>
      <c r="I38" s="60"/>
      <c r="J38" s="60"/>
      <c r="K38" s="60"/>
      <c r="L38" s="60"/>
      <c r="M38" s="60"/>
    </row>
    <row r="39" spans="1:13" ht="12.75">
      <c r="A39" s="60"/>
      <c r="B39" s="60"/>
      <c r="C39" s="60"/>
      <c r="D39" s="60"/>
      <c r="E39" s="60"/>
      <c r="F39" s="60"/>
      <c r="G39" s="60"/>
      <c r="H39" s="60"/>
      <c r="I39" s="60"/>
      <c r="J39" s="60"/>
      <c r="K39" s="60"/>
      <c r="L39" s="60"/>
      <c r="M39" s="60"/>
    </row>
    <row r="40" spans="1:13" ht="12.75">
      <c r="A40" s="60"/>
      <c r="B40" s="60"/>
      <c r="C40" s="60"/>
      <c r="D40" s="60"/>
      <c r="E40" s="60"/>
      <c r="F40" s="60"/>
      <c r="G40" s="60"/>
      <c r="H40" s="60"/>
      <c r="I40" s="60"/>
      <c r="J40" s="60"/>
      <c r="K40" s="60"/>
      <c r="L40" s="60"/>
      <c r="M40" s="60"/>
    </row>
    <row r="41" spans="1:13" ht="12.75">
      <c r="A41" s="60"/>
      <c r="B41" s="60"/>
      <c r="C41" s="60"/>
      <c r="D41" s="60"/>
      <c r="E41" s="60"/>
      <c r="F41" s="60"/>
      <c r="G41" s="60"/>
      <c r="H41" s="60"/>
      <c r="I41" s="60"/>
      <c r="J41" s="60"/>
      <c r="K41" s="60"/>
      <c r="L41" s="60"/>
      <c r="M41" s="60"/>
    </row>
    <row r="42" spans="1:13" ht="12.75">
      <c r="A42" s="60"/>
      <c r="B42" s="60"/>
      <c r="C42" s="60"/>
      <c r="D42" s="60"/>
      <c r="E42" s="60"/>
      <c r="F42" s="60"/>
      <c r="G42" s="60"/>
      <c r="H42" s="60"/>
      <c r="I42" s="60"/>
      <c r="J42" s="60"/>
      <c r="K42" s="60"/>
      <c r="L42" s="60"/>
      <c r="M42" s="60"/>
    </row>
    <row r="43" spans="1:13" ht="12.75">
      <c r="A43" s="60"/>
      <c r="B43" s="60"/>
      <c r="C43" s="60"/>
      <c r="D43" s="60"/>
      <c r="E43" s="60"/>
      <c r="F43" s="60"/>
      <c r="G43" s="60"/>
      <c r="H43" s="60"/>
      <c r="I43" s="60"/>
      <c r="J43" s="60"/>
      <c r="K43" s="60"/>
      <c r="L43" s="60"/>
      <c r="M43" s="60"/>
    </row>
    <row r="44" spans="1:13" ht="12.75">
      <c r="A44" s="60"/>
      <c r="B44" s="60"/>
      <c r="C44" s="60"/>
      <c r="D44" s="60"/>
      <c r="E44" s="60"/>
      <c r="F44" s="60"/>
      <c r="G44" s="60"/>
      <c r="H44" s="60"/>
      <c r="I44" s="60"/>
      <c r="J44" s="60"/>
      <c r="K44" s="60"/>
      <c r="L44" s="60"/>
      <c r="M44" s="60"/>
    </row>
    <row r="45" spans="1:13" ht="12.75">
      <c r="A45" s="60"/>
      <c r="B45" s="60"/>
      <c r="C45" s="60"/>
      <c r="D45" s="60"/>
      <c r="E45" s="60"/>
      <c r="F45" s="60"/>
      <c r="G45" s="60"/>
      <c r="H45" s="60"/>
      <c r="I45" s="60"/>
      <c r="J45" s="60"/>
      <c r="K45" s="60"/>
      <c r="L45" s="60"/>
      <c r="M45" s="60"/>
    </row>
    <row r="46" spans="1:13" ht="12.75">
      <c r="A46" s="60"/>
      <c r="B46" s="60"/>
      <c r="C46" s="60"/>
      <c r="D46" s="60"/>
      <c r="E46" s="60"/>
      <c r="F46" s="60"/>
      <c r="G46" s="60"/>
      <c r="H46" s="60"/>
      <c r="I46" s="60"/>
      <c r="J46" s="60"/>
      <c r="K46" s="60"/>
      <c r="L46" s="60"/>
      <c r="M46" s="60"/>
    </row>
    <row r="47" spans="1:13" ht="12.75">
      <c r="A47" s="60"/>
      <c r="B47" s="60"/>
      <c r="C47" s="60"/>
      <c r="D47" s="60"/>
      <c r="E47" s="60"/>
      <c r="F47" s="60"/>
      <c r="G47" s="60"/>
      <c r="H47" s="60"/>
      <c r="I47" s="60"/>
      <c r="J47" s="60"/>
      <c r="K47" s="60"/>
      <c r="L47" s="60"/>
      <c r="M47" s="60"/>
    </row>
    <row r="48" spans="1:13" ht="12.75">
      <c r="A48" s="60"/>
      <c r="B48" s="60"/>
      <c r="C48" s="60"/>
      <c r="D48" s="60"/>
      <c r="E48" s="60"/>
      <c r="F48" s="60"/>
      <c r="G48" s="60"/>
      <c r="H48" s="60"/>
      <c r="I48" s="60"/>
      <c r="J48" s="60"/>
      <c r="K48" s="60"/>
      <c r="L48" s="60"/>
      <c r="M48" s="60"/>
    </row>
    <row r="49" spans="1:13" ht="12.75">
      <c r="A49" s="60"/>
      <c r="B49" s="60"/>
      <c r="C49" s="60"/>
      <c r="D49" s="60"/>
      <c r="E49" s="60"/>
      <c r="F49" s="60"/>
      <c r="G49" s="60"/>
      <c r="H49" s="60"/>
      <c r="I49" s="60"/>
      <c r="J49" s="60"/>
      <c r="K49" s="60"/>
      <c r="L49" s="60"/>
      <c r="M49" s="60"/>
    </row>
    <row r="50" spans="1:13" ht="12.75">
      <c r="A50" s="60"/>
      <c r="B50" s="60"/>
      <c r="C50" s="60"/>
      <c r="D50" s="60"/>
      <c r="E50" s="60"/>
      <c r="F50" s="60"/>
      <c r="G50" s="60"/>
      <c r="H50" s="60"/>
      <c r="I50" s="60"/>
      <c r="J50" s="60"/>
      <c r="K50" s="60"/>
      <c r="L50" s="60"/>
      <c r="M50" s="60"/>
    </row>
    <row r="51" spans="1:13" ht="12.75">
      <c r="A51" s="60"/>
      <c r="B51" s="60"/>
      <c r="C51" s="60"/>
      <c r="D51" s="60"/>
      <c r="E51" s="60"/>
      <c r="F51" s="60"/>
      <c r="G51" s="60"/>
      <c r="H51" s="60"/>
      <c r="I51" s="60"/>
      <c r="J51" s="60"/>
      <c r="K51" s="60"/>
      <c r="L51" s="60"/>
      <c r="M51" s="60"/>
    </row>
    <row r="52" spans="1:13" ht="12.75">
      <c r="A52" s="60"/>
      <c r="B52" s="60"/>
      <c r="C52" s="60"/>
      <c r="D52" s="60"/>
      <c r="E52" s="60"/>
      <c r="F52" s="60"/>
      <c r="G52" s="60"/>
      <c r="H52" s="60"/>
      <c r="I52" s="60"/>
      <c r="J52" s="60"/>
      <c r="K52" s="60"/>
      <c r="L52" s="60"/>
      <c r="M52" s="60"/>
    </row>
    <row r="53" spans="1:13" ht="12.75">
      <c r="A53" s="60"/>
      <c r="B53" s="60"/>
      <c r="C53" s="60"/>
      <c r="D53" s="60"/>
      <c r="E53" s="60"/>
      <c r="F53" s="60"/>
      <c r="G53" s="60"/>
      <c r="H53" s="60"/>
      <c r="I53" s="60"/>
      <c r="J53" s="60"/>
      <c r="K53" s="60"/>
      <c r="L53" s="60"/>
      <c r="M53" s="60"/>
    </row>
    <row r="54" spans="1:13" ht="12.75">
      <c r="A54" s="60"/>
      <c r="B54" s="60"/>
      <c r="C54" s="60"/>
      <c r="D54" s="60"/>
      <c r="E54" s="60"/>
      <c r="F54" s="60"/>
      <c r="G54" s="60"/>
      <c r="H54" s="60"/>
      <c r="I54" s="60"/>
      <c r="J54" s="60"/>
      <c r="K54" s="60"/>
      <c r="L54" s="60"/>
      <c r="M54" s="60"/>
    </row>
    <row r="55" spans="1:13" ht="12.75">
      <c r="A55" s="60"/>
      <c r="B55" s="60"/>
      <c r="C55" s="60"/>
      <c r="D55" s="60"/>
      <c r="E55" s="60"/>
      <c r="F55" s="60"/>
      <c r="G55" s="60"/>
      <c r="H55" s="60"/>
      <c r="I55" s="60"/>
      <c r="J55" s="60"/>
      <c r="K55" s="60"/>
      <c r="L55" s="60"/>
      <c r="M55" s="60"/>
    </row>
    <row r="56" spans="1:13" ht="12.75">
      <c r="A56" s="60"/>
      <c r="B56" s="60"/>
      <c r="C56" s="60"/>
      <c r="D56" s="60"/>
      <c r="E56" s="60"/>
      <c r="F56" s="60"/>
      <c r="G56" s="60"/>
      <c r="H56" s="60"/>
      <c r="I56" s="60"/>
      <c r="J56" s="60"/>
      <c r="K56" s="60"/>
      <c r="L56" s="60"/>
      <c r="M56" s="60"/>
    </row>
    <row r="57" spans="1:13" ht="12.75">
      <c r="A57" s="60"/>
      <c r="B57" s="60"/>
      <c r="C57" s="60"/>
      <c r="D57" s="60"/>
      <c r="E57" s="60"/>
      <c r="F57" s="60"/>
      <c r="G57" s="60"/>
      <c r="H57" s="60"/>
      <c r="I57" s="60"/>
      <c r="J57" s="60"/>
      <c r="K57" s="60"/>
      <c r="L57" s="60"/>
      <c r="M57" s="60"/>
    </row>
    <row r="58" spans="1:13" ht="12.75">
      <c r="A58" s="60"/>
      <c r="B58" s="60"/>
      <c r="C58" s="60"/>
      <c r="D58" s="60"/>
      <c r="E58" s="60"/>
      <c r="F58" s="60"/>
      <c r="G58" s="60"/>
      <c r="H58" s="60"/>
      <c r="I58" s="60"/>
      <c r="J58" s="60"/>
      <c r="K58" s="60"/>
      <c r="L58" s="60"/>
      <c r="M58" s="60"/>
    </row>
    <row r="59" spans="1:13" ht="12.75">
      <c r="A59" s="60"/>
      <c r="B59" s="60"/>
      <c r="C59" s="60"/>
      <c r="D59" s="60"/>
      <c r="E59" s="60"/>
      <c r="F59" s="60"/>
      <c r="G59" s="60"/>
      <c r="H59" s="60"/>
      <c r="I59" s="60"/>
      <c r="J59" s="60"/>
      <c r="K59" s="60"/>
      <c r="L59" s="60"/>
      <c r="M59" s="60"/>
    </row>
    <row r="60" spans="1:13" ht="12.75">
      <c r="A60" s="60"/>
      <c r="B60" s="60"/>
      <c r="C60" s="60"/>
      <c r="D60" s="60"/>
      <c r="E60" s="60"/>
      <c r="F60" s="60"/>
      <c r="G60" s="60"/>
      <c r="H60" s="60"/>
      <c r="I60" s="60"/>
      <c r="J60" s="60"/>
      <c r="K60" s="60"/>
      <c r="L60" s="60"/>
      <c r="M60" s="60"/>
    </row>
    <row r="61" spans="1:13" ht="12.75">
      <c r="A61" s="60"/>
      <c r="B61" s="60"/>
      <c r="C61" s="60"/>
      <c r="D61" s="60"/>
      <c r="E61" s="60"/>
      <c r="F61" s="60"/>
      <c r="G61" s="60"/>
      <c r="H61" s="60"/>
      <c r="I61" s="60"/>
      <c r="J61" s="60"/>
      <c r="K61" s="60"/>
      <c r="L61" s="60"/>
      <c r="M61" s="60"/>
    </row>
    <row r="62" spans="1:13" ht="12.75">
      <c r="A62" s="60"/>
      <c r="B62" s="60"/>
      <c r="C62" s="60"/>
      <c r="D62" s="60"/>
      <c r="E62" s="60"/>
      <c r="F62" s="60"/>
      <c r="G62" s="60"/>
      <c r="H62" s="60"/>
      <c r="I62" s="60"/>
      <c r="J62" s="60"/>
      <c r="K62" s="60"/>
      <c r="L62" s="60"/>
      <c r="M62" s="60"/>
    </row>
    <row r="63" spans="1:13" ht="12.75">
      <c r="A63" s="60"/>
      <c r="B63" s="60"/>
      <c r="C63" s="60"/>
      <c r="D63" s="60"/>
      <c r="E63" s="60"/>
      <c r="F63" s="60"/>
      <c r="G63" s="60"/>
      <c r="H63" s="60"/>
      <c r="I63" s="60"/>
      <c r="J63" s="60"/>
      <c r="K63" s="60"/>
      <c r="L63" s="60"/>
      <c r="M63" s="60"/>
    </row>
    <row r="64" spans="1:13" ht="12.75">
      <c r="A64" s="60"/>
      <c r="B64" s="60"/>
      <c r="C64" s="60"/>
      <c r="D64" s="60"/>
      <c r="E64" s="60"/>
      <c r="F64" s="60"/>
      <c r="G64" s="60"/>
      <c r="H64" s="60"/>
      <c r="I64" s="60"/>
      <c r="J64" s="60"/>
      <c r="K64" s="60"/>
      <c r="L64" s="60"/>
      <c r="M64" s="60"/>
    </row>
    <row r="65" spans="1:13" ht="12.75">
      <c r="A65" s="60"/>
      <c r="B65" s="60"/>
      <c r="C65" s="60"/>
      <c r="D65" s="60"/>
      <c r="E65" s="60"/>
      <c r="F65" s="60"/>
      <c r="G65" s="60"/>
      <c r="H65" s="60"/>
      <c r="I65" s="60"/>
      <c r="J65" s="60"/>
      <c r="K65" s="60"/>
      <c r="L65" s="60"/>
      <c r="M65" s="60"/>
    </row>
    <row r="66" spans="1:13" ht="12.75">
      <c r="A66" s="60"/>
      <c r="B66" s="60"/>
      <c r="C66" s="60"/>
      <c r="D66" s="60"/>
      <c r="E66" s="60"/>
      <c r="F66" s="60"/>
      <c r="G66" s="60"/>
      <c r="H66" s="60"/>
      <c r="I66" s="60"/>
      <c r="J66" s="60"/>
      <c r="K66" s="60"/>
      <c r="L66" s="60"/>
      <c r="M66" s="60"/>
    </row>
    <row r="67" spans="1:13" ht="12.75">
      <c r="A67" s="60"/>
      <c r="B67" s="60"/>
      <c r="C67" s="60"/>
      <c r="D67" s="60"/>
      <c r="E67" s="60"/>
      <c r="F67" s="60"/>
      <c r="G67" s="60"/>
      <c r="H67" s="60"/>
      <c r="I67" s="60"/>
      <c r="J67" s="60"/>
      <c r="K67" s="60"/>
      <c r="L67" s="60"/>
      <c r="M67" s="60"/>
    </row>
    <row r="68" spans="1:13" ht="12.75">
      <c r="A68" s="60"/>
      <c r="B68" s="60"/>
      <c r="C68" s="60"/>
      <c r="D68" s="60"/>
      <c r="E68" s="60"/>
      <c r="F68" s="60"/>
      <c r="G68" s="60"/>
      <c r="H68" s="60"/>
      <c r="I68" s="60"/>
      <c r="J68" s="60"/>
      <c r="K68" s="60"/>
      <c r="L68" s="60"/>
      <c r="M68" s="60"/>
    </row>
    <row r="69" spans="1:13" ht="12.75">
      <c r="A69" s="60"/>
      <c r="B69" s="60"/>
      <c r="C69" s="60"/>
      <c r="D69" s="60"/>
      <c r="E69" s="60"/>
      <c r="F69" s="60"/>
      <c r="G69" s="60"/>
      <c r="H69" s="60"/>
      <c r="I69" s="60"/>
      <c r="J69" s="60"/>
      <c r="K69" s="60"/>
      <c r="L69" s="60"/>
      <c r="M69" s="60"/>
    </row>
    <row r="70" spans="1:13" ht="12.75">
      <c r="A70" s="60"/>
      <c r="B70" s="60"/>
      <c r="C70" s="60"/>
      <c r="D70" s="60"/>
      <c r="E70" s="60"/>
      <c r="F70" s="60"/>
      <c r="G70" s="60"/>
      <c r="H70" s="60"/>
      <c r="I70" s="60"/>
      <c r="J70" s="60"/>
      <c r="K70" s="60"/>
      <c r="L70" s="60"/>
      <c r="M70" s="60"/>
    </row>
    <row r="71" spans="1:13" ht="12.75">
      <c r="A71" s="60"/>
      <c r="B71" s="60"/>
      <c r="C71" s="60"/>
      <c r="D71" s="60"/>
      <c r="E71" s="60"/>
      <c r="F71" s="60"/>
      <c r="G71" s="60"/>
      <c r="H71" s="60"/>
      <c r="I71" s="60"/>
      <c r="J71" s="60"/>
      <c r="K71" s="60"/>
      <c r="L71" s="60"/>
      <c r="M71" s="60"/>
    </row>
    <row r="72" spans="1:13" ht="12.75">
      <c r="A72" s="60"/>
      <c r="B72" s="60"/>
      <c r="C72" s="60"/>
      <c r="D72" s="60"/>
      <c r="E72" s="60"/>
      <c r="F72" s="60"/>
      <c r="G72" s="60"/>
      <c r="H72" s="60"/>
      <c r="I72" s="60"/>
      <c r="J72" s="60"/>
      <c r="K72" s="60"/>
      <c r="L72" s="60"/>
      <c r="M72" s="60"/>
    </row>
    <row r="73" spans="1:13" ht="12.75">
      <c r="A73" s="60"/>
      <c r="B73" s="60"/>
      <c r="C73" s="60"/>
      <c r="D73" s="60"/>
      <c r="E73" s="60"/>
      <c r="F73" s="60"/>
      <c r="G73" s="60"/>
      <c r="H73" s="60"/>
      <c r="I73" s="60"/>
      <c r="J73" s="60"/>
      <c r="K73" s="60"/>
      <c r="L73" s="60"/>
      <c r="M73" s="60"/>
    </row>
    <row r="74" spans="1:13" ht="12.75">
      <c r="A74" s="60"/>
      <c r="B74" s="60"/>
      <c r="C74" s="60"/>
      <c r="D74" s="60"/>
      <c r="E74" s="60"/>
      <c r="F74" s="60"/>
      <c r="G74" s="60"/>
      <c r="H74" s="60"/>
      <c r="I74" s="60"/>
      <c r="J74" s="60"/>
      <c r="K74" s="60"/>
      <c r="L74" s="60"/>
      <c r="M74" s="60"/>
    </row>
    <row r="75" spans="1:13" ht="12.75">
      <c r="A75" s="60"/>
      <c r="B75" s="60"/>
      <c r="C75" s="60"/>
      <c r="D75" s="60"/>
      <c r="E75" s="60"/>
      <c r="F75" s="60"/>
      <c r="G75" s="60"/>
      <c r="H75" s="60"/>
      <c r="I75" s="60"/>
      <c r="J75" s="60"/>
      <c r="K75" s="60"/>
      <c r="L75" s="60"/>
      <c r="M75" s="60"/>
    </row>
    <row r="76" spans="1:13" ht="12.75">
      <c r="A76" s="60"/>
      <c r="B76" s="60"/>
      <c r="C76" s="60"/>
      <c r="D76" s="60"/>
      <c r="E76" s="60"/>
      <c r="F76" s="60"/>
      <c r="G76" s="60"/>
      <c r="H76" s="60"/>
      <c r="I76" s="60"/>
      <c r="J76" s="60"/>
      <c r="K76" s="60"/>
      <c r="L76" s="60"/>
      <c r="M76" s="60"/>
    </row>
    <row r="77" spans="1:13" ht="12.75">
      <c r="A77" s="60"/>
      <c r="B77" s="60"/>
      <c r="C77" s="60"/>
      <c r="D77" s="60"/>
      <c r="E77" s="60"/>
      <c r="F77" s="60"/>
      <c r="G77" s="60"/>
      <c r="H77" s="60"/>
      <c r="I77" s="60"/>
      <c r="J77" s="60"/>
      <c r="K77" s="60"/>
      <c r="L77" s="60"/>
      <c r="M77" s="60"/>
    </row>
    <row r="78" spans="1:13" ht="12.75">
      <c r="A78" s="60"/>
      <c r="B78" s="60"/>
      <c r="C78" s="60"/>
      <c r="D78" s="60"/>
      <c r="E78" s="60"/>
      <c r="F78" s="60"/>
      <c r="G78" s="60"/>
      <c r="H78" s="60"/>
      <c r="I78" s="60"/>
      <c r="J78" s="60"/>
      <c r="K78" s="60"/>
      <c r="L78" s="60"/>
      <c r="M78" s="60"/>
    </row>
    <row r="79" spans="1:13" ht="12.75">
      <c r="A79" s="60"/>
      <c r="B79" s="60"/>
      <c r="C79" s="60"/>
      <c r="D79" s="60"/>
      <c r="E79" s="60"/>
      <c r="F79" s="60"/>
      <c r="G79" s="60"/>
      <c r="H79" s="60"/>
      <c r="I79" s="60"/>
      <c r="J79" s="60"/>
      <c r="K79" s="60"/>
      <c r="L79" s="60"/>
      <c r="M79" s="60"/>
    </row>
    <row r="80" spans="1:13" ht="12.75">
      <c r="A80" s="60"/>
      <c r="B80" s="60"/>
      <c r="C80" s="60"/>
      <c r="D80" s="60"/>
      <c r="E80" s="60"/>
      <c r="F80" s="60"/>
      <c r="G80" s="60"/>
      <c r="H80" s="60"/>
      <c r="I80" s="60"/>
      <c r="J80" s="60"/>
      <c r="K80" s="60"/>
      <c r="L80" s="60"/>
      <c r="M80" s="60"/>
    </row>
    <row r="81" spans="1:13" ht="12.75">
      <c r="A81" s="60"/>
      <c r="B81" s="60"/>
      <c r="C81" s="60"/>
      <c r="D81" s="60"/>
      <c r="E81" s="60"/>
      <c r="F81" s="60"/>
      <c r="G81" s="60"/>
      <c r="H81" s="60"/>
      <c r="I81" s="60"/>
      <c r="J81" s="60"/>
      <c r="K81" s="60"/>
      <c r="L81" s="60"/>
      <c r="M81" s="60"/>
    </row>
    <row r="82" spans="1:13" ht="12.75">
      <c r="A82" s="60"/>
      <c r="B82" s="60"/>
      <c r="C82" s="60"/>
      <c r="D82" s="60"/>
      <c r="E82" s="60"/>
      <c r="F82" s="60"/>
      <c r="G82" s="60"/>
      <c r="H82" s="60"/>
      <c r="I82" s="60"/>
      <c r="J82" s="60"/>
      <c r="K82" s="60"/>
      <c r="L82" s="60"/>
      <c r="M82" s="60"/>
    </row>
    <row r="83" spans="1:13" ht="12.75">
      <c r="A83" s="60"/>
      <c r="B83" s="60"/>
      <c r="C83" s="60"/>
      <c r="D83" s="60"/>
      <c r="E83" s="60"/>
      <c r="F83" s="60"/>
      <c r="G83" s="60"/>
      <c r="H83" s="60"/>
      <c r="I83" s="60"/>
      <c r="J83" s="60"/>
      <c r="K83" s="60"/>
      <c r="L83" s="60"/>
      <c r="M83" s="60"/>
    </row>
    <row r="84" spans="1:13" ht="12.75">
      <c r="A84" s="60"/>
      <c r="B84" s="60"/>
      <c r="C84" s="60"/>
      <c r="D84" s="60"/>
      <c r="E84" s="60"/>
      <c r="F84" s="60"/>
      <c r="G84" s="60"/>
      <c r="H84" s="60"/>
      <c r="I84" s="60"/>
      <c r="J84" s="60"/>
      <c r="K84" s="60"/>
      <c r="L84" s="60"/>
      <c r="M84" s="60"/>
    </row>
    <row r="85" spans="1:13" ht="12.75">
      <c r="A85" s="60"/>
      <c r="B85" s="60"/>
      <c r="C85" s="60"/>
      <c r="D85" s="60"/>
      <c r="E85" s="60"/>
      <c r="F85" s="60"/>
      <c r="G85" s="60"/>
      <c r="H85" s="60"/>
      <c r="I85" s="60"/>
      <c r="J85" s="60"/>
      <c r="K85" s="60"/>
      <c r="L85" s="60"/>
      <c r="M85" s="60"/>
    </row>
    <row r="86" spans="1:13" ht="12.75">
      <c r="A86" s="60"/>
      <c r="B86" s="60"/>
      <c r="C86" s="60"/>
      <c r="D86" s="60"/>
      <c r="E86" s="60"/>
      <c r="F86" s="60"/>
      <c r="G86" s="60"/>
      <c r="H86" s="60"/>
      <c r="I86" s="60"/>
      <c r="J86" s="60"/>
      <c r="K86" s="60"/>
      <c r="L86" s="60"/>
      <c r="M86" s="60"/>
    </row>
    <row r="87" spans="1:13" ht="12.75">
      <c r="A87" s="60"/>
      <c r="B87" s="60"/>
      <c r="C87" s="60"/>
      <c r="D87" s="60"/>
      <c r="E87" s="60"/>
      <c r="F87" s="60"/>
      <c r="G87" s="60"/>
      <c r="H87" s="60"/>
      <c r="I87" s="60"/>
      <c r="J87" s="60"/>
      <c r="K87" s="60"/>
      <c r="L87" s="60"/>
      <c r="M87" s="60"/>
    </row>
    <row r="88" spans="1:13" ht="12.75">
      <c r="A88" s="60"/>
      <c r="B88" s="60"/>
      <c r="C88" s="60"/>
      <c r="D88" s="60"/>
      <c r="E88" s="60"/>
      <c r="F88" s="60"/>
      <c r="G88" s="60"/>
      <c r="H88" s="60"/>
      <c r="I88" s="60"/>
      <c r="J88" s="60"/>
      <c r="K88" s="60"/>
      <c r="L88" s="60"/>
      <c r="M88" s="60"/>
    </row>
    <row r="89" spans="1:13" ht="12.75">
      <c r="A89" s="60"/>
      <c r="B89" s="60"/>
      <c r="C89" s="60"/>
      <c r="D89" s="60"/>
      <c r="E89" s="60"/>
      <c r="F89" s="60"/>
      <c r="G89" s="60"/>
      <c r="H89" s="60"/>
      <c r="I89" s="60"/>
      <c r="J89" s="60"/>
      <c r="K89" s="60"/>
      <c r="L89" s="60"/>
      <c r="M89" s="60"/>
    </row>
    <row r="90" spans="1:13" ht="12.75">
      <c r="A90" s="60"/>
      <c r="B90" s="60"/>
      <c r="C90" s="60"/>
      <c r="D90" s="60"/>
      <c r="E90" s="60"/>
      <c r="F90" s="60"/>
      <c r="G90" s="60"/>
      <c r="H90" s="60"/>
      <c r="I90" s="60"/>
      <c r="J90" s="60"/>
      <c r="K90" s="60"/>
      <c r="L90" s="60"/>
      <c r="M90" s="60"/>
    </row>
    <row r="91" spans="1:13" ht="12.75">
      <c r="A91" s="60"/>
      <c r="B91" s="60"/>
      <c r="C91" s="60"/>
      <c r="D91" s="60"/>
      <c r="E91" s="60"/>
      <c r="F91" s="60"/>
      <c r="G91" s="60"/>
      <c r="H91" s="60"/>
      <c r="I91" s="60"/>
      <c r="J91" s="60"/>
      <c r="K91" s="60"/>
      <c r="L91" s="60"/>
      <c r="M91" s="60"/>
    </row>
    <row r="92" spans="1:13" ht="12.75">
      <c r="A92" s="60"/>
      <c r="B92" s="60"/>
      <c r="C92" s="60"/>
      <c r="D92" s="60"/>
      <c r="E92" s="60"/>
      <c r="F92" s="60"/>
      <c r="G92" s="60"/>
      <c r="H92" s="60"/>
      <c r="I92" s="60"/>
      <c r="J92" s="60"/>
      <c r="K92" s="60"/>
      <c r="L92" s="60"/>
      <c r="M92" s="60"/>
    </row>
    <row r="93" spans="1:13" ht="12.75">
      <c r="A93" s="60"/>
      <c r="B93" s="60"/>
      <c r="C93" s="60"/>
      <c r="D93" s="60"/>
      <c r="E93" s="60"/>
      <c r="F93" s="60"/>
      <c r="G93" s="60"/>
      <c r="H93" s="60"/>
      <c r="I93" s="60"/>
      <c r="J93" s="60"/>
      <c r="K93" s="60"/>
      <c r="L93" s="60"/>
      <c r="M93" s="60"/>
    </row>
    <row r="94" spans="1:13" ht="12.75">
      <c r="A94" s="60"/>
      <c r="B94" s="60"/>
      <c r="C94" s="60"/>
      <c r="D94" s="60"/>
      <c r="E94" s="60"/>
      <c r="F94" s="60"/>
      <c r="G94" s="60"/>
      <c r="H94" s="60"/>
      <c r="I94" s="60"/>
      <c r="J94" s="60"/>
      <c r="K94" s="60"/>
      <c r="L94" s="60"/>
      <c r="M94" s="60"/>
    </row>
    <row r="95" spans="1:13" ht="12.75">
      <c r="A95" s="60"/>
      <c r="B95" s="60"/>
      <c r="C95" s="60"/>
      <c r="D95" s="60"/>
      <c r="E95" s="60"/>
      <c r="F95" s="60"/>
      <c r="G95" s="60"/>
      <c r="H95" s="60"/>
      <c r="I95" s="60"/>
      <c r="J95" s="60"/>
      <c r="K95" s="60"/>
      <c r="L95" s="60"/>
      <c r="M95" s="60"/>
    </row>
    <row r="96" spans="1:13" ht="12.75">
      <c r="A96" s="60"/>
      <c r="B96" s="60"/>
      <c r="C96" s="60"/>
      <c r="D96" s="60"/>
      <c r="E96" s="60"/>
      <c r="F96" s="60"/>
      <c r="G96" s="60"/>
      <c r="H96" s="60"/>
      <c r="I96" s="60"/>
      <c r="J96" s="60"/>
      <c r="K96" s="60"/>
      <c r="L96" s="60"/>
      <c r="M96" s="60"/>
    </row>
    <row r="97" spans="1:13" ht="12.75">
      <c r="A97" s="60"/>
      <c r="B97" s="60"/>
      <c r="C97" s="60"/>
      <c r="D97" s="60"/>
      <c r="E97" s="60"/>
      <c r="F97" s="60"/>
      <c r="G97" s="60"/>
      <c r="H97" s="60"/>
      <c r="I97" s="60"/>
      <c r="J97" s="60"/>
      <c r="K97" s="60"/>
      <c r="L97" s="60"/>
      <c r="M97" s="60"/>
    </row>
    <row r="98" spans="1:13" ht="12.75">
      <c r="A98" s="60"/>
      <c r="B98" s="60"/>
      <c r="C98" s="60"/>
      <c r="D98" s="60"/>
      <c r="E98" s="60"/>
      <c r="F98" s="60"/>
      <c r="G98" s="60"/>
      <c r="H98" s="60"/>
      <c r="I98" s="60"/>
      <c r="J98" s="60"/>
      <c r="K98" s="60"/>
      <c r="L98" s="60"/>
      <c r="M98" s="60"/>
    </row>
    <row r="99" spans="1:13" ht="12.75">
      <c r="A99" s="60"/>
      <c r="B99" s="60"/>
      <c r="C99" s="60"/>
      <c r="D99" s="60"/>
      <c r="E99" s="60"/>
      <c r="F99" s="60"/>
      <c r="G99" s="60"/>
      <c r="H99" s="60"/>
      <c r="I99" s="60"/>
      <c r="J99" s="60"/>
      <c r="K99" s="60"/>
      <c r="L99" s="60"/>
      <c r="M99" s="60"/>
    </row>
    <row r="100" spans="1:13" ht="12.75">
      <c r="A100" s="60"/>
      <c r="B100" s="60"/>
      <c r="C100" s="60"/>
      <c r="D100" s="60"/>
      <c r="E100" s="60"/>
      <c r="F100" s="60"/>
      <c r="G100" s="60"/>
      <c r="H100" s="60"/>
      <c r="I100" s="60"/>
      <c r="J100" s="60"/>
      <c r="K100" s="60"/>
      <c r="L100" s="60"/>
      <c r="M100" s="60"/>
    </row>
    <row r="101" spans="1:13" ht="12.75">
      <c r="A101" s="60"/>
      <c r="B101" s="60"/>
      <c r="C101" s="60"/>
      <c r="D101" s="60"/>
      <c r="E101" s="60"/>
      <c r="F101" s="60"/>
      <c r="G101" s="60"/>
      <c r="H101" s="60"/>
      <c r="I101" s="60"/>
      <c r="J101" s="60"/>
      <c r="K101" s="60"/>
      <c r="L101" s="60"/>
      <c r="M101" s="60"/>
    </row>
    <row r="102" spans="1:13" ht="12.75">
      <c r="A102" s="60"/>
      <c r="B102" s="60"/>
      <c r="C102" s="60"/>
      <c r="D102" s="60"/>
      <c r="E102" s="60"/>
      <c r="F102" s="60"/>
      <c r="G102" s="60"/>
      <c r="H102" s="60"/>
      <c r="I102" s="60"/>
      <c r="J102" s="60"/>
      <c r="K102" s="60"/>
      <c r="L102" s="60"/>
      <c r="M102" s="60"/>
    </row>
  </sheetData>
  <sheetProtection/>
  <printOptions/>
  <pageMargins left="0.25" right="0.25" top="1" bottom="1" header="0.5" footer="0.5"/>
  <pageSetup fitToHeight="1" fitToWidth="1" horizontalDpi="600" verticalDpi="600" orientation="landscape" scale="80" r:id="rId1"/>
</worksheet>
</file>

<file path=xl/worksheets/sheet4.xml><?xml version="1.0" encoding="utf-8"?>
<worksheet xmlns="http://schemas.openxmlformats.org/spreadsheetml/2006/main" xmlns:r="http://schemas.openxmlformats.org/officeDocument/2006/relationships">
  <sheetPr>
    <pageSetUpPr fitToPage="1"/>
  </sheetPr>
  <dimension ref="A1:N121"/>
  <sheetViews>
    <sheetView showGridLines="0" zoomScalePageLayoutView="0" workbookViewId="0" topLeftCell="A1">
      <selection activeCell="G17" sqref="G17"/>
    </sheetView>
  </sheetViews>
  <sheetFormatPr defaultColWidth="9.140625" defaultRowHeight="12.75"/>
  <cols>
    <col min="2" max="2" width="3.7109375" style="0" customWidth="1"/>
    <col min="3" max="12" width="12.7109375" style="0" customWidth="1"/>
  </cols>
  <sheetData>
    <row r="1" spans="1:2" ht="12.75">
      <c r="A1" s="52" t="str">
        <f>"Commodity Pricing:  "&amp;TEXT(A7,"mmm-yy")&amp;" - "&amp;TEXT(A18,"mmm-yy")</f>
        <v>Commodity Pricing:  May-14 - Apr-15</v>
      </c>
      <c r="B1" s="53"/>
    </row>
    <row r="2" spans="1:2" ht="12.75">
      <c r="A2" s="54" t="s">
        <v>20</v>
      </c>
      <c r="B2" s="54"/>
    </row>
    <row r="3" spans="1:2" ht="12.75">
      <c r="A3" s="54"/>
      <c r="B3" s="54"/>
    </row>
    <row r="4" spans="2:13" ht="12.75">
      <c r="B4" s="64"/>
      <c r="C4" s="56" t="s">
        <v>21</v>
      </c>
      <c r="D4" s="56" t="s">
        <v>22</v>
      </c>
      <c r="E4" s="56" t="s">
        <v>55</v>
      </c>
      <c r="F4" s="56" t="s">
        <v>23</v>
      </c>
      <c r="G4" s="56" t="s">
        <v>24</v>
      </c>
      <c r="H4" s="56" t="s">
        <v>25</v>
      </c>
      <c r="I4" s="56" t="s">
        <v>26</v>
      </c>
      <c r="J4" s="56" t="s">
        <v>27</v>
      </c>
      <c r="K4" s="56" t="s">
        <v>28</v>
      </c>
      <c r="L4" s="56" t="s">
        <v>29</v>
      </c>
      <c r="M4" s="56"/>
    </row>
    <row r="5" spans="2:13" ht="12.75">
      <c r="B5" s="64"/>
      <c r="C5" s="107">
        <v>69</v>
      </c>
      <c r="D5" s="107">
        <v>71</v>
      </c>
      <c r="E5" s="107">
        <v>72</v>
      </c>
      <c r="F5" s="107">
        <v>67</v>
      </c>
      <c r="G5" s="107">
        <v>64</v>
      </c>
      <c r="H5" s="107">
        <v>74</v>
      </c>
      <c r="I5" s="107">
        <v>68</v>
      </c>
      <c r="J5" s="107">
        <v>68</v>
      </c>
      <c r="K5" s="107">
        <v>65</v>
      </c>
      <c r="L5" s="107">
        <v>73</v>
      </c>
      <c r="M5" s="64"/>
    </row>
    <row r="6" spans="2:13" ht="12.75">
      <c r="B6" s="64"/>
      <c r="C6" s="64"/>
      <c r="D6" s="64"/>
      <c r="E6" s="64"/>
      <c r="F6" s="64"/>
      <c r="G6" s="64"/>
      <c r="H6" s="64"/>
      <c r="I6" s="64"/>
      <c r="J6" s="64"/>
      <c r="K6" s="64"/>
      <c r="L6" s="64"/>
      <c r="M6" s="64"/>
    </row>
    <row r="7" spans="1:13" ht="12.75">
      <c r="A7" s="59">
        <f>+'Commodity Tonnages'!A7</f>
        <v>41760</v>
      </c>
      <c r="B7" s="64"/>
      <c r="C7" s="65">
        <f>HLOOKUP($A7,'Single Family'!$C$6:$N$79,C$5,FALSE)</f>
        <v>1078.01</v>
      </c>
      <c r="D7" s="69">
        <f>HLOOKUP($A7,'Single Family'!$C$6:$N$79,D$5,FALSE)</f>
        <v>-15.18</v>
      </c>
      <c r="E7" s="69">
        <f>HLOOKUP($A7,'Single Family'!$C$6:$N$79,E$5,FALSE)</f>
        <v>-120.17</v>
      </c>
      <c r="F7" s="65">
        <f>HLOOKUP($A7,'Single Family'!$C$6:$N$79,F$5,FALSE)</f>
        <v>80.19</v>
      </c>
      <c r="G7" s="65">
        <f>HLOOKUP($A7,'Single Family'!$C$6:$N$79,G$5,FALSE)</f>
        <v>75.1</v>
      </c>
      <c r="H7" s="65">
        <f>HLOOKUP($A7,'Single Family'!$C$6:$N$79,H$5,FALSE)</f>
        <v>70.07</v>
      </c>
      <c r="I7" s="65">
        <f>HLOOKUP($A7,'Single Family'!$C$6:$N$79,I$5,FALSE)</f>
        <v>189.1</v>
      </c>
      <c r="J7" s="65">
        <f>HLOOKUP($A7,'Single Family'!$C$6:$N$79,J$5,FALSE)</f>
        <v>189.1</v>
      </c>
      <c r="K7" s="65">
        <f>HLOOKUP($A7,'Single Family'!$C$6:$N$79,K$5,FALSE)</f>
        <v>99.53</v>
      </c>
      <c r="L7" s="69">
        <f>HLOOKUP($A7,'Single Family'!$C$6:$N$79,L$5,FALSE)</f>
        <v>-120.17</v>
      </c>
      <c r="M7" s="64"/>
    </row>
    <row r="8" spans="1:13" ht="12.75">
      <c r="A8" s="59">
        <f>+'Commodity Tonnages'!A8</f>
        <v>41820</v>
      </c>
      <c r="B8" s="64"/>
      <c r="C8" s="65">
        <f>HLOOKUP($A8,'Single Family'!$C$6:$N$79,C$5,FALSE)</f>
        <v>1048.72</v>
      </c>
      <c r="D8" s="69">
        <f>HLOOKUP($A8,'Single Family'!$C$6:$N$79,D$5,FALSE)</f>
        <v>-6.98</v>
      </c>
      <c r="E8" s="69">
        <f>HLOOKUP($A8,'Single Family'!$C$6:$N$79,E$5,FALSE)</f>
        <v>-120.17</v>
      </c>
      <c r="F8" s="65">
        <f>HLOOKUP($A8,'Single Family'!$C$6:$N$79,F$5,FALSE)</f>
        <v>74.19</v>
      </c>
      <c r="G8" s="65">
        <f>HLOOKUP($A8,'Single Family'!$C$6:$N$79,G$5,FALSE)</f>
        <v>73.85</v>
      </c>
      <c r="H8" s="65">
        <f>HLOOKUP($A8,'Single Family'!$C$6:$N$79,H$5,FALSE)</f>
        <v>68.36</v>
      </c>
      <c r="I8" s="65">
        <f>HLOOKUP($A8,'Single Family'!$C$6:$N$79,I$5,FALSE)</f>
        <v>190.61</v>
      </c>
      <c r="J8" s="65">
        <f>HLOOKUP($A8,'Single Family'!$C$6:$N$79,J$5,FALSE)</f>
        <v>190.61</v>
      </c>
      <c r="K8" s="65">
        <f>HLOOKUP($A8,'Single Family'!$C$6:$N$79,K$5,FALSE)</f>
        <v>95.65</v>
      </c>
      <c r="L8" s="69">
        <f>HLOOKUP($A8,'Single Family'!$C$6:$N$79,L$5,FALSE)</f>
        <v>-120.17</v>
      </c>
      <c r="M8" s="64"/>
    </row>
    <row r="9" spans="1:13" ht="12.75">
      <c r="A9" s="59">
        <f>+'Commodity Tonnages'!A9</f>
        <v>41851</v>
      </c>
      <c r="B9" s="60"/>
      <c r="C9" s="65">
        <f>HLOOKUP($A9,'Single Family'!$C$6:$N$79,C$5,FALSE)</f>
        <v>1082.54</v>
      </c>
      <c r="D9" s="69">
        <f>HLOOKUP($A9,'Single Family'!$C$6:$N$79,D$5,FALSE)</f>
        <v>-7.6</v>
      </c>
      <c r="E9" s="69">
        <f>HLOOKUP($A9,'Single Family'!$C$6:$N$79,E$5,FALSE)</f>
        <v>-120.71</v>
      </c>
      <c r="F9" s="65">
        <f>HLOOKUP($A9,'Single Family'!$C$6:$N$79,F$5,FALSE)</f>
        <v>73.75</v>
      </c>
      <c r="G9" s="65">
        <f>HLOOKUP($A9,'Single Family'!$C$6:$N$79,G$5,FALSE)</f>
        <v>74.45</v>
      </c>
      <c r="H9" s="65">
        <f>HLOOKUP($A9,'Single Family'!$C$6:$N$79,H$5,FALSE)</f>
        <v>68.42</v>
      </c>
      <c r="I9" s="65">
        <f>HLOOKUP($A9,'Single Family'!$C$6:$N$79,I$5,FALSE)</f>
        <v>213.81</v>
      </c>
      <c r="J9" s="65">
        <f>HLOOKUP($A9,'Single Family'!$C$6:$N$79,J$5,FALSE)</f>
        <v>213.81</v>
      </c>
      <c r="K9" s="65">
        <f>HLOOKUP($A9,'Single Family'!$C$6:$N$79,K$5,FALSE)</f>
        <v>101.64</v>
      </c>
      <c r="L9" s="69">
        <f>HLOOKUP($A9,'Single Family'!$C$6:$N$79,L$5,FALSE)</f>
        <v>-120.17</v>
      </c>
      <c r="M9" s="61"/>
    </row>
    <row r="10" spans="1:13" ht="12.75">
      <c r="A10" s="59">
        <f>+'Commodity Tonnages'!A10</f>
        <v>41882</v>
      </c>
      <c r="B10" s="60"/>
      <c r="C10" s="65">
        <f>HLOOKUP($A10,'Single Family'!$C$6:$N$79,C$5,FALSE)</f>
        <v>1138.19</v>
      </c>
      <c r="D10" s="69">
        <f>HLOOKUP($A10,'Single Family'!$C$6:$N$79,D$5,FALSE)</f>
        <v>-8.71</v>
      </c>
      <c r="E10" s="69">
        <f>HLOOKUP($A10,'Single Family'!$C$6:$N$79,E$5,FALSE)</f>
        <v>-120.17</v>
      </c>
      <c r="F10" s="65">
        <f>HLOOKUP($A10,'Single Family'!$C$6:$N$79,F$5,FALSE)</f>
        <v>73.26</v>
      </c>
      <c r="G10" s="65">
        <f>HLOOKUP($A10,'Single Family'!$C$6:$N$79,G$5,FALSE)</f>
        <v>73.7</v>
      </c>
      <c r="H10" s="65">
        <f>HLOOKUP($A10,'Single Family'!$C$6:$N$79,H$5,FALSE)</f>
        <v>68.02</v>
      </c>
      <c r="I10" s="65">
        <f>HLOOKUP($A10,'Single Family'!$C$6:$N$79,I$5,FALSE)</f>
        <v>216.37</v>
      </c>
      <c r="J10" s="65">
        <f>HLOOKUP($A10,'Single Family'!$C$6:$N$79,J$5,FALSE)</f>
        <v>216.37</v>
      </c>
      <c r="K10" s="65">
        <f>HLOOKUP($A10,'Single Family'!$C$6:$N$79,K$5,FALSE)</f>
        <v>98.99</v>
      </c>
      <c r="L10" s="69">
        <f>HLOOKUP($A10,'Single Family'!$C$6:$N$79,L$5,FALSE)</f>
        <v>-120.17</v>
      </c>
      <c r="M10" s="61"/>
    </row>
    <row r="11" spans="1:13" ht="12.75">
      <c r="A11" s="59">
        <f>+'Commodity Tonnages'!A11</f>
        <v>41912</v>
      </c>
      <c r="B11" s="60"/>
      <c r="C11" s="65">
        <f>HLOOKUP($A11,'Single Family'!$C$6:$N$79,C$5,FALSE)</f>
        <v>1150.8559999999998</v>
      </c>
      <c r="D11" s="69">
        <f>HLOOKUP($A11,'Single Family'!$C$6:$N$79,D$5,FALSE)</f>
        <v>2.6</v>
      </c>
      <c r="E11" s="69">
        <f>HLOOKUP($A11,'Single Family'!$C$6:$N$79,E$5,FALSE)</f>
        <v>-120.17</v>
      </c>
      <c r="F11" s="65">
        <f>HLOOKUP($A11,'Single Family'!$C$6:$N$79,F$5,FALSE)</f>
        <v>76.70599999999999</v>
      </c>
      <c r="G11" s="65">
        <f>HLOOKUP($A11,'Single Family'!$C$6:$N$79,G$5,FALSE)</f>
        <v>67.00399999999999</v>
      </c>
      <c r="H11" s="65">
        <f>HLOOKUP($A11,'Single Family'!$C$6:$N$79,H$5,FALSE)</f>
        <v>62.811</v>
      </c>
      <c r="I11" s="65">
        <f>HLOOKUP($A11,'Single Family'!$C$6:$N$79,I$5,FALSE)</f>
        <v>238.16799999999998</v>
      </c>
      <c r="J11" s="65">
        <f>HLOOKUP($A11,'Single Family'!$C$6:$N$79,J$5,FALSE)</f>
        <v>238.16799999999998</v>
      </c>
      <c r="K11" s="65">
        <f>HLOOKUP($A11,'Single Family'!$C$6:$N$79,K$5,FALSE)</f>
        <v>91.476</v>
      </c>
      <c r="L11" s="69">
        <f>HLOOKUP($A11,'Single Family'!$C$6:$N$79,L$5,FALSE)</f>
        <v>-120.17</v>
      </c>
      <c r="M11" s="61"/>
    </row>
    <row r="12" spans="1:13" ht="12.75">
      <c r="A12" s="59">
        <f>+'Commodity Tonnages'!A12</f>
        <v>41943</v>
      </c>
      <c r="B12" s="60"/>
      <c r="C12" s="65">
        <f>HLOOKUP($A12,'Single Family'!$C$6:$N$79,C$5,FALSE)</f>
        <v>1124.487</v>
      </c>
      <c r="D12" s="69">
        <f>HLOOKUP($A12,'Single Family'!$C$6:$N$79,D$5,FALSE)</f>
        <v>0.9939999999999999</v>
      </c>
      <c r="E12" s="69">
        <f>HLOOKUP($A12,'Single Family'!$C$6:$N$79,E$5,FALSE)</f>
        <v>-120.17</v>
      </c>
      <c r="F12" s="65">
        <f>HLOOKUP($A12,'Single Family'!$C$6:$N$79,F$5,FALSE)</f>
        <v>61.949999999999996</v>
      </c>
      <c r="G12" s="65">
        <f>HLOOKUP($A12,'Single Family'!$C$6:$N$79,G$5,FALSE)</f>
        <v>68.453</v>
      </c>
      <c r="H12" s="65">
        <f>HLOOKUP($A12,'Single Family'!$C$6:$N$79,H$5,FALSE)</f>
        <v>60.71799999999999</v>
      </c>
      <c r="I12" s="65">
        <f>HLOOKUP($A12,'Single Family'!$C$6:$N$79,I$5,FALSE)</f>
        <v>230.12499999999997</v>
      </c>
      <c r="J12" s="65">
        <f>HLOOKUP($A12,'Single Family'!$C$6:$N$79,J$5,FALSE)</f>
        <v>230.12499999999997</v>
      </c>
      <c r="K12" s="65">
        <f>HLOOKUP($A12,'Single Family'!$C$6:$N$79,K$5,FALSE)</f>
        <v>95.333</v>
      </c>
      <c r="L12" s="69">
        <f>HLOOKUP($A12,'Single Family'!$C$6:$N$79,L$5,FALSE)</f>
        <v>-120.17</v>
      </c>
      <c r="M12" s="61"/>
    </row>
    <row r="13" spans="1:13" ht="12.75">
      <c r="A13" s="59">
        <f>+'Commodity Tonnages'!A13</f>
        <v>41973</v>
      </c>
      <c r="B13" s="60"/>
      <c r="C13" s="65">
        <f>HLOOKUP($A13,'Single Family'!$C$6:$N$79,C$5,FALSE)</f>
        <v>1232</v>
      </c>
      <c r="D13" s="69">
        <f>HLOOKUP($A13,'Single Family'!$C$6:$N$79,D$5,FALSE)</f>
        <v>-2.9539999999999997</v>
      </c>
      <c r="E13" s="69">
        <f>HLOOKUP($A13,'Single Family'!$C$6:$N$79,E$5,FALSE)</f>
        <v>-120.17</v>
      </c>
      <c r="F13" s="65">
        <f>HLOOKUP($A13,'Single Family'!$C$6:$N$79,F$5,FALSE)</f>
        <v>52.857</v>
      </c>
      <c r="G13" s="65">
        <f>HLOOKUP($A13,'Single Family'!$C$6:$N$79,G$5,FALSE)</f>
        <v>63.75599999999999</v>
      </c>
      <c r="H13" s="65">
        <f>HLOOKUP($A13,'Single Family'!$C$6:$N$79,H$5,FALSE)</f>
        <v>56.370999999999995</v>
      </c>
      <c r="I13" s="65">
        <f>HLOOKUP($A13,'Single Family'!$C$6:$N$79,I$5,FALSE)</f>
        <v>209.377</v>
      </c>
      <c r="J13" s="65">
        <f>HLOOKUP($A13,'Single Family'!$C$6:$N$79,J$5,FALSE)</f>
        <v>209.377</v>
      </c>
      <c r="K13" s="65">
        <f>HLOOKUP($A13,'Single Family'!$C$6:$N$79,K$5,FALSE)</f>
        <v>93.1</v>
      </c>
      <c r="L13" s="69">
        <f>HLOOKUP($A13,'Single Family'!$C$6:$N$79,L$5,FALSE)</f>
        <v>-120.17</v>
      </c>
      <c r="M13" s="61"/>
    </row>
    <row r="14" spans="1:13" ht="12.75">
      <c r="A14" s="59">
        <f>+'Commodity Tonnages'!A14</f>
        <v>42004</v>
      </c>
      <c r="B14" s="60"/>
      <c r="C14" s="65">
        <f>HLOOKUP($A14,'Single Family'!$C$6:$N$79,C$5,FALSE)</f>
        <v>1190</v>
      </c>
      <c r="D14" s="69">
        <f>HLOOKUP($A14,'Single Family'!$C$6:$N$79,D$5,FALSE)</f>
        <v>-4.7669999999999995</v>
      </c>
      <c r="E14" s="69">
        <f>HLOOKUP($A14,'Single Family'!$C$6:$N$79,E$5,FALSE)</f>
        <v>-120.17</v>
      </c>
      <c r="F14" s="65">
        <f>HLOOKUP($A14,'Single Family'!$C$6:$N$79,F$5,FALSE)</f>
        <v>53.297999999999995</v>
      </c>
      <c r="G14" s="65">
        <f>HLOOKUP($A14,'Single Family'!$C$6:$N$79,G$5,FALSE)</f>
        <v>60.78099999999999</v>
      </c>
      <c r="H14" s="65">
        <f>HLOOKUP($A14,'Single Family'!$C$6:$N$79,H$5,FALSE)</f>
        <v>53.717999999999996</v>
      </c>
      <c r="I14" s="65">
        <f>HLOOKUP($A14,'Single Family'!$C$6:$N$79,I$5,FALSE)</f>
        <v>171.57</v>
      </c>
      <c r="J14" s="65">
        <f>HLOOKUP($A14,'Single Family'!$C$6:$N$79,J$5,FALSE)</f>
        <v>171.57</v>
      </c>
      <c r="K14" s="65">
        <f>HLOOKUP($A14,'Single Family'!$C$6:$N$79,K$5,FALSE)</f>
        <v>88.648</v>
      </c>
      <c r="L14" s="69">
        <f>HLOOKUP($A14,'Single Family'!$C$6:$N$79,L$5,FALSE)</f>
        <v>-120.17</v>
      </c>
      <c r="M14" s="61"/>
    </row>
    <row r="15" spans="1:13" ht="12.75">
      <c r="A15" s="59">
        <f>+'Commodity Tonnages'!A15</f>
        <v>42035</v>
      </c>
      <c r="B15" s="60"/>
      <c r="C15" s="65">
        <f>HLOOKUP($A15,'Single Family'!$C$6:$N$79,C$5,FALSE)</f>
        <v>1106</v>
      </c>
      <c r="D15" s="69">
        <f>HLOOKUP($A15,'Single Family'!$C$6:$N$79,D$5,FALSE)</f>
        <v>-3.9339999999999997</v>
      </c>
      <c r="E15" s="69">
        <f>HLOOKUP($A15,'Single Family'!$C$6:$N$79,E$5,FALSE)</f>
        <v>-120.17</v>
      </c>
      <c r="F15" s="65">
        <f>HLOOKUP($A15,'Single Family'!$C$6:$N$79,F$5,FALSE)</f>
        <v>53.025</v>
      </c>
      <c r="G15" s="65">
        <f>HLOOKUP($A15,'Single Family'!$C$6:$N$79,G$5,FALSE)</f>
        <v>59.101</v>
      </c>
      <c r="H15" s="65">
        <f>HLOOKUP($A15,'Single Family'!$C$6:$N$79,H$5,FALSE)</f>
        <v>53.25599999999999</v>
      </c>
      <c r="I15" s="65">
        <f>HLOOKUP($A15,'Single Family'!$C$6:$N$79,I$5,FALSE)</f>
        <v>130.49399999999997</v>
      </c>
      <c r="J15" s="65">
        <f>HLOOKUP($A15,'Single Family'!$C$6:$N$79,J$5,FALSE)</f>
        <v>130.49399999999997</v>
      </c>
      <c r="K15" s="65">
        <f>HLOOKUP($A15,'Single Family'!$C$6:$N$79,K$5,FALSE)</f>
        <v>85.645</v>
      </c>
      <c r="L15" s="69">
        <f>HLOOKUP($A15,'Single Family'!$C$6:$N$79,L$5,FALSE)</f>
        <v>-120.17</v>
      </c>
      <c r="M15" s="61"/>
    </row>
    <row r="16" spans="1:13" ht="12.75">
      <c r="A16" s="59">
        <f>+'Commodity Tonnages'!A16</f>
        <v>42063</v>
      </c>
      <c r="B16" s="60"/>
      <c r="C16" s="65">
        <f>HLOOKUP($A16,'Single Family'!$C$6:$N$79,C$5,FALSE)</f>
        <v>1095.4089999999999</v>
      </c>
      <c r="D16" s="69">
        <f>HLOOKUP($A16,'Single Family'!$C$6:$N$79,D$5,FALSE)</f>
        <v>-9.113999999999999</v>
      </c>
      <c r="E16" s="69">
        <f>HLOOKUP($A16,'Single Family'!$C$6:$N$79,E$5,FALSE)</f>
        <v>-120.17</v>
      </c>
      <c r="F16" s="65">
        <f>HLOOKUP($A16,'Single Family'!$C$6:$N$79,F$5,FALSE)</f>
        <v>39.095</v>
      </c>
      <c r="G16" s="65">
        <f>HLOOKUP($A16,'Single Family'!$C$6:$N$79,G$5,FALSE)</f>
        <v>58.51999999999999</v>
      </c>
      <c r="H16" s="65">
        <f>HLOOKUP($A16,'Single Family'!$C$6:$N$79,H$5,FALSE)</f>
        <v>51.967999999999996</v>
      </c>
      <c r="I16" s="65">
        <f>HLOOKUP($A16,'Single Family'!$C$6:$N$79,I$5,FALSE)</f>
        <v>104.237</v>
      </c>
      <c r="J16" s="65">
        <f>HLOOKUP($A16,'Single Family'!$C$6:$N$79,J$5,FALSE)</f>
        <v>104.237</v>
      </c>
      <c r="K16" s="65">
        <f>HLOOKUP($A16,'Single Family'!$C$6:$N$79,K$5,FALSE)</f>
        <v>73.444</v>
      </c>
      <c r="L16" s="69">
        <f>HLOOKUP($A16,'Single Family'!$C$6:$N$79,L$5,FALSE)</f>
        <v>-120.17</v>
      </c>
      <c r="M16" s="61"/>
    </row>
    <row r="17" spans="1:13" ht="12.75">
      <c r="A17" s="59">
        <f>+'Commodity Tonnages'!A17</f>
        <v>42094</v>
      </c>
      <c r="B17" s="60"/>
      <c r="C17" s="65">
        <f>HLOOKUP($A17,'Single Family'!$C$6:$N$79,C$5,FALSE)</f>
        <v>1041.194</v>
      </c>
      <c r="D17" s="69">
        <f>HLOOKUP($A17,'Single Family'!$C$6:$N$79,D$5,FALSE)</f>
        <v>-5.194</v>
      </c>
      <c r="E17" s="69">
        <f>HLOOKUP($A17,'Single Family'!$C$6:$N$79,E$5,FALSE)</f>
        <v>-120.17</v>
      </c>
      <c r="F17" s="65">
        <f>HLOOKUP($A17,'Single Family'!$C$6:$N$79,F$5,FALSE)</f>
        <v>39.753</v>
      </c>
      <c r="G17" s="65">
        <f>HLOOKUP($A17,'Single Family'!$C$6:$N$79,G$5,FALSE)</f>
        <v>59.919999999999995</v>
      </c>
      <c r="H17" s="65">
        <f>HLOOKUP($A17,'Single Family'!$C$6:$N$79,H$5,FALSE)</f>
        <v>56.06999999999999</v>
      </c>
      <c r="I17" s="65">
        <f>HLOOKUP($A17,'Single Family'!$C$6:$N$79,I$5,FALSE)</f>
        <v>119.26599999999999</v>
      </c>
      <c r="J17" s="65">
        <f>HLOOKUP($A17,'Single Family'!$C$6:$N$79,J$5,FALSE)</f>
        <v>119.26599999999999</v>
      </c>
      <c r="K17" s="65">
        <f>HLOOKUP($A17,'Single Family'!$C$6:$N$79,K$5,FALSE)</f>
        <v>71.743</v>
      </c>
      <c r="L17" s="69">
        <f>HLOOKUP($A17,'Single Family'!$C$6:$N$79,L$5,FALSE)</f>
        <v>-120.17</v>
      </c>
      <c r="M17" s="61"/>
    </row>
    <row r="18" spans="1:13" ht="12.75">
      <c r="A18" s="59">
        <f>+'Commodity Tonnages'!A18</f>
        <v>42124</v>
      </c>
      <c r="B18" s="60"/>
      <c r="C18" s="65">
        <f>HLOOKUP($A18,'Single Family'!$C$6:$N$79,C$5,FALSE)</f>
        <v>970.333</v>
      </c>
      <c r="D18" s="69">
        <f>HLOOKUP($A18,'Single Family'!$C$6:$N$79,D$5,FALSE)</f>
        <v>-13.93</v>
      </c>
      <c r="E18" s="69">
        <f>HLOOKUP($A18,'Single Family'!$C$6:$N$79,E$5,FALSE)</f>
        <v>-120.17</v>
      </c>
      <c r="F18" s="65">
        <f>HLOOKUP($A18,'Single Family'!$C$6:$N$79,F$5,FALSE)</f>
        <v>39.269999999999996</v>
      </c>
      <c r="G18" s="65">
        <f>HLOOKUP($A18,'Single Family'!$C$6:$N$79,G$5,FALSE)</f>
        <v>61.285</v>
      </c>
      <c r="H18" s="65">
        <f>HLOOKUP($A18,'Single Family'!$C$6:$N$79,H$5,FALSE)</f>
        <v>56.06999999999999</v>
      </c>
      <c r="I18" s="65">
        <f>HLOOKUP($A18,'Single Family'!$C$6:$N$79,I$5,FALSE)</f>
        <v>143.15699999999998</v>
      </c>
      <c r="J18" s="65">
        <f>HLOOKUP($A18,'Single Family'!$C$6:$N$79,J$5,FALSE)</f>
        <v>143.15699999999998</v>
      </c>
      <c r="K18" s="65">
        <f>HLOOKUP($A18,'Single Family'!$C$6:$N$79,K$5,FALSE)</f>
        <v>80.04499999999999</v>
      </c>
      <c r="L18" s="69">
        <f>HLOOKUP($A18,'Single Family'!$C$6:$N$79,L$5,FALSE)</f>
        <v>-120.17</v>
      </c>
      <c r="M18" s="61"/>
    </row>
    <row r="19" spans="1:13" ht="12.75">
      <c r="A19" s="60"/>
      <c r="B19" s="60"/>
      <c r="C19" s="61"/>
      <c r="D19" s="61"/>
      <c r="E19" s="61"/>
      <c r="F19" s="61"/>
      <c r="G19" s="61"/>
      <c r="H19" s="61"/>
      <c r="I19" s="61"/>
      <c r="J19" s="61"/>
      <c r="K19" s="61"/>
      <c r="L19" s="60"/>
      <c r="M19" s="61"/>
    </row>
    <row r="20" spans="1:14" ht="12.75">
      <c r="A20" s="63"/>
      <c r="B20" s="60"/>
      <c r="C20" s="61"/>
      <c r="D20" s="61"/>
      <c r="E20" s="61"/>
      <c r="F20" s="61"/>
      <c r="G20" s="61"/>
      <c r="H20" s="61"/>
      <c r="I20" s="61"/>
      <c r="J20" s="61"/>
      <c r="K20" s="61"/>
      <c r="L20" s="61"/>
      <c r="M20" s="61"/>
      <c r="N20" s="61" t="s">
        <v>31</v>
      </c>
    </row>
    <row r="21" spans="1:13" ht="12.75">
      <c r="A21" s="60"/>
      <c r="B21" s="60"/>
      <c r="C21" s="60"/>
      <c r="D21" s="60"/>
      <c r="E21" s="60"/>
      <c r="F21" s="60"/>
      <c r="G21" s="60"/>
      <c r="H21" s="60"/>
      <c r="I21" s="60"/>
      <c r="J21" s="60"/>
      <c r="K21" s="60"/>
      <c r="L21" s="60"/>
      <c r="M21" s="61"/>
    </row>
    <row r="22" spans="1:13" ht="12.75">
      <c r="A22" s="60"/>
      <c r="B22" s="60"/>
      <c r="C22" s="60"/>
      <c r="D22" s="60"/>
      <c r="E22" s="60"/>
      <c r="F22" s="60"/>
      <c r="G22" s="60"/>
      <c r="H22" s="60"/>
      <c r="I22" s="60"/>
      <c r="J22" s="60"/>
      <c r="K22" s="60"/>
      <c r="L22" s="60"/>
      <c r="M22" s="61"/>
    </row>
    <row r="23" spans="1:13" ht="12.75">
      <c r="A23" s="60"/>
      <c r="B23" s="60"/>
      <c r="C23" s="60"/>
      <c r="D23" s="60"/>
      <c r="E23" s="60"/>
      <c r="F23" s="60"/>
      <c r="G23" s="60"/>
      <c r="H23" s="60"/>
      <c r="I23" s="60"/>
      <c r="J23" s="60"/>
      <c r="K23" s="60"/>
      <c r="L23" s="60"/>
      <c r="M23" s="61"/>
    </row>
    <row r="24" spans="1:13" ht="12.75">
      <c r="A24" s="60"/>
      <c r="B24" s="60"/>
      <c r="C24" s="60"/>
      <c r="D24" s="60"/>
      <c r="E24" s="60"/>
      <c r="F24" s="60"/>
      <c r="G24" s="60"/>
      <c r="H24" s="60"/>
      <c r="I24" s="60"/>
      <c r="J24" s="60"/>
      <c r="K24" s="60"/>
      <c r="L24" s="60"/>
      <c r="M24" s="61"/>
    </row>
    <row r="25" spans="1:13" ht="12.75">
      <c r="A25" s="60"/>
      <c r="B25" s="60"/>
      <c r="C25" s="60"/>
      <c r="D25" s="60"/>
      <c r="E25" s="60"/>
      <c r="F25" s="60"/>
      <c r="G25" s="60"/>
      <c r="H25" s="60"/>
      <c r="I25" s="60"/>
      <c r="J25" s="60"/>
      <c r="K25" s="60"/>
      <c r="L25" s="60"/>
      <c r="M25" s="61"/>
    </row>
    <row r="26" spans="1:13" ht="12.75">
      <c r="A26" s="60"/>
      <c r="B26" s="60"/>
      <c r="C26" s="60"/>
      <c r="D26" s="60"/>
      <c r="E26" s="60"/>
      <c r="F26" s="60"/>
      <c r="G26" s="60"/>
      <c r="H26" s="60"/>
      <c r="I26" s="60"/>
      <c r="J26" s="60"/>
      <c r="K26" s="60"/>
      <c r="L26" s="60"/>
      <c r="M26" s="61"/>
    </row>
    <row r="27" spans="1:13" ht="12.75">
      <c r="A27" s="60"/>
      <c r="B27" s="60"/>
      <c r="C27" s="60"/>
      <c r="D27" s="60"/>
      <c r="E27" s="60"/>
      <c r="F27" s="60"/>
      <c r="G27" s="60"/>
      <c r="H27" s="60"/>
      <c r="I27" s="60"/>
      <c r="J27" s="60"/>
      <c r="K27" s="60"/>
      <c r="L27" s="60"/>
      <c r="M27" s="61"/>
    </row>
    <row r="28" spans="1:13" ht="12.75">
      <c r="A28" s="60"/>
      <c r="B28" s="60"/>
      <c r="C28" s="60"/>
      <c r="D28" s="60"/>
      <c r="E28" s="60"/>
      <c r="F28" s="60"/>
      <c r="G28" s="60"/>
      <c r="H28" s="60"/>
      <c r="I28" s="60"/>
      <c r="J28" s="60"/>
      <c r="K28" s="60"/>
      <c r="L28" s="60"/>
      <c r="M28" s="61"/>
    </row>
    <row r="29" spans="1:13" ht="12.75">
      <c r="A29" s="60"/>
      <c r="B29" s="60"/>
      <c r="C29" s="60"/>
      <c r="D29" s="60"/>
      <c r="E29" s="60"/>
      <c r="F29" s="60"/>
      <c r="G29" s="60"/>
      <c r="H29" s="60"/>
      <c r="I29" s="60"/>
      <c r="J29" s="60"/>
      <c r="K29" s="60"/>
      <c r="L29" s="60"/>
      <c r="M29" s="61"/>
    </row>
    <row r="30" spans="1:13" ht="12.75">
      <c r="A30" s="60"/>
      <c r="B30" s="60"/>
      <c r="C30" s="60"/>
      <c r="D30" s="60"/>
      <c r="E30" s="60"/>
      <c r="F30" s="60"/>
      <c r="G30" s="60"/>
      <c r="H30" s="60"/>
      <c r="I30" s="60"/>
      <c r="J30" s="60"/>
      <c r="K30" s="60"/>
      <c r="L30" s="60"/>
      <c r="M30" s="61"/>
    </row>
    <row r="31" spans="1:13" ht="12.75">
      <c r="A31" s="60"/>
      <c r="B31" s="60"/>
      <c r="C31" s="60"/>
      <c r="D31" s="60"/>
      <c r="E31" s="60"/>
      <c r="F31" s="60"/>
      <c r="G31" s="60"/>
      <c r="H31" s="60"/>
      <c r="I31" s="60"/>
      <c r="J31" s="60"/>
      <c r="K31" s="60"/>
      <c r="L31" s="60"/>
      <c r="M31" s="60"/>
    </row>
    <row r="32" spans="1:13" ht="12.75">
      <c r="A32" s="60"/>
      <c r="B32" s="60"/>
      <c r="C32" s="60"/>
      <c r="D32" s="60"/>
      <c r="E32" s="60"/>
      <c r="F32" s="60"/>
      <c r="G32" s="60"/>
      <c r="H32" s="60"/>
      <c r="I32" s="60"/>
      <c r="J32" s="60"/>
      <c r="K32" s="60"/>
      <c r="L32" s="60"/>
      <c r="M32" s="60"/>
    </row>
    <row r="33" spans="1:13" ht="12.75">
      <c r="A33" s="60"/>
      <c r="B33" s="60"/>
      <c r="C33" s="60"/>
      <c r="D33" s="60"/>
      <c r="E33" s="60"/>
      <c r="F33" s="60"/>
      <c r="G33" s="60"/>
      <c r="H33" s="60"/>
      <c r="I33" s="60"/>
      <c r="J33" s="60"/>
      <c r="K33" s="60"/>
      <c r="L33" s="60"/>
      <c r="M33" s="60"/>
    </row>
    <row r="34" spans="1:13" ht="12.75">
      <c r="A34" s="60"/>
      <c r="B34" s="60"/>
      <c r="C34" s="60"/>
      <c r="D34" s="60"/>
      <c r="E34" s="60"/>
      <c r="F34" s="60"/>
      <c r="G34" s="60"/>
      <c r="H34" s="60"/>
      <c r="I34" s="60"/>
      <c r="J34" s="60"/>
      <c r="K34" s="60"/>
      <c r="L34" s="60"/>
      <c r="M34" s="60"/>
    </row>
    <row r="35" spans="1:13" ht="12.75">
      <c r="A35" s="60"/>
      <c r="B35" s="60"/>
      <c r="C35" s="60"/>
      <c r="D35" s="60"/>
      <c r="E35" s="60"/>
      <c r="F35" s="60"/>
      <c r="G35" s="60"/>
      <c r="H35" s="60"/>
      <c r="I35" s="60"/>
      <c r="J35" s="60"/>
      <c r="K35" s="60"/>
      <c r="L35" s="60"/>
      <c r="M35" s="60"/>
    </row>
    <row r="36" spans="1:13" ht="12.75">
      <c r="A36" s="60"/>
      <c r="B36" s="60"/>
      <c r="C36" s="60"/>
      <c r="D36" s="60"/>
      <c r="E36" s="60"/>
      <c r="F36" s="60"/>
      <c r="G36" s="60"/>
      <c r="H36" s="60"/>
      <c r="I36" s="60"/>
      <c r="J36" s="60"/>
      <c r="K36" s="60"/>
      <c r="L36" s="60"/>
      <c r="M36" s="60"/>
    </row>
    <row r="37" spans="1:13" ht="12.75">
      <c r="A37" s="60"/>
      <c r="B37" s="60"/>
      <c r="C37" s="60"/>
      <c r="D37" s="60"/>
      <c r="E37" s="60"/>
      <c r="F37" s="60"/>
      <c r="G37" s="60"/>
      <c r="H37" s="60"/>
      <c r="I37" s="60"/>
      <c r="J37" s="60"/>
      <c r="K37" s="60"/>
      <c r="L37" s="60"/>
      <c r="M37" s="60"/>
    </row>
    <row r="38" spans="1:13" ht="12.75">
      <c r="A38" s="60"/>
      <c r="B38" s="60"/>
      <c r="C38" s="60"/>
      <c r="D38" s="60"/>
      <c r="E38" s="60"/>
      <c r="F38" s="60"/>
      <c r="G38" s="60"/>
      <c r="H38" s="60"/>
      <c r="I38" s="60"/>
      <c r="J38" s="60"/>
      <c r="K38" s="60"/>
      <c r="L38" s="60"/>
      <c r="M38" s="60"/>
    </row>
    <row r="39" spans="1:13" ht="12.75">
      <c r="A39" s="60"/>
      <c r="B39" s="60"/>
      <c r="C39" s="60"/>
      <c r="D39" s="60"/>
      <c r="E39" s="60"/>
      <c r="F39" s="60"/>
      <c r="G39" s="60"/>
      <c r="H39" s="60"/>
      <c r="I39" s="60"/>
      <c r="J39" s="60"/>
      <c r="K39" s="60"/>
      <c r="L39" s="60"/>
      <c r="M39" s="60"/>
    </row>
    <row r="40" spans="1:13" ht="12.75">
      <c r="A40" s="60"/>
      <c r="B40" s="60"/>
      <c r="C40" s="60"/>
      <c r="D40" s="60"/>
      <c r="E40" s="60"/>
      <c r="F40" s="60"/>
      <c r="G40" s="60"/>
      <c r="H40" s="60"/>
      <c r="I40" s="60"/>
      <c r="J40" s="60"/>
      <c r="K40" s="60"/>
      <c r="L40" s="60"/>
      <c r="M40" s="60"/>
    </row>
    <row r="41" spans="1:13" ht="12.75">
      <c r="A41" s="60"/>
      <c r="B41" s="60"/>
      <c r="C41" s="60"/>
      <c r="D41" s="60"/>
      <c r="E41" s="60"/>
      <c r="F41" s="60"/>
      <c r="G41" s="60"/>
      <c r="H41" s="60"/>
      <c r="I41" s="60"/>
      <c r="J41" s="60"/>
      <c r="K41" s="60"/>
      <c r="L41" s="60"/>
      <c r="M41" s="60"/>
    </row>
    <row r="42" spans="1:13" ht="12.75">
      <c r="A42" s="60"/>
      <c r="B42" s="60"/>
      <c r="C42" s="60"/>
      <c r="D42" s="60"/>
      <c r="E42" s="60"/>
      <c r="F42" s="60"/>
      <c r="G42" s="60"/>
      <c r="H42" s="60"/>
      <c r="I42" s="60"/>
      <c r="J42" s="60"/>
      <c r="K42" s="60"/>
      <c r="L42" s="60"/>
      <c r="M42" s="60"/>
    </row>
    <row r="43" spans="1:13" ht="12.75">
      <c r="A43" s="60"/>
      <c r="B43" s="60"/>
      <c r="C43" s="60"/>
      <c r="D43" s="60"/>
      <c r="E43" s="60"/>
      <c r="F43" s="60"/>
      <c r="G43" s="60"/>
      <c r="H43" s="60"/>
      <c r="I43" s="60"/>
      <c r="J43" s="60"/>
      <c r="K43" s="60"/>
      <c r="L43" s="60"/>
      <c r="M43" s="60"/>
    </row>
    <row r="44" spans="1:13" ht="12.75">
      <c r="A44" s="60"/>
      <c r="B44" s="60"/>
      <c r="C44" s="60"/>
      <c r="D44" s="60"/>
      <c r="E44" s="60"/>
      <c r="F44" s="60"/>
      <c r="G44" s="60"/>
      <c r="H44" s="60"/>
      <c r="I44" s="60"/>
      <c r="J44" s="60"/>
      <c r="K44" s="60"/>
      <c r="L44" s="60"/>
      <c r="M44" s="60"/>
    </row>
    <row r="45" spans="1:13" ht="12.75">
      <c r="A45" s="60"/>
      <c r="B45" s="60"/>
      <c r="C45" s="60"/>
      <c r="D45" s="60"/>
      <c r="E45" s="60"/>
      <c r="F45" s="60"/>
      <c r="G45" s="60"/>
      <c r="H45" s="60"/>
      <c r="I45" s="60"/>
      <c r="J45" s="60"/>
      <c r="K45" s="60"/>
      <c r="L45" s="60"/>
      <c r="M45" s="60"/>
    </row>
    <row r="46" spans="1:13" ht="12.75">
      <c r="A46" s="60"/>
      <c r="B46" s="60"/>
      <c r="C46" s="60"/>
      <c r="D46" s="60"/>
      <c r="E46" s="60"/>
      <c r="F46" s="60"/>
      <c r="G46" s="60"/>
      <c r="H46" s="60"/>
      <c r="I46" s="60"/>
      <c r="J46" s="60"/>
      <c r="K46" s="60"/>
      <c r="L46" s="60"/>
      <c r="M46" s="60"/>
    </row>
    <row r="47" spans="1:13" ht="12.75">
      <c r="A47" s="60"/>
      <c r="B47" s="60"/>
      <c r="C47" s="60"/>
      <c r="D47" s="60"/>
      <c r="E47" s="60"/>
      <c r="F47" s="60"/>
      <c r="G47" s="60"/>
      <c r="H47" s="60"/>
      <c r="I47" s="60"/>
      <c r="J47" s="60"/>
      <c r="K47" s="60"/>
      <c r="L47" s="60"/>
      <c r="M47" s="60"/>
    </row>
    <row r="48" spans="1:13" ht="12.75">
      <c r="A48" s="60"/>
      <c r="B48" s="60"/>
      <c r="C48" s="60"/>
      <c r="D48" s="60"/>
      <c r="E48" s="60"/>
      <c r="F48" s="60"/>
      <c r="G48" s="60"/>
      <c r="H48" s="60"/>
      <c r="I48" s="60"/>
      <c r="J48" s="60"/>
      <c r="K48" s="60"/>
      <c r="L48" s="60"/>
      <c r="M48" s="60"/>
    </row>
    <row r="49" spans="1:13" ht="12.75">
      <c r="A49" s="60"/>
      <c r="B49" s="60"/>
      <c r="C49" s="60"/>
      <c r="D49" s="60"/>
      <c r="E49" s="60"/>
      <c r="F49" s="60"/>
      <c r="G49" s="60"/>
      <c r="H49" s="60"/>
      <c r="I49" s="60"/>
      <c r="J49" s="60"/>
      <c r="K49" s="60"/>
      <c r="L49" s="60"/>
      <c r="M49" s="60"/>
    </row>
    <row r="50" spans="1:13" ht="12.75">
      <c r="A50" s="60"/>
      <c r="B50" s="60"/>
      <c r="C50" s="60"/>
      <c r="D50" s="60"/>
      <c r="E50" s="60"/>
      <c r="F50" s="60"/>
      <c r="G50" s="60"/>
      <c r="H50" s="60"/>
      <c r="I50" s="60"/>
      <c r="J50" s="60"/>
      <c r="K50" s="60"/>
      <c r="L50" s="60"/>
      <c r="M50" s="60"/>
    </row>
    <row r="51" spans="1:13" ht="12.75">
      <c r="A51" s="60"/>
      <c r="B51" s="60"/>
      <c r="C51" s="60"/>
      <c r="D51" s="60"/>
      <c r="E51" s="60"/>
      <c r="F51" s="60"/>
      <c r="G51" s="60"/>
      <c r="H51" s="60"/>
      <c r="I51" s="60"/>
      <c r="J51" s="60"/>
      <c r="K51" s="60"/>
      <c r="L51" s="60"/>
      <c r="M51" s="60"/>
    </row>
    <row r="52" spans="1:13" ht="12.75">
      <c r="A52" s="60"/>
      <c r="B52" s="60"/>
      <c r="C52" s="60"/>
      <c r="D52" s="60"/>
      <c r="E52" s="60"/>
      <c r="F52" s="60"/>
      <c r="G52" s="60"/>
      <c r="H52" s="60"/>
      <c r="I52" s="60"/>
      <c r="J52" s="60"/>
      <c r="K52" s="60"/>
      <c r="L52" s="60"/>
      <c r="M52" s="60"/>
    </row>
    <row r="53" spans="1:13" ht="12.75">
      <c r="A53" s="60"/>
      <c r="B53" s="60"/>
      <c r="C53" s="60"/>
      <c r="D53" s="60"/>
      <c r="E53" s="60"/>
      <c r="F53" s="60"/>
      <c r="G53" s="60"/>
      <c r="H53" s="60"/>
      <c r="I53" s="60"/>
      <c r="J53" s="60"/>
      <c r="K53" s="60"/>
      <c r="L53" s="60"/>
      <c r="M53" s="60"/>
    </row>
    <row r="54" spans="1:13" ht="12.75">
      <c r="A54" s="60"/>
      <c r="B54" s="60"/>
      <c r="C54" s="60"/>
      <c r="D54" s="60"/>
      <c r="E54" s="60"/>
      <c r="F54" s="60"/>
      <c r="G54" s="60"/>
      <c r="H54" s="60"/>
      <c r="I54" s="60"/>
      <c r="J54" s="60"/>
      <c r="K54" s="60"/>
      <c r="L54" s="60"/>
      <c r="M54" s="60"/>
    </row>
    <row r="55" spans="1:13" ht="12.75">
      <c r="A55" s="60"/>
      <c r="B55" s="60"/>
      <c r="C55" s="60"/>
      <c r="D55" s="60"/>
      <c r="E55" s="60"/>
      <c r="F55" s="60"/>
      <c r="G55" s="60"/>
      <c r="H55" s="60"/>
      <c r="I55" s="60"/>
      <c r="J55" s="60"/>
      <c r="K55" s="60"/>
      <c r="L55" s="60"/>
      <c r="M55" s="60"/>
    </row>
    <row r="56" spans="1:13" ht="12.75">
      <c r="A56" s="60"/>
      <c r="B56" s="60"/>
      <c r="C56" s="60"/>
      <c r="D56" s="60"/>
      <c r="E56" s="60"/>
      <c r="F56" s="60"/>
      <c r="G56" s="60"/>
      <c r="H56" s="60"/>
      <c r="I56" s="60"/>
      <c r="J56" s="60"/>
      <c r="K56" s="60"/>
      <c r="L56" s="60"/>
      <c r="M56" s="60"/>
    </row>
    <row r="57" spans="1:13" ht="12.75">
      <c r="A57" s="60"/>
      <c r="B57" s="60"/>
      <c r="C57" s="60"/>
      <c r="D57" s="60"/>
      <c r="E57" s="60"/>
      <c r="F57" s="60"/>
      <c r="G57" s="60"/>
      <c r="H57" s="60"/>
      <c r="I57" s="60"/>
      <c r="J57" s="60"/>
      <c r="K57" s="60"/>
      <c r="L57" s="60"/>
      <c r="M57" s="60"/>
    </row>
    <row r="58" spans="1:13" ht="12.75">
      <c r="A58" s="60"/>
      <c r="B58" s="60"/>
      <c r="C58" s="60"/>
      <c r="D58" s="60"/>
      <c r="E58" s="60"/>
      <c r="F58" s="60"/>
      <c r="G58" s="60"/>
      <c r="H58" s="60"/>
      <c r="I58" s="60"/>
      <c r="J58" s="60"/>
      <c r="K58" s="60"/>
      <c r="L58" s="60"/>
      <c r="M58" s="60"/>
    </row>
    <row r="59" spans="1:13" ht="12.75">
      <c r="A59" s="60"/>
      <c r="B59" s="60"/>
      <c r="C59" s="60"/>
      <c r="D59" s="60"/>
      <c r="E59" s="60"/>
      <c r="F59" s="60"/>
      <c r="G59" s="60"/>
      <c r="H59" s="60"/>
      <c r="I59" s="60"/>
      <c r="J59" s="60"/>
      <c r="K59" s="60"/>
      <c r="L59" s="60"/>
      <c r="M59" s="60"/>
    </row>
    <row r="60" spans="1:13" ht="12.75">
      <c r="A60" s="60"/>
      <c r="B60" s="60"/>
      <c r="C60" s="60"/>
      <c r="D60" s="60"/>
      <c r="E60" s="60"/>
      <c r="F60" s="60"/>
      <c r="G60" s="60"/>
      <c r="H60" s="60"/>
      <c r="I60" s="60"/>
      <c r="J60" s="60"/>
      <c r="K60" s="60"/>
      <c r="L60" s="60"/>
      <c r="M60" s="60"/>
    </row>
    <row r="61" spans="1:13" ht="12.75">
      <c r="A61" s="60"/>
      <c r="B61" s="60"/>
      <c r="C61" s="60"/>
      <c r="D61" s="60"/>
      <c r="E61" s="60"/>
      <c r="F61" s="60"/>
      <c r="G61" s="60"/>
      <c r="H61" s="60"/>
      <c r="I61" s="60"/>
      <c r="J61" s="60"/>
      <c r="K61" s="60"/>
      <c r="L61" s="60"/>
      <c r="M61" s="60"/>
    </row>
    <row r="62" spans="1:13" ht="12.75">
      <c r="A62" s="60"/>
      <c r="B62" s="60"/>
      <c r="C62" s="60"/>
      <c r="D62" s="60"/>
      <c r="E62" s="60"/>
      <c r="F62" s="60"/>
      <c r="G62" s="60"/>
      <c r="H62" s="60"/>
      <c r="I62" s="60"/>
      <c r="J62" s="60"/>
      <c r="K62" s="60"/>
      <c r="L62" s="60"/>
      <c r="M62" s="60"/>
    </row>
    <row r="63" spans="1:13" ht="12.75">
      <c r="A63" s="60"/>
      <c r="B63" s="60"/>
      <c r="C63" s="60"/>
      <c r="D63" s="60"/>
      <c r="E63" s="60"/>
      <c r="F63" s="60"/>
      <c r="G63" s="60"/>
      <c r="H63" s="60"/>
      <c r="I63" s="60"/>
      <c r="J63" s="60"/>
      <c r="K63" s="60"/>
      <c r="L63" s="60"/>
      <c r="M63" s="60"/>
    </row>
    <row r="64" spans="1:13" ht="12.75">
      <c r="A64" s="60"/>
      <c r="B64" s="60"/>
      <c r="C64" s="60"/>
      <c r="D64" s="60"/>
      <c r="E64" s="60"/>
      <c r="F64" s="60"/>
      <c r="G64" s="60"/>
      <c r="H64" s="60"/>
      <c r="I64" s="60"/>
      <c r="J64" s="60"/>
      <c r="K64" s="60"/>
      <c r="L64" s="60"/>
      <c r="M64" s="60"/>
    </row>
    <row r="65" spans="1:13" ht="12.75">
      <c r="A65" s="60"/>
      <c r="B65" s="60"/>
      <c r="C65" s="60"/>
      <c r="D65" s="60"/>
      <c r="E65" s="60"/>
      <c r="F65" s="60"/>
      <c r="G65" s="60"/>
      <c r="H65" s="60"/>
      <c r="I65" s="60"/>
      <c r="J65" s="60"/>
      <c r="K65" s="60"/>
      <c r="L65" s="60"/>
      <c r="M65" s="60"/>
    </row>
    <row r="66" spans="1:13" ht="12.75">
      <c r="A66" s="60"/>
      <c r="B66" s="60"/>
      <c r="C66" s="60"/>
      <c r="D66" s="60"/>
      <c r="E66" s="60"/>
      <c r="F66" s="60"/>
      <c r="G66" s="60"/>
      <c r="H66" s="60"/>
      <c r="I66" s="60"/>
      <c r="J66" s="60"/>
      <c r="K66" s="60"/>
      <c r="L66" s="60"/>
      <c r="M66" s="60"/>
    </row>
    <row r="67" spans="1:13" ht="12.75">
      <c r="A67" s="60"/>
      <c r="B67" s="60"/>
      <c r="C67" s="60"/>
      <c r="D67" s="60"/>
      <c r="E67" s="60"/>
      <c r="F67" s="60"/>
      <c r="G67" s="60"/>
      <c r="H67" s="60"/>
      <c r="I67" s="60"/>
      <c r="J67" s="60"/>
      <c r="K67" s="60"/>
      <c r="L67" s="60"/>
      <c r="M67" s="60"/>
    </row>
    <row r="68" spans="1:13" ht="12.75">
      <c r="A68" s="60"/>
      <c r="B68" s="60"/>
      <c r="C68" s="60"/>
      <c r="D68" s="60"/>
      <c r="E68" s="60"/>
      <c r="F68" s="60"/>
      <c r="G68" s="60"/>
      <c r="H68" s="60"/>
      <c r="I68" s="60"/>
      <c r="J68" s="60"/>
      <c r="K68" s="60"/>
      <c r="L68" s="60"/>
      <c r="M68" s="60"/>
    </row>
    <row r="69" spans="1:13" ht="12.75">
      <c r="A69" s="60"/>
      <c r="B69" s="60"/>
      <c r="C69" s="60"/>
      <c r="D69" s="60"/>
      <c r="E69" s="60"/>
      <c r="F69" s="60"/>
      <c r="G69" s="60"/>
      <c r="H69" s="60"/>
      <c r="I69" s="60"/>
      <c r="J69" s="60"/>
      <c r="K69" s="60"/>
      <c r="L69" s="60"/>
      <c r="M69" s="60"/>
    </row>
    <row r="70" spans="1:13" ht="12.75">
      <c r="A70" s="60"/>
      <c r="B70" s="60"/>
      <c r="C70" s="60"/>
      <c r="D70" s="60"/>
      <c r="E70" s="60"/>
      <c r="F70" s="60"/>
      <c r="G70" s="60"/>
      <c r="H70" s="60"/>
      <c r="I70" s="60"/>
      <c r="J70" s="60"/>
      <c r="K70" s="60"/>
      <c r="L70" s="60"/>
      <c r="M70" s="60"/>
    </row>
    <row r="71" spans="1:13" ht="12.75">
      <c r="A71" s="60"/>
      <c r="B71" s="60"/>
      <c r="C71" s="60"/>
      <c r="D71" s="60"/>
      <c r="E71" s="60"/>
      <c r="F71" s="60"/>
      <c r="G71" s="60"/>
      <c r="H71" s="60"/>
      <c r="I71" s="60"/>
      <c r="J71" s="60"/>
      <c r="K71" s="60"/>
      <c r="L71" s="60"/>
      <c r="M71" s="60"/>
    </row>
    <row r="72" spans="1:13" ht="12.75">
      <c r="A72" s="60"/>
      <c r="B72" s="60"/>
      <c r="C72" s="60"/>
      <c r="D72" s="60"/>
      <c r="E72" s="60"/>
      <c r="F72" s="60"/>
      <c r="G72" s="60"/>
      <c r="H72" s="60"/>
      <c r="I72" s="60"/>
      <c r="J72" s="60"/>
      <c r="K72" s="60"/>
      <c r="L72" s="60"/>
      <c r="M72" s="60"/>
    </row>
    <row r="73" spans="1:13" ht="12.75">
      <c r="A73" s="60"/>
      <c r="B73" s="60"/>
      <c r="C73" s="60"/>
      <c r="D73" s="60"/>
      <c r="E73" s="60"/>
      <c r="F73" s="60"/>
      <c r="G73" s="60"/>
      <c r="H73" s="60"/>
      <c r="I73" s="60"/>
      <c r="J73" s="60"/>
      <c r="K73" s="60"/>
      <c r="L73" s="60"/>
      <c r="M73" s="60"/>
    </row>
    <row r="74" spans="1:13" ht="12.75">
      <c r="A74" s="60"/>
      <c r="B74" s="60"/>
      <c r="C74" s="60"/>
      <c r="D74" s="60"/>
      <c r="E74" s="60"/>
      <c r="F74" s="60"/>
      <c r="G74" s="60"/>
      <c r="H74" s="60"/>
      <c r="I74" s="60"/>
      <c r="J74" s="60"/>
      <c r="K74" s="60"/>
      <c r="L74" s="60"/>
      <c r="M74" s="60"/>
    </row>
    <row r="75" spans="1:13" ht="12.75">
      <c r="A75" s="60"/>
      <c r="B75" s="60"/>
      <c r="C75" s="60"/>
      <c r="D75" s="60"/>
      <c r="E75" s="60"/>
      <c r="F75" s="60"/>
      <c r="G75" s="60"/>
      <c r="H75" s="60"/>
      <c r="I75" s="60"/>
      <c r="J75" s="60"/>
      <c r="K75" s="60"/>
      <c r="L75" s="60"/>
      <c r="M75" s="60"/>
    </row>
    <row r="76" spans="1:13" ht="12.75">
      <c r="A76" s="60"/>
      <c r="B76" s="60"/>
      <c r="C76" s="60"/>
      <c r="D76" s="60"/>
      <c r="E76" s="60"/>
      <c r="F76" s="60"/>
      <c r="G76" s="60"/>
      <c r="H76" s="60"/>
      <c r="I76" s="60"/>
      <c r="J76" s="60"/>
      <c r="K76" s="60"/>
      <c r="L76" s="60"/>
      <c r="M76" s="60"/>
    </row>
    <row r="77" spans="1:13" ht="12.75">
      <c r="A77" s="60"/>
      <c r="B77" s="60"/>
      <c r="C77" s="60"/>
      <c r="D77" s="60"/>
      <c r="E77" s="60"/>
      <c r="F77" s="60"/>
      <c r="G77" s="60"/>
      <c r="H77" s="60"/>
      <c r="I77" s="60"/>
      <c r="J77" s="60"/>
      <c r="K77" s="60"/>
      <c r="L77" s="60"/>
      <c r="M77" s="60"/>
    </row>
    <row r="78" spans="1:13" ht="12.75">
      <c r="A78" s="60"/>
      <c r="B78" s="60"/>
      <c r="C78" s="60"/>
      <c r="D78" s="60"/>
      <c r="E78" s="60"/>
      <c r="F78" s="60"/>
      <c r="G78" s="60"/>
      <c r="H78" s="60"/>
      <c r="I78" s="60"/>
      <c r="J78" s="60"/>
      <c r="K78" s="60"/>
      <c r="L78" s="60"/>
      <c r="M78" s="60"/>
    </row>
    <row r="79" spans="1:13" ht="12.75">
      <c r="A79" s="60"/>
      <c r="B79" s="60"/>
      <c r="C79" s="60"/>
      <c r="D79" s="60"/>
      <c r="E79" s="60"/>
      <c r="F79" s="60"/>
      <c r="G79" s="60"/>
      <c r="H79" s="60"/>
      <c r="I79" s="60"/>
      <c r="J79" s="60"/>
      <c r="K79" s="60"/>
      <c r="L79" s="60"/>
      <c r="M79" s="60"/>
    </row>
    <row r="80" spans="1:13" ht="12.75">
      <c r="A80" s="60"/>
      <c r="B80" s="60"/>
      <c r="C80" s="60"/>
      <c r="D80" s="60"/>
      <c r="E80" s="60"/>
      <c r="F80" s="60"/>
      <c r="G80" s="60"/>
      <c r="H80" s="60"/>
      <c r="I80" s="60"/>
      <c r="J80" s="60"/>
      <c r="K80" s="60"/>
      <c r="L80" s="60"/>
      <c r="M80" s="60"/>
    </row>
    <row r="81" spans="1:13" ht="12.75">
      <c r="A81" s="60"/>
      <c r="B81" s="60"/>
      <c r="C81" s="60"/>
      <c r="D81" s="60"/>
      <c r="E81" s="60"/>
      <c r="F81" s="60"/>
      <c r="G81" s="60"/>
      <c r="H81" s="60"/>
      <c r="I81" s="60"/>
      <c r="J81" s="60"/>
      <c r="K81" s="60"/>
      <c r="L81" s="60"/>
      <c r="M81" s="60"/>
    </row>
    <row r="82" spans="1:13" ht="12.75">
      <c r="A82" s="60"/>
      <c r="B82" s="60"/>
      <c r="C82" s="60"/>
      <c r="D82" s="60"/>
      <c r="E82" s="60"/>
      <c r="F82" s="60"/>
      <c r="G82" s="60"/>
      <c r="H82" s="60"/>
      <c r="I82" s="60"/>
      <c r="J82" s="60"/>
      <c r="K82" s="60"/>
      <c r="L82" s="60"/>
      <c r="M82" s="60"/>
    </row>
    <row r="83" spans="1:13" ht="12.75">
      <c r="A83" s="60"/>
      <c r="B83" s="60"/>
      <c r="C83" s="60"/>
      <c r="D83" s="60"/>
      <c r="E83" s="60"/>
      <c r="F83" s="60"/>
      <c r="G83" s="60"/>
      <c r="H83" s="60"/>
      <c r="I83" s="60"/>
      <c r="J83" s="60"/>
      <c r="K83" s="60"/>
      <c r="L83" s="60"/>
      <c r="M83" s="60"/>
    </row>
    <row r="84" spans="1:13" ht="12.75">
      <c r="A84" s="60"/>
      <c r="B84" s="60"/>
      <c r="C84" s="60"/>
      <c r="D84" s="60"/>
      <c r="E84" s="60"/>
      <c r="F84" s="60"/>
      <c r="G84" s="60"/>
      <c r="H84" s="60"/>
      <c r="I84" s="60"/>
      <c r="J84" s="60"/>
      <c r="K84" s="60"/>
      <c r="L84" s="60"/>
      <c r="M84" s="60"/>
    </row>
    <row r="85" spans="1:13" ht="12.75">
      <c r="A85" s="60"/>
      <c r="B85" s="60"/>
      <c r="C85" s="60"/>
      <c r="D85" s="60"/>
      <c r="E85" s="60"/>
      <c r="F85" s="60"/>
      <c r="G85" s="60"/>
      <c r="H85" s="60"/>
      <c r="I85" s="60"/>
      <c r="J85" s="60"/>
      <c r="K85" s="60"/>
      <c r="L85" s="60"/>
      <c r="M85" s="60"/>
    </row>
    <row r="86" spans="1:13" ht="12.75">
      <c r="A86" s="60"/>
      <c r="B86" s="60"/>
      <c r="C86" s="60"/>
      <c r="D86" s="60"/>
      <c r="E86" s="60"/>
      <c r="F86" s="60"/>
      <c r="G86" s="60"/>
      <c r="H86" s="60"/>
      <c r="I86" s="60"/>
      <c r="J86" s="60"/>
      <c r="K86" s="60"/>
      <c r="L86" s="60"/>
      <c r="M86" s="60"/>
    </row>
    <row r="87" spans="1:13" ht="12.75">
      <c r="A87" s="60"/>
      <c r="B87" s="60"/>
      <c r="C87" s="60"/>
      <c r="D87" s="60"/>
      <c r="E87" s="60"/>
      <c r="F87" s="60"/>
      <c r="G87" s="60"/>
      <c r="H87" s="60"/>
      <c r="I87" s="60"/>
      <c r="J87" s="60"/>
      <c r="K87" s="60"/>
      <c r="L87" s="60"/>
      <c r="M87" s="60"/>
    </row>
    <row r="88" spans="1:13" ht="12.75">
      <c r="A88" s="60"/>
      <c r="B88" s="60"/>
      <c r="C88" s="60"/>
      <c r="D88" s="60"/>
      <c r="E88" s="60"/>
      <c r="F88" s="60"/>
      <c r="G88" s="60"/>
      <c r="H88" s="60"/>
      <c r="I88" s="60"/>
      <c r="J88" s="60"/>
      <c r="K88" s="60"/>
      <c r="L88" s="60"/>
      <c r="M88" s="60"/>
    </row>
    <row r="89" spans="1:13" ht="12.75">
      <c r="A89" s="60"/>
      <c r="B89" s="60"/>
      <c r="C89" s="60"/>
      <c r="D89" s="60"/>
      <c r="E89" s="60"/>
      <c r="F89" s="60"/>
      <c r="G89" s="60"/>
      <c r="H89" s="60"/>
      <c r="I89" s="60"/>
      <c r="J89" s="60"/>
      <c r="K89" s="60"/>
      <c r="L89" s="60"/>
      <c r="M89" s="60"/>
    </row>
    <row r="90" spans="1:13" ht="12.75">
      <c r="A90" s="60"/>
      <c r="B90" s="60"/>
      <c r="C90" s="60"/>
      <c r="D90" s="60"/>
      <c r="E90" s="60"/>
      <c r="F90" s="60"/>
      <c r="G90" s="60"/>
      <c r="H90" s="60"/>
      <c r="I90" s="60"/>
      <c r="J90" s="60"/>
      <c r="K90" s="60"/>
      <c r="L90" s="60"/>
      <c r="M90" s="60"/>
    </row>
    <row r="91" spans="1:13" ht="12.75">
      <c r="A91" s="60"/>
      <c r="B91" s="60"/>
      <c r="C91" s="60"/>
      <c r="D91" s="60"/>
      <c r="E91" s="60"/>
      <c r="F91" s="60"/>
      <c r="G91" s="60"/>
      <c r="H91" s="60"/>
      <c r="I91" s="60"/>
      <c r="J91" s="60"/>
      <c r="K91" s="60"/>
      <c r="L91" s="60"/>
      <c r="M91" s="60"/>
    </row>
    <row r="92" spans="1:13" ht="12.75">
      <c r="A92" s="60"/>
      <c r="B92" s="60"/>
      <c r="C92" s="60"/>
      <c r="D92" s="60"/>
      <c r="E92" s="60"/>
      <c r="F92" s="60"/>
      <c r="G92" s="60"/>
      <c r="H92" s="60"/>
      <c r="I92" s="60"/>
      <c r="J92" s="60"/>
      <c r="K92" s="60"/>
      <c r="L92" s="60"/>
      <c r="M92" s="60"/>
    </row>
    <row r="93" spans="1:13" ht="12.75">
      <c r="A93" s="60"/>
      <c r="B93" s="60"/>
      <c r="C93" s="60"/>
      <c r="D93" s="60"/>
      <c r="E93" s="60"/>
      <c r="F93" s="60"/>
      <c r="G93" s="60"/>
      <c r="H93" s="60"/>
      <c r="I93" s="60"/>
      <c r="J93" s="60"/>
      <c r="K93" s="60"/>
      <c r="L93" s="60"/>
      <c r="M93" s="60"/>
    </row>
    <row r="94" spans="1:13" ht="12.75">
      <c r="A94" s="60"/>
      <c r="B94" s="60"/>
      <c r="C94" s="60"/>
      <c r="D94" s="60"/>
      <c r="E94" s="60"/>
      <c r="F94" s="60"/>
      <c r="G94" s="60"/>
      <c r="H94" s="60"/>
      <c r="I94" s="60"/>
      <c r="J94" s="60"/>
      <c r="K94" s="60"/>
      <c r="L94" s="60"/>
      <c r="M94" s="60"/>
    </row>
    <row r="95" spans="1:13" ht="12.75">
      <c r="A95" s="60"/>
      <c r="B95" s="60"/>
      <c r="C95" s="60"/>
      <c r="D95" s="60"/>
      <c r="E95" s="60"/>
      <c r="F95" s="60"/>
      <c r="G95" s="60"/>
      <c r="H95" s="60"/>
      <c r="I95" s="60"/>
      <c r="J95" s="60"/>
      <c r="K95" s="60"/>
      <c r="L95" s="60"/>
      <c r="M95" s="60"/>
    </row>
    <row r="96" spans="1:13" ht="12.75">
      <c r="A96" s="60"/>
      <c r="B96" s="60"/>
      <c r="C96" s="60"/>
      <c r="D96" s="60"/>
      <c r="E96" s="60"/>
      <c r="F96" s="60"/>
      <c r="G96" s="60"/>
      <c r="H96" s="60"/>
      <c r="I96" s="60"/>
      <c r="J96" s="60"/>
      <c r="K96" s="60"/>
      <c r="L96" s="60"/>
      <c r="M96" s="60"/>
    </row>
    <row r="97" spans="1:13" ht="12.75">
      <c r="A97" s="60"/>
      <c r="B97" s="60"/>
      <c r="C97" s="60"/>
      <c r="D97" s="60"/>
      <c r="E97" s="60"/>
      <c r="F97" s="60"/>
      <c r="G97" s="60"/>
      <c r="H97" s="60"/>
      <c r="I97" s="60"/>
      <c r="J97" s="60"/>
      <c r="K97" s="60"/>
      <c r="L97" s="60"/>
      <c r="M97" s="60"/>
    </row>
    <row r="98" spans="1:13" ht="12.75">
      <c r="A98" s="60"/>
      <c r="B98" s="60"/>
      <c r="C98" s="60"/>
      <c r="D98" s="60"/>
      <c r="E98" s="60"/>
      <c r="F98" s="60"/>
      <c r="G98" s="60"/>
      <c r="H98" s="60"/>
      <c r="I98" s="60"/>
      <c r="J98" s="60"/>
      <c r="K98" s="60"/>
      <c r="L98" s="60"/>
      <c r="M98" s="60"/>
    </row>
    <row r="99" spans="1:13" ht="12.75">
      <c r="A99" s="60"/>
      <c r="B99" s="60"/>
      <c r="C99" s="60"/>
      <c r="D99" s="60"/>
      <c r="E99" s="60"/>
      <c r="F99" s="60"/>
      <c r="G99" s="60"/>
      <c r="H99" s="60"/>
      <c r="I99" s="60"/>
      <c r="J99" s="60"/>
      <c r="K99" s="60"/>
      <c r="L99" s="60"/>
      <c r="M99" s="60"/>
    </row>
    <row r="100" spans="1:13" ht="12.75">
      <c r="A100" s="60"/>
      <c r="B100" s="60"/>
      <c r="C100" s="60"/>
      <c r="D100" s="60"/>
      <c r="E100" s="60"/>
      <c r="F100" s="60"/>
      <c r="G100" s="60"/>
      <c r="H100" s="60"/>
      <c r="I100" s="60"/>
      <c r="J100" s="60"/>
      <c r="K100" s="60"/>
      <c r="L100" s="60"/>
      <c r="M100" s="60"/>
    </row>
    <row r="101" spans="1:13" ht="12.75">
      <c r="A101" s="60"/>
      <c r="B101" s="60"/>
      <c r="C101" s="60"/>
      <c r="D101" s="60"/>
      <c r="E101" s="60"/>
      <c r="F101" s="60"/>
      <c r="G101" s="60"/>
      <c r="H101" s="60"/>
      <c r="I101" s="60"/>
      <c r="J101" s="60"/>
      <c r="K101" s="60"/>
      <c r="L101" s="60"/>
      <c r="M101" s="60"/>
    </row>
    <row r="102" spans="1:13" ht="12.75">
      <c r="A102" s="60"/>
      <c r="B102" s="60"/>
      <c r="C102" s="60"/>
      <c r="D102" s="60"/>
      <c r="E102" s="60"/>
      <c r="F102" s="60"/>
      <c r="G102" s="60"/>
      <c r="H102" s="60"/>
      <c r="I102" s="60"/>
      <c r="J102" s="60"/>
      <c r="K102" s="60"/>
      <c r="L102" s="60"/>
      <c r="M102" s="60"/>
    </row>
    <row r="103" spans="1:13" ht="12.75">
      <c r="A103" s="60"/>
      <c r="B103" s="60"/>
      <c r="C103" s="60"/>
      <c r="D103" s="60"/>
      <c r="E103" s="60"/>
      <c r="F103" s="60"/>
      <c r="G103" s="60"/>
      <c r="H103" s="60"/>
      <c r="I103" s="60"/>
      <c r="J103" s="60"/>
      <c r="K103" s="60"/>
      <c r="L103" s="60"/>
      <c r="M103" s="60"/>
    </row>
    <row r="104" spans="1:13" ht="12.75">
      <c r="A104" s="60"/>
      <c r="B104" s="60"/>
      <c r="C104" s="60"/>
      <c r="D104" s="60"/>
      <c r="E104" s="60"/>
      <c r="F104" s="60"/>
      <c r="G104" s="60"/>
      <c r="H104" s="60"/>
      <c r="I104" s="60"/>
      <c r="J104" s="60"/>
      <c r="K104" s="60"/>
      <c r="L104" s="60"/>
      <c r="M104" s="60"/>
    </row>
    <row r="105" spans="1:13" ht="12.75">
      <c r="A105" s="60"/>
      <c r="B105" s="60"/>
      <c r="C105" s="60"/>
      <c r="D105" s="60"/>
      <c r="E105" s="60"/>
      <c r="F105" s="60"/>
      <c r="G105" s="60"/>
      <c r="H105" s="60"/>
      <c r="I105" s="60"/>
      <c r="J105" s="60"/>
      <c r="K105" s="60"/>
      <c r="L105" s="60"/>
      <c r="M105" s="60"/>
    </row>
    <row r="106" spans="1:13" ht="12.75">
      <c r="A106" s="60"/>
      <c r="B106" s="60"/>
      <c r="C106" s="60"/>
      <c r="D106" s="60"/>
      <c r="E106" s="60"/>
      <c r="F106" s="60"/>
      <c r="G106" s="60"/>
      <c r="H106" s="60"/>
      <c r="I106" s="60"/>
      <c r="J106" s="60"/>
      <c r="K106" s="60"/>
      <c r="L106" s="60"/>
      <c r="M106" s="60"/>
    </row>
    <row r="107" spans="1:13" ht="12.75">
      <c r="A107" s="60"/>
      <c r="B107" s="60"/>
      <c r="C107" s="60"/>
      <c r="D107" s="60"/>
      <c r="E107" s="60"/>
      <c r="F107" s="60"/>
      <c r="G107" s="60"/>
      <c r="H107" s="60"/>
      <c r="I107" s="60"/>
      <c r="J107" s="60"/>
      <c r="K107" s="60"/>
      <c r="L107" s="60"/>
      <c r="M107" s="60"/>
    </row>
    <row r="108" spans="1:13" ht="12.75">
      <c r="A108" s="60"/>
      <c r="B108" s="60"/>
      <c r="C108" s="60"/>
      <c r="D108" s="60"/>
      <c r="E108" s="60"/>
      <c r="F108" s="60"/>
      <c r="G108" s="60"/>
      <c r="H108" s="60"/>
      <c r="I108" s="60"/>
      <c r="J108" s="60"/>
      <c r="K108" s="60"/>
      <c r="L108" s="60"/>
      <c r="M108" s="60"/>
    </row>
    <row r="109" spans="1:13" ht="12.75">
      <c r="A109" s="60"/>
      <c r="B109" s="60"/>
      <c r="C109" s="60"/>
      <c r="D109" s="60"/>
      <c r="E109" s="60"/>
      <c r="F109" s="60"/>
      <c r="G109" s="60"/>
      <c r="H109" s="60"/>
      <c r="I109" s="60"/>
      <c r="J109" s="60"/>
      <c r="K109" s="60"/>
      <c r="L109" s="60"/>
      <c r="M109" s="60"/>
    </row>
    <row r="110" spans="1:13" ht="12.75">
      <c r="A110" s="60"/>
      <c r="B110" s="60"/>
      <c r="C110" s="60"/>
      <c r="D110" s="60"/>
      <c r="E110" s="60"/>
      <c r="F110" s="60"/>
      <c r="G110" s="60"/>
      <c r="H110" s="60"/>
      <c r="I110" s="60"/>
      <c r="J110" s="60"/>
      <c r="K110" s="60"/>
      <c r="L110" s="60"/>
      <c r="M110" s="60"/>
    </row>
    <row r="111" spans="1:13" ht="12.75">
      <c r="A111" s="60"/>
      <c r="B111" s="60"/>
      <c r="C111" s="60"/>
      <c r="D111" s="60"/>
      <c r="E111" s="60"/>
      <c r="F111" s="60"/>
      <c r="G111" s="60"/>
      <c r="H111" s="60"/>
      <c r="I111" s="60"/>
      <c r="J111" s="60"/>
      <c r="K111" s="60"/>
      <c r="L111" s="60"/>
      <c r="M111" s="60"/>
    </row>
    <row r="112" spans="1:13" ht="12.75">
      <c r="A112" s="60"/>
      <c r="B112" s="60"/>
      <c r="C112" s="60"/>
      <c r="D112" s="60"/>
      <c r="E112" s="60"/>
      <c r="F112" s="60"/>
      <c r="G112" s="60"/>
      <c r="H112" s="60"/>
      <c r="I112" s="60"/>
      <c r="J112" s="60"/>
      <c r="K112" s="60"/>
      <c r="L112" s="60"/>
      <c r="M112" s="60"/>
    </row>
    <row r="113" spans="1:13" ht="12.75">
      <c r="A113" s="60"/>
      <c r="B113" s="60"/>
      <c r="C113" s="60"/>
      <c r="D113" s="60"/>
      <c r="E113" s="60"/>
      <c r="F113" s="60"/>
      <c r="G113" s="60"/>
      <c r="H113" s="60"/>
      <c r="I113" s="60"/>
      <c r="J113" s="60"/>
      <c r="K113" s="60"/>
      <c r="L113" s="60"/>
      <c r="M113" s="60"/>
    </row>
    <row r="114" spans="1:13" ht="12.75">
      <c r="A114" s="60"/>
      <c r="B114" s="60"/>
      <c r="C114" s="60"/>
      <c r="D114" s="60"/>
      <c r="E114" s="60"/>
      <c r="F114" s="60"/>
      <c r="G114" s="60"/>
      <c r="H114" s="60"/>
      <c r="I114" s="60"/>
      <c r="J114" s="60"/>
      <c r="K114" s="60"/>
      <c r="L114" s="60"/>
      <c r="M114" s="60"/>
    </row>
    <row r="115" spans="1:13" ht="12.75">
      <c r="A115" s="60"/>
      <c r="B115" s="60"/>
      <c r="C115" s="60"/>
      <c r="D115" s="60"/>
      <c r="E115" s="60"/>
      <c r="F115" s="60"/>
      <c r="G115" s="60"/>
      <c r="H115" s="60"/>
      <c r="I115" s="60"/>
      <c r="J115" s="60"/>
      <c r="K115" s="60"/>
      <c r="L115" s="60"/>
      <c r="M115" s="60"/>
    </row>
    <row r="116" spans="1:13" ht="12.75">
      <c r="A116" s="60"/>
      <c r="B116" s="60"/>
      <c r="C116" s="60"/>
      <c r="D116" s="60"/>
      <c r="E116" s="60"/>
      <c r="F116" s="60"/>
      <c r="G116" s="60"/>
      <c r="H116" s="60"/>
      <c r="I116" s="60"/>
      <c r="J116" s="60"/>
      <c r="K116" s="60"/>
      <c r="L116" s="60"/>
      <c r="M116" s="60"/>
    </row>
    <row r="117" spans="1:13" ht="12.75">
      <c r="A117" s="60"/>
      <c r="B117" s="60"/>
      <c r="C117" s="60"/>
      <c r="D117" s="60"/>
      <c r="E117" s="60"/>
      <c r="F117" s="60"/>
      <c r="G117" s="60"/>
      <c r="H117" s="60"/>
      <c r="I117" s="60"/>
      <c r="J117" s="60"/>
      <c r="K117" s="60"/>
      <c r="L117" s="60"/>
      <c r="M117" s="60"/>
    </row>
    <row r="118" spans="1:13" ht="12.75">
      <c r="A118" s="60"/>
      <c r="B118" s="60"/>
      <c r="C118" s="60"/>
      <c r="D118" s="60"/>
      <c r="E118" s="60"/>
      <c r="F118" s="60"/>
      <c r="G118" s="60"/>
      <c r="H118" s="60"/>
      <c r="I118" s="60"/>
      <c r="J118" s="60"/>
      <c r="K118" s="60"/>
      <c r="L118" s="60"/>
      <c r="M118" s="60"/>
    </row>
    <row r="119" spans="1:13" ht="12.75">
      <c r="A119" s="60"/>
      <c r="B119" s="60"/>
      <c r="C119" s="60"/>
      <c r="D119" s="60"/>
      <c r="E119" s="60"/>
      <c r="F119" s="60"/>
      <c r="G119" s="60"/>
      <c r="H119" s="60"/>
      <c r="I119" s="60"/>
      <c r="J119" s="60"/>
      <c r="K119" s="60"/>
      <c r="L119" s="60"/>
      <c r="M119" s="60"/>
    </row>
    <row r="120" spans="1:13" ht="12.75">
      <c r="A120" s="60"/>
      <c r="B120" s="60"/>
      <c r="C120" s="60"/>
      <c r="D120" s="60"/>
      <c r="E120" s="60"/>
      <c r="F120" s="60"/>
      <c r="G120" s="60"/>
      <c r="H120" s="60"/>
      <c r="I120" s="60"/>
      <c r="J120" s="60"/>
      <c r="K120" s="60"/>
      <c r="L120" s="60"/>
      <c r="M120" s="60"/>
    </row>
    <row r="121" spans="1:13" ht="12.75">
      <c r="A121" s="60"/>
      <c r="B121" s="60"/>
      <c r="C121" s="60"/>
      <c r="D121" s="60"/>
      <c r="E121" s="60"/>
      <c r="F121" s="60"/>
      <c r="G121" s="60"/>
      <c r="H121" s="60"/>
      <c r="I121" s="60"/>
      <c r="J121" s="60"/>
      <c r="K121" s="60"/>
      <c r="L121" s="60"/>
      <c r="M121" s="60"/>
    </row>
  </sheetData>
  <sheetProtection/>
  <printOptions/>
  <pageMargins left="0" right="0" top="0.5" bottom="0.5" header="0.5" footer="0.5"/>
  <pageSetup fitToHeight="1" fitToWidth="1" horizontalDpi="600" verticalDpi="600" orientation="landscape" scale="87" r:id="rId1"/>
</worksheet>
</file>

<file path=xl/worksheets/sheet5.xml><?xml version="1.0" encoding="utf-8"?>
<worksheet xmlns="http://schemas.openxmlformats.org/spreadsheetml/2006/main" xmlns:r="http://schemas.openxmlformats.org/officeDocument/2006/relationships">
  <sheetPr>
    <pageSetUpPr fitToPage="1"/>
  </sheetPr>
  <dimension ref="A2:U102"/>
  <sheetViews>
    <sheetView zoomScalePageLayoutView="0" workbookViewId="0" topLeftCell="A1">
      <pane xSplit="2" ySplit="6" topLeftCell="C7" activePane="bottomRight" state="frozen"/>
      <selection pane="topLeft" activeCell="A3" sqref="A3:IV5"/>
      <selection pane="topRight" activeCell="A3" sqref="A3:IV5"/>
      <selection pane="bottomLeft" activeCell="A3" sqref="A3:IV5"/>
      <selection pane="bottomRight" activeCell="A1" sqref="A1:O98"/>
    </sheetView>
  </sheetViews>
  <sheetFormatPr defaultColWidth="9.140625" defaultRowHeight="12.75"/>
  <cols>
    <col min="1" max="1" width="6.00390625" style="60" customWidth="1"/>
    <col min="2" max="2" width="17.8515625" style="60" customWidth="1"/>
    <col min="3" max="4" width="9.8515625" style="60" customWidth="1"/>
    <col min="5" max="5" width="11.28125" style="60" customWidth="1"/>
    <col min="6" max="7" width="9.57421875" style="60" customWidth="1"/>
    <col min="8" max="8" width="9.8515625" style="60" customWidth="1"/>
    <col min="9" max="9" width="10.421875" style="60" customWidth="1"/>
    <col min="10" max="10" width="10.7109375" style="60" customWidth="1"/>
    <col min="11" max="14" width="9.140625" style="60" customWidth="1"/>
    <col min="15" max="15" width="10.7109375" style="60" bestFit="1" customWidth="1"/>
    <col min="16" max="16" width="11.140625" style="60" customWidth="1"/>
    <col min="17" max="17" width="9.8515625" style="60" customWidth="1"/>
    <col min="18" max="18" width="10.00390625" style="60" customWidth="1"/>
    <col min="19" max="16384" width="9.140625" style="60" customWidth="1"/>
  </cols>
  <sheetData>
    <row r="1" ht="11.25"/>
    <row r="2" spans="2:3" ht="11.25">
      <c r="B2" s="78" t="str">
        <f>WUTC_KENT_SF!A1</f>
        <v>Kent-Meridian Disposal</v>
      </c>
      <c r="C2" s="79"/>
    </row>
    <row r="3" spans="2:3" ht="11.25">
      <c r="B3" s="78" t="str">
        <f>WUTC_KENT_SF!A4</f>
        <v>Single Family</v>
      </c>
      <c r="C3" s="79"/>
    </row>
    <row r="4" spans="3:10" ht="11.25">
      <c r="C4" s="80"/>
      <c r="D4" s="80"/>
      <c r="E4" s="80"/>
      <c r="F4" s="80"/>
      <c r="G4" s="80"/>
      <c r="H4" s="81"/>
      <c r="I4" s="81"/>
      <c r="J4" s="78"/>
    </row>
    <row r="5" spans="3:10" ht="11.25">
      <c r="C5" s="80"/>
      <c r="D5" s="80"/>
      <c r="E5" s="80"/>
      <c r="F5" s="80"/>
      <c r="G5" s="80"/>
      <c r="H5" s="81"/>
      <c r="I5" s="81"/>
      <c r="J5" s="80"/>
    </row>
    <row r="6" spans="3:14" ht="9.75" customHeight="1">
      <c r="C6" s="82">
        <v>41760</v>
      </c>
      <c r="D6" s="83">
        <f aca="true" t="shared" si="0" ref="D6:N6">EOMONTH(C6,1)</f>
        <v>41820</v>
      </c>
      <c r="E6" s="83">
        <f t="shared" si="0"/>
        <v>41851</v>
      </c>
      <c r="F6" s="83">
        <f t="shared" si="0"/>
        <v>41882</v>
      </c>
      <c r="G6" s="83">
        <f t="shared" si="0"/>
        <v>41912</v>
      </c>
      <c r="H6" s="83">
        <f t="shared" si="0"/>
        <v>41943</v>
      </c>
      <c r="I6" s="83">
        <f t="shared" si="0"/>
        <v>41973</v>
      </c>
      <c r="J6" s="83">
        <f t="shared" si="0"/>
        <v>42004</v>
      </c>
      <c r="K6" s="83">
        <f t="shared" si="0"/>
        <v>42035</v>
      </c>
      <c r="L6" s="83">
        <f t="shared" si="0"/>
        <v>42063</v>
      </c>
      <c r="M6" s="83">
        <f t="shared" si="0"/>
        <v>42094</v>
      </c>
      <c r="N6" s="83">
        <f t="shared" si="0"/>
        <v>42124</v>
      </c>
    </row>
    <row r="7" spans="1:14" s="61" customFormat="1" ht="11.25">
      <c r="A7" s="84" t="s">
        <v>34</v>
      </c>
      <c r="C7" s="85">
        <v>616.1439324798887</v>
      </c>
      <c r="D7" s="85">
        <v>590.1815986592558</v>
      </c>
      <c r="E7" s="85">
        <v>557.0762266577207</v>
      </c>
      <c r="F7" s="85">
        <v>580.6289243792867</v>
      </c>
      <c r="G7" s="85">
        <v>633.6657976640142</v>
      </c>
      <c r="H7" s="85">
        <v>595.1934663077027</v>
      </c>
      <c r="I7" s="85">
        <v>489.0298341856575</v>
      </c>
      <c r="J7" s="85">
        <v>594.8705850966063</v>
      </c>
      <c r="K7" s="85">
        <v>633.686525777443</v>
      </c>
      <c r="L7" s="85">
        <v>487.30258382244733</v>
      </c>
      <c r="M7" s="85">
        <v>554.2609801686366</v>
      </c>
      <c r="N7" s="85">
        <v>580.2500195702922</v>
      </c>
    </row>
    <row r="8" spans="1:14" ht="11.25">
      <c r="A8" s="60" t="s">
        <v>35</v>
      </c>
      <c r="C8" s="86">
        <v>0</v>
      </c>
      <c r="D8" s="86">
        <v>0</v>
      </c>
      <c r="E8" s="86">
        <v>0</v>
      </c>
      <c r="F8" s="86">
        <v>0</v>
      </c>
      <c r="G8" s="86">
        <v>0</v>
      </c>
      <c r="H8" s="86">
        <v>0</v>
      </c>
      <c r="I8" s="86">
        <v>0</v>
      </c>
      <c r="J8" s="86">
        <v>0</v>
      </c>
      <c r="K8" s="86">
        <v>0</v>
      </c>
      <c r="L8" s="86">
        <v>0</v>
      </c>
      <c r="M8" s="86">
        <v>0</v>
      </c>
      <c r="N8" s="86">
        <v>0</v>
      </c>
    </row>
    <row r="9" spans="1:14" ht="11.25">
      <c r="A9" s="60" t="s">
        <v>36</v>
      </c>
      <c r="C9" s="87">
        <f aca="true" t="shared" si="1" ref="C9:N9">+C7*C8</f>
        <v>0</v>
      </c>
      <c r="D9" s="87">
        <f t="shared" si="1"/>
        <v>0</v>
      </c>
      <c r="E9" s="87">
        <f t="shared" si="1"/>
        <v>0</v>
      </c>
      <c r="F9" s="87">
        <f t="shared" si="1"/>
        <v>0</v>
      </c>
      <c r="G9" s="87">
        <f t="shared" si="1"/>
        <v>0</v>
      </c>
      <c r="H9" s="87">
        <f t="shared" si="1"/>
        <v>0</v>
      </c>
      <c r="I9" s="87">
        <f t="shared" si="1"/>
        <v>0</v>
      </c>
      <c r="J9" s="87">
        <f t="shared" si="1"/>
        <v>0</v>
      </c>
      <c r="K9" s="87">
        <f t="shared" si="1"/>
        <v>0</v>
      </c>
      <c r="L9" s="87">
        <f t="shared" si="1"/>
        <v>0</v>
      </c>
      <c r="M9" s="87">
        <f t="shared" si="1"/>
        <v>0</v>
      </c>
      <c r="N9" s="87">
        <f t="shared" si="1"/>
        <v>0</v>
      </c>
    </row>
    <row r="10" spans="1:14" ht="11.25">
      <c r="A10" s="78" t="s">
        <v>37</v>
      </c>
      <c r="C10" s="88">
        <f aca="true" t="shared" si="2" ref="C10:N10">+C7-C9</f>
        <v>616.1439324798887</v>
      </c>
      <c r="D10" s="88">
        <f t="shared" si="2"/>
        <v>590.1815986592558</v>
      </c>
      <c r="E10" s="88">
        <f t="shared" si="2"/>
        <v>557.0762266577207</v>
      </c>
      <c r="F10" s="88">
        <f t="shared" si="2"/>
        <v>580.6289243792867</v>
      </c>
      <c r="G10" s="88">
        <f t="shared" si="2"/>
        <v>633.6657976640142</v>
      </c>
      <c r="H10" s="88">
        <f t="shared" si="2"/>
        <v>595.1934663077027</v>
      </c>
      <c r="I10" s="88">
        <f t="shared" si="2"/>
        <v>489.0298341856575</v>
      </c>
      <c r="J10" s="88">
        <f t="shared" si="2"/>
        <v>594.8705850966063</v>
      </c>
      <c r="K10" s="88">
        <f t="shared" si="2"/>
        <v>633.686525777443</v>
      </c>
      <c r="L10" s="88">
        <f t="shared" si="2"/>
        <v>487.30258382244733</v>
      </c>
      <c r="M10" s="88">
        <f t="shared" si="2"/>
        <v>554.2609801686366</v>
      </c>
      <c r="N10" s="88">
        <f t="shared" si="2"/>
        <v>580.2500195702922</v>
      </c>
    </row>
    <row r="11" ht="11.25"/>
    <row r="12" ht="11.25">
      <c r="A12" s="78" t="s">
        <v>38</v>
      </c>
    </row>
    <row r="13" spans="2:16" s="89" customFormat="1" ht="11.25">
      <c r="B13" s="89" t="s">
        <v>24</v>
      </c>
      <c r="C13" s="90">
        <v>0.195</v>
      </c>
      <c r="D13" s="90">
        <f>+C13</f>
        <v>0.195</v>
      </c>
      <c r="E13" s="90">
        <f aca="true" t="shared" si="3" ref="E13:N13">+D13</f>
        <v>0.195</v>
      </c>
      <c r="F13" s="90">
        <f t="shared" si="3"/>
        <v>0.195</v>
      </c>
      <c r="G13" s="90">
        <f t="shared" si="3"/>
        <v>0.195</v>
      </c>
      <c r="H13" s="90">
        <f t="shared" si="3"/>
        <v>0.195</v>
      </c>
      <c r="I13" s="90">
        <f t="shared" si="3"/>
        <v>0.195</v>
      </c>
      <c r="J13" s="90">
        <f t="shared" si="3"/>
        <v>0.195</v>
      </c>
      <c r="K13" s="90">
        <f t="shared" si="3"/>
        <v>0.195</v>
      </c>
      <c r="L13" s="90">
        <f t="shared" si="3"/>
        <v>0.195</v>
      </c>
      <c r="M13" s="90">
        <f t="shared" si="3"/>
        <v>0.195</v>
      </c>
      <c r="N13" s="90">
        <f t="shared" si="3"/>
        <v>0.195</v>
      </c>
      <c r="P13" s="130"/>
    </row>
    <row r="14" spans="2:16" s="89" customFormat="1" ht="11.25">
      <c r="B14" s="89" t="s">
        <v>28</v>
      </c>
      <c r="C14" s="90">
        <v>0.1782</v>
      </c>
      <c r="D14" s="90">
        <f aca="true" t="shared" si="4" ref="D14:N23">+C14</f>
        <v>0.1782</v>
      </c>
      <c r="E14" s="90">
        <f t="shared" si="4"/>
        <v>0.1782</v>
      </c>
      <c r="F14" s="90">
        <f t="shared" si="4"/>
        <v>0.1782</v>
      </c>
      <c r="G14" s="90">
        <f t="shared" si="4"/>
        <v>0.1782</v>
      </c>
      <c r="H14" s="90">
        <f t="shared" si="4"/>
        <v>0.1782</v>
      </c>
      <c r="I14" s="90">
        <f t="shared" si="4"/>
        <v>0.1782</v>
      </c>
      <c r="J14" s="90">
        <f t="shared" si="4"/>
        <v>0.1782</v>
      </c>
      <c r="K14" s="90">
        <f t="shared" si="4"/>
        <v>0.1782</v>
      </c>
      <c r="L14" s="90">
        <f t="shared" si="4"/>
        <v>0.1782</v>
      </c>
      <c r="M14" s="90">
        <f t="shared" si="4"/>
        <v>0.1782</v>
      </c>
      <c r="N14" s="90">
        <f t="shared" si="4"/>
        <v>0.1782</v>
      </c>
      <c r="P14" s="130"/>
    </row>
    <row r="15" spans="2:16" s="89" customFormat="1" ht="11.25">
      <c r="B15" s="89" t="s">
        <v>39</v>
      </c>
      <c r="C15" s="90">
        <v>0</v>
      </c>
      <c r="D15" s="90">
        <f t="shared" si="4"/>
        <v>0</v>
      </c>
      <c r="E15" s="90">
        <f t="shared" si="4"/>
        <v>0</v>
      </c>
      <c r="F15" s="90">
        <f t="shared" si="4"/>
        <v>0</v>
      </c>
      <c r="G15" s="90">
        <f t="shared" si="4"/>
        <v>0</v>
      </c>
      <c r="H15" s="90">
        <f t="shared" si="4"/>
        <v>0</v>
      </c>
      <c r="I15" s="90">
        <f t="shared" si="4"/>
        <v>0</v>
      </c>
      <c r="J15" s="90">
        <f t="shared" si="4"/>
        <v>0</v>
      </c>
      <c r="K15" s="90">
        <f t="shared" si="4"/>
        <v>0</v>
      </c>
      <c r="L15" s="90">
        <f t="shared" si="4"/>
        <v>0</v>
      </c>
      <c r="M15" s="90">
        <f t="shared" si="4"/>
        <v>0</v>
      </c>
      <c r="N15" s="90">
        <f t="shared" si="4"/>
        <v>0</v>
      </c>
      <c r="P15" s="130"/>
    </row>
    <row r="16" spans="2:16" s="89" customFormat="1" ht="11.25">
      <c r="B16" s="89" t="s">
        <v>40</v>
      </c>
      <c r="C16" s="90">
        <v>0.0165</v>
      </c>
      <c r="D16" s="90">
        <f t="shared" si="4"/>
        <v>0.0165</v>
      </c>
      <c r="E16" s="90">
        <f t="shared" si="4"/>
        <v>0.0165</v>
      </c>
      <c r="F16" s="90">
        <f t="shared" si="4"/>
        <v>0.0165</v>
      </c>
      <c r="G16" s="90">
        <f t="shared" si="4"/>
        <v>0.0165</v>
      </c>
      <c r="H16" s="90">
        <f t="shared" si="4"/>
        <v>0.0165</v>
      </c>
      <c r="I16" s="90">
        <f t="shared" si="4"/>
        <v>0.0165</v>
      </c>
      <c r="J16" s="90">
        <f t="shared" si="4"/>
        <v>0.0165</v>
      </c>
      <c r="K16" s="90">
        <f t="shared" si="4"/>
        <v>0.0165</v>
      </c>
      <c r="L16" s="90">
        <f t="shared" si="4"/>
        <v>0.0165</v>
      </c>
      <c r="M16" s="90">
        <f t="shared" si="4"/>
        <v>0.0165</v>
      </c>
      <c r="N16" s="90">
        <f t="shared" si="4"/>
        <v>0.0165</v>
      </c>
      <c r="P16" s="130"/>
    </row>
    <row r="17" spans="2:16" s="89" customFormat="1" ht="11.25">
      <c r="B17" s="89" t="s">
        <v>41</v>
      </c>
      <c r="C17" s="90">
        <v>0.0449</v>
      </c>
      <c r="D17" s="90">
        <f t="shared" si="4"/>
        <v>0.0449</v>
      </c>
      <c r="E17" s="90">
        <f t="shared" si="4"/>
        <v>0.0449</v>
      </c>
      <c r="F17" s="90">
        <f t="shared" si="4"/>
        <v>0.0449</v>
      </c>
      <c r="G17" s="90">
        <f t="shared" si="4"/>
        <v>0.0449</v>
      </c>
      <c r="H17" s="90">
        <f t="shared" si="4"/>
        <v>0.0449</v>
      </c>
      <c r="I17" s="90">
        <f t="shared" si="4"/>
        <v>0.0449</v>
      </c>
      <c r="J17" s="90">
        <f t="shared" si="4"/>
        <v>0.0449</v>
      </c>
      <c r="K17" s="90">
        <f t="shared" si="4"/>
        <v>0.0449</v>
      </c>
      <c r="L17" s="90">
        <f t="shared" si="4"/>
        <v>0.0449</v>
      </c>
      <c r="M17" s="90">
        <f t="shared" si="4"/>
        <v>0.0449</v>
      </c>
      <c r="N17" s="90">
        <f t="shared" si="4"/>
        <v>0.0449</v>
      </c>
      <c r="P17" s="130"/>
    </row>
    <row r="18" spans="2:16" s="89" customFormat="1" ht="11.25">
      <c r="B18" s="89" t="s">
        <v>42</v>
      </c>
      <c r="C18" s="90">
        <v>0.0075</v>
      </c>
      <c r="D18" s="90">
        <f t="shared" si="4"/>
        <v>0.0075</v>
      </c>
      <c r="E18" s="90">
        <f t="shared" si="4"/>
        <v>0.0075</v>
      </c>
      <c r="F18" s="90">
        <f t="shared" si="4"/>
        <v>0.0075</v>
      </c>
      <c r="G18" s="90">
        <f t="shared" si="4"/>
        <v>0.0075</v>
      </c>
      <c r="H18" s="90">
        <f t="shared" si="4"/>
        <v>0.0075</v>
      </c>
      <c r="I18" s="90">
        <f t="shared" si="4"/>
        <v>0.0075</v>
      </c>
      <c r="J18" s="90">
        <f t="shared" si="4"/>
        <v>0.0075</v>
      </c>
      <c r="K18" s="90">
        <f t="shared" si="4"/>
        <v>0.0075</v>
      </c>
      <c r="L18" s="90">
        <f t="shared" si="4"/>
        <v>0.0075</v>
      </c>
      <c r="M18" s="90">
        <f t="shared" si="4"/>
        <v>0.0075</v>
      </c>
      <c r="N18" s="90">
        <f t="shared" si="4"/>
        <v>0.0075</v>
      </c>
      <c r="P18" s="130"/>
    </row>
    <row r="19" spans="2:16" s="89" customFormat="1" ht="11.25">
      <c r="B19" s="60" t="s">
        <v>43</v>
      </c>
      <c r="C19" s="90">
        <v>0</v>
      </c>
      <c r="D19" s="90">
        <f t="shared" si="4"/>
        <v>0</v>
      </c>
      <c r="E19" s="90">
        <f t="shared" si="4"/>
        <v>0</v>
      </c>
      <c r="F19" s="90">
        <f t="shared" si="4"/>
        <v>0</v>
      </c>
      <c r="G19" s="90">
        <f t="shared" si="4"/>
        <v>0</v>
      </c>
      <c r="H19" s="90">
        <f t="shared" si="4"/>
        <v>0</v>
      </c>
      <c r="I19" s="90">
        <f t="shared" si="4"/>
        <v>0</v>
      </c>
      <c r="J19" s="90">
        <f t="shared" si="4"/>
        <v>0</v>
      </c>
      <c r="K19" s="90">
        <f t="shared" si="4"/>
        <v>0</v>
      </c>
      <c r="L19" s="90">
        <f t="shared" si="4"/>
        <v>0</v>
      </c>
      <c r="M19" s="90">
        <f t="shared" si="4"/>
        <v>0</v>
      </c>
      <c r="N19" s="90">
        <f t="shared" si="4"/>
        <v>0</v>
      </c>
      <c r="P19" s="130"/>
    </row>
    <row r="20" spans="2:16" s="89" customFormat="1" ht="11.25">
      <c r="B20" s="60" t="s">
        <v>22</v>
      </c>
      <c r="C20" s="90">
        <v>0.1768</v>
      </c>
      <c r="D20" s="90">
        <f t="shared" si="4"/>
        <v>0.1768</v>
      </c>
      <c r="E20" s="90">
        <f t="shared" si="4"/>
        <v>0.1768</v>
      </c>
      <c r="F20" s="90">
        <f t="shared" si="4"/>
        <v>0.1768</v>
      </c>
      <c r="G20" s="90">
        <f t="shared" si="4"/>
        <v>0.1768</v>
      </c>
      <c r="H20" s="90">
        <f t="shared" si="4"/>
        <v>0.1768</v>
      </c>
      <c r="I20" s="90">
        <f t="shared" si="4"/>
        <v>0.1768</v>
      </c>
      <c r="J20" s="90">
        <f t="shared" si="4"/>
        <v>0.1768</v>
      </c>
      <c r="K20" s="90">
        <f t="shared" si="4"/>
        <v>0.1768</v>
      </c>
      <c r="L20" s="90">
        <f t="shared" si="4"/>
        <v>0.1768</v>
      </c>
      <c r="M20" s="90">
        <f t="shared" si="4"/>
        <v>0.1768</v>
      </c>
      <c r="N20" s="90">
        <f t="shared" si="4"/>
        <v>0.1768</v>
      </c>
      <c r="P20" s="130"/>
    </row>
    <row r="21" spans="2:16" s="89" customFormat="1" ht="11.25">
      <c r="B21" s="89" t="s">
        <v>44</v>
      </c>
      <c r="C21" s="90">
        <v>0</v>
      </c>
      <c r="D21" s="90">
        <f t="shared" si="4"/>
        <v>0</v>
      </c>
      <c r="E21" s="90">
        <f t="shared" si="4"/>
        <v>0</v>
      </c>
      <c r="F21" s="90">
        <f t="shared" si="4"/>
        <v>0</v>
      </c>
      <c r="G21" s="90">
        <f t="shared" si="4"/>
        <v>0</v>
      </c>
      <c r="H21" s="90">
        <f t="shared" si="4"/>
        <v>0</v>
      </c>
      <c r="I21" s="90">
        <f t="shared" si="4"/>
        <v>0</v>
      </c>
      <c r="J21" s="90">
        <f t="shared" si="4"/>
        <v>0</v>
      </c>
      <c r="K21" s="90">
        <f t="shared" si="4"/>
        <v>0</v>
      </c>
      <c r="L21" s="90">
        <f t="shared" si="4"/>
        <v>0</v>
      </c>
      <c r="M21" s="90">
        <f t="shared" si="4"/>
        <v>0</v>
      </c>
      <c r="N21" s="90">
        <f t="shared" si="4"/>
        <v>0</v>
      </c>
      <c r="P21" s="130"/>
    </row>
    <row r="22" spans="2:16" s="89" customFormat="1" ht="11.25">
      <c r="B22" s="89" t="s">
        <v>45</v>
      </c>
      <c r="C22" s="90">
        <v>0.05930000000000013</v>
      </c>
      <c r="D22" s="90">
        <f t="shared" si="4"/>
        <v>0.05930000000000013</v>
      </c>
      <c r="E22" s="90">
        <f t="shared" si="4"/>
        <v>0.05930000000000013</v>
      </c>
      <c r="F22" s="90">
        <f t="shared" si="4"/>
        <v>0.05930000000000013</v>
      </c>
      <c r="G22" s="90">
        <f t="shared" si="4"/>
        <v>0.05930000000000013</v>
      </c>
      <c r="H22" s="90">
        <f t="shared" si="4"/>
        <v>0.05930000000000013</v>
      </c>
      <c r="I22" s="90">
        <f t="shared" si="4"/>
        <v>0.05930000000000013</v>
      </c>
      <c r="J22" s="90">
        <f t="shared" si="4"/>
        <v>0.05930000000000013</v>
      </c>
      <c r="K22" s="90">
        <f t="shared" si="4"/>
        <v>0.05930000000000013</v>
      </c>
      <c r="L22" s="90">
        <f t="shared" si="4"/>
        <v>0.05930000000000013</v>
      </c>
      <c r="M22" s="90">
        <f t="shared" si="4"/>
        <v>0.05930000000000013</v>
      </c>
      <c r="N22" s="90">
        <f t="shared" si="4"/>
        <v>0.05930000000000013</v>
      </c>
      <c r="P22" s="130"/>
    </row>
    <row r="23" spans="2:16" s="89" customFormat="1" ht="11.25">
      <c r="B23" s="89" t="s">
        <v>46</v>
      </c>
      <c r="C23" s="91">
        <v>0.3218</v>
      </c>
      <c r="D23" s="90">
        <f t="shared" si="4"/>
        <v>0.3218</v>
      </c>
      <c r="E23" s="90">
        <f t="shared" si="4"/>
        <v>0.3218</v>
      </c>
      <c r="F23" s="90">
        <f t="shared" si="4"/>
        <v>0.3218</v>
      </c>
      <c r="G23" s="90">
        <f t="shared" si="4"/>
        <v>0.3218</v>
      </c>
      <c r="H23" s="90">
        <f t="shared" si="4"/>
        <v>0.3218</v>
      </c>
      <c r="I23" s="90">
        <f t="shared" si="4"/>
        <v>0.3218</v>
      </c>
      <c r="J23" s="90">
        <f t="shared" si="4"/>
        <v>0.3218</v>
      </c>
      <c r="K23" s="90">
        <f t="shared" si="4"/>
        <v>0.3218</v>
      </c>
      <c r="L23" s="90">
        <f t="shared" si="4"/>
        <v>0.3218</v>
      </c>
      <c r="M23" s="90">
        <f t="shared" si="4"/>
        <v>0.3218</v>
      </c>
      <c r="N23" s="90">
        <f t="shared" si="4"/>
        <v>0.3218</v>
      </c>
      <c r="P23" s="130"/>
    </row>
    <row r="24" spans="3:16" ht="11.25">
      <c r="C24" s="92">
        <v>1</v>
      </c>
      <c r="D24" s="92">
        <v>1</v>
      </c>
      <c r="E24" s="92">
        <v>1</v>
      </c>
      <c r="F24" s="92">
        <v>1</v>
      </c>
      <c r="G24" s="92">
        <v>1</v>
      </c>
      <c r="H24" s="92">
        <v>1</v>
      </c>
      <c r="I24" s="92">
        <v>1</v>
      </c>
      <c r="J24" s="92">
        <v>1</v>
      </c>
      <c r="K24" s="92">
        <v>1</v>
      </c>
      <c r="L24" s="92">
        <v>1</v>
      </c>
      <c r="M24" s="92">
        <v>1</v>
      </c>
      <c r="N24" s="92">
        <v>1</v>
      </c>
      <c r="P24" s="130"/>
    </row>
    <row r="25" ht="11.25"/>
    <row r="26" ht="11.25">
      <c r="A26" s="78" t="s">
        <v>47</v>
      </c>
    </row>
    <row r="27" spans="2:14" ht="11.25">
      <c r="B27" s="60" t="s">
        <v>24</v>
      </c>
      <c r="C27" s="70">
        <f aca="true" t="shared" si="5" ref="C27:N27">+C$10*C13</f>
        <v>120.1480668335783</v>
      </c>
      <c r="D27" s="70">
        <f t="shared" si="5"/>
        <v>115.08541173855488</v>
      </c>
      <c r="E27" s="70">
        <f t="shared" si="5"/>
        <v>108.62986419825553</v>
      </c>
      <c r="F27" s="70">
        <f t="shared" si="5"/>
        <v>113.2226402539609</v>
      </c>
      <c r="G27" s="70">
        <f t="shared" si="5"/>
        <v>123.56483054448277</v>
      </c>
      <c r="H27" s="70">
        <f t="shared" si="5"/>
        <v>116.06272593000203</v>
      </c>
      <c r="I27" s="70">
        <f t="shared" si="5"/>
        <v>95.36081766620322</v>
      </c>
      <c r="J27" s="70">
        <f t="shared" si="5"/>
        <v>115.99976409383824</v>
      </c>
      <c r="K27" s="70">
        <f t="shared" si="5"/>
        <v>123.56887252660138</v>
      </c>
      <c r="L27" s="70">
        <f t="shared" si="5"/>
        <v>95.02400384537724</v>
      </c>
      <c r="M27" s="70">
        <f t="shared" si="5"/>
        <v>108.08089113288413</v>
      </c>
      <c r="N27" s="70">
        <f t="shared" si="5"/>
        <v>113.14875381620699</v>
      </c>
    </row>
    <row r="28" spans="2:14" ht="11.25">
      <c r="B28" s="60" t="s">
        <v>28</v>
      </c>
      <c r="C28" s="70">
        <f aca="true" t="shared" si="6" ref="C28:N28">+C$10*C14</f>
        <v>109.79684876791616</v>
      </c>
      <c r="D28" s="70">
        <f t="shared" si="6"/>
        <v>105.17036088107938</v>
      </c>
      <c r="E28" s="70">
        <f t="shared" si="6"/>
        <v>99.27098359040582</v>
      </c>
      <c r="F28" s="70">
        <f t="shared" si="6"/>
        <v>103.46807432438888</v>
      </c>
      <c r="G28" s="70">
        <f t="shared" si="6"/>
        <v>112.91924514372734</v>
      </c>
      <c r="H28" s="70">
        <f t="shared" si="6"/>
        <v>106.06347569603261</v>
      </c>
      <c r="I28" s="70">
        <f t="shared" si="6"/>
        <v>87.14511645188416</v>
      </c>
      <c r="J28" s="70">
        <f t="shared" si="6"/>
        <v>106.00593826421525</v>
      </c>
      <c r="K28" s="70">
        <f t="shared" si="6"/>
        <v>112.92293889354033</v>
      </c>
      <c r="L28" s="70">
        <f t="shared" si="6"/>
        <v>86.83732043716012</v>
      </c>
      <c r="M28" s="70">
        <f t="shared" si="6"/>
        <v>98.76930666605104</v>
      </c>
      <c r="N28" s="70">
        <f t="shared" si="6"/>
        <v>103.40055348742608</v>
      </c>
    </row>
    <row r="29" spans="2:14" ht="11.25">
      <c r="B29" s="60" t="s">
        <v>39</v>
      </c>
      <c r="C29" s="70">
        <f aca="true" t="shared" si="7" ref="C29:N29">+C$10*C15</f>
        <v>0</v>
      </c>
      <c r="D29" s="70">
        <f t="shared" si="7"/>
        <v>0</v>
      </c>
      <c r="E29" s="70">
        <f t="shared" si="7"/>
        <v>0</v>
      </c>
      <c r="F29" s="70">
        <f t="shared" si="7"/>
        <v>0</v>
      </c>
      <c r="G29" s="70">
        <f t="shared" si="7"/>
        <v>0</v>
      </c>
      <c r="H29" s="70">
        <f t="shared" si="7"/>
        <v>0</v>
      </c>
      <c r="I29" s="70">
        <f t="shared" si="7"/>
        <v>0</v>
      </c>
      <c r="J29" s="70">
        <f t="shared" si="7"/>
        <v>0</v>
      </c>
      <c r="K29" s="70">
        <f t="shared" si="7"/>
        <v>0</v>
      </c>
      <c r="L29" s="70">
        <f t="shared" si="7"/>
        <v>0</v>
      </c>
      <c r="M29" s="70">
        <f t="shared" si="7"/>
        <v>0</v>
      </c>
      <c r="N29" s="70">
        <f t="shared" si="7"/>
        <v>0</v>
      </c>
    </row>
    <row r="30" spans="2:14" ht="11.25">
      <c r="B30" s="60" t="s">
        <v>40</v>
      </c>
      <c r="C30" s="70">
        <f aca="true" t="shared" si="8" ref="C30:N30">+C$10*C16</f>
        <v>10.166374885918163</v>
      </c>
      <c r="D30" s="70">
        <f t="shared" si="8"/>
        <v>9.737996377877721</v>
      </c>
      <c r="E30" s="70">
        <f t="shared" si="8"/>
        <v>9.191757739852392</v>
      </c>
      <c r="F30" s="70">
        <f t="shared" si="8"/>
        <v>9.58037725225823</v>
      </c>
      <c r="G30" s="70">
        <f t="shared" si="8"/>
        <v>10.455485661456235</v>
      </c>
      <c r="H30" s="70">
        <f t="shared" si="8"/>
        <v>9.820692194077095</v>
      </c>
      <c r="I30" s="70">
        <f t="shared" si="8"/>
        <v>8.068992264063349</v>
      </c>
      <c r="J30" s="70">
        <f t="shared" si="8"/>
        <v>9.815364654094004</v>
      </c>
      <c r="K30" s="70">
        <f t="shared" si="8"/>
        <v>10.455827675327809</v>
      </c>
      <c r="L30" s="70">
        <f t="shared" si="8"/>
        <v>8.04049263307038</v>
      </c>
      <c r="M30" s="70">
        <f t="shared" si="8"/>
        <v>9.145306172782504</v>
      </c>
      <c r="N30" s="70">
        <f t="shared" si="8"/>
        <v>9.574125322909822</v>
      </c>
    </row>
    <row r="31" spans="2:14" ht="9.75">
      <c r="B31" s="60" t="s">
        <v>41</v>
      </c>
      <c r="C31" s="70">
        <f aca="true" t="shared" si="9" ref="C31:N31">+C$10*C17</f>
        <v>27.664862568347004</v>
      </c>
      <c r="D31" s="70">
        <f t="shared" si="9"/>
        <v>26.499153779800587</v>
      </c>
      <c r="E31" s="70">
        <f t="shared" si="9"/>
        <v>25.012722576931658</v>
      </c>
      <c r="F31" s="70">
        <f t="shared" si="9"/>
        <v>26.070238704629972</v>
      </c>
      <c r="G31" s="70">
        <f t="shared" si="9"/>
        <v>28.451594315114242</v>
      </c>
      <c r="H31" s="70">
        <f t="shared" si="9"/>
        <v>26.72418663721585</v>
      </c>
      <c r="I31" s="70">
        <f t="shared" si="9"/>
        <v>21.957439554936023</v>
      </c>
      <c r="J31" s="70">
        <f t="shared" si="9"/>
        <v>26.709689270837625</v>
      </c>
      <c r="K31" s="70">
        <f t="shared" si="9"/>
        <v>28.45252500740719</v>
      </c>
      <c r="L31" s="70">
        <f t="shared" si="9"/>
        <v>21.879886013627885</v>
      </c>
      <c r="M31" s="70">
        <f t="shared" si="9"/>
        <v>24.886318009571784</v>
      </c>
      <c r="N31" s="70">
        <f t="shared" si="9"/>
        <v>26.053225878706122</v>
      </c>
    </row>
    <row r="32" spans="2:14" ht="9.75">
      <c r="B32" s="60" t="s">
        <v>42</v>
      </c>
      <c r="C32" s="70">
        <f aca="true" t="shared" si="10" ref="C32:N32">+C$10*C18</f>
        <v>4.621079493599165</v>
      </c>
      <c r="D32" s="70">
        <f t="shared" si="10"/>
        <v>4.426361989944418</v>
      </c>
      <c r="E32" s="70">
        <f t="shared" si="10"/>
        <v>4.178071699932905</v>
      </c>
      <c r="F32" s="70">
        <f t="shared" si="10"/>
        <v>4.35471693284465</v>
      </c>
      <c r="G32" s="70">
        <f t="shared" si="10"/>
        <v>4.752493482480107</v>
      </c>
      <c r="H32" s="70">
        <f t="shared" si="10"/>
        <v>4.46395099730777</v>
      </c>
      <c r="I32" s="70">
        <f t="shared" si="10"/>
        <v>3.667723756392431</v>
      </c>
      <c r="J32" s="70">
        <f t="shared" si="10"/>
        <v>4.461529388224547</v>
      </c>
      <c r="K32" s="70">
        <f t="shared" si="10"/>
        <v>4.752648943330822</v>
      </c>
      <c r="L32" s="70">
        <f t="shared" si="10"/>
        <v>3.654769378668355</v>
      </c>
      <c r="M32" s="70">
        <f t="shared" si="10"/>
        <v>4.156957351264774</v>
      </c>
      <c r="N32" s="70">
        <f t="shared" si="10"/>
        <v>4.351875146777192</v>
      </c>
    </row>
    <row r="33" spans="2:14" ht="9.75">
      <c r="B33" s="60" t="s">
        <v>43</v>
      </c>
      <c r="C33" s="70">
        <f aca="true" t="shared" si="11" ref="C33:N33">+C$10*C19</f>
        <v>0</v>
      </c>
      <c r="D33" s="70">
        <f t="shared" si="11"/>
        <v>0</v>
      </c>
      <c r="E33" s="70">
        <f t="shared" si="11"/>
        <v>0</v>
      </c>
      <c r="F33" s="70">
        <f t="shared" si="11"/>
        <v>0</v>
      </c>
      <c r="G33" s="70">
        <f t="shared" si="11"/>
        <v>0</v>
      </c>
      <c r="H33" s="70">
        <f t="shared" si="11"/>
        <v>0</v>
      </c>
      <c r="I33" s="70">
        <f t="shared" si="11"/>
        <v>0</v>
      </c>
      <c r="J33" s="70">
        <f t="shared" si="11"/>
        <v>0</v>
      </c>
      <c r="K33" s="70">
        <f t="shared" si="11"/>
        <v>0</v>
      </c>
      <c r="L33" s="70">
        <f t="shared" si="11"/>
        <v>0</v>
      </c>
      <c r="M33" s="70">
        <f t="shared" si="11"/>
        <v>0</v>
      </c>
      <c r="N33" s="70">
        <f t="shared" si="11"/>
        <v>0</v>
      </c>
    </row>
    <row r="34" spans="2:14" ht="9.75">
      <c r="B34" s="60" t="s">
        <v>22</v>
      </c>
      <c r="C34" s="70">
        <f aca="true" t="shared" si="12" ref="C34:N34">+C$10*C20</f>
        <v>108.93424726244433</v>
      </c>
      <c r="D34" s="70">
        <f t="shared" si="12"/>
        <v>104.34410664295643</v>
      </c>
      <c r="E34" s="70">
        <f t="shared" si="12"/>
        <v>98.49107687308502</v>
      </c>
      <c r="F34" s="70">
        <f t="shared" si="12"/>
        <v>102.65519383025789</v>
      </c>
      <c r="G34" s="70">
        <f t="shared" si="12"/>
        <v>112.03211302699772</v>
      </c>
      <c r="H34" s="70">
        <f t="shared" si="12"/>
        <v>105.23020484320185</v>
      </c>
      <c r="I34" s="70">
        <f t="shared" si="12"/>
        <v>86.46047468402425</v>
      </c>
      <c r="J34" s="70">
        <f t="shared" si="12"/>
        <v>105.17311944508</v>
      </c>
      <c r="K34" s="70">
        <f t="shared" si="12"/>
        <v>112.03577775745192</v>
      </c>
      <c r="L34" s="70">
        <f t="shared" si="12"/>
        <v>86.15509681980869</v>
      </c>
      <c r="M34" s="70">
        <f t="shared" si="12"/>
        <v>97.99334129381495</v>
      </c>
      <c r="N34" s="70">
        <f t="shared" si="12"/>
        <v>102.58820346002767</v>
      </c>
    </row>
    <row r="35" spans="2:14" ht="9.75">
      <c r="B35" s="60" t="s">
        <v>44</v>
      </c>
      <c r="C35" s="70">
        <f aca="true" t="shared" si="13" ref="C35:N35">+C$10*C21</f>
        <v>0</v>
      </c>
      <c r="D35" s="70">
        <f t="shared" si="13"/>
        <v>0</v>
      </c>
      <c r="E35" s="70">
        <f t="shared" si="13"/>
        <v>0</v>
      </c>
      <c r="F35" s="70">
        <f t="shared" si="13"/>
        <v>0</v>
      </c>
      <c r="G35" s="70">
        <f t="shared" si="13"/>
        <v>0</v>
      </c>
      <c r="H35" s="70">
        <f t="shared" si="13"/>
        <v>0</v>
      </c>
      <c r="I35" s="70">
        <f t="shared" si="13"/>
        <v>0</v>
      </c>
      <c r="J35" s="70">
        <f t="shared" si="13"/>
        <v>0</v>
      </c>
      <c r="K35" s="70">
        <f t="shared" si="13"/>
        <v>0</v>
      </c>
      <c r="L35" s="70">
        <f t="shared" si="13"/>
        <v>0</v>
      </c>
      <c r="M35" s="70">
        <f t="shared" si="13"/>
        <v>0</v>
      </c>
      <c r="N35" s="70">
        <f t="shared" si="13"/>
        <v>0</v>
      </c>
    </row>
    <row r="36" spans="2:14" ht="9.75">
      <c r="B36" s="60" t="s">
        <v>45</v>
      </c>
      <c r="C36" s="70">
        <f aca="true" t="shared" si="14" ref="C36:N36">+C$10*C22</f>
        <v>36.53733519605748</v>
      </c>
      <c r="D36" s="70">
        <f t="shared" si="14"/>
        <v>34.997768800493944</v>
      </c>
      <c r="E36" s="70">
        <f t="shared" si="14"/>
        <v>33.03462024080291</v>
      </c>
      <c r="F36" s="70">
        <f t="shared" si="14"/>
        <v>34.431295215691776</v>
      </c>
      <c r="G36" s="70">
        <f t="shared" si="14"/>
        <v>37.576381801476124</v>
      </c>
      <c r="H36" s="70">
        <f t="shared" si="14"/>
        <v>35.29497255204685</v>
      </c>
      <c r="I36" s="70">
        <f t="shared" si="14"/>
        <v>28.99946916720955</v>
      </c>
      <c r="J36" s="70">
        <f t="shared" si="14"/>
        <v>35.27582569622883</v>
      </c>
      <c r="K36" s="70">
        <f t="shared" si="14"/>
        <v>37.57761097860245</v>
      </c>
      <c r="L36" s="70">
        <f t="shared" si="14"/>
        <v>28.89704322067119</v>
      </c>
      <c r="M36" s="70">
        <f t="shared" si="14"/>
        <v>32.86767612400022</v>
      </c>
      <c r="N36" s="70">
        <f t="shared" si="14"/>
        <v>34.40882616051841</v>
      </c>
    </row>
    <row r="37" spans="2:14" ht="9.75">
      <c r="B37" s="60" t="s">
        <v>46</v>
      </c>
      <c r="C37" s="87">
        <f aca="true" t="shared" si="15" ref="C37:N37">+C$10*C23</f>
        <v>198.27511747202817</v>
      </c>
      <c r="D37" s="87">
        <f t="shared" si="15"/>
        <v>189.92043844854848</v>
      </c>
      <c r="E37" s="87">
        <f t="shared" si="15"/>
        <v>179.26712973845449</v>
      </c>
      <c r="F37" s="87">
        <f t="shared" si="15"/>
        <v>186.84638786525443</v>
      </c>
      <c r="G37" s="87">
        <f t="shared" si="15"/>
        <v>203.91365368827977</v>
      </c>
      <c r="H37" s="87">
        <f t="shared" si="15"/>
        <v>191.5332574578187</v>
      </c>
      <c r="I37" s="87">
        <f t="shared" si="15"/>
        <v>157.36980064094456</v>
      </c>
      <c r="J37" s="87">
        <f t="shared" si="15"/>
        <v>191.4293542840879</v>
      </c>
      <c r="K37" s="87">
        <f t="shared" si="15"/>
        <v>203.92032399518112</v>
      </c>
      <c r="L37" s="87">
        <f t="shared" si="15"/>
        <v>156.81397147406355</v>
      </c>
      <c r="M37" s="87">
        <f t="shared" si="15"/>
        <v>178.36118341826725</v>
      </c>
      <c r="N37" s="87">
        <f t="shared" si="15"/>
        <v>186.72445629772002</v>
      </c>
    </row>
    <row r="38" spans="3:14" ht="9.75">
      <c r="C38" s="70">
        <f aca="true" t="shared" si="16" ref="C38:N38">SUM(C27:C37)</f>
        <v>616.1439324798888</v>
      </c>
      <c r="D38" s="70">
        <f t="shared" si="16"/>
        <v>590.1815986592559</v>
      </c>
      <c r="E38" s="70">
        <f t="shared" si="16"/>
        <v>557.0762266577207</v>
      </c>
      <c r="F38" s="70">
        <f t="shared" si="16"/>
        <v>580.6289243792867</v>
      </c>
      <c r="G38" s="70">
        <f t="shared" si="16"/>
        <v>633.6657976640143</v>
      </c>
      <c r="H38" s="70">
        <f t="shared" si="16"/>
        <v>595.1934663077027</v>
      </c>
      <c r="I38" s="70">
        <f t="shared" si="16"/>
        <v>489.0298341856576</v>
      </c>
      <c r="J38" s="70">
        <f t="shared" si="16"/>
        <v>594.8705850966064</v>
      </c>
      <c r="K38" s="70">
        <f t="shared" si="16"/>
        <v>633.686525777443</v>
      </c>
      <c r="L38" s="70">
        <f t="shared" si="16"/>
        <v>487.30258382244745</v>
      </c>
      <c r="M38" s="70">
        <f t="shared" si="16"/>
        <v>554.2609801686367</v>
      </c>
      <c r="N38" s="70">
        <f t="shared" si="16"/>
        <v>580.2500195702924</v>
      </c>
    </row>
    <row r="40" ht="9.75">
      <c r="A40" s="78" t="s">
        <v>48</v>
      </c>
    </row>
    <row r="41" spans="2:14" ht="9.75">
      <c r="B41" s="60" t="s">
        <v>24</v>
      </c>
      <c r="C41" s="93">
        <v>1</v>
      </c>
      <c r="D41" s="94">
        <v>1</v>
      </c>
      <c r="E41" s="94">
        <v>1</v>
      </c>
      <c r="F41" s="94">
        <v>1</v>
      </c>
      <c r="G41" s="94">
        <v>1</v>
      </c>
      <c r="H41" s="94">
        <v>1</v>
      </c>
      <c r="I41" s="94">
        <v>1</v>
      </c>
      <c r="J41" s="94">
        <v>1</v>
      </c>
      <c r="K41" s="94">
        <v>1</v>
      </c>
      <c r="L41" s="94">
        <v>1</v>
      </c>
      <c r="M41" s="94">
        <v>1</v>
      </c>
      <c r="N41" s="94">
        <v>1</v>
      </c>
    </row>
    <row r="42" spans="2:14" ht="9.75">
      <c r="B42" s="60" t="s">
        <v>28</v>
      </c>
      <c r="C42" s="93">
        <v>1</v>
      </c>
      <c r="D42" s="94">
        <v>1</v>
      </c>
      <c r="E42" s="94">
        <v>1</v>
      </c>
      <c r="F42" s="94">
        <v>1</v>
      </c>
      <c r="G42" s="94">
        <v>1</v>
      </c>
      <c r="H42" s="94">
        <v>1</v>
      </c>
      <c r="I42" s="94">
        <v>1</v>
      </c>
      <c r="J42" s="94">
        <v>1</v>
      </c>
      <c r="K42" s="94">
        <v>1</v>
      </c>
      <c r="L42" s="94">
        <v>1</v>
      </c>
      <c r="M42" s="94">
        <v>1</v>
      </c>
      <c r="N42" s="94">
        <v>1</v>
      </c>
    </row>
    <row r="43" spans="2:14" ht="9.75">
      <c r="B43" s="60" t="s">
        <v>39</v>
      </c>
      <c r="C43" s="93">
        <v>1</v>
      </c>
      <c r="D43" s="94">
        <v>1</v>
      </c>
      <c r="E43" s="94">
        <v>1</v>
      </c>
      <c r="F43" s="94">
        <v>1</v>
      </c>
      <c r="G43" s="94">
        <v>1</v>
      </c>
      <c r="H43" s="94">
        <v>1</v>
      </c>
      <c r="I43" s="94">
        <v>1</v>
      </c>
      <c r="J43" s="94">
        <v>1</v>
      </c>
      <c r="K43" s="94">
        <v>1</v>
      </c>
      <c r="L43" s="94">
        <v>1</v>
      </c>
      <c r="M43" s="94">
        <v>1</v>
      </c>
      <c r="N43" s="94">
        <v>1</v>
      </c>
    </row>
    <row r="44" spans="2:14" ht="9.75">
      <c r="B44" s="60" t="s">
        <v>40</v>
      </c>
      <c r="C44" s="93">
        <v>1</v>
      </c>
      <c r="D44" s="94">
        <v>1</v>
      </c>
      <c r="E44" s="94">
        <v>1</v>
      </c>
      <c r="F44" s="94">
        <v>1</v>
      </c>
      <c r="G44" s="94">
        <v>1</v>
      </c>
      <c r="H44" s="94">
        <v>1</v>
      </c>
      <c r="I44" s="94">
        <v>1</v>
      </c>
      <c r="J44" s="94">
        <v>1</v>
      </c>
      <c r="K44" s="94">
        <v>1</v>
      </c>
      <c r="L44" s="94">
        <v>1</v>
      </c>
      <c r="M44" s="94">
        <v>1</v>
      </c>
      <c r="N44" s="94">
        <v>1</v>
      </c>
    </row>
    <row r="45" spans="2:14" ht="9.75">
      <c r="B45" s="60" t="s">
        <v>41</v>
      </c>
      <c r="C45" s="93">
        <v>1</v>
      </c>
      <c r="D45" s="94">
        <v>1</v>
      </c>
      <c r="E45" s="94">
        <v>1</v>
      </c>
      <c r="F45" s="94">
        <v>1</v>
      </c>
      <c r="G45" s="94">
        <v>1</v>
      </c>
      <c r="H45" s="94">
        <v>1</v>
      </c>
      <c r="I45" s="94">
        <v>1</v>
      </c>
      <c r="J45" s="94">
        <v>1</v>
      </c>
      <c r="K45" s="94">
        <v>1</v>
      </c>
      <c r="L45" s="94">
        <v>1</v>
      </c>
      <c r="M45" s="94">
        <v>1</v>
      </c>
      <c r="N45" s="94">
        <v>1</v>
      </c>
    </row>
    <row r="46" spans="2:14" ht="9.75">
      <c r="B46" s="60" t="s">
        <v>42</v>
      </c>
      <c r="C46" s="93">
        <v>1</v>
      </c>
      <c r="D46" s="94">
        <v>1</v>
      </c>
      <c r="E46" s="94">
        <v>1</v>
      </c>
      <c r="F46" s="94">
        <v>1</v>
      </c>
      <c r="G46" s="94">
        <v>1</v>
      </c>
      <c r="H46" s="94">
        <v>1</v>
      </c>
      <c r="I46" s="94">
        <v>1</v>
      </c>
      <c r="J46" s="94">
        <v>1</v>
      </c>
      <c r="K46" s="94">
        <v>1</v>
      </c>
      <c r="L46" s="94">
        <v>1</v>
      </c>
      <c r="M46" s="94">
        <v>1</v>
      </c>
      <c r="N46" s="94">
        <v>1</v>
      </c>
    </row>
    <row r="47" spans="2:14" ht="9.75">
      <c r="B47" s="60" t="s">
        <v>43</v>
      </c>
      <c r="C47" s="93">
        <v>1</v>
      </c>
      <c r="D47" s="94">
        <v>1</v>
      </c>
      <c r="E47" s="94">
        <v>1</v>
      </c>
      <c r="F47" s="94">
        <v>1</v>
      </c>
      <c r="G47" s="94">
        <v>1</v>
      </c>
      <c r="H47" s="94">
        <v>1</v>
      </c>
      <c r="I47" s="94">
        <v>1</v>
      </c>
      <c r="J47" s="94">
        <v>1</v>
      </c>
      <c r="K47" s="94">
        <v>1</v>
      </c>
      <c r="L47" s="94">
        <v>1</v>
      </c>
      <c r="M47" s="94">
        <v>1</v>
      </c>
      <c r="N47" s="94">
        <v>1</v>
      </c>
    </row>
    <row r="48" spans="2:14" ht="9.75">
      <c r="B48" s="60" t="s">
        <v>22</v>
      </c>
      <c r="C48" s="93">
        <v>1</v>
      </c>
      <c r="D48" s="94">
        <v>1</v>
      </c>
      <c r="E48" s="94">
        <v>1</v>
      </c>
      <c r="F48" s="94">
        <v>1</v>
      </c>
      <c r="G48" s="94">
        <v>1</v>
      </c>
      <c r="H48" s="94">
        <v>1</v>
      </c>
      <c r="I48" s="94">
        <v>1</v>
      </c>
      <c r="J48" s="94">
        <v>1</v>
      </c>
      <c r="K48" s="94">
        <v>1</v>
      </c>
      <c r="L48" s="94">
        <v>1</v>
      </c>
      <c r="M48" s="94">
        <v>1</v>
      </c>
      <c r="N48" s="94">
        <v>1</v>
      </c>
    </row>
    <row r="49" spans="2:14" ht="9.75">
      <c r="B49" s="60" t="s">
        <v>44</v>
      </c>
      <c r="C49" s="93">
        <v>1</v>
      </c>
      <c r="D49" s="94">
        <v>1</v>
      </c>
      <c r="E49" s="94">
        <v>1</v>
      </c>
      <c r="F49" s="94">
        <v>1</v>
      </c>
      <c r="G49" s="94">
        <v>1</v>
      </c>
      <c r="H49" s="94">
        <v>1</v>
      </c>
      <c r="I49" s="94">
        <v>1</v>
      </c>
      <c r="J49" s="94">
        <v>1</v>
      </c>
      <c r="K49" s="94">
        <v>1</v>
      </c>
      <c r="L49" s="94">
        <v>1</v>
      </c>
      <c r="M49" s="94">
        <v>1</v>
      </c>
      <c r="N49" s="94">
        <v>1</v>
      </c>
    </row>
    <row r="50" spans="2:18" ht="12.75">
      <c r="B50" s="60" t="s">
        <v>45</v>
      </c>
      <c r="C50" s="93">
        <v>1</v>
      </c>
      <c r="D50" s="94">
        <v>1</v>
      </c>
      <c r="E50" s="94">
        <v>1</v>
      </c>
      <c r="F50" s="94">
        <v>1</v>
      </c>
      <c r="G50" s="94">
        <v>1</v>
      </c>
      <c r="H50" s="94">
        <v>1</v>
      </c>
      <c r="I50" s="94">
        <v>1</v>
      </c>
      <c r="J50" s="94">
        <v>1</v>
      </c>
      <c r="K50" s="94">
        <v>1</v>
      </c>
      <c r="L50" s="94">
        <v>1</v>
      </c>
      <c r="M50" s="94">
        <v>1</v>
      </c>
      <c r="N50" s="94">
        <v>1</v>
      </c>
      <c r="R50" s="142"/>
    </row>
    <row r="51" spans="3:18" ht="14.25" customHeight="1">
      <c r="C51" s="92"/>
      <c r="D51" s="94"/>
      <c r="E51" s="94"/>
      <c r="F51" s="94"/>
      <c r="G51" s="94"/>
      <c r="H51" s="94"/>
      <c r="I51" s="94"/>
      <c r="J51" s="94"/>
      <c r="K51" s="94"/>
      <c r="L51" s="94"/>
      <c r="M51" s="94"/>
      <c r="N51" s="94"/>
      <c r="P51" s="105"/>
      <c r="R51" s="142"/>
    </row>
    <row r="52" spans="1:18" ht="12.75">
      <c r="A52" s="60" t="s">
        <v>46</v>
      </c>
      <c r="C52" s="92">
        <f>+C65/C37</f>
        <v>0.9999999999999994</v>
      </c>
      <c r="D52" s="94">
        <v>1</v>
      </c>
      <c r="E52" s="94">
        <v>1</v>
      </c>
      <c r="F52" s="94">
        <v>1</v>
      </c>
      <c r="G52" s="94">
        <v>1</v>
      </c>
      <c r="H52" s="94">
        <v>1</v>
      </c>
      <c r="I52" s="94">
        <v>1</v>
      </c>
      <c r="J52" s="94">
        <v>1</v>
      </c>
      <c r="K52" s="94">
        <v>1</v>
      </c>
      <c r="L52" s="94">
        <v>1</v>
      </c>
      <c r="M52" s="94">
        <v>1</v>
      </c>
      <c r="N52" s="94">
        <v>1</v>
      </c>
      <c r="P52" s="53"/>
      <c r="R52" s="142"/>
    </row>
    <row r="53" spans="12:18" ht="12.75">
      <c r="L53" s="92"/>
      <c r="N53" s="94"/>
      <c r="P53" s="53"/>
      <c r="R53" s="142"/>
    </row>
    <row r="54" spans="1:18" ht="12.75">
      <c r="A54" s="78" t="s">
        <v>49</v>
      </c>
      <c r="L54" s="92"/>
      <c r="N54" s="94"/>
      <c r="P54" s="53"/>
      <c r="R54" s="142"/>
    </row>
    <row r="55" spans="2:18" ht="12.75">
      <c r="B55" s="60" t="s">
        <v>24</v>
      </c>
      <c r="C55" s="70">
        <f aca="true" t="shared" si="17" ref="C55:N55">+C27*C41</f>
        <v>120.1480668335783</v>
      </c>
      <c r="D55" s="70">
        <f t="shared" si="17"/>
        <v>115.08541173855488</v>
      </c>
      <c r="E55" s="70">
        <f t="shared" si="17"/>
        <v>108.62986419825553</v>
      </c>
      <c r="F55" s="70">
        <f t="shared" si="17"/>
        <v>113.2226402539609</v>
      </c>
      <c r="G55" s="70">
        <f t="shared" si="17"/>
        <v>123.56483054448277</v>
      </c>
      <c r="H55" s="70">
        <f t="shared" si="17"/>
        <v>116.06272593000203</v>
      </c>
      <c r="I55" s="70">
        <f t="shared" si="17"/>
        <v>95.36081766620322</v>
      </c>
      <c r="J55" s="70">
        <f t="shared" si="17"/>
        <v>115.99976409383824</v>
      </c>
      <c r="K55" s="70">
        <f t="shared" si="17"/>
        <v>123.56887252660138</v>
      </c>
      <c r="L55" s="70">
        <f t="shared" si="17"/>
        <v>95.02400384537724</v>
      </c>
      <c r="M55" s="70">
        <f t="shared" si="17"/>
        <v>108.08089113288413</v>
      </c>
      <c r="N55" s="70">
        <f t="shared" si="17"/>
        <v>113.14875381620699</v>
      </c>
      <c r="P55" s="53"/>
      <c r="R55" s="142"/>
    </row>
    <row r="56" spans="2:18" ht="12.75">
      <c r="B56" s="60" t="s">
        <v>28</v>
      </c>
      <c r="C56" s="70">
        <f aca="true" t="shared" si="18" ref="C56:N56">+C28*C42</f>
        <v>109.79684876791616</v>
      </c>
      <c r="D56" s="70">
        <f t="shared" si="18"/>
        <v>105.17036088107938</v>
      </c>
      <c r="E56" s="70">
        <f t="shared" si="18"/>
        <v>99.27098359040582</v>
      </c>
      <c r="F56" s="70">
        <f t="shared" si="18"/>
        <v>103.46807432438888</v>
      </c>
      <c r="G56" s="70">
        <f t="shared" si="18"/>
        <v>112.91924514372734</v>
      </c>
      <c r="H56" s="70">
        <f t="shared" si="18"/>
        <v>106.06347569603261</v>
      </c>
      <c r="I56" s="70">
        <f t="shared" si="18"/>
        <v>87.14511645188416</v>
      </c>
      <c r="J56" s="70">
        <f t="shared" si="18"/>
        <v>106.00593826421525</v>
      </c>
      <c r="K56" s="70">
        <f t="shared" si="18"/>
        <v>112.92293889354033</v>
      </c>
      <c r="L56" s="70">
        <f t="shared" si="18"/>
        <v>86.83732043716012</v>
      </c>
      <c r="M56" s="70">
        <f t="shared" si="18"/>
        <v>98.76930666605104</v>
      </c>
      <c r="N56" s="70">
        <f t="shared" si="18"/>
        <v>103.40055348742608</v>
      </c>
      <c r="P56" s="53"/>
      <c r="R56" s="142"/>
    </row>
    <row r="57" spans="2:18" ht="12.75">
      <c r="B57" s="60" t="s">
        <v>39</v>
      </c>
      <c r="C57" s="70">
        <f aca="true" t="shared" si="19" ref="C57:N57">+C29*C43</f>
        <v>0</v>
      </c>
      <c r="D57" s="70">
        <f t="shared" si="19"/>
        <v>0</v>
      </c>
      <c r="E57" s="70">
        <f t="shared" si="19"/>
        <v>0</v>
      </c>
      <c r="F57" s="70">
        <f t="shared" si="19"/>
        <v>0</v>
      </c>
      <c r="G57" s="70">
        <f t="shared" si="19"/>
        <v>0</v>
      </c>
      <c r="H57" s="70">
        <f t="shared" si="19"/>
        <v>0</v>
      </c>
      <c r="I57" s="70">
        <f t="shared" si="19"/>
        <v>0</v>
      </c>
      <c r="J57" s="70">
        <f t="shared" si="19"/>
        <v>0</v>
      </c>
      <c r="K57" s="70">
        <f t="shared" si="19"/>
        <v>0</v>
      </c>
      <c r="L57" s="70">
        <f t="shared" si="19"/>
        <v>0</v>
      </c>
      <c r="M57" s="70">
        <f t="shared" si="19"/>
        <v>0</v>
      </c>
      <c r="N57" s="70">
        <f t="shared" si="19"/>
        <v>0</v>
      </c>
      <c r="P57" s="53"/>
      <c r="R57" s="142"/>
    </row>
    <row r="58" spans="2:16" ht="12.75">
      <c r="B58" s="60" t="s">
        <v>40</v>
      </c>
      <c r="C58" s="70">
        <f aca="true" t="shared" si="20" ref="C58:N58">+C30*C44</f>
        <v>10.166374885918163</v>
      </c>
      <c r="D58" s="70">
        <f t="shared" si="20"/>
        <v>9.737996377877721</v>
      </c>
      <c r="E58" s="70">
        <f t="shared" si="20"/>
        <v>9.191757739852392</v>
      </c>
      <c r="F58" s="70">
        <f t="shared" si="20"/>
        <v>9.58037725225823</v>
      </c>
      <c r="G58" s="70">
        <f t="shared" si="20"/>
        <v>10.455485661456235</v>
      </c>
      <c r="H58" s="70">
        <f t="shared" si="20"/>
        <v>9.820692194077095</v>
      </c>
      <c r="I58" s="70">
        <f t="shared" si="20"/>
        <v>8.068992264063349</v>
      </c>
      <c r="J58" s="70">
        <f t="shared" si="20"/>
        <v>9.815364654094004</v>
      </c>
      <c r="K58" s="70">
        <f t="shared" si="20"/>
        <v>10.455827675327809</v>
      </c>
      <c r="L58" s="70">
        <f t="shared" si="20"/>
        <v>8.04049263307038</v>
      </c>
      <c r="M58" s="70">
        <f t="shared" si="20"/>
        <v>9.145306172782504</v>
      </c>
      <c r="N58" s="70">
        <f t="shared" si="20"/>
        <v>9.574125322909822</v>
      </c>
      <c r="P58" s="53"/>
    </row>
    <row r="59" spans="2:16" ht="12.75">
      <c r="B59" s="60" t="s">
        <v>41</v>
      </c>
      <c r="C59" s="70">
        <f aca="true" t="shared" si="21" ref="C59:N59">+C31*C45</f>
        <v>27.664862568347004</v>
      </c>
      <c r="D59" s="70">
        <f t="shared" si="21"/>
        <v>26.499153779800587</v>
      </c>
      <c r="E59" s="70">
        <f t="shared" si="21"/>
        <v>25.012722576931658</v>
      </c>
      <c r="F59" s="70">
        <f t="shared" si="21"/>
        <v>26.070238704629972</v>
      </c>
      <c r="G59" s="70">
        <f t="shared" si="21"/>
        <v>28.451594315114242</v>
      </c>
      <c r="H59" s="70">
        <f t="shared" si="21"/>
        <v>26.72418663721585</v>
      </c>
      <c r="I59" s="70">
        <f t="shared" si="21"/>
        <v>21.957439554936023</v>
      </c>
      <c r="J59" s="70">
        <f t="shared" si="21"/>
        <v>26.709689270837625</v>
      </c>
      <c r="K59" s="70">
        <f t="shared" si="21"/>
        <v>28.45252500740719</v>
      </c>
      <c r="L59" s="70">
        <f t="shared" si="21"/>
        <v>21.879886013627885</v>
      </c>
      <c r="M59" s="70">
        <f t="shared" si="21"/>
        <v>24.886318009571784</v>
      </c>
      <c r="N59" s="70">
        <f t="shared" si="21"/>
        <v>26.053225878706122</v>
      </c>
      <c r="P59" s="53"/>
    </row>
    <row r="60" spans="2:16" ht="9.75">
      <c r="B60" s="60" t="s">
        <v>42</v>
      </c>
      <c r="C60" s="95">
        <f aca="true" t="shared" si="22" ref="C60:N60">+C32*C46</f>
        <v>4.621079493599165</v>
      </c>
      <c r="D60" s="95">
        <f t="shared" si="22"/>
        <v>4.426361989944418</v>
      </c>
      <c r="E60" s="95">
        <f t="shared" si="22"/>
        <v>4.178071699932905</v>
      </c>
      <c r="F60" s="95">
        <f t="shared" si="22"/>
        <v>4.35471693284465</v>
      </c>
      <c r="G60" s="95">
        <f t="shared" si="22"/>
        <v>4.752493482480107</v>
      </c>
      <c r="H60" s="95">
        <f t="shared" si="22"/>
        <v>4.46395099730777</v>
      </c>
      <c r="I60" s="95">
        <f t="shared" si="22"/>
        <v>3.667723756392431</v>
      </c>
      <c r="J60" s="95">
        <f t="shared" si="22"/>
        <v>4.461529388224547</v>
      </c>
      <c r="K60" s="95">
        <f t="shared" si="22"/>
        <v>4.752648943330822</v>
      </c>
      <c r="L60" s="95">
        <f t="shared" si="22"/>
        <v>3.654769378668355</v>
      </c>
      <c r="M60" s="95">
        <f t="shared" si="22"/>
        <v>4.156957351264774</v>
      </c>
      <c r="N60" s="95">
        <f t="shared" si="22"/>
        <v>4.351875146777192</v>
      </c>
      <c r="P60" s="105"/>
    </row>
    <row r="61" spans="2:14" ht="9.75">
      <c r="B61" s="60" t="s">
        <v>43</v>
      </c>
      <c r="C61" s="70">
        <f aca="true" t="shared" si="23" ref="C61:N61">+C33*C47</f>
        <v>0</v>
      </c>
      <c r="D61" s="70">
        <f t="shared" si="23"/>
        <v>0</v>
      </c>
      <c r="E61" s="70">
        <f t="shared" si="23"/>
        <v>0</v>
      </c>
      <c r="F61" s="70">
        <f t="shared" si="23"/>
        <v>0</v>
      </c>
      <c r="G61" s="70">
        <f t="shared" si="23"/>
        <v>0</v>
      </c>
      <c r="H61" s="70">
        <f t="shared" si="23"/>
        <v>0</v>
      </c>
      <c r="I61" s="70">
        <f t="shared" si="23"/>
        <v>0</v>
      </c>
      <c r="J61" s="70">
        <f t="shared" si="23"/>
        <v>0</v>
      </c>
      <c r="K61" s="70">
        <f t="shared" si="23"/>
        <v>0</v>
      </c>
      <c r="L61" s="70">
        <f t="shared" si="23"/>
        <v>0</v>
      </c>
      <c r="M61" s="70">
        <f t="shared" si="23"/>
        <v>0</v>
      </c>
      <c r="N61" s="70">
        <f t="shared" si="23"/>
        <v>0</v>
      </c>
    </row>
    <row r="62" spans="2:14" ht="9.75">
      <c r="B62" s="60" t="s">
        <v>36</v>
      </c>
      <c r="C62" s="70">
        <f aca="true" t="shared" si="24" ref="C62:N62">+C34*C48</f>
        <v>108.93424726244433</v>
      </c>
      <c r="D62" s="70">
        <f t="shared" si="24"/>
        <v>104.34410664295643</v>
      </c>
      <c r="E62" s="70">
        <f t="shared" si="24"/>
        <v>98.49107687308502</v>
      </c>
      <c r="F62" s="70">
        <f t="shared" si="24"/>
        <v>102.65519383025789</v>
      </c>
      <c r="G62" s="70">
        <f t="shared" si="24"/>
        <v>112.03211302699772</v>
      </c>
      <c r="H62" s="70">
        <f t="shared" si="24"/>
        <v>105.23020484320185</v>
      </c>
      <c r="I62" s="70">
        <f t="shared" si="24"/>
        <v>86.46047468402425</v>
      </c>
      <c r="J62" s="70">
        <f t="shared" si="24"/>
        <v>105.17311944508</v>
      </c>
      <c r="K62" s="70">
        <f t="shared" si="24"/>
        <v>112.03577775745192</v>
      </c>
      <c r="L62" s="70">
        <f t="shared" si="24"/>
        <v>86.15509681980869</v>
      </c>
      <c r="M62" s="70">
        <f t="shared" si="24"/>
        <v>97.99334129381495</v>
      </c>
      <c r="N62" s="70">
        <f t="shared" si="24"/>
        <v>102.58820346002767</v>
      </c>
    </row>
    <row r="63" spans="2:14" ht="9.75">
      <c r="B63" s="60" t="s">
        <v>44</v>
      </c>
      <c r="C63" s="70">
        <f aca="true" t="shared" si="25" ref="C63:N63">+C35*C49</f>
        <v>0</v>
      </c>
      <c r="D63" s="70">
        <f t="shared" si="25"/>
        <v>0</v>
      </c>
      <c r="E63" s="70">
        <f t="shared" si="25"/>
        <v>0</v>
      </c>
      <c r="F63" s="70">
        <f t="shared" si="25"/>
        <v>0</v>
      </c>
      <c r="G63" s="70">
        <f t="shared" si="25"/>
        <v>0</v>
      </c>
      <c r="H63" s="70">
        <f t="shared" si="25"/>
        <v>0</v>
      </c>
      <c r="I63" s="70">
        <f t="shared" si="25"/>
        <v>0</v>
      </c>
      <c r="J63" s="70">
        <f t="shared" si="25"/>
        <v>0</v>
      </c>
      <c r="K63" s="70">
        <f t="shared" si="25"/>
        <v>0</v>
      </c>
      <c r="L63" s="70">
        <f t="shared" si="25"/>
        <v>0</v>
      </c>
      <c r="M63" s="70">
        <f t="shared" si="25"/>
        <v>0</v>
      </c>
      <c r="N63" s="70">
        <f t="shared" si="25"/>
        <v>0</v>
      </c>
    </row>
    <row r="64" spans="2:14" ht="9.75">
      <c r="B64" s="60" t="s">
        <v>45</v>
      </c>
      <c r="C64" s="70">
        <f aca="true" t="shared" si="26" ref="C64:N64">+C36*C50</f>
        <v>36.53733519605748</v>
      </c>
      <c r="D64" s="70">
        <f t="shared" si="26"/>
        <v>34.997768800493944</v>
      </c>
      <c r="E64" s="70">
        <f t="shared" si="26"/>
        <v>33.03462024080291</v>
      </c>
      <c r="F64" s="70">
        <f t="shared" si="26"/>
        <v>34.431295215691776</v>
      </c>
      <c r="G64" s="70">
        <f t="shared" si="26"/>
        <v>37.576381801476124</v>
      </c>
      <c r="H64" s="70">
        <f t="shared" si="26"/>
        <v>35.29497255204685</v>
      </c>
      <c r="I64" s="70">
        <f t="shared" si="26"/>
        <v>28.99946916720955</v>
      </c>
      <c r="J64" s="70">
        <f t="shared" si="26"/>
        <v>35.27582569622883</v>
      </c>
      <c r="K64" s="70">
        <f t="shared" si="26"/>
        <v>37.57761097860245</v>
      </c>
      <c r="L64" s="70">
        <f t="shared" si="26"/>
        <v>28.89704322067119</v>
      </c>
      <c r="M64" s="70">
        <f t="shared" si="26"/>
        <v>32.86767612400022</v>
      </c>
      <c r="N64" s="70">
        <f t="shared" si="26"/>
        <v>34.40882616051841</v>
      </c>
    </row>
    <row r="65" spans="2:14" ht="9.75">
      <c r="B65" s="60" t="s">
        <v>46</v>
      </c>
      <c r="C65" s="87">
        <f aca="true" t="shared" si="27" ref="C65:N65">+C7-SUM(C55:C64)</f>
        <v>198.27511747202806</v>
      </c>
      <c r="D65" s="87">
        <f t="shared" si="27"/>
        <v>189.9204384485484</v>
      </c>
      <c r="E65" s="87">
        <f t="shared" si="27"/>
        <v>179.26712973845446</v>
      </c>
      <c r="F65" s="87">
        <f t="shared" si="27"/>
        <v>186.84638786525437</v>
      </c>
      <c r="G65" s="87">
        <f t="shared" si="27"/>
        <v>203.91365368827968</v>
      </c>
      <c r="H65" s="87">
        <f t="shared" si="27"/>
        <v>191.53325745781865</v>
      </c>
      <c r="I65" s="87">
        <f t="shared" si="27"/>
        <v>157.36980064094445</v>
      </c>
      <c r="J65" s="87">
        <f t="shared" si="27"/>
        <v>191.42935428408782</v>
      </c>
      <c r="K65" s="87">
        <f t="shared" si="27"/>
        <v>203.9203239951811</v>
      </c>
      <c r="L65" s="87">
        <f t="shared" si="27"/>
        <v>156.81397147406346</v>
      </c>
      <c r="M65" s="87">
        <f t="shared" si="27"/>
        <v>178.36118341826716</v>
      </c>
      <c r="N65" s="87">
        <f t="shared" si="27"/>
        <v>186.72445629771994</v>
      </c>
    </row>
    <row r="66" spans="3:14" ht="13.5" customHeight="1">
      <c r="C66" s="70">
        <f aca="true" t="shared" si="28" ref="C66:N66">SUM(C55:C65)</f>
        <v>616.1439324798887</v>
      </c>
      <c r="D66" s="70">
        <f t="shared" si="28"/>
        <v>590.1815986592558</v>
      </c>
      <c r="E66" s="70">
        <f t="shared" si="28"/>
        <v>557.0762266577207</v>
      </c>
      <c r="F66" s="70">
        <f t="shared" si="28"/>
        <v>580.6289243792867</v>
      </c>
      <c r="G66" s="70">
        <f t="shared" si="28"/>
        <v>633.6657976640142</v>
      </c>
      <c r="H66" s="70">
        <f t="shared" si="28"/>
        <v>595.1934663077027</v>
      </c>
      <c r="I66" s="70">
        <f t="shared" si="28"/>
        <v>489.0298341856575</v>
      </c>
      <c r="J66" s="70">
        <f t="shared" si="28"/>
        <v>594.8705850966063</v>
      </c>
      <c r="K66" s="70">
        <f t="shared" si="28"/>
        <v>633.686525777443</v>
      </c>
      <c r="L66" s="70">
        <f t="shared" si="28"/>
        <v>487.30258382244733</v>
      </c>
      <c r="M66" s="70">
        <f t="shared" si="28"/>
        <v>554.2609801686366</v>
      </c>
      <c r="N66" s="70">
        <f t="shared" si="28"/>
        <v>580.2500195702922</v>
      </c>
    </row>
    <row r="67" spans="16:20" ht="9.75" customHeight="1">
      <c r="P67" s="137" t="s">
        <v>80</v>
      </c>
      <c r="S67" s="63"/>
      <c r="T67" s="63" t="s">
        <v>69</v>
      </c>
    </row>
    <row r="68" spans="1:20" ht="12.75">
      <c r="A68" s="96" t="s">
        <v>50</v>
      </c>
      <c r="P68" s="137" t="s">
        <v>75</v>
      </c>
      <c r="R68" s="60" t="s">
        <v>70</v>
      </c>
      <c r="S68" s="143" t="s">
        <v>71</v>
      </c>
      <c r="T68" s="131" t="str">
        <f>TEXT(C6,"mm/yy")&amp;" - "&amp;TEXT(N6,"mm/yy")</f>
        <v>05/14 - 04/15</v>
      </c>
    </row>
    <row r="69" spans="2:21" ht="11.25">
      <c r="B69" s="60" t="s">
        <v>24</v>
      </c>
      <c r="C69" s="97">
        <v>75.1</v>
      </c>
      <c r="D69" s="97">
        <v>73.85</v>
      </c>
      <c r="E69" s="97">
        <v>74.45</v>
      </c>
      <c r="F69" s="97">
        <v>73.7</v>
      </c>
      <c r="G69" s="97">
        <v>67.00399999999999</v>
      </c>
      <c r="H69" s="97">
        <v>68.453</v>
      </c>
      <c r="I69" s="97">
        <v>63.75599999999999</v>
      </c>
      <c r="J69" s="97">
        <v>60.78099999999999</v>
      </c>
      <c r="K69" s="97">
        <v>59.101</v>
      </c>
      <c r="L69" s="97">
        <v>58.51999999999999</v>
      </c>
      <c r="M69" s="97">
        <v>59.919999999999995</v>
      </c>
      <c r="N69" s="97">
        <v>61.285</v>
      </c>
      <c r="P69" s="138">
        <f aca="true" t="shared" si="29" ref="P69:P79">AVERAGE(C69:N69)</f>
        <v>66.32666666666664</v>
      </c>
      <c r="R69" s="60" t="str">
        <f>+B69</f>
        <v>ONP</v>
      </c>
      <c r="S69" s="132">
        <f>'[7]Single Family'!$N69*N13</f>
        <v>14.37345</v>
      </c>
      <c r="T69" s="133">
        <f>P69*N13</f>
        <v>12.933699999999995</v>
      </c>
      <c r="U69" s="102">
        <f>+T69-S69</f>
        <v>-1.4397500000000054</v>
      </c>
    </row>
    <row r="70" spans="2:21" ht="11.25">
      <c r="B70" s="60" t="s">
        <v>28</v>
      </c>
      <c r="C70" s="97">
        <v>99.53</v>
      </c>
      <c r="D70" s="97">
        <v>95.65</v>
      </c>
      <c r="E70" s="97">
        <v>101.64</v>
      </c>
      <c r="F70" s="97">
        <v>98.99</v>
      </c>
      <c r="G70" s="97">
        <v>91.476</v>
      </c>
      <c r="H70" s="97">
        <v>95.333</v>
      </c>
      <c r="I70" s="97">
        <v>93.1</v>
      </c>
      <c r="J70" s="97">
        <v>88.648</v>
      </c>
      <c r="K70" s="97">
        <v>85.645</v>
      </c>
      <c r="L70" s="97">
        <v>73.444</v>
      </c>
      <c r="M70" s="97">
        <v>71.743</v>
      </c>
      <c r="N70" s="97">
        <v>80.04499999999999</v>
      </c>
      <c r="P70" s="138">
        <f t="shared" si="29"/>
        <v>89.60366666666668</v>
      </c>
      <c r="R70" s="60" t="str">
        <f aca="true" t="shared" si="30" ref="R70:R79">+B70</f>
        <v>OCC</v>
      </c>
      <c r="S70" s="132">
        <f>'[7]Single Family'!$N70*N14</f>
        <v>17.5796082</v>
      </c>
      <c r="T70" s="133">
        <f>P70*N14</f>
        <v>15.967373400000003</v>
      </c>
      <c r="U70" s="102">
        <f aca="true" t="shared" si="31" ref="U70:U80">+T70-S70</f>
        <v>-1.612234799999996</v>
      </c>
    </row>
    <row r="71" spans="2:21" ht="11.25">
      <c r="B71" s="60" t="s">
        <v>39</v>
      </c>
      <c r="C71" s="141">
        <v>0</v>
      </c>
      <c r="D71" s="141">
        <v>0</v>
      </c>
      <c r="E71" s="141">
        <v>0</v>
      </c>
      <c r="F71" s="141">
        <v>0</v>
      </c>
      <c r="G71" s="97"/>
      <c r="H71" s="97"/>
      <c r="I71" s="97" t="s">
        <v>77</v>
      </c>
      <c r="J71" s="97">
        <v>0</v>
      </c>
      <c r="K71" s="97"/>
      <c r="L71" s="97"/>
      <c r="M71" s="97"/>
      <c r="N71" s="97"/>
      <c r="P71" s="138">
        <f t="shared" si="29"/>
        <v>0</v>
      </c>
      <c r="R71" s="60" t="str">
        <f t="shared" si="30"/>
        <v>Magazines</v>
      </c>
      <c r="S71" s="132">
        <f>'[7]Single Family'!$N71*N15</f>
        <v>0</v>
      </c>
      <c r="T71" s="133">
        <f aca="true" t="shared" si="32" ref="T71:T79">P71*N15</f>
        <v>0</v>
      </c>
      <c r="U71" s="102">
        <f t="shared" si="31"/>
        <v>0</v>
      </c>
    </row>
    <row r="72" spans="2:21" ht="11.25">
      <c r="B72" s="60" t="s">
        <v>40</v>
      </c>
      <c r="C72" s="97">
        <v>80.19</v>
      </c>
      <c r="D72" s="97">
        <v>74.19</v>
      </c>
      <c r="E72" s="97">
        <v>73.75</v>
      </c>
      <c r="F72" s="97">
        <v>73.26</v>
      </c>
      <c r="G72" s="97">
        <v>76.70599999999999</v>
      </c>
      <c r="H72" s="97">
        <v>61.949999999999996</v>
      </c>
      <c r="I72" s="97">
        <v>52.857</v>
      </c>
      <c r="J72" s="97">
        <v>53.297999999999995</v>
      </c>
      <c r="K72" s="97">
        <v>53.025</v>
      </c>
      <c r="L72" s="97">
        <v>39.095</v>
      </c>
      <c r="M72" s="97">
        <v>39.753</v>
      </c>
      <c r="N72" s="97">
        <v>39.269999999999996</v>
      </c>
      <c r="P72" s="138">
        <f t="shared" si="29"/>
        <v>59.77866666666667</v>
      </c>
      <c r="R72" s="60" t="str">
        <f t="shared" si="30"/>
        <v>Tin</v>
      </c>
      <c r="S72" s="132">
        <f>'[7]Single Family'!$N72*N16</f>
        <v>1.3476540000000001</v>
      </c>
      <c r="T72" s="133">
        <f t="shared" si="32"/>
        <v>0.9863480000000001</v>
      </c>
      <c r="U72" s="102">
        <f t="shared" si="31"/>
        <v>-0.361306</v>
      </c>
    </row>
    <row r="73" spans="2:21" ht="11.25">
      <c r="B73" s="60" t="s">
        <v>41</v>
      </c>
      <c r="C73" s="97">
        <v>189.1</v>
      </c>
      <c r="D73" s="97">
        <v>190.61</v>
      </c>
      <c r="E73" s="97">
        <v>213.81</v>
      </c>
      <c r="F73" s="97">
        <v>216.37</v>
      </c>
      <c r="G73" s="97">
        <v>238.16799999999998</v>
      </c>
      <c r="H73" s="97">
        <v>230.12499999999997</v>
      </c>
      <c r="I73" s="97">
        <v>209.377</v>
      </c>
      <c r="J73" s="97">
        <v>171.57</v>
      </c>
      <c r="K73" s="97">
        <v>130.49399999999997</v>
      </c>
      <c r="L73" s="97">
        <v>104.237</v>
      </c>
      <c r="M73" s="97">
        <v>119.26599999999999</v>
      </c>
      <c r="N73" s="97">
        <v>143.15699999999998</v>
      </c>
      <c r="P73" s="138">
        <f t="shared" si="29"/>
        <v>179.69033333333334</v>
      </c>
      <c r="R73" s="60" t="str">
        <f t="shared" si="30"/>
        <v>Plastic</v>
      </c>
      <c r="S73" s="132">
        <f>'[7]Single Family'!$N73*N17</f>
        <v>7.959961799999999</v>
      </c>
      <c r="T73" s="133">
        <f t="shared" si="32"/>
        <v>8.068095966666668</v>
      </c>
      <c r="U73" s="102">
        <f t="shared" si="31"/>
        <v>0.10813416666666864</v>
      </c>
    </row>
    <row r="74" spans="2:21" ht="11.25">
      <c r="B74" s="60" t="s">
        <v>42</v>
      </c>
      <c r="C74" s="97">
        <v>1078.01</v>
      </c>
      <c r="D74" s="97">
        <v>1048.72</v>
      </c>
      <c r="E74" s="97">
        <v>1082.54</v>
      </c>
      <c r="F74" s="97">
        <v>1138.19</v>
      </c>
      <c r="G74" s="97">
        <v>1150.8559999999998</v>
      </c>
      <c r="H74" s="97">
        <v>1124.487</v>
      </c>
      <c r="I74" s="97">
        <v>1232</v>
      </c>
      <c r="J74" s="97">
        <v>1190</v>
      </c>
      <c r="K74" s="97">
        <v>1106</v>
      </c>
      <c r="L74" s="97">
        <v>1095.4089999999999</v>
      </c>
      <c r="M74" s="97">
        <v>1041.194</v>
      </c>
      <c r="N74" s="97">
        <v>970.333</v>
      </c>
      <c r="P74" s="138">
        <f t="shared" si="29"/>
        <v>1104.8115833333334</v>
      </c>
      <c r="R74" s="60" t="str">
        <f t="shared" si="30"/>
        <v>Aluminum</v>
      </c>
      <c r="S74" s="132">
        <f>'[7]Single Family'!$N74*N18</f>
        <v>8.19</v>
      </c>
      <c r="T74" s="133">
        <f t="shared" si="32"/>
        <v>8.286086875</v>
      </c>
      <c r="U74" s="102">
        <f t="shared" si="31"/>
        <v>0.09608687500000102</v>
      </c>
    </row>
    <row r="75" spans="2:21" ht="11.25">
      <c r="B75" s="60" t="s">
        <v>43</v>
      </c>
      <c r="C75" s="141">
        <v>0</v>
      </c>
      <c r="D75" s="141">
        <v>0</v>
      </c>
      <c r="E75" s="141">
        <v>0</v>
      </c>
      <c r="F75" s="141">
        <v>0</v>
      </c>
      <c r="G75" s="97"/>
      <c r="H75" s="97"/>
      <c r="I75" s="97" t="s">
        <v>77</v>
      </c>
      <c r="J75" s="97">
        <v>0</v>
      </c>
      <c r="K75" s="97"/>
      <c r="L75" s="97"/>
      <c r="M75" s="97"/>
      <c r="N75" s="97"/>
      <c r="P75" s="138">
        <f t="shared" si="29"/>
        <v>0</v>
      </c>
      <c r="R75" s="60" t="str">
        <f t="shared" si="30"/>
        <v>Ferris Metal</v>
      </c>
      <c r="S75" s="132">
        <f>'[7]Single Family'!$N75*N19</f>
        <v>0</v>
      </c>
      <c r="T75" s="133">
        <f t="shared" si="32"/>
        <v>0</v>
      </c>
      <c r="U75" s="102">
        <f t="shared" si="31"/>
        <v>0</v>
      </c>
    </row>
    <row r="76" spans="2:21" ht="11.25">
      <c r="B76" s="60" t="s">
        <v>36</v>
      </c>
      <c r="C76" s="97">
        <v>-15.18</v>
      </c>
      <c r="D76" s="97">
        <v>-6.98</v>
      </c>
      <c r="E76" s="97">
        <v>-7.6</v>
      </c>
      <c r="F76" s="97">
        <v>-8.71</v>
      </c>
      <c r="G76" s="97">
        <v>2.6</v>
      </c>
      <c r="H76" s="97">
        <v>0.9939999999999999</v>
      </c>
      <c r="I76" s="97">
        <v>-2.9539999999999997</v>
      </c>
      <c r="J76" s="97">
        <v>-4.7669999999999995</v>
      </c>
      <c r="K76" s="97">
        <v>-3.9339999999999997</v>
      </c>
      <c r="L76" s="97">
        <v>-9.113999999999999</v>
      </c>
      <c r="M76" s="97">
        <v>-5.194</v>
      </c>
      <c r="N76" s="97">
        <v>-13.93</v>
      </c>
      <c r="P76" s="138">
        <f t="shared" si="29"/>
        <v>-6.23075</v>
      </c>
      <c r="R76" s="60" t="str">
        <f t="shared" si="30"/>
        <v>Sorted Glass</v>
      </c>
      <c r="S76" s="132">
        <f>'[7]Single Family'!$N76*N20</f>
        <v>-3.1382000000000003</v>
      </c>
      <c r="T76" s="133">
        <f t="shared" si="32"/>
        <v>-1.1015966</v>
      </c>
      <c r="U76" s="102">
        <f t="shared" si="31"/>
        <v>2.0366034000000006</v>
      </c>
    </row>
    <row r="77" spans="2:21" ht="11.25">
      <c r="B77" s="60" t="s">
        <v>44</v>
      </c>
      <c r="C77" s="97">
        <v>-120.17</v>
      </c>
      <c r="D77" s="97">
        <v>-120.17</v>
      </c>
      <c r="E77" s="97">
        <v>-120.71</v>
      </c>
      <c r="F77" s="97">
        <v>-120.17</v>
      </c>
      <c r="G77" s="97">
        <v>-120.17</v>
      </c>
      <c r="H77" s="97">
        <v>-120.17</v>
      </c>
      <c r="I77" s="97">
        <v>-120.17</v>
      </c>
      <c r="J77" s="97">
        <v>-120.17</v>
      </c>
      <c r="K77" s="97">
        <v>-120.17</v>
      </c>
      <c r="L77" s="97">
        <v>-120.17</v>
      </c>
      <c r="M77" s="97">
        <v>-120.17</v>
      </c>
      <c r="N77" s="97">
        <v>-120.17</v>
      </c>
      <c r="P77" s="138">
        <f t="shared" si="29"/>
        <v>-120.21500000000002</v>
      </c>
      <c r="R77" s="60" t="str">
        <f t="shared" si="30"/>
        <v>Glass Contamination</v>
      </c>
      <c r="S77" s="132">
        <f>'[7]Single Family'!$N77*N21</f>
        <v>0</v>
      </c>
      <c r="T77" s="133">
        <f t="shared" si="32"/>
        <v>0</v>
      </c>
      <c r="U77" s="102">
        <f t="shared" si="31"/>
        <v>0</v>
      </c>
    </row>
    <row r="78" spans="2:21" ht="11.25">
      <c r="B78" s="60" t="s">
        <v>45</v>
      </c>
      <c r="C78" s="97">
        <v>-120.17</v>
      </c>
      <c r="D78" s="97">
        <v>-120.17</v>
      </c>
      <c r="E78" s="97">
        <v>-120.17</v>
      </c>
      <c r="F78" s="97">
        <v>-120.17</v>
      </c>
      <c r="G78" s="97">
        <v>-120.17</v>
      </c>
      <c r="H78" s="97">
        <v>-120.17</v>
      </c>
      <c r="I78" s="97">
        <v>-120.17</v>
      </c>
      <c r="J78" s="97">
        <v>-120.17</v>
      </c>
      <c r="K78" s="97">
        <v>-120.17</v>
      </c>
      <c r="L78" s="97">
        <v>-120.17</v>
      </c>
      <c r="M78" s="97">
        <v>-120.17</v>
      </c>
      <c r="N78" s="97">
        <v>-120.17</v>
      </c>
      <c r="P78" s="138">
        <f t="shared" si="29"/>
        <v>-120.17000000000002</v>
      </c>
      <c r="R78" s="60" t="str">
        <f t="shared" si="30"/>
        <v>Trash</v>
      </c>
      <c r="S78" s="132">
        <f>'[7]Single Family'!$N78*N22</f>
        <v>-7.126081000000016</v>
      </c>
      <c r="T78" s="133">
        <f t="shared" si="32"/>
        <v>-7.126081000000017</v>
      </c>
      <c r="U78" s="102">
        <f t="shared" si="31"/>
        <v>0</v>
      </c>
    </row>
    <row r="79" spans="2:21" ht="12" thickBot="1">
      <c r="B79" s="60" t="s">
        <v>46</v>
      </c>
      <c r="C79" s="97">
        <v>70.07</v>
      </c>
      <c r="D79" s="97">
        <v>68.36</v>
      </c>
      <c r="E79" s="97">
        <v>68.42</v>
      </c>
      <c r="F79" s="97">
        <v>68.02</v>
      </c>
      <c r="G79" s="97">
        <v>62.811</v>
      </c>
      <c r="H79" s="97">
        <v>60.71799999999999</v>
      </c>
      <c r="I79" s="97">
        <v>56.370999999999995</v>
      </c>
      <c r="J79" s="97">
        <v>53.717999999999996</v>
      </c>
      <c r="K79" s="97">
        <v>53.25599999999999</v>
      </c>
      <c r="L79" s="97">
        <v>51.967999999999996</v>
      </c>
      <c r="M79" s="97">
        <v>56.06999999999999</v>
      </c>
      <c r="N79" s="97">
        <v>56.06999999999999</v>
      </c>
      <c r="O79" s="102">
        <f>SUM(C69:N79)</f>
        <v>15768.994000000015</v>
      </c>
      <c r="P79" s="138">
        <f t="shared" si="29"/>
        <v>60.487666666666655</v>
      </c>
      <c r="R79" s="60" t="str">
        <f t="shared" si="30"/>
        <v>Mixed Paper</v>
      </c>
      <c r="S79" s="132">
        <f>'[7]Single Family'!$N79*N23</f>
        <v>22.278214</v>
      </c>
      <c r="T79" s="133">
        <f t="shared" si="32"/>
        <v>19.464931133333327</v>
      </c>
      <c r="U79" s="102">
        <f t="shared" si="31"/>
        <v>-2.813282866666672</v>
      </c>
    </row>
    <row r="80" spans="18:21" ht="11.25" customHeight="1" thickBot="1">
      <c r="R80" s="134" t="s">
        <v>72</v>
      </c>
      <c r="S80" s="135">
        <v>60.539289591666645</v>
      </c>
      <c r="T80" s="136">
        <f>SUMPRODUCT(P69:P79,N13:N23)</f>
        <v>57.47885777499998</v>
      </c>
      <c r="U80" s="102">
        <f t="shared" si="31"/>
        <v>-3.0604318166666644</v>
      </c>
    </row>
    <row r="81" spans="1:20" ht="9.75">
      <c r="A81" s="78" t="s">
        <v>51</v>
      </c>
      <c r="Q81" s="89"/>
      <c r="R81" s="89"/>
      <c r="S81" s="89"/>
      <c r="T81" s="89"/>
    </row>
    <row r="82" spans="2:20" ht="9.75">
      <c r="B82" s="60" t="s">
        <v>24</v>
      </c>
      <c r="C82" s="73">
        <f aca="true" t="shared" si="33" ref="C82:N82">+C69*C55</f>
        <v>9023.11981920173</v>
      </c>
      <c r="D82" s="70">
        <f t="shared" si="33"/>
        <v>8499.057656892277</v>
      </c>
      <c r="E82" s="70">
        <f t="shared" si="33"/>
        <v>8087.493389560124</v>
      </c>
      <c r="F82" s="70">
        <f t="shared" si="33"/>
        <v>8344.508586716918</v>
      </c>
      <c r="G82" s="70">
        <f t="shared" si="33"/>
        <v>8279.337905802522</v>
      </c>
      <c r="H82" s="70">
        <f t="shared" si="33"/>
        <v>7944.841778086429</v>
      </c>
      <c r="I82" s="70">
        <f t="shared" si="33"/>
        <v>6079.8242911264515</v>
      </c>
      <c r="J82" s="70">
        <f t="shared" si="33"/>
        <v>7050.581661387581</v>
      </c>
      <c r="K82" s="70">
        <f t="shared" si="33"/>
        <v>7303.043935194668</v>
      </c>
      <c r="L82" s="70">
        <f t="shared" si="33"/>
        <v>5560.804705031474</v>
      </c>
      <c r="M82" s="70">
        <f t="shared" si="33"/>
        <v>6476.2069966824165</v>
      </c>
      <c r="N82" s="70">
        <f t="shared" si="33"/>
        <v>6934.321377626245</v>
      </c>
      <c r="Q82" s="89" t="s">
        <v>73</v>
      </c>
      <c r="R82" s="89"/>
      <c r="S82" s="89"/>
      <c r="T82" s="144">
        <f>+T80-S80</f>
        <v>-3.0604318166666644</v>
      </c>
    </row>
    <row r="83" spans="2:20" ht="9.75">
      <c r="B83" s="60" t="s">
        <v>28</v>
      </c>
      <c r="C83" s="73">
        <f aca="true" t="shared" si="34" ref="C83:N83">+C70*C56</f>
        <v>10928.080357870696</v>
      </c>
      <c r="D83" s="70">
        <f t="shared" si="34"/>
        <v>10059.545018275243</v>
      </c>
      <c r="E83" s="70">
        <f t="shared" si="34"/>
        <v>10089.902772128848</v>
      </c>
      <c r="F83" s="70">
        <f t="shared" si="34"/>
        <v>10242.304677371254</v>
      </c>
      <c r="G83" s="70">
        <f t="shared" si="34"/>
        <v>10329.400868767601</v>
      </c>
      <c r="H83" s="70">
        <f t="shared" si="34"/>
        <v>10111.349328529877</v>
      </c>
      <c r="I83" s="70">
        <f t="shared" si="34"/>
        <v>8113.210341670415</v>
      </c>
      <c r="J83" s="70">
        <f>+J70*J56</f>
        <v>9397.214415246153</v>
      </c>
      <c r="K83" s="70">
        <f t="shared" si="34"/>
        <v>9671.285101537262</v>
      </c>
      <c r="L83" s="70">
        <f t="shared" si="34"/>
        <v>6377.680162186788</v>
      </c>
      <c r="M83" s="70">
        <f t="shared" si="34"/>
        <v>7086.006368142499</v>
      </c>
      <c r="N83" s="70">
        <f t="shared" si="34"/>
        <v>8276.697303901019</v>
      </c>
      <c r="Q83" s="89" t="s">
        <v>78</v>
      </c>
      <c r="R83" s="89"/>
      <c r="S83" s="89"/>
      <c r="T83" s="145">
        <f>SUM(C7:N7,'[4]Multi_Family'!$C$7:$N$7,'[3]Single Family'!$C$7:$N$7,'[2]Multi_Family'!$C$7:$N$7,'[5]Multi_Family'!$C$7:$N$7,'[6]Single Family'!$C$7:$N$7)</f>
        <v>13239.663104642757</v>
      </c>
    </row>
    <row r="84" spans="2:20" ht="9.75">
      <c r="B84" s="60" t="s">
        <v>39</v>
      </c>
      <c r="C84" s="70">
        <f>+C71*C57</f>
        <v>0</v>
      </c>
      <c r="D84" s="70">
        <f>+D71*D57</f>
        <v>0</v>
      </c>
      <c r="E84" s="70" t="s">
        <v>77</v>
      </c>
      <c r="F84" s="70" t="s">
        <v>77</v>
      </c>
      <c r="G84" s="70" t="s">
        <v>77</v>
      </c>
      <c r="H84" s="70" t="s">
        <v>77</v>
      </c>
      <c r="I84" s="70" t="s">
        <v>77</v>
      </c>
      <c r="J84" s="70" t="s">
        <v>77</v>
      </c>
      <c r="K84" s="70" t="s">
        <v>77</v>
      </c>
      <c r="L84" s="70" t="s">
        <v>77</v>
      </c>
      <c r="M84" s="70" t="s">
        <v>77</v>
      </c>
      <c r="N84" s="70" t="s">
        <v>77</v>
      </c>
      <c r="Q84" s="146" t="s">
        <v>79</v>
      </c>
      <c r="R84" s="146"/>
      <c r="S84" s="89"/>
      <c r="T84" s="148">
        <f>T83/12</f>
        <v>1103.3052587202299</v>
      </c>
    </row>
    <row r="85" spans="2:20" ht="9.75">
      <c r="B85" s="60" t="s">
        <v>40</v>
      </c>
      <c r="C85" s="73">
        <f aca="true" t="shared" si="35" ref="C85:N85">+C72*C58</f>
        <v>815.2416021017775</v>
      </c>
      <c r="D85" s="70">
        <f t="shared" si="35"/>
        <v>722.4619512747481</v>
      </c>
      <c r="E85" s="70">
        <f t="shared" si="35"/>
        <v>677.8921333141138</v>
      </c>
      <c r="F85" s="70">
        <f t="shared" si="35"/>
        <v>701.8584375004381</v>
      </c>
      <c r="G85" s="70">
        <f t="shared" si="35"/>
        <v>801.9984831476619</v>
      </c>
      <c r="H85" s="70">
        <f t="shared" si="35"/>
        <v>608.391881423076</v>
      </c>
      <c r="I85" s="70">
        <f t="shared" si="35"/>
        <v>426.5027241015964</v>
      </c>
      <c r="J85" s="70">
        <f>+J72*J58</f>
        <v>523.1393053339021</v>
      </c>
      <c r="K85" s="70">
        <f t="shared" si="35"/>
        <v>554.420262484257</v>
      </c>
      <c r="L85" s="70">
        <f t="shared" si="35"/>
        <v>314.3430594898865</v>
      </c>
      <c r="M85" s="70">
        <f t="shared" si="35"/>
        <v>363.5533562866229</v>
      </c>
      <c r="N85" s="70">
        <f t="shared" si="35"/>
        <v>375.97590143066867</v>
      </c>
      <c r="Q85" s="89" t="s">
        <v>74</v>
      </c>
      <c r="R85" s="89"/>
      <c r="S85" s="89"/>
      <c r="T85" s="147">
        <f>+T82*T83</f>
        <v>-40519.086207396445</v>
      </c>
    </row>
    <row r="86" spans="2:20" ht="9.75">
      <c r="B86" s="60" t="s">
        <v>41</v>
      </c>
      <c r="C86" s="73">
        <f aca="true" t="shared" si="36" ref="C86:N86">+C73*C59</f>
        <v>5231.425511674418</v>
      </c>
      <c r="D86" s="70">
        <f t="shared" si="36"/>
        <v>5051.00370196779</v>
      </c>
      <c r="E86" s="70">
        <f t="shared" si="36"/>
        <v>5347.970214173758</v>
      </c>
      <c r="F86" s="70">
        <f t="shared" si="36"/>
        <v>5640.817548520788</v>
      </c>
      <c r="G86" s="70">
        <f t="shared" si="36"/>
        <v>6776.259314842128</v>
      </c>
      <c r="H86" s="70">
        <f t="shared" si="36"/>
        <v>6149.903449889297</v>
      </c>
      <c r="I86" s="70">
        <f t="shared" si="36"/>
        <v>4597.38282169384</v>
      </c>
      <c r="J86" s="70">
        <f>+J73*J59</f>
        <v>4582.581388197611</v>
      </c>
      <c r="K86" s="70">
        <f t="shared" si="36"/>
        <v>3712.883798316593</v>
      </c>
      <c r="L86" s="70">
        <f t="shared" si="36"/>
        <v>2280.6936784025297</v>
      </c>
      <c r="M86" s="70">
        <f t="shared" si="36"/>
        <v>2968.0916037295883</v>
      </c>
      <c r="N86" s="70">
        <f t="shared" si="36"/>
        <v>3729.701657117932</v>
      </c>
      <c r="Q86" s="89"/>
      <c r="R86" s="89"/>
      <c r="S86" s="89"/>
      <c r="T86" s="89"/>
    </row>
    <row r="87" spans="2:14" ht="9.75">
      <c r="B87" s="60" t="s">
        <v>42</v>
      </c>
      <c r="C87" s="73">
        <f aca="true" t="shared" si="37" ref="C87:N87">+C74*C60</f>
        <v>4981.569904894835</v>
      </c>
      <c r="D87" s="70">
        <f t="shared" si="37"/>
        <v>4642.01434609451</v>
      </c>
      <c r="E87" s="70">
        <f t="shared" si="37"/>
        <v>4522.929738045366</v>
      </c>
      <c r="F87" s="70">
        <f t="shared" si="37"/>
        <v>4956.495265794452</v>
      </c>
      <c r="G87" s="70">
        <f t="shared" si="37"/>
        <v>5469.435639273125</v>
      </c>
      <c r="H87" s="70">
        <f t="shared" si="37"/>
        <v>5019.654865109623</v>
      </c>
      <c r="I87" s="70">
        <f t="shared" si="37"/>
        <v>4518.635667875475</v>
      </c>
      <c r="J87" s="70">
        <f>+J74*J60</f>
        <v>5309.2199719872115</v>
      </c>
      <c r="K87" s="70">
        <f t="shared" si="37"/>
        <v>5256.429731323889</v>
      </c>
      <c r="L87" s="70">
        <f t="shared" si="37"/>
        <v>4003.4672703177234</v>
      </c>
      <c r="M87" s="70">
        <f t="shared" si="37"/>
        <v>4328.199052392775</v>
      </c>
      <c r="N87" s="70">
        <f t="shared" si="37"/>
        <v>4222.768066797753</v>
      </c>
    </row>
    <row r="88" spans="2:14" ht="9.75">
      <c r="B88" s="60" t="s">
        <v>43</v>
      </c>
      <c r="C88" s="73">
        <f>+C75*C61</f>
        <v>0</v>
      </c>
      <c r="D88" s="70">
        <f>+D75*D61</f>
        <v>0</v>
      </c>
      <c r="E88" s="70" t="s">
        <v>77</v>
      </c>
      <c r="F88" s="70" t="s">
        <v>77</v>
      </c>
      <c r="G88" s="70" t="s">
        <v>77</v>
      </c>
      <c r="H88" s="70" t="s">
        <v>77</v>
      </c>
      <c r="I88" s="70" t="s">
        <v>77</v>
      </c>
      <c r="J88" s="70" t="s">
        <v>77</v>
      </c>
      <c r="K88" s="70" t="s">
        <v>77</v>
      </c>
      <c r="L88" s="70" t="s">
        <v>77</v>
      </c>
      <c r="M88" s="70" t="s">
        <v>77</v>
      </c>
      <c r="N88" s="70" t="s">
        <v>77</v>
      </c>
    </row>
    <row r="89" spans="2:14" ht="9.75">
      <c r="B89" s="60" t="s">
        <v>36</v>
      </c>
      <c r="C89" s="73">
        <f aca="true" t="shared" si="38" ref="C89:N89">+C76*C62</f>
        <v>-1653.6218734439049</v>
      </c>
      <c r="D89" s="70">
        <f t="shared" si="38"/>
        <v>-728.3218643678359</v>
      </c>
      <c r="E89" s="70">
        <f t="shared" si="38"/>
        <v>-748.5321842354462</v>
      </c>
      <c r="F89" s="70">
        <f t="shared" si="38"/>
        <v>-894.1267382615463</v>
      </c>
      <c r="G89" s="70">
        <f t="shared" si="38"/>
        <v>291.2834938701941</v>
      </c>
      <c r="H89" s="70">
        <f t="shared" si="38"/>
        <v>104.59882361414262</v>
      </c>
      <c r="I89" s="70">
        <f t="shared" si="38"/>
        <v>-255.4042422166076</v>
      </c>
      <c r="J89" s="70">
        <f>+J76*J62</f>
        <v>-501.3602603946963</v>
      </c>
      <c r="K89" s="70">
        <f t="shared" si="38"/>
        <v>-440.74874969781587</v>
      </c>
      <c r="L89" s="70">
        <f t="shared" si="38"/>
        <v>-785.2175524157363</v>
      </c>
      <c r="M89" s="70">
        <f t="shared" si="38"/>
        <v>-508.97741468007484</v>
      </c>
      <c r="N89" s="70">
        <f t="shared" si="38"/>
        <v>-1429.0536741981855</v>
      </c>
    </row>
    <row r="90" spans="2:14" ht="9.75">
      <c r="B90" s="60" t="s">
        <v>44</v>
      </c>
      <c r="C90" s="73">
        <f aca="true" t="shared" si="39" ref="C90:N90">+C77*C63</f>
        <v>0</v>
      </c>
      <c r="D90" s="70">
        <f t="shared" si="39"/>
        <v>0</v>
      </c>
      <c r="E90" s="70">
        <f t="shared" si="39"/>
        <v>0</v>
      </c>
      <c r="F90" s="70">
        <f t="shared" si="39"/>
        <v>0</v>
      </c>
      <c r="G90" s="70">
        <f t="shared" si="39"/>
        <v>0</v>
      </c>
      <c r="H90" s="70">
        <f t="shared" si="39"/>
        <v>0</v>
      </c>
      <c r="I90" s="70">
        <f t="shared" si="39"/>
        <v>0</v>
      </c>
      <c r="J90" s="70">
        <f>+J77*J63</f>
        <v>0</v>
      </c>
      <c r="K90" s="70">
        <f t="shared" si="39"/>
        <v>0</v>
      </c>
      <c r="L90" s="70">
        <f t="shared" si="39"/>
        <v>0</v>
      </c>
      <c r="M90" s="70">
        <f t="shared" si="39"/>
        <v>0</v>
      </c>
      <c r="N90" s="70">
        <f t="shared" si="39"/>
        <v>0</v>
      </c>
    </row>
    <row r="91" spans="2:14" ht="9.75">
      <c r="B91" s="60" t="s">
        <v>45</v>
      </c>
      <c r="C91" s="73">
        <f aca="true" t="shared" si="40" ref="C91:N91">+C78*C64</f>
        <v>-4390.691570510227</v>
      </c>
      <c r="D91" s="70">
        <f t="shared" si="40"/>
        <v>-4205.681876755358</v>
      </c>
      <c r="E91" s="70">
        <f t="shared" si="40"/>
        <v>-3969.7703143372855</v>
      </c>
      <c r="F91" s="70">
        <f t="shared" si="40"/>
        <v>-4137.608746069681</v>
      </c>
      <c r="G91" s="70">
        <f t="shared" si="40"/>
        <v>-4515.553801083386</v>
      </c>
      <c r="H91" s="70">
        <f t="shared" si="40"/>
        <v>-4241.39685157947</v>
      </c>
      <c r="I91" s="70">
        <f t="shared" si="40"/>
        <v>-3484.866209823572</v>
      </c>
      <c r="J91" s="70">
        <f>+J78*J64</f>
        <v>-4239.095973915819</v>
      </c>
      <c r="K91" s="70">
        <f t="shared" si="40"/>
        <v>-4515.701511298656</v>
      </c>
      <c r="L91" s="70">
        <f t="shared" si="40"/>
        <v>-3472.5576838280567</v>
      </c>
      <c r="M91" s="70">
        <f t="shared" si="40"/>
        <v>-3949.7086398211063</v>
      </c>
      <c r="N91" s="70">
        <f t="shared" si="40"/>
        <v>-4134.908639709497</v>
      </c>
    </row>
    <row r="92" spans="2:14" ht="9.75">
      <c r="B92" s="60" t="s">
        <v>46</v>
      </c>
      <c r="C92" s="98">
        <f aca="true" t="shared" si="41" ref="C92:N92">+C79*C65</f>
        <v>13893.137481265005</v>
      </c>
      <c r="D92" s="87">
        <f t="shared" si="41"/>
        <v>12982.961172342768</v>
      </c>
      <c r="E92" s="87">
        <f t="shared" si="41"/>
        <v>12265.457016705055</v>
      </c>
      <c r="F92" s="87">
        <f t="shared" si="41"/>
        <v>12709.291302594602</v>
      </c>
      <c r="G92" s="87">
        <f t="shared" si="41"/>
        <v>12808.020501814535</v>
      </c>
      <c r="H92" s="87">
        <f t="shared" si="41"/>
        <v>11629.51632632383</v>
      </c>
      <c r="I92" s="87">
        <f t="shared" si="41"/>
        <v>8871.093031930679</v>
      </c>
      <c r="J92" s="87">
        <f>+J79*J65</f>
        <v>10283.20205343263</v>
      </c>
      <c r="K92" s="70">
        <f t="shared" si="41"/>
        <v>10859.980774687363</v>
      </c>
      <c r="L92" s="70">
        <f t="shared" si="41"/>
        <v>8149.308469564129</v>
      </c>
      <c r="M92" s="70">
        <f t="shared" si="41"/>
        <v>10000.711554262238</v>
      </c>
      <c r="N92" s="70">
        <f t="shared" si="41"/>
        <v>10469.640264613156</v>
      </c>
    </row>
    <row r="93" spans="1:15" ht="9.75">
      <c r="A93" s="78" t="s">
        <v>52</v>
      </c>
      <c r="B93" s="78"/>
      <c r="C93" s="99">
        <f aca="true" t="shared" si="42" ref="C93:N93">SUM(C82:C92)</f>
        <v>38828.26123305433</v>
      </c>
      <c r="D93" s="100">
        <f t="shared" si="42"/>
        <v>37023.04010572414</v>
      </c>
      <c r="E93" s="100">
        <f t="shared" si="42"/>
        <v>36273.34276535454</v>
      </c>
      <c r="F93" s="100">
        <f t="shared" si="42"/>
        <v>37563.54033416723</v>
      </c>
      <c r="G93" s="100">
        <f t="shared" si="42"/>
        <v>40240.18240643438</v>
      </c>
      <c r="H93" s="100">
        <f t="shared" si="42"/>
        <v>37326.859601396805</v>
      </c>
      <c r="I93" s="100">
        <f t="shared" si="42"/>
        <v>28866.37842635827</v>
      </c>
      <c r="J93" s="100">
        <f t="shared" si="42"/>
        <v>32405.48256127457</v>
      </c>
      <c r="K93" s="101">
        <f t="shared" si="42"/>
        <v>32401.59334254756</v>
      </c>
      <c r="L93" s="101">
        <f t="shared" si="42"/>
        <v>22428.52210874874</v>
      </c>
      <c r="M93" s="101">
        <f t="shared" si="42"/>
        <v>26764.082876994955</v>
      </c>
      <c r="N93" s="101">
        <f t="shared" si="42"/>
        <v>28445.142257579093</v>
      </c>
      <c r="O93" s="102"/>
    </row>
    <row r="94" spans="1:14" ht="9.75">
      <c r="A94" s="78" t="s">
        <v>53</v>
      </c>
      <c r="B94" s="78"/>
      <c r="C94" s="99">
        <f aca="true" t="shared" si="43" ref="C94:N94">+C93/C66</f>
        <v>63.01816699999996</v>
      </c>
      <c r="D94" s="100">
        <f t="shared" si="43"/>
        <v>62.73160699999997</v>
      </c>
      <c r="E94" s="100">
        <f t="shared" si="43"/>
        <v>65.11378699999999</v>
      </c>
      <c r="F94" s="100">
        <f t="shared" si="43"/>
        <v>64.69457299999998</v>
      </c>
      <c r="G94" s="100">
        <f t="shared" si="43"/>
        <v>63.50379419999997</v>
      </c>
      <c r="H94" s="100">
        <f t="shared" si="43"/>
        <v>62.71382619999997</v>
      </c>
      <c r="I94" s="100">
        <f t="shared" si="43"/>
        <v>59.027847399999956</v>
      </c>
      <c r="J94" s="100">
        <f t="shared" si="43"/>
        <v>54.474844399999974</v>
      </c>
      <c r="K94" s="70">
        <f t="shared" si="43"/>
        <v>51.13189569999997</v>
      </c>
      <c r="L94" s="70">
        <f t="shared" si="43"/>
        <v>46.025863299999976</v>
      </c>
      <c r="M94" s="70">
        <f t="shared" si="43"/>
        <v>48.28787129999996</v>
      </c>
      <c r="N94" s="70">
        <f t="shared" si="43"/>
        <v>49.022216799999974</v>
      </c>
    </row>
    <row r="95" ht="7.5" customHeight="1"/>
    <row r="96" spans="1:14" ht="9.75">
      <c r="A96" s="78"/>
      <c r="C96" s="102">
        <f aca="true" t="shared" si="44" ref="C96:N96">C94</f>
        <v>63.01816699999996</v>
      </c>
      <c r="D96" s="102">
        <f t="shared" si="44"/>
        <v>62.73160699999997</v>
      </c>
      <c r="E96" s="102">
        <f t="shared" si="44"/>
        <v>65.11378699999999</v>
      </c>
      <c r="F96" s="102">
        <f t="shared" si="44"/>
        <v>64.69457299999998</v>
      </c>
      <c r="G96" s="102">
        <f t="shared" si="44"/>
        <v>63.50379419999997</v>
      </c>
      <c r="H96" s="102">
        <f t="shared" si="44"/>
        <v>62.71382619999997</v>
      </c>
      <c r="I96" s="102">
        <f t="shared" si="44"/>
        <v>59.027847399999956</v>
      </c>
      <c r="J96" s="102">
        <f t="shared" si="44"/>
        <v>54.474844399999974</v>
      </c>
      <c r="K96" s="102">
        <f t="shared" si="44"/>
        <v>51.13189569999997</v>
      </c>
      <c r="L96" s="102">
        <f t="shared" si="44"/>
        <v>46.025863299999976</v>
      </c>
      <c r="M96" s="102">
        <f t="shared" si="44"/>
        <v>48.28787129999996</v>
      </c>
      <c r="N96" s="102">
        <f t="shared" si="44"/>
        <v>49.022216799999974</v>
      </c>
    </row>
    <row r="97" spans="3:14" ht="9.75">
      <c r="C97" s="103">
        <f aca="true" t="shared" si="45" ref="C97:N97">C96*0.7</f>
        <v>44.112716899999974</v>
      </c>
      <c r="D97" s="103">
        <f t="shared" si="45"/>
        <v>43.912124899999974</v>
      </c>
      <c r="E97" s="103">
        <f t="shared" si="45"/>
        <v>45.57965089999999</v>
      </c>
      <c r="F97" s="103">
        <f t="shared" si="45"/>
        <v>45.28620109999998</v>
      </c>
      <c r="G97" s="103">
        <f t="shared" si="45"/>
        <v>44.45265593999998</v>
      </c>
      <c r="H97" s="103">
        <f t="shared" si="45"/>
        <v>43.89967833999998</v>
      </c>
      <c r="I97" s="103">
        <f t="shared" si="45"/>
        <v>41.31949317999997</v>
      </c>
      <c r="J97" s="103">
        <f t="shared" si="45"/>
        <v>38.13239107999998</v>
      </c>
      <c r="K97" s="103">
        <f t="shared" si="45"/>
        <v>35.79232698999998</v>
      </c>
      <c r="L97" s="103">
        <f t="shared" si="45"/>
        <v>32.21810430999998</v>
      </c>
      <c r="M97" s="103">
        <f t="shared" si="45"/>
        <v>33.80150990999997</v>
      </c>
      <c r="N97" s="103">
        <f t="shared" si="45"/>
        <v>34.31555175999998</v>
      </c>
    </row>
    <row r="98" spans="1:10" ht="9.75">
      <c r="A98" s="78"/>
      <c r="B98" s="78"/>
      <c r="C98" s="99"/>
      <c r="D98" s="99"/>
      <c r="E98" s="99"/>
      <c r="F98" s="99"/>
      <c r="G98" s="99"/>
      <c r="H98" s="99"/>
      <c r="I98" s="99"/>
      <c r="J98" s="104"/>
    </row>
    <row r="99" spans="3:10" ht="7.5" customHeight="1">
      <c r="C99" s="105"/>
      <c r="D99" s="105"/>
      <c r="E99" s="105"/>
      <c r="F99" s="105"/>
      <c r="G99" s="105"/>
      <c r="H99" s="105"/>
      <c r="I99" s="105"/>
      <c r="J99" s="105"/>
    </row>
    <row r="100" spans="1:10" ht="9.75">
      <c r="A100" s="78"/>
      <c r="B100" s="78"/>
      <c r="C100" s="104"/>
      <c r="D100" s="104"/>
      <c r="E100" s="104"/>
      <c r="F100" s="104"/>
      <c r="G100" s="104"/>
      <c r="H100" s="104"/>
      <c r="I100" s="104"/>
      <c r="J100" s="104"/>
    </row>
    <row r="101" spans="3:10" ht="7.5" customHeight="1">
      <c r="C101" s="105"/>
      <c r="D101" s="105"/>
      <c r="E101" s="105"/>
      <c r="F101" s="105"/>
      <c r="G101" s="105"/>
      <c r="H101" s="105"/>
      <c r="I101" s="105"/>
      <c r="J101" s="105"/>
    </row>
    <row r="102" spans="1:10" ht="9.75">
      <c r="A102" s="78"/>
      <c r="C102" s="103"/>
      <c r="D102" s="103"/>
      <c r="E102" s="103"/>
      <c r="F102" s="103"/>
      <c r="G102" s="103"/>
      <c r="H102" s="103"/>
      <c r="I102" s="103"/>
      <c r="J102" s="106"/>
    </row>
  </sheetData>
  <sheetProtection/>
  <printOptions/>
  <pageMargins left="0.25" right="0.25" top="0.75" bottom="0.75" header="0.3" footer="0.3"/>
  <pageSetup fitToWidth="0" fitToHeight="1" horizontalDpi="600" verticalDpi="600" orientation="portrait" scale="58" r:id="rId4"/>
  <rowBreaks count="1" manualBreakCount="1">
    <brk id="53" max="14"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Allied Waste Industries,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JG00116</dc:creator>
  <cp:keywords/>
  <dc:description/>
  <cp:lastModifiedBy>Jennifer Snyder</cp:lastModifiedBy>
  <cp:lastPrinted>2015-06-09T16:57:23Z</cp:lastPrinted>
  <dcterms:created xsi:type="dcterms:W3CDTF">2008-05-23T15:47:44Z</dcterms:created>
  <dcterms:modified xsi:type="dcterms:W3CDTF">2015-06-11T23:36:31Z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Workpapers</vt:lpwstr>
  </property>
  <property fmtid="{D5CDD505-2E9C-101B-9397-08002B2CF9AE}" pid="4" name="IsHighlyConfidenti">
    <vt:lpwstr>0</vt:lpwstr>
  </property>
  <property fmtid="{D5CDD505-2E9C-101B-9397-08002B2CF9AE}" pid="5" name="DocketNumb">
    <vt:lpwstr>151226</vt:lpwstr>
  </property>
  <property fmtid="{D5CDD505-2E9C-101B-9397-08002B2CF9AE}" pid="6" name="IsConfidenti">
    <vt:lpwstr>0</vt:lpwstr>
  </property>
  <property fmtid="{D5CDD505-2E9C-101B-9397-08002B2CF9AE}" pid="7" name="Dat">
    <vt:lpwstr>2015-06-11T00:00:00Z</vt:lpwstr>
  </property>
  <property fmtid="{D5CDD505-2E9C-101B-9397-08002B2CF9AE}" pid="8" name="_docset_NoMedatataSyncRequir">
    <vt:lpwstr>False</vt:lpwstr>
  </property>
  <property fmtid="{D5CDD505-2E9C-101B-9397-08002B2CF9AE}" pid="9" name="CaseTy">
    <vt:lpwstr>Tariff Revision</vt:lpwstr>
  </property>
  <property fmtid="{D5CDD505-2E9C-101B-9397-08002B2CF9AE}" pid="10" name="OpenedDa">
    <vt:lpwstr>2015-06-11T00:00:00Z</vt:lpwstr>
  </property>
  <property fmtid="{D5CDD505-2E9C-101B-9397-08002B2CF9AE}" pid="11" name="Pref">
    <vt:lpwstr>TG</vt:lpwstr>
  </property>
  <property fmtid="{D5CDD505-2E9C-101B-9397-08002B2CF9AE}" pid="12" name="CaseCompanyNam">
    <vt:lpwstr>FIORITO ENTERPRISES INC &amp; RABANCO COMPANIES</vt:lpwstr>
  </property>
  <property fmtid="{D5CDD505-2E9C-101B-9397-08002B2CF9AE}" pid="13" name="IndustryCo">
    <vt:lpwstr>227</vt:lpwstr>
  </property>
  <property fmtid="{D5CDD505-2E9C-101B-9397-08002B2CF9AE}" pid="14" name="CaseStat">
    <vt:lpwstr>Closed</vt:lpwstr>
  </property>
  <property fmtid="{D5CDD505-2E9C-101B-9397-08002B2CF9AE}" pid="15" name="Nickna">
    <vt:lpwstr/>
  </property>
  <property fmtid="{D5CDD505-2E9C-101B-9397-08002B2CF9AE}" pid="16" name="Proce">
    <vt:lpwstr/>
  </property>
  <property fmtid="{D5CDD505-2E9C-101B-9397-08002B2CF9AE}" pid="17" name="Visibili">
    <vt:lpwstr/>
  </property>
  <property fmtid="{D5CDD505-2E9C-101B-9397-08002B2CF9AE}" pid="18" name="DocumentGro">
    <vt:lpwstr/>
  </property>
</Properties>
</file>