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3040" windowHeight="9396" tabRatio="719"/>
  </bookViews>
  <sheets>
    <sheet name="Instructions - 2015" sheetId="21" r:id="rId1"/>
    <sheet name="Instructions - Revise 2013" sheetId="20" r:id="rId2"/>
    <sheet name="Renewables Report" sheetId="16" r:id="rId3"/>
    <sheet name="Renewable Cost Report" sheetId="23" r:id="rId4"/>
    <sheet name="Data" sheetId="19" state="hidden" r:id="rId5"/>
  </sheets>
  <externalReferences>
    <externalReference r:id="rId6"/>
  </externalReferences>
  <definedNames>
    <definedName name="CON_2014_Agriculture_Expend">#REF!</definedName>
    <definedName name="CON_2014_Agriculture_MWH">#REF!</definedName>
    <definedName name="CON_2014_Commercial_Expend">#REF!</definedName>
    <definedName name="CON_2014_Commercial_MWH">#REF!</definedName>
    <definedName name="CON_2014_Distribution_Expend">#REF!</definedName>
    <definedName name="CON_2014_Distribution_MWH">#REF!</definedName>
    <definedName name="CON_2014_Expenditures">#REF!</definedName>
    <definedName name="CON_2014_Industrial_Expend">#REF!</definedName>
    <definedName name="CON_2014_Industrial_MWH">#REF!</definedName>
    <definedName name="CON_2014_MWH">#REF!</definedName>
    <definedName name="CON_2014_NEEA_Expend">#REF!</definedName>
    <definedName name="CON_2014_NEEA_MWH">#REF!</definedName>
    <definedName name="CON_2014_OtherSector1_Expend">#REF!</definedName>
    <definedName name="CON_2014_OtherSector1_MWH">#REF!</definedName>
    <definedName name="CON_2014_OtherSector2_Expend">#REF!</definedName>
    <definedName name="CON_2014_OtherSector2_MWH">#REF!</definedName>
    <definedName name="CON_2014_Production_Expend">#REF!</definedName>
    <definedName name="CON_2014_Production_MWH">#REF!</definedName>
    <definedName name="CON_2014_Program1_Expend">#REF!</definedName>
    <definedName name="CON_2014_Program2_Expend">#REF!</definedName>
    <definedName name="CON_2014_Residential_Expend">#REF!</definedName>
    <definedName name="CON_2014_Residential_MWH">#REF!</definedName>
    <definedName name="CON_Contact_Name">#REF!</definedName>
    <definedName name="CON_Email">#REF!</definedName>
    <definedName name="CON_Phone">#REF!</definedName>
    <definedName name="CON_Potential_2014_2023">#REF!</definedName>
    <definedName name="CON_Report_Date">#REF!</definedName>
    <definedName name="CON_Target_2014_2015">#REF!</definedName>
    <definedName name="CON_Utility_Name" localSheetId="0">'[1]Conservation Report'!$C$3:$E$3</definedName>
    <definedName name="CON_Utility_Name">#REF!</definedName>
    <definedName name="_xlnm.Print_Area" localSheetId="3">'Renewable Cost Report'!$B$1:$L$77</definedName>
    <definedName name="_xlnm.Print_Area" localSheetId="2">'Renewables Report'!$A$1:$O$136</definedName>
    <definedName name="REN_Contact_Name">'Renewables Report'!$C$5</definedName>
    <definedName name="REN_Email">'Renewables Report'!$C$7</definedName>
    <definedName name="REN_ERR_ApprenticeLabor">'Renewables Report'!$L$18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5">'Renewables Report'!$N$11</definedName>
    <definedName name="REN_Expenditure_Percent_2015">'Renewables Report'!$N$13</definedName>
    <definedName name="REN_Load_2013">'Renewables Report'!$N$3</definedName>
    <definedName name="REN_Load_2014">'Renewables Report'!$N$4</definedName>
    <definedName name="REN_REC_ApprenticeLabor">'Renewables Report'!$L$19</definedName>
    <definedName name="REN_REC_Biodiesel">'Renewables Report'!$J$19</definedName>
    <definedName name="REN_REC_Biomass">'Renewables Report'!$K$19</definedName>
    <definedName name="REN_REC_DistributedGeneration">'Renewables Report'!$M$19</definedName>
    <definedName name="REN_REC_Geothermal">'Renewables Report'!$F$19</definedName>
    <definedName name="REN_REC_LandfillGas">'Renewables Report'!$G$19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5">'Renewables Report'!$N$12</definedName>
    <definedName name="REN_Submittal_Date">'Renewables Report'!$C$4</definedName>
    <definedName name="REN_Total_2015">'Renewables Report'!$N$8</definedName>
    <definedName name="REN_Utility_Name">'Renewables Report'!$C$3</definedName>
  </definedNames>
  <calcPr calcId="152511"/>
</workbook>
</file>

<file path=xl/calcChain.xml><?xml version="1.0" encoding="utf-8"?>
<calcChain xmlns="http://schemas.openxmlformats.org/spreadsheetml/2006/main">
  <c r="N54" i="16" l="1"/>
  <c r="E37" i="23" l="1"/>
  <c r="E38" i="23"/>
  <c r="E39" i="23"/>
  <c r="E40" i="23"/>
  <c r="E41" i="23"/>
  <c r="E42" i="23"/>
  <c r="E43" i="23"/>
  <c r="E44" i="23"/>
  <c r="E45" i="23"/>
  <c r="E46" i="23"/>
  <c r="E47" i="23"/>
  <c r="E48" i="23"/>
  <c r="E49" i="23"/>
  <c r="E50" i="23"/>
  <c r="E51" i="23"/>
  <c r="E52" i="23"/>
  <c r="E53" i="23"/>
  <c r="E54" i="23"/>
  <c r="E55" i="23"/>
  <c r="E56" i="23"/>
  <c r="E57" i="23"/>
  <c r="E58" i="23"/>
  <c r="E59" i="23"/>
  <c r="E36" i="23"/>
  <c r="E35" i="23"/>
  <c r="F35" i="23" s="1"/>
  <c r="G36" i="23" l="1"/>
  <c r="L7" i="23"/>
  <c r="G37" i="23"/>
  <c r="G38" i="23"/>
  <c r="G39" i="23"/>
  <c r="G40" i="23"/>
  <c r="G41" i="23"/>
  <c r="G42" i="23"/>
  <c r="G43" i="23"/>
  <c r="G44" i="23"/>
  <c r="G45" i="23"/>
  <c r="G46" i="23"/>
  <c r="G47" i="23"/>
  <c r="G48" i="23"/>
  <c r="G49" i="23"/>
  <c r="G50" i="23"/>
  <c r="G51" i="23"/>
  <c r="G52" i="23"/>
  <c r="G53" i="23"/>
  <c r="G54" i="23"/>
  <c r="G55" i="23"/>
  <c r="G56" i="23"/>
  <c r="G57" i="23"/>
  <c r="G58" i="23"/>
  <c r="G59" i="23"/>
  <c r="G35" i="23"/>
  <c r="L27" i="23" l="1"/>
  <c r="L26" i="23"/>
  <c r="L25" i="23"/>
  <c r="L24" i="23"/>
  <c r="L23" i="23"/>
  <c r="L22" i="23"/>
  <c r="L21" i="23"/>
  <c r="L20" i="23"/>
  <c r="L19" i="23"/>
  <c r="L18" i="23"/>
  <c r="L17" i="23"/>
  <c r="L16" i="23"/>
  <c r="L15" i="23"/>
  <c r="L14" i="23"/>
  <c r="L13" i="23"/>
  <c r="L12" i="23"/>
  <c r="L11" i="23"/>
  <c r="L10" i="23"/>
  <c r="L9" i="23"/>
  <c r="L8" i="23"/>
  <c r="BE2" i="19"/>
  <c r="CE2" i="19" l="1"/>
  <c r="CC2" i="19"/>
  <c r="BR2" i="19"/>
  <c r="BQ2" i="19"/>
  <c r="BH2" i="19"/>
  <c r="BF2" i="19"/>
  <c r="AT2" i="19"/>
  <c r="AS2" i="19"/>
  <c r="AF2" i="19"/>
  <c r="AE2" i="19"/>
  <c r="AD2" i="19"/>
  <c r="AC2" i="19"/>
  <c r="AB2" i="19"/>
  <c r="AA2" i="19"/>
  <c r="Z2" i="19"/>
  <c r="Y2" i="19"/>
  <c r="X2" i="19"/>
  <c r="W2" i="19"/>
  <c r="V2" i="19"/>
  <c r="U2" i="19"/>
  <c r="T2" i="19"/>
  <c r="S2" i="19"/>
  <c r="R2" i="19"/>
  <c r="Q2" i="19"/>
  <c r="P2" i="19"/>
  <c r="O2" i="19"/>
  <c r="N2" i="19"/>
  <c r="M2" i="19"/>
  <c r="L2" i="19"/>
  <c r="J2" i="19"/>
  <c r="I2" i="19"/>
  <c r="G2" i="19"/>
  <c r="F2" i="19"/>
  <c r="E2" i="19"/>
  <c r="D2" i="19"/>
  <c r="C2" i="19"/>
  <c r="B2" i="19"/>
  <c r="F60" i="23"/>
  <c r="D59" i="23"/>
  <c r="C59" i="23"/>
  <c r="D58" i="23"/>
  <c r="C58" i="23"/>
  <c r="D57" i="23"/>
  <c r="C57" i="23"/>
  <c r="D56" i="23"/>
  <c r="C56" i="23"/>
  <c r="D55" i="23"/>
  <c r="C55" i="23"/>
  <c r="D54" i="23"/>
  <c r="C54" i="23"/>
  <c r="D53" i="23"/>
  <c r="C53" i="23"/>
  <c r="D52" i="23"/>
  <c r="C52" i="23"/>
  <c r="D51" i="23"/>
  <c r="C51" i="23"/>
  <c r="D50" i="23"/>
  <c r="C50" i="23"/>
  <c r="D49" i="23"/>
  <c r="C49" i="23"/>
  <c r="D48" i="23"/>
  <c r="C48" i="23"/>
  <c r="D47" i="23"/>
  <c r="C47" i="23"/>
  <c r="D46" i="23"/>
  <c r="C46" i="23"/>
  <c r="D45" i="23"/>
  <c r="C45" i="23"/>
  <c r="D44" i="23"/>
  <c r="C44" i="23"/>
  <c r="D43" i="23"/>
  <c r="C43" i="23"/>
  <c r="D42" i="23"/>
  <c r="C42" i="23"/>
  <c r="D41" i="23"/>
  <c r="C41" i="23"/>
  <c r="D40" i="23"/>
  <c r="C40" i="23"/>
  <c r="D39" i="23"/>
  <c r="C39" i="23"/>
  <c r="D38" i="23"/>
  <c r="C38" i="23"/>
  <c r="D37" i="23"/>
  <c r="C37" i="23"/>
  <c r="D36" i="23"/>
  <c r="C36" i="23"/>
  <c r="D35" i="23"/>
  <c r="C35" i="23"/>
  <c r="B59" i="23"/>
  <c r="B58" i="23"/>
  <c r="B57" i="23"/>
  <c r="B56" i="23"/>
  <c r="B55" i="23"/>
  <c r="B54" i="23"/>
  <c r="B53" i="23"/>
  <c r="B52" i="23"/>
  <c r="B51" i="23"/>
  <c r="B50" i="23"/>
  <c r="B49" i="23"/>
  <c r="B48" i="23"/>
  <c r="B47" i="23"/>
  <c r="B46" i="23"/>
  <c r="B45" i="23"/>
  <c r="B44" i="23"/>
  <c r="B43" i="23"/>
  <c r="B42" i="23"/>
  <c r="B41" i="23"/>
  <c r="B40" i="23"/>
  <c r="B39" i="23"/>
  <c r="B38" i="23"/>
  <c r="B37" i="23"/>
  <c r="B36" i="23"/>
  <c r="B35" i="23"/>
  <c r="E28" i="23"/>
  <c r="J28" i="23"/>
  <c r="D8" i="23"/>
  <c r="F8" i="23" s="1"/>
  <c r="D9" i="23"/>
  <c r="K9" i="23" s="1"/>
  <c r="D10" i="23"/>
  <c r="F10" i="23" s="1"/>
  <c r="D11" i="23"/>
  <c r="K11" i="23" s="1"/>
  <c r="D12" i="23"/>
  <c r="K12" i="23" s="1"/>
  <c r="D13" i="23"/>
  <c r="K13" i="23" s="1"/>
  <c r="D14" i="23"/>
  <c r="F14" i="23" s="1"/>
  <c r="D15" i="23"/>
  <c r="K15" i="23" s="1"/>
  <c r="D16" i="23"/>
  <c r="K16" i="23" s="1"/>
  <c r="D17" i="23"/>
  <c r="K17" i="23" s="1"/>
  <c r="D18" i="23"/>
  <c r="F18" i="23" s="1"/>
  <c r="D19" i="23"/>
  <c r="F19" i="23" s="1"/>
  <c r="D20" i="23"/>
  <c r="K20" i="23" s="1"/>
  <c r="D21" i="23"/>
  <c r="K21" i="23" s="1"/>
  <c r="D22" i="23"/>
  <c r="F22" i="23" s="1"/>
  <c r="D23" i="23"/>
  <c r="K23" i="23" s="1"/>
  <c r="D24" i="23"/>
  <c r="F24" i="23" s="1"/>
  <c r="D25" i="23"/>
  <c r="K25" i="23" s="1"/>
  <c r="D26" i="23"/>
  <c r="F26" i="23" s="1"/>
  <c r="D27" i="23"/>
  <c r="F27" i="23" s="1"/>
  <c r="D7" i="23"/>
  <c r="F7" i="23" s="1"/>
  <c r="K26" i="23" l="1"/>
  <c r="K10" i="23"/>
  <c r="K18" i="23"/>
  <c r="L28" i="23"/>
  <c r="N11" i="16" s="1"/>
  <c r="F16" i="23"/>
  <c r="K8" i="23"/>
  <c r="K24" i="23"/>
  <c r="F20" i="23"/>
  <c r="K7" i="23"/>
  <c r="K14" i="23"/>
  <c r="K22" i="23"/>
  <c r="D28" i="23"/>
  <c r="F12" i="23"/>
  <c r="F23" i="23"/>
  <c r="F15" i="23"/>
  <c r="K19" i="23"/>
  <c r="K27" i="23"/>
  <c r="F25" i="23"/>
  <c r="F21" i="23"/>
  <c r="F17" i="23"/>
  <c r="F13" i="23"/>
  <c r="F9" i="23"/>
  <c r="F11" i="23"/>
  <c r="B7" i="23"/>
  <c r="C7" i="23"/>
  <c r="B8" i="23"/>
  <c r="C8" i="23"/>
  <c r="B9" i="23"/>
  <c r="C9" i="23"/>
  <c r="B10" i="23"/>
  <c r="C10" i="23"/>
  <c r="B11" i="23"/>
  <c r="C11" i="23"/>
  <c r="B12" i="23"/>
  <c r="C12" i="23"/>
  <c r="B13" i="23"/>
  <c r="C13" i="23"/>
  <c r="B14" i="23"/>
  <c r="C14" i="23"/>
  <c r="B15" i="23"/>
  <c r="C15" i="23"/>
  <c r="B16" i="23"/>
  <c r="C16" i="23"/>
  <c r="B17" i="23"/>
  <c r="C17" i="23"/>
  <c r="B18" i="23"/>
  <c r="C18" i="23"/>
  <c r="B19" i="23"/>
  <c r="C19" i="23"/>
  <c r="B20" i="23"/>
  <c r="C20" i="23"/>
  <c r="B21" i="23"/>
  <c r="C21" i="23"/>
  <c r="B22" i="23"/>
  <c r="C22" i="23"/>
  <c r="B23" i="23"/>
  <c r="C23" i="23"/>
  <c r="B24" i="23"/>
  <c r="C24" i="23"/>
  <c r="B25" i="23"/>
  <c r="C25" i="23"/>
  <c r="B26" i="23"/>
  <c r="C26" i="23"/>
  <c r="B27" i="23"/>
  <c r="C27" i="23"/>
  <c r="F3" i="23"/>
  <c r="F30" i="23" s="1"/>
  <c r="BO2" i="19" l="1"/>
  <c r="AQ2" i="19"/>
  <c r="N5" i="21"/>
  <c r="N7" i="20"/>
  <c r="N5" i="16"/>
  <c r="A2" i="19" l="1"/>
  <c r="N13" i="16" l="1"/>
  <c r="AR2" i="19" l="1"/>
  <c r="BP2" i="19"/>
  <c r="C18" i="16"/>
  <c r="D18" i="16"/>
  <c r="E18" i="16"/>
  <c r="F18" i="16"/>
  <c r="AJ2" i="19" s="1"/>
  <c r="G18" i="16"/>
  <c r="H18" i="16"/>
  <c r="I18" i="16"/>
  <c r="J18" i="16"/>
  <c r="AH2" i="19" s="1"/>
  <c r="K18" i="16"/>
  <c r="AI2" i="19" s="1"/>
  <c r="L18" i="16"/>
  <c r="AG2" i="19" s="1"/>
  <c r="AL2" i="19" l="1"/>
  <c r="BJ2" i="19"/>
  <c r="BN2" i="19"/>
  <c r="AP2" i="19"/>
  <c r="BI2" i="19"/>
  <c r="AK2" i="19"/>
  <c r="AM2" i="19"/>
  <c r="BK2" i="19"/>
  <c r="BL2" i="19"/>
  <c r="AN2" i="19"/>
  <c r="BM2" i="19"/>
  <c r="AO2" i="19"/>
  <c r="H2" i="19" l="1"/>
  <c r="K2" i="19"/>
  <c r="M19" i="16" l="1"/>
  <c r="AX2" i="19" l="1"/>
  <c r="BV2" i="19"/>
  <c r="M20" i="16"/>
  <c r="F98" i="16"/>
  <c r="L19" i="16"/>
  <c r="F66" i="16"/>
  <c r="F36" i="16"/>
  <c r="K19" i="16"/>
  <c r="J19" i="16"/>
  <c r="I19" i="16"/>
  <c r="H19" i="16"/>
  <c r="G19" i="16"/>
  <c r="F19" i="16"/>
  <c r="E19" i="16"/>
  <c r="D19" i="16"/>
  <c r="C20" i="16"/>
  <c r="N7" i="16"/>
  <c r="BW2" i="19" l="1"/>
  <c r="AY2" i="19"/>
  <c r="BS2" i="19"/>
  <c r="AU2" i="19"/>
  <c r="BX2" i="19"/>
  <c r="AZ2" i="19"/>
  <c r="BU2" i="19"/>
  <c r="AW2" i="19"/>
  <c r="BT2" i="19"/>
  <c r="AV2" i="19"/>
  <c r="CB2" i="19"/>
  <c r="BD2" i="19"/>
  <c r="BB2" i="19"/>
  <c r="BZ2" i="19"/>
  <c r="BY2" i="19"/>
  <c r="BA2" i="19"/>
  <c r="CA2" i="19"/>
  <c r="BC2" i="19"/>
  <c r="F20" i="16"/>
  <c r="J20" i="16"/>
  <c r="E20" i="16"/>
  <c r="G20" i="16"/>
  <c r="I20" i="16"/>
  <c r="H20" i="16"/>
  <c r="L20" i="16"/>
  <c r="D20" i="16"/>
  <c r="K20" i="16"/>
  <c r="N8" i="16" l="1"/>
  <c r="CD2" i="19" l="1"/>
  <c r="BG2" i="19"/>
</calcChain>
</file>

<file path=xl/sharedStrings.xml><?xml version="1.0" encoding="utf-8"?>
<sst xmlns="http://schemas.openxmlformats.org/spreadsheetml/2006/main" count="314" uniqueCount="205">
  <si>
    <t>Utility Contact Name/Dept</t>
  </si>
  <si>
    <t>Phone</t>
  </si>
  <si>
    <t>Email</t>
  </si>
  <si>
    <t>Utility</t>
  </si>
  <si>
    <t>Total</t>
  </si>
  <si>
    <t>MWh</t>
  </si>
  <si>
    <t>Compliance Year</t>
  </si>
  <si>
    <t>(a)</t>
  </si>
  <si>
    <t>     (b)</t>
  </si>
  <si>
    <t>(c)</t>
  </si>
  <si>
    <t>     (d)</t>
  </si>
  <si>
    <t>     (e)</t>
  </si>
  <si>
    <t>     (f)</t>
  </si>
  <si>
    <t>     (g)</t>
  </si>
  <si>
    <t>(h)</t>
  </si>
  <si>
    <t>     (i)</t>
  </si>
  <si>
    <t>Water</t>
  </si>
  <si>
    <t>Wind</t>
  </si>
  <si>
    <t>Solar Energy</t>
  </si>
  <si>
    <t>Geothermal Energy</t>
  </si>
  <si>
    <t>Landfill Gas</t>
  </si>
  <si>
    <t>Gas from Sewage Treatment</t>
  </si>
  <si>
    <t xml:space="preserve"> Biodiesel</t>
  </si>
  <si>
    <t>Biomass Energy</t>
  </si>
  <si>
    <t>Distributed Generation</t>
  </si>
  <si>
    <t>Renewable Energy Credits</t>
  </si>
  <si>
    <t xml:space="preserve">Water </t>
  </si>
  <si>
    <t>Apprentice Labor</t>
  </si>
  <si>
    <t>Facility Name</t>
  </si>
  <si>
    <t>Renewable Resources</t>
  </si>
  <si>
    <t xml:space="preserve">Wave, Ocean, Tidal </t>
  </si>
  <si>
    <t>Wave, Ocean, Tidal</t>
  </si>
  <si>
    <t>Eligible Renewable Resources (MWh)</t>
  </si>
  <si>
    <t>Renewable Energy Credits (MWh)</t>
  </si>
  <si>
    <t>Total Renewables (MWh)</t>
  </si>
  <si>
    <t>Loads and Resources</t>
  </si>
  <si>
    <t>Target Year</t>
  </si>
  <si>
    <t>Select</t>
  </si>
  <si>
    <t xml:space="preserve">19.285.040 (2)(b) Renewables Target </t>
  </si>
  <si>
    <t>19.285.040 (2)(d) No Load Growth</t>
  </si>
  <si>
    <t xml:space="preserve">19.285.050 Incremental Resource Cost  </t>
  </si>
  <si>
    <t>Eligible Renewables Acquisitions / Investments (MWh)</t>
  </si>
  <si>
    <t>2013 Annual Load (MWh)</t>
  </si>
  <si>
    <t>WREGIS ID</t>
  </si>
  <si>
    <t>REC Year</t>
  </si>
  <si>
    <t>MWh equiv.</t>
  </si>
  <si>
    <t>Documentation of the calculation and inputs for percentage of revenue requirement invested in renewables:</t>
  </si>
  <si>
    <t>Other notes and explanations:</t>
  </si>
  <si>
    <t>Report Date</t>
  </si>
  <si>
    <t>     (j)</t>
  </si>
  <si>
    <t>     (k)</t>
  </si>
  <si>
    <t>CON_Contact_Name</t>
  </si>
  <si>
    <t>CON_Email</t>
  </si>
  <si>
    <t>CON_Phone</t>
  </si>
  <si>
    <t>CON_Report_Date</t>
  </si>
  <si>
    <t>CON_Utility_Name</t>
  </si>
  <si>
    <t>REN_Contact_Name</t>
  </si>
  <si>
    <t>REN_Email</t>
  </si>
  <si>
    <t>REN_Submittal_Date</t>
  </si>
  <si>
    <t>REN_Utility_Name</t>
  </si>
  <si>
    <t>CON_Potential_2014_2023</t>
  </si>
  <si>
    <t>CON_Target_2014_2015</t>
  </si>
  <si>
    <t>REN_ERR_ApprenticeLabor</t>
  </si>
  <si>
    <t>REN_ERR_Biodiesel</t>
  </si>
  <si>
    <t>REN_ERR_Biomass</t>
  </si>
  <si>
    <t>REN_ERR_Geothermal</t>
  </si>
  <si>
    <t>REN_ERR_LandfillGas</t>
  </si>
  <si>
    <t>REN_ERR_SewageGas</t>
  </si>
  <si>
    <t>REN_ERR_Solar</t>
  </si>
  <si>
    <t>REN_ERR_Water</t>
  </si>
  <si>
    <t>REN_ERR_Wind</t>
  </si>
  <si>
    <t>REN_ERR_WOT</t>
  </si>
  <si>
    <t>REN_Load_2012</t>
  </si>
  <si>
    <t>REN_Load_2013</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</si>
  <si>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</si>
  <si>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</si>
  <si>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</si>
  <si>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</si>
  <si>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</si>
  <si>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</si>
  <si>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</si>
  <si>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</si>
  <si>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</si>
  <si>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</si>
  <si>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</si>
  <si>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</si>
  <si>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REN_Expenditure_Amount_2014</t>
  </si>
  <si>
    <t>REN_Expenditure_Percent_2014</t>
  </si>
  <si>
    <r>
      <rPr>
        <b/>
        <i/>
        <sz val="10"/>
        <color indexed="60"/>
        <rFont val="Arial"/>
        <family val="2"/>
      </rPr>
      <t xml:space="preserve">Note: </t>
    </r>
    <r>
      <rPr>
        <i/>
        <sz val="10"/>
        <color indexed="60"/>
        <rFont val="Arial"/>
        <family val="2"/>
      </rPr>
      <t>Investor Owned Utilities may complete this page or attach their Utilities and Transportation Commission Renewable and Conservation filings for 2014.</t>
    </r>
  </si>
  <si>
    <t>REN_Total_2014</t>
  </si>
  <si>
    <r>
      <t xml:space="preserve">Energy Independence Act (I-937) </t>
    </r>
    <r>
      <rPr>
        <sz val="11"/>
        <color rgb="FF000000"/>
        <rFont val="Arial Black"/>
        <family val="2"/>
      </rPr>
      <t>Report Workbook Instructions</t>
    </r>
  </si>
  <si>
    <r>
      <t>Questions:</t>
    </r>
    <r>
      <rPr>
        <sz val="11"/>
        <color rgb="FF000000"/>
        <rFont val="Arial"/>
        <family val="2"/>
      </rPr>
      <t xml:space="preserve"> Glenn Blackmon, State Energy Office, (360) 725-3115</t>
    </r>
  </si>
  <si>
    <r>
      <t>Attachments:</t>
    </r>
    <r>
      <rPr>
        <sz val="11"/>
        <color rgb="FF000000"/>
        <rFont val="Arial"/>
        <family val="2"/>
      </rPr>
      <t xml:space="preserve"> If you provide supporting documentation, Commerce will post that material along with your Excel Workbook. Please provide a reference to any attachments in the Excel workbook.</t>
    </r>
  </si>
  <si>
    <t>RENEWABLE ENERGY WORKSHEET</t>
  </si>
  <si>
    <t>This worksheet covers the renewable energy reporting requirements that apply to all qualifying utilities, regardless of its method of compliance. A utility electing to comply using the “no load growth” approach or the “cost cap” approach must submit additional documentation.</t>
  </si>
  <si>
    <r>
      <t xml:space="preserve">Worksheet Organization: </t>
    </r>
    <r>
      <rPr>
        <sz val="11"/>
        <color rgb="FF000000"/>
        <rFont val="Arial"/>
        <family val="2"/>
      </rPr>
      <t>The first page of the renewables worksheet includes targets and summarizes detailed reporting from pages 2 and 3. Page 2 provides facility level reporting for renewable resources. Page 3 provides facility level reporting for renewable energy credits. Page 4 provides a text box where the utility may include explanatory statements, references or web links to supporting information.</t>
    </r>
  </si>
  <si>
    <t>Additional reporting for compliance option 19.285.040(2)(d), “no load growth”</t>
  </si>
  <si>
    <t>Additional reporting for compliance option RCW 19.285.050, “cost cap”</t>
  </si>
  <si>
    <r>
      <t>[Page 4] Notes:</t>
    </r>
    <r>
      <rPr>
        <sz val="11"/>
        <color rgb="FF000000"/>
        <rFont val="Arial"/>
        <family val="2"/>
      </rPr>
      <t xml:space="preserve"> Provide any additional information needed to support your renewables data.</t>
    </r>
  </si>
  <si>
    <t>Revised 3/31/2015</t>
  </si>
  <si>
    <r>
      <t>Deadline:</t>
    </r>
    <r>
      <rPr>
        <sz val="11"/>
        <color rgb="FF000000"/>
        <rFont val="Arial"/>
        <family val="2"/>
      </rPr>
      <t xml:space="preserve"> Monday, June 1, 2015</t>
    </r>
  </si>
  <si>
    <t xml:space="preserve">Please use the 2013 template and mark it as "revised." Contact Commerce to obtain a copy of the 2013 reporting template if necessary. </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</si>
  <si>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(Effective April 6, 2015)</t>
    </r>
  </si>
  <si>
    <t>CON_2014_Agriculture_Expend</t>
  </si>
  <si>
    <t>CON_2014_Agriculture_MWH</t>
  </si>
  <si>
    <t>CON_2014_Commercial_Expend</t>
  </si>
  <si>
    <t>CON_2014_Commercial_MWH</t>
  </si>
  <si>
    <t>CON_2014_Distribution_Expend</t>
  </si>
  <si>
    <t>CON_2014_Distribution_MWH</t>
  </si>
  <si>
    <t>CON_2014_Expenditures</t>
  </si>
  <si>
    <t>CON_2014_Industrial_Expend</t>
  </si>
  <si>
    <t>CON_2014_Industrial_MWH</t>
  </si>
  <si>
    <t>CON_2014_MWH</t>
  </si>
  <si>
    <t>CON_2014_OtherSector1_Expend</t>
  </si>
  <si>
    <t>CON_2014_OtherSector1_MWH</t>
  </si>
  <si>
    <t>CON_2014_OtherSector2_Expend</t>
  </si>
  <si>
    <t>CON_2014_OtherSector2_MWH</t>
  </si>
  <si>
    <t>CON_2014_Production_Expend</t>
  </si>
  <si>
    <t>CON_2014_Production_MWH</t>
  </si>
  <si>
    <t>CON_2014_Program1_Expend</t>
  </si>
  <si>
    <t>CON_2014_Program2_Expend</t>
  </si>
  <si>
    <t>CON_2014_Residential_Expend</t>
  </si>
  <si>
    <t>CON_2014_Residential_MWH</t>
  </si>
  <si>
    <t>Description of Substitute Resource</t>
  </si>
  <si>
    <t>Renewable Resource Annual Cost in 2015</t>
  </si>
  <si>
    <t>Substitute Resource Annual Cost in 2015</t>
  </si>
  <si>
    <t>Renewable Resource Cost per MWH</t>
  </si>
  <si>
    <t>Substitute Resource Cost per MWH</t>
  </si>
  <si>
    <t>Incremental Cost of Renewable Resource in 2015</t>
  </si>
  <si>
    <t>Totals</t>
  </si>
  <si>
    <t>2014 Annual Load (MWh)</t>
  </si>
  <si>
    <t>Average of 2013 &amp; 2014 Annual Loads (MWh)</t>
  </si>
  <si>
    <t>2015 Renewable Target (% of load)</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</si>
  <si>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2015</t>
    </r>
  </si>
  <si>
    <t>Renewable Expenditures</t>
  </si>
  <si>
    <r>
      <rPr>
        <b/>
        <sz val="11"/>
        <color rgb="FF000000"/>
        <rFont val="Arial"/>
        <family val="2"/>
      </rPr>
      <t>Renewable Cost Report</t>
    </r>
    <r>
      <rPr>
        <sz val="11"/>
        <color rgb="FF000000"/>
        <rFont val="Arial"/>
        <family val="2"/>
      </rPr>
      <t xml:space="preserve"> is used to document and report renewable expenditures. For each renewable resource, report the total cost in 2015 of energy used for EIA compliance, the substitute resource associated with the renewable resource, and the total cost in 2015 that the utility would have incurred for the substitute resource.</t>
    </r>
  </si>
  <si>
    <t xml:space="preserve">Utilities must report the percentage of retail revenue requirement invested in the incremental cost of eligible renewable resources and the cost of renewable energy credits. </t>
  </si>
  <si>
    <r>
      <t>[Page 3] Renewable Energy Credits:</t>
    </r>
    <r>
      <rPr>
        <sz val="11"/>
        <color rgb="FF000000"/>
        <rFont val="Arial"/>
        <family val="2"/>
      </rPr>
      <t xml:space="preserve"> This table provides reporting of renewable energy credits (one REC represents one MWh) by facility and renewable energy type. It includes facility level entries for Apprentice Labor and Distributed Generation credits. Report the facility name, the WREGIS generating unit identification number (GUID) and the vintage of the renewable energy credits (RECs). For facilities where RECs from two different years from the same facility are used, enter each vintage on a separate row.</t>
    </r>
  </si>
  <si>
    <t>Utilities electing to comply using the no-load growth method should attach a separate report with the data elements specified in WAC 194-37-110(5). Investor owned utilities should provide a summary of documentation required by the Utilities and Transportation Commission.</t>
  </si>
  <si>
    <t>Utilities electing to comply using the cost cap method should attach a separate report with the data elements specified in WAC 194-37-110(4). Investor owned utilities should provide a summary of documentation required by the Utilities and Transportation Commission.</t>
  </si>
  <si>
    <t>Notes and explanations for reporting incremental costs and cost of RECs:</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</si>
  <si>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2015</t>
    </r>
  </si>
  <si>
    <t>Incremental Cost of Renewable Resources</t>
  </si>
  <si>
    <t xml:space="preserve">Cost of Renewable Energy Credits </t>
  </si>
  <si>
    <t>2015 Eligible Renewable Energy Target (MWh)</t>
  </si>
  <si>
    <t>Total annual retail revenue requirement - 2015</t>
  </si>
  <si>
    <t>CON_2014_NEEA_Expend</t>
  </si>
  <si>
    <t>CON_2014_NEEA_MWH</t>
  </si>
  <si>
    <t>REN_Expenditure_Amount_2015</t>
  </si>
  <si>
    <t>REN_Expenditure_Percent_2015</t>
  </si>
  <si>
    <t>REN_Load_2014</t>
  </si>
  <si>
    <t>REN_Total_2015</t>
  </si>
  <si>
    <t>REN_RetailRevenueRequirement_2015</t>
  </si>
  <si>
    <t>The Energy Independence Act (EIA) “RCW 19.285.070, Reporting and public disclosure” requires each qualifying utility to submit an annual report describing compliance with the law. This template implements the public reporting requirement. Additional documentation may be necessary to demonstrate full compliance with EIA. The EIA reports will be made available to the public via Commerce’s website, http://www.commerce.wa.gov/eia.</t>
  </si>
  <si>
    <r>
      <t xml:space="preserve">Excel Report Workbook: </t>
    </r>
    <r>
      <rPr>
        <sz val="11"/>
        <color rgb="FF000000"/>
        <rFont val="Arial"/>
        <family val="2"/>
      </rPr>
      <t>Contains one worksheet for Conservation, one worksheet for Renewables, and one worksheet for Renewable Cost.</t>
    </r>
  </si>
  <si>
    <t>Green-shaded cells are for data input.</t>
  </si>
  <si>
    <t>Blue-shaded cells are calculated amounts and formulas. No data entry required in blue cells.</t>
  </si>
  <si>
    <r>
      <t>The workbook requests numeric summaries as well as narratives and supporting notes. Commerce relies on the utilities to provide enough detail in the written section to ensure members of the public understand the data provided. S</t>
    </r>
    <r>
      <rPr>
        <b/>
        <sz val="11"/>
        <color rgb="FF000000"/>
        <rFont val="Arial"/>
        <family val="2"/>
      </rPr>
      <t>ubmit this Workbook in Excel format (i.e., do not submit in PDF format).</t>
    </r>
  </si>
  <si>
    <r>
      <t>Reporting Context:</t>
    </r>
    <r>
      <rPr>
        <sz val="11"/>
        <color rgb="FF000000"/>
        <rFont val="Arial"/>
        <family val="2"/>
      </rPr>
      <t xml:space="preserve"> The June 1, 2015, renewable energy report summarizes the eligible renewables resource and renewable energy credits that the utility has acquired and or has under contract by January 1, 2015. This describes the renewables acquisitions and investments made prior to the beginning of the target year to meet the requirements of the EIA. </t>
    </r>
  </si>
  <si>
    <r>
      <t>Compliance Method:</t>
    </r>
    <r>
      <rPr>
        <sz val="11"/>
        <color rgb="FF000000"/>
        <rFont val="Arial"/>
        <family val="2"/>
      </rPr>
      <t xml:space="preserve"> Select one of the three compliance methods that the utility intends to use. The EIA provides three compliance methods. A utility must make that determination by January 1, 2015 and must include information establishing its compliance method in this report.</t>
    </r>
  </si>
  <si>
    <r>
      <t xml:space="preserve">Note for Investor Owned Utilities (IOUs): </t>
    </r>
    <r>
      <rPr>
        <sz val="11"/>
        <color rgb="FF993300"/>
        <rFont val="Arial"/>
        <family val="2"/>
      </rPr>
      <t>Details on page 2 and 3 are designed to meet reporting requirements for consumer-owned utilities. The Utilities and Transportation Commission and IOUs have developed their own report form that details renewable energy achievements. Commerce requests that IOUs complete page 1 of the renewable worksheet, including rows 21 and 22. When completed, Commerce will attach the reports provided under 480-109-120 WAC to complete the details.</t>
    </r>
  </si>
  <si>
    <r>
      <t xml:space="preserve">[Page 2] Renewable Resources: </t>
    </r>
    <r>
      <rPr>
        <sz val="11"/>
        <color rgb="FF000000"/>
        <rFont val="Arial"/>
        <family val="2"/>
      </rPr>
      <t>This table provides reporting of renewable resource generation (MWh) by facility and renewable energy type. It includes facility level entries for additional credits for Apprentice Labor, where applicable. For each facility, enter the renewable energy generation in the appropriate column by type. If generation is eligible for Apprentice Labor credits enter the amount in the appropriate column. For example, a wind facility meeting the apprentice labor requirements will report wind generation in column (b) and apprentice labor MWh equivalents in column (k).</t>
    </r>
  </si>
  <si>
    <r>
      <t>Submission:</t>
    </r>
    <r>
      <rPr>
        <sz val="11"/>
        <color rgb="FF000000"/>
        <rFont val="Arial"/>
        <family val="2"/>
      </rPr>
      <t xml:space="preserve"> Email this workbook and all supporting documentation to </t>
    </r>
    <r>
      <rPr>
        <b/>
        <sz val="11"/>
        <color rgb="FF993300"/>
        <rFont val="Arial"/>
        <family val="2"/>
      </rPr>
      <t xml:space="preserve">EIA@commerce.wa.gov </t>
    </r>
  </si>
  <si>
    <t>RENEWABLE ENERGY WORKSHEET – REVISIONS TO 2013 REPORT</t>
  </si>
  <si>
    <r>
      <t xml:space="preserve">In addition to submitting the 2015 report, each qualifying utility should review the renewable energy report it submitted in 2013. In many cases, the specific resources and quantities actually used to comply with the 2013 target differ from what the utility reported in June 2013. </t>
    </r>
    <r>
      <rPr>
        <u/>
        <sz val="11"/>
        <color theme="1"/>
        <rFont val="Arial"/>
        <family val="2"/>
      </rPr>
      <t>Utilities should submit a revised 2013 report if the actual values differ from the values reported in 2013.</t>
    </r>
    <r>
      <rPr>
        <sz val="11"/>
        <color theme="1"/>
        <rFont val="Arial"/>
        <family val="2"/>
      </rPr>
      <t xml:space="preserve"> </t>
    </r>
  </si>
  <si>
    <t>Expenditures on Renewable Resources and RECs - 2015</t>
  </si>
  <si>
    <t>2015 Compliance Method:</t>
  </si>
  <si>
    <t>Number of RECs</t>
  </si>
  <si>
    <t>Annual Cost of Renewable Energy Credits</t>
  </si>
  <si>
    <t>Cost per REC</t>
  </si>
  <si>
    <t>Avista</t>
  </si>
  <si>
    <t>John Lyons, Energy Resources</t>
  </si>
  <si>
    <t>509-495-8515</t>
  </si>
  <si>
    <t>john.lyons@avistacorp.com</t>
  </si>
  <si>
    <t>Long Lake #3</t>
  </si>
  <si>
    <t>W2103</t>
  </si>
  <si>
    <t>Little Falls #4</t>
  </si>
  <si>
    <t>W2102</t>
  </si>
  <si>
    <t>Cabinet Gorge #2</t>
  </si>
  <si>
    <t>Cabinet Gorge #3</t>
  </si>
  <si>
    <t>Cabinet Gorge #4</t>
  </si>
  <si>
    <t>Noxon Rapids #1</t>
  </si>
  <si>
    <t>Noxon Rapids #2</t>
  </si>
  <si>
    <t>Noxon Rapids #3</t>
  </si>
  <si>
    <t>Noxon Rapids #4</t>
  </si>
  <si>
    <t>Wanapum Fish Bypass</t>
  </si>
  <si>
    <t>Palouse Wind</t>
  </si>
  <si>
    <t>W1560</t>
  </si>
  <si>
    <t>W1561</t>
  </si>
  <si>
    <t>W1562</t>
  </si>
  <si>
    <t>W1530</t>
  </si>
  <si>
    <t>W1552</t>
  </si>
  <si>
    <t>W1554</t>
  </si>
  <si>
    <t>W1555</t>
  </si>
  <si>
    <t>N/A</t>
  </si>
  <si>
    <t>W2906</t>
  </si>
  <si>
    <t>Stateline Wind Project</t>
  </si>
  <si>
    <t>W249</t>
  </si>
  <si>
    <t>Uses 2001 IRP assumptions, levelized upgrades uses first 30 years</t>
  </si>
  <si>
    <t>Uses 1997 IRP assumptions, levelized upgrades uses first 30 years</t>
  </si>
  <si>
    <t>Uses 2003 IRP assumptions, levelized upgrades uses first 30 years</t>
  </si>
  <si>
    <t>Uses 2007 IRP assumptions, levelized upgrades uses first 30 years</t>
  </si>
  <si>
    <t>Uses 2007 IRP assumptions (decision made in 2008, adjusted for inflation), levelized upgrades uses first 30 years</t>
  </si>
  <si>
    <t>Assumes zero as LT avoided cost cannot be calculated</t>
  </si>
  <si>
    <t>Uses 2011 IRP assumptions (decision made in  2011, adjusted for inflation), levelized upgrade uses first 30 yrs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</si>
</sst>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s>
  <fonts count="29" x14ac:knownFonts="1">
    <font>
      <sz val="11"/>
      <color theme="1"/>
      <name val="Calibri"/>
      <family val="2"/>
      <scheme val="minor"/>
    </font>
    <font>
      <sz val="10"/>
      <name val="Arial"/>
      <family val="2"/>
    </font>
    <font>
      <i/>
      <sz val="10"/>
      <color indexed="60"/>
      <name val="Arial"/>
      <family val="2"/>
    </font>
    <font>
      <b/>
      <sz val="10"/>
      <name val="Arial"/>
      <family val="2"/>
    </font>
    <font>
      <sz val="12"/>
      <color indexed="8"/>
      <name val="Arial Black"/>
      <family val="2"/>
    </font>
    <font>
      <sz val="12"/>
      <color indexed="8"/>
      <name val="Arial"/>
      <family val="2"/>
    </font>
    <font>
      <b/>
      <i/>
      <sz val="10"/>
      <color indexed="60"/>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0"/>
      <color rgb="FFC00000"/>
      <name val="Arial"/>
      <family val="2"/>
    </font>
    <font>
      <i/>
      <sz val="10"/>
      <color rgb="FFC00000"/>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sz val="11"/>
      <color rgb="FF993300"/>
      <name val="Arial"/>
      <family val="2"/>
    </font>
    <font>
      <b/>
      <i/>
      <sz val="11"/>
      <color rgb="FF000000"/>
      <name val="Arial"/>
      <family val="2"/>
    </font>
    <font>
      <b/>
      <sz val="11"/>
      <color theme="1"/>
      <name val="Arial"/>
      <family val="2"/>
    </font>
    <font>
      <b/>
      <sz val="12"/>
      <color theme="1"/>
      <name val="Arial"/>
      <family val="2"/>
    </font>
  </fonts>
  <fills count="7">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s>
  <borders count="38">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s>
  <cellStyleXfs count="5">
    <xf numFmtId="0" fontId="0" fillId="0" borderId="0"/>
    <xf numFmtId="43" fontId="8"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alignment vertical="top"/>
      <protection locked="0"/>
    </xf>
    <xf numFmtId="9" fontId="8" fillId="0" borderId="0" applyFont="0" applyFill="0" applyBorder="0" applyAlignment="0" applyProtection="0"/>
  </cellStyleXfs>
  <cellXfs count="169">
    <xf numFmtId="0" fontId="0" fillId="0" borderId="0" xfId="0"/>
    <xf numFmtId="0" fontId="10" fillId="2" borderId="0" xfId="0" applyFont="1" applyFill="1"/>
    <xf numFmtId="0" fontId="11" fillId="2" borderId="0" xfId="0" applyFont="1" applyFill="1" applyBorder="1" applyAlignment="1"/>
    <xf numFmtId="0" fontId="11" fillId="2" borderId="0" xfId="0" applyFont="1" applyFill="1" applyBorder="1" applyAlignment="1">
      <alignment horizontal="right"/>
    </xf>
    <xf numFmtId="0" fontId="10" fillId="2" borderId="0" xfId="0" applyFont="1" applyFill="1" applyBorder="1" applyAlignment="1">
      <alignment horizontal="right"/>
    </xf>
    <xf numFmtId="0" fontId="10" fillId="2" borderId="0" xfId="0" applyFont="1" applyFill="1" applyAlignment="1">
      <alignment horizontal="right"/>
    </xf>
    <xf numFmtId="0" fontId="11" fillId="2" borderId="0" xfId="0" applyFont="1" applyFill="1" applyBorder="1" applyAlignment="1">
      <alignment horizontal="left"/>
    </xf>
    <xf numFmtId="0" fontId="10" fillId="2" borderId="0" xfId="0" applyFont="1" applyFill="1" applyBorder="1"/>
    <xf numFmtId="0" fontId="10" fillId="2" borderId="0" xfId="0" applyFont="1" applyFill="1" applyAlignment="1">
      <alignment horizontal="center"/>
    </xf>
    <xf numFmtId="0" fontId="10" fillId="2" borderId="0" xfId="0" applyFont="1" applyFill="1" applyBorder="1" applyAlignment="1">
      <alignment horizontal="center"/>
    </xf>
    <xf numFmtId="0" fontId="11" fillId="2" borderId="0" xfId="0" applyFont="1" applyFill="1" applyAlignment="1">
      <alignment horizontal="right"/>
    </xf>
    <xf numFmtId="0" fontId="11" fillId="2" borderId="0" xfId="0" applyFont="1" applyFill="1"/>
    <xf numFmtId="0" fontId="10" fillId="2" borderId="0" xfId="0" applyFont="1" applyFill="1" applyAlignment="1">
      <alignment wrapText="1"/>
    </xf>
    <xf numFmtId="0" fontId="10" fillId="2" borderId="0" xfId="0" applyFont="1" applyFill="1" applyAlignment="1"/>
    <xf numFmtId="0" fontId="12" fillId="2" borderId="0" xfId="0" applyFont="1" applyFill="1" applyAlignment="1">
      <alignment horizontal="center" vertical="center"/>
    </xf>
    <xf numFmtId="0" fontId="10" fillId="2" borderId="5" xfId="0" applyFont="1" applyFill="1" applyBorder="1"/>
    <xf numFmtId="0" fontId="13" fillId="2" borderId="0" xfId="0" applyFont="1" applyFill="1" applyBorder="1" applyAlignment="1">
      <alignment horizontal="center" vertical="center" wrapText="1"/>
    </xf>
    <xf numFmtId="0" fontId="10" fillId="2" borderId="0" xfId="0" applyFont="1" applyFill="1" applyBorder="1" applyAlignment="1"/>
    <xf numFmtId="0" fontId="14" fillId="2" borderId="0" xfId="0" applyFont="1" applyFill="1"/>
    <xf numFmtId="0" fontId="14" fillId="0" borderId="0" xfId="0" applyFont="1" applyAlignment="1">
      <alignment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2" borderId="0" xfId="0" applyFont="1" applyFill="1" applyAlignment="1">
      <alignment horizontal="right"/>
    </xf>
    <xf numFmtId="166" fontId="10" fillId="2" borderId="0" xfId="2" applyNumberFormat="1" applyFont="1" applyFill="1" applyBorder="1" applyAlignment="1">
      <alignment horizontal="right"/>
    </xf>
    <xf numFmtId="167" fontId="10" fillId="2" borderId="0" xfId="4" applyNumberFormat="1" applyFont="1" applyFill="1" applyBorder="1" applyAlignment="1">
      <alignment horizontal="right"/>
    </xf>
    <xf numFmtId="166" fontId="10" fillId="2" borderId="0" xfId="0" applyNumberFormat="1" applyFont="1" applyFill="1" applyBorder="1"/>
    <xf numFmtId="0" fontId="10" fillId="2" borderId="0" xfId="0" applyFont="1" applyFill="1" applyBorder="1" applyAlignment="1">
      <alignment horizontal="left"/>
    </xf>
    <xf numFmtId="0" fontId="16" fillId="2" borderId="24" xfId="0" applyFont="1" applyFill="1" applyBorder="1" applyAlignment="1">
      <alignment horizontal="right"/>
    </xf>
    <xf numFmtId="0" fontId="16" fillId="2" borderId="25" xfId="0" applyFont="1" applyFill="1" applyBorder="1" applyAlignment="1">
      <alignment horizontal="right"/>
    </xf>
    <xf numFmtId="0" fontId="16" fillId="2" borderId="0" xfId="0" applyFont="1" applyFill="1" applyAlignment="1">
      <alignment horizontal="right"/>
    </xf>
    <xf numFmtId="0" fontId="17" fillId="2" borderId="0" xfId="0" applyFont="1" applyFill="1"/>
    <xf numFmtId="0" fontId="17" fillId="2" borderId="0" xfId="0" applyFont="1" applyFill="1" applyBorder="1" applyAlignment="1"/>
    <xf numFmtId="0" fontId="16" fillId="2" borderId="0" xfId="0" applyFont="1" applyFill="1" applyBorder="1"/>
    <xf numFmtId="0" fontId="16" fillId="2" borderId="0" xfId="0" applyFont="1" applyFill="1"/>
    <xf numFmtId="0" fontId="11" fillId="2" borderId="0" xfId="0" applyFont="1" applyFill="1" applyBorder="1" applyAlignment="1">
      <alignment horizontal="center"/>
    </xf>
    <xf numFmtId="0" fontId="1" fillId="2" borderId="0" xfId="0" applyFont="1" applyFill="1" applyBorder="1" applyAlignment="1">
      <alignment horizontal="right" wrapText="1"/>
    </xf>
    <xf numFmtId="0" fontId="1" fillId="2" borderId="0" xfId="0" applyFont="1" applyFill="1" applyBorder="1" applyAlignment="1">
      <alignment horizontal="right"/>
    </xf>
    <xf numFmtId="0" fontId="7" fillId="2" borderId="0" xfId="0" applyNumberFormat="1" applyFont="1" applyFill="1" applyBorder="1" applyAlignment="1"/>
    <xf numFmtId="0" fontId="11" fillId="2" borderId="0" xfId="0" applyFont="1" applyFill="1" applyBorder="1" applyAlignment="1">
      <alignment horizontal="center"/>
    </xf>
    <xf numFmtId="0" fontId="1" fillId="2" borderId="0" xfId="0" applyFont="1" applyFill="1" applyBorder="1" applyAlignment="1">
      <alignment horizontal="right"/>
    </xf>
    <xf numFmtId="0" fontId="3" fillId="2" borderId="0" xfId="0" applyFont="1" applyFill="1" applyAlignment="1">
      <alignment horizontal="center"/>
    </xf>
    <xf numFmtId="0" fontId="1" fillId="2" borderId="0" xfId="0" applyFont="1" applyFill="1" applyBorder="1" applyAlignment="1">
      <alignment horizontal="right"/>
    </xf>
    <xf numFmtId="0" fontId="10" fillId="2" borderId="27" xfId="0" applyFont="1" applyFill="1" applyBorder="1"/>
    <xf numFmtId="0" fontId="10" fillId="2" borderId="32" xfId="0" applyFont="1" applyFill="1" applyBorder="1"/>
    <xf numFmtId="0" fontId="10" fillId="2" borderId="26" xfId="0" applyFont="1" applyFill="1" applyBorder="1"/>
    <xf numFmtId="0" fontId="1" fillId="2" borderId="26" xfId="0" applyFont="1" applyFill="1" applyBorder="1" applyAlignment="1">
      <alignment horizontal="right"/>
    </xf>
    <xf numFmtId="164" fontId="10" fillId="3" borderId="23" xfId="0" applyNumberFormat="1" applyFont="1" applyFill="1" applyBorder="1" applyAlignment="1">
      <alignment horizontal="center"/>
    </xf>
    <xf numFmtId="0" fontId="10" fillId="2" borderId="27" xfId="0" applyFont="1" applyFill="1" applyBorder="1" applyAlignment="1"/>
    <xf numFmtId="0" fontId="19" fillId="2" borderId="0" xfId="0" applyFont="1" applyFill="1" applyBorder="1" applyAlignment="1">
      <alignment vertical="top" wrapText="1"/>
    </xf>
    <xf numFmtId="0" fontId="19" fillId="2" borderId="26" xfId="0" applyFont="1" applyFill="1" applyBorder="1" applyAlignment="1">
      <alignment vertical="top" wrapText="1"/>
    </xf>
    <xf numFmtId="0" fontId="17" fillId="2" borderId="0" xfId="0" applyFont="1" applyFill="1" applyBorder="1"/>
    <xf numFmtId="0" fontId="19" fillId="2" borderId="32" xfId="0" applyFont="1" applyFill="1" applyBorder="1" applyAlignment="1">
      <alignment vertical="top"/>
    </xf>
    <xf numFmtId="0" fontId="20" fillId="0" borderId="33" xfId="0" applyFont="1" applyBorder="1" applyAlignment="1">
      <alignment vertical="center" wrapText="1"/>
    </xf>
    <xf numFmtId="0" fontId="20" fillId="0" borderId="34" xfId="0" applyFont="1" applyBorder="1" applyAlignment="1">
      <alignment vertical="center" wrapText="1"/>
    </xf>
    <xf numFmtId="0" fontId="16" fillId="0" borderId="34" xfId="0" applyFont="1" applyBorder="1" applyAlignment="1">
      <alignment vertical="center" wrapText="1"/>
    </xf>
    <xf numFmtId="0" fontId="16" fillId="0" borderId="35" xfId="0" applyFont="1" applyBorder="1" applyAlignment="1">
      <alignment vertical="center" wrapText="1"/>
    </xf>
    <xf numFmtId="0" fontId="22" fillId="4" borderId="36" xfId="0" applyFont="1" applyFill="1" applyBorder="1" applyAlignment="1">
      <alignment vertical="center"/>
    </xf>
    <xf numFmtId="0" fontId="22" fillId="4" borderId="37" xfId="0" applyFont="1" applyFill="1" applyBorder="1" applyAlignment="1">
      <alignment vertical="center"/>
    </xf>
    <xf numFmtId="0" fontId="23" fillId="4" borderId="34" xfId="0" applyFont="1" applyFill="1" applyBorder="1" applyAlignment="1">
      <alignment vertical="center" wrapText="1"/>
    </xf>
    <xf numFmtId="0" fontId="23" fillId="4" borderId="37" xfId="0" applyFont="1" applyFill="1" applyBorder="1" applyAlignment="1">
      <alignment vertical="center" wrapText="1"/>
    </xf>
    <xf numFmtId="0" fontId="22" fillId="4" borderId="34" xfId="0" applyFont="1" applyFill="1" applyBorder="1" applyAlignment="1">
      <alignment vertical="center" wrapText="1"/>
    </xf>
    <xf numFmtId="0" fontId="23" fillId="4" borderId="37" xfId="0" applyFont="1" applyFill="1" applyBorder="1" applyAlignment="1">
      <alignment vertical="center"/>
    </xf>
    <xf numFmtId="0" fontId="22" fillId="4" borderId="37" xfId="0" applyFont="1" applyFill="1" applyBorder="1" applyAlignment="1">
      <alignment vertical="center" wrapText="1"/>
    </xf>
    <xf numFmtId="0" fontId="20" fillId="4" borderId="37" xfId="0" applyFont="1" applyFill="1" applyBorder="1" applyAlignment="1">
      <alignment vertical="center"/>
    </xf>
    <xf numFmtId="0" fontId="24" fillId="4" borderId="37" xfId="0" applyFont="1" applyFill="1" applyBorder="1" applyAlignment="1">
      <alignment vertical="center" wrapText="1"/>
    </xf>
    <xf numFmtId="0" fontId="23" fillId="4" borderId="35" xfId="0" applyFont="1" applyFill="1" applyBorder="1" applyAlignment="1">
      <alignment vertical="center"/>
    </xf>
    <xf numFmtId="0" fontId="10" fillId="2" borderId="0" xfId="0" applyFont="1" applyFill="1" applyBorder="1" applyAlignment="1"/>
    <xf numFmtId="0" fontId="11" fillId="2" borderId="0" xfId="0" applyFont="1" applyFill="1" applyBorder="1" applyAlignment="1">
      <alignment horizontal="center"/>
    </xf>
    <xf numFmtId="0" fontId="0" fillId="0" borderId="0" xfId="0" applyNumberFormat="1"/>
    <xf numFmtId="168" fontId="26" fillId="4" borderId="37" xfId="0" applyNumberFormat="1" applyFont="1" applyFill="1" applyBorder="1" applyAlignment="1">
      <alignment horizontal="left" vertical="center"/>
    </xf>
    <xf numFmtId="0" fontId="3" fillId="2" borderId="0" xfId="0" applyFont="1" applyFill="1" applyBorder="1" applyAlignment="1"/>
    <xf numFmtId="0" fontId="1" fillId="5" borderId="8" xfId="0" applyFont="1" applyFill="1" applyBorder="1" applyAlignment="1">
      <alignment horizontal="center"/>
    </xf>
    <xf numFmtId="0" fontId="1" fillId="5" borderId="1" xfId="0" applyFont="1" applyFill="1" applyBorder="1" applyAlignment="1">
      <alignment horizontal="center"/>
    </xf>
    <xf numFmtId="0" fontId="1" fillId="5" borderId="1" xfId="0" applyFont="1" applyFill="1" applyBorder="1" applyAlignment="1">
      <alignment horizontal="right"/>
    </xf>
    <xf numFmtId="0" fontId="1" fillId="5" borderId="4" xfId="0" applyFont="1" applyFill="1" applyBorder="1" applyAlignment="1">
      <alignment horizontal="center"/>
    </xf>
    <xf numFmtId="0" fontId="1" fillId="5" borderId="20" xfId="0" applyFont="1" applyFill="1" applyBorder="1" applyAlignment="1">
      <alignment horizontal="center"/>
    </xf>
    <xf numFmtId="0" fontId="1" fillId="5" borderId="20" xfId="0" applyFont="1" applyFill="1" applyBorder="1" applyAlignment="1">
      <alignment horizontal="right"/>
    </xf>
    <xf numFmtId="165" fontId="10" fillId="5" borderId="1" xfId="1" applyNumberFormat="1" applyFont="1" applyFill="1" applyBorder="1" applyAlignment="1"/>
    <xf numFmtId="165" fontId="10" fillId="5" borderId="20" xfId="1" applyNumberFormat="1" applyFont="1" applyFill="1" applyBorder="1" applyAlignment="1"/>
    <xf numFmtId="0" fontId="1" fillId="5" borderId="9" xfId="0" applyFont="1" applyFill="1" applyBorder="1" applyAlignment="1">
      <alignment horizontal="center"/>
    </xf>
    <xf numFmtId="0" fontId="1" fillId="5" borderId="2" xfId="0" applyFont="1" applyFill="1" applyBorder="1" applyAlignment="1">
      <alignment horizontal="center"/>
    </xf>
    <xf numFmtId="0" fontId="1" fillId="5" borderId="2" xfId="0" applyFont="1" applyFill="1" applyBorder="1" applyAlignment="1">
      <alignment horizontal="right"/>
    </xf>
    <xf numFmtId="165" fontId="10" fillId="5" borderId="2" xfId="1" applyNumberFormat="1" applyFont="1" applyFill="1" applyBorder="1" applyAlignment="1"/>
    <xf numFmtId="0" fontId="13" fillId="2" borderId="0" xfId="0" applyFont="1" applyFill="1" applyAlignment="1">
      <alignment horizontal="center" wrapText="1"/>
    </xf>
    <xf numFmtId="0" fontId="3" fillId="5" borderId="0" xfId="0" applyFont="1" applyFill="1" applyBorder="1" applyAlignment="1">
      <alignment horizontal="center"/>
    </xf>
    <xf numFmtId="0" fontId="3" fillId="5" borderId="0" xfId="0" applyFont="1" applyFill="1" applyBorder="1" applyAlignment="1">
      <alignment horizontal="right"/>
    </xf>
    <xf numFmtId="165" fontId="3" fillId="5" borderId="0" xfId="1" applyNumberFormat="1" applyFont="1" applyFill="1" applyBorder="1" applyAlignment="1">
      <alignment horizontal="right"/>
    </xf>
    <xf numFmtId="169" fontId="3" fillId="5" borderId="0" xfId="0" applyNumberFormat="1" applyFont="1" applyFill="1" applyBorder="1" applyAlignment="1">
      <alignment horizontal="right"/>
    </xf>
    <xf numFmtId="0" fontId="13" fillId="2" borderId="0" xfId="0" applyFont="1" applyFill="1" applyAlignment="1">
      <alignment horizontal="center"/>
    </xf>
    <xf numFmtId="0" fontId="10" fillId="5" borderId="0" xfId="0" applyFont="1" applyFill="1"/>
    <xf numFmtId="169" fontId="10" fillId="5" borderId="10" xfId="0" applyNumberFormat="1" applyFont="1" applyFill="1" applyBorder="1" applyAlignment="1"/>
    <xf numFmtId="167" fontId="10" fillId="5" borderId="11" xfId="4" applyNumberFormat="1" applyFont="1" applyFill="1" applyBorder="1" applyAlignment="1">
      <alignment horizontal="center"/>
    </xf>
    <xf numFmtId="0" fontId="10" fillId="5" borderId="31" xfId="0" applyNumberFormat="1" applyFont="1" applyFill="1" applyBorder="1" applyAlignment="1">
      <alignment horizontal="center"/>
    </xf>
    <xf numFmtId="9" fontId="1" fillId="5" borderId="31" xfId="0" applyNumberFormat="1" applyFont="1" applyFill="1" applyBorder="1" applyAlignment="1">
      <alignment horizontal="center"/>
    </xf>
    <xf numFmtId="0" fontId="10" fillId="5" borderId="11" xfId="0" applyNumberFormat="1" applyFont="1" applyFill="1" applyBorder="1" applyAlignment="1">
      <alignment horizontal="center"/>
    </xf>
    <xf numFmtId="0" fontId="11" fillId="2" borderId="0" xfId="0" applyFont="1" applyFill="1" applyBorder="1" applyAlignment="1">
      <alignment horizontal="left" wrapText="1"/>
    </xf>
    <xf numFmtId="0" fontId="11" fillId="6" borderId="10" xfId="0" applyFont="1" applyFill="1" applyBorder="1"/>
    <xf numFmtId="0" fontId="10" fillId="6" borderId="10" xfId="0" applyNumberFormat="1" applyFont="1" applyFill="1" applyBorder="1" applyAlignment="1">
      <alignment horizontal="center"/>
    </xf>
    <xf numFmtId="0" fontId="10" fillId="6" borderId="10" xfId="0" applyFont="1" applyFill="1" applyBorder="1" applyAlignment="1">
      <alignment horizontal="center"/>
    </xf>
    <xf numFmtId="169" fontId="10" fillId="6" borderId="10" xfId="0" applyNumberFormat="1" applyFont="1" applyFill="1" applyBorder="1" applyAlignment="1"/>
    <xf numFmtId="165" fontId="10" fillId="6" borderId="1" xfId="1" applyNumberFormat="1" applyFont="1" applyFill="1" applyBorder="1"/>
    <xf numFmtId="165" fontId="10" fillId="6" borderId="2" xfId="1" applyNumberFormat="1" applyFont="1" applyFill="1" applyBorder="1"/>
    <xf numFmtId="165" fontId="10" fillId="6" borderId="3" xfId="1" applyNumberFormat="1" applyFont="1" applyFill="1" applyBorder="1"/>
    <xf numFmtId="0" fontId="1" fillId="6" borderId="28" xfId="0" applyFont="1" applyFill="1" applyBorder="1" applyAlignment="1">
      <alignment horizontal="right"/>
    </xf>
    <xf numFmtId="0" fontId="1" fillId="6" borderId="17" xfId="0" applyFont="1" applyFill="1" applyBorder="1" applyAlignment="1">
      <alignment horizontal="right"/>
    </xf>
    <xf numFmtId="165" fontId="10" fillId="6" borderId="18" xfId="1" applyNumberFormat="1" applyFont="1" applyFill="1" applyBorder="1"/>
    <xf numFmtId="0" fontId="1" fillId="6" borderId="10" xfId="0" applyFont="1" applyFill="1" applyBorder="1" applyAlignment="1">
      <alignment horizontal="right"/>
    </xf>
    <xf numFmtId="0" fontId="1" fillId="6" borderId="12" xfId="0" applyFont="1" applyFill="1" applyBorder="1" applyAlignment="1">
      <alignment horizontal="right"/>
    </xf>
    <xf numFmtId="165" fontId="10" fillId="6" borderId="19" xfId="1" applyNumberFormat="1" applyFont="1" applyFill="1" applyBorder="1"/>
    <xf numFmtId="165" fontId="10" fillId="6" borderId="20" xfId="1" applyNumberFormat="1" applyFont="1" applyFill="1" applyBorder="1"/>
    <xf numFmtId="0" fontId="1" fillId="6" borderId="10" xfId="0" applyFont="1" applyFill="1" applyBorder="1" applyAlignment="1">
      <alignment horizontal="right" wrapText="1"/>
    </xf>
    <xf numFmtId="0" fontId="1" fillId="6" borderId="12" xfId="0" applyFont="1" applyFill="1" applyBorder="1" applyAlignment="1">
      <alignment horizontal="right" wrapText="1"/>
    </xf>
    <xf numFmtId="0" fontId="3" fillId="6" borderId="12" xfId="0" applyFont="1" applyFill="1" applyBorder="1" applyAlignment="1">
      <alignment horizontal="right"/>
    </xf>
    <xf numFmtId="0" fontId="11" fillId="6" borderId="12" xfId="0" applyFont="1" applyFill="1" applyBorder="1"/>
    <xf numFmtId="0" fontId="11" fillId="6" borderId="14" xfId="0" applyFont="1" applyFill="1" applyBorder="1"/>
    <xf numFmtId="0" fontId="11" fillId="6" borderId="13" xfId="0" applyFont="1" applyFill="1" applyBorder="1"/>
    <xf numFmtId="165" fontId="10" fillId="6" borderId="22" xfId="1" applyNumberFormat="1" applyFont="1" applyFill="1" applyBorder="1"/>
    <xf numFmtId="165" fontId="10" fillId="6" borderId="15" xfId="1" applyNumberFormat="1" applyFont="1" applyFill="1" applyBorder="1"/>
    <xf numFmtId="165" fontId="10" fillId="6" borderId="21" xfId="1" applyNumberFormat="1" applyFont="1" applyFill="1" applyBorder="1"/>
    <xf numFmtId="165" fontId="10" fillId="6" borderId="16" xfId="1" applyNumberFormat="1" applyFont="1" applyFill="1" applyBorder="1"/>
    <xf numFmtId="169" fontId="10" fillId="6" borderId="1" xfId="1" applyNumberFormat="1" applyFont="1" applyFill="1" applyBorder="1"/>
    <xf numFmtId="169" fontId="10" fillId="6" borderId="20" xfId="1" applyNumberFormat="1" applyFont="1" applyFill="1" applyBorder="1"/>
    <xf numFmtId="169" fontId="10" fillId="6" borderId="2" xfId="1" applyNumberFormat="1" applyFont="1" applyFill="1" applyBorder="1"/>
    <xf numFmtId="169" fontId="10" fillId="6" borderId="9" xfId="1" applyNumberFormat="1" applyFont="1" applyFill="1" applyBorder="1"/>
    <xf numFmtId="0" fontId="22" fillId="6" borderId="37" xfId="0" applyFont="1" applyFill="1" applyBorder="1" applyAlignment="1">
      <alignment vertical="center"/>
    </xf>
    <xf numFmtId="0" fontId="22" fillId="5" borderId="37" xfId="0" applyFont="1" applyFill="1" applyBorder="1" applyAlignment="1">
      <alignment vertical="center"/>
    </xf>
    <xf numFmtId="0" fontId="28" fillId="2" borderId="0" xfId="0" applyFont="1" applyFill="1" applyBorder="1" applyAlignment="1">
      <alignment horizontal="left"/>
    </xf>
    <xf numFmtId="0" fontId="3" fillId="2" borderId="0" xfId="0" applyFont="1" applyFill="1" applyAlignment="1">
      <alignment horizontal="center" wrapText="1"/>
    </xf>
    <xf numFmtId="0" fontId="10" fillId="5" borderId="0" xfId="0" applyFont="1" applyFill="1" applyAlignment="1">
      <alignment horizontal="center"/>
    </xf>
    <xf numFmtId="1" fontId="1" fillId="5" borderId="20" xfId="0" applyNumberFormat="1" applyFont="1" applyFill="1" applyBorder="1" applyAlignment="1">
      <alignment horizontal="right"/>
    </xf>
    <xf numFmtId="1" fontId="1" fillId="5" borderId="1" xfId="0" applyNumberFormat="1" applyFont="1" applyFill="1" applyBorder="1" applyAlignment="1">
      <alignment horizontal="right"/>
    </xf>
    <xf numFmtId="1" fontId="1" fillId="5" borderId="2" xfId="0" applyNumberFormat="1" applyFont="1" applyFill="1" applyBorder="1" applyAlignment="1">
      <alignment horizontal="right"/>
    </xf>
    <xf numFmtId="0" fontId="10" fillId="6" borderId="1" xfId="1" applyNumberFormat="1" applyFont="1" applyFill="1" applyBorder="1"/>
    <xf numFmtId="0" fontId="1" fillId="2" borderId="0" xfId="0" applyFont="1" applyFill="1" applyBorder="1" applyAlignment="1">
      <alignment horizontal="right" wrapText="1"/>
    </xf>
    <xf numFmtId="0" fontId="11" fillId="5" borderId="8" xfId="0" applyFont="1" applyFill="1" applyBorder="1" applyAlignment="1">
      <alignment horizontal="center"/>
    </xf>
    <xf numFmtId="0" fontId="10" fillId="5" borderId="1" xfId="0" applyFont="1" applyFill="1" applyBorder="1" applyAlignment="1"/>
    <xf numFmtId="0" fontId="10" fillId="5" borderId="15" xfId="0" applyFont="1" applyFill="1" applyBorder="1" applyAlignment="1"/>
    <xf numFmtId="0" fontId="11" fillId="2" borderId="9" xfId="0" applyFont="1" applyFill="1" applyBorder="1" applyAlignment="1">
      <alignment horizontal="center"/>
    </xf>
    <xf numFmtId="0" fontId="10" fillId="2" borderId="2" xfId="0" applyFont="1" applyFill="1" applyBorder="1" applyAlignment="1">
      <alignment horizontal="center"/>
    </xf>
    <xf numFmtId="0" fontId="10" fillId="2" borderId="16" xfId="0" applyFont="1" applyFill="1" applyBorder="1" applyAlignment="1">
      <alignment horizontal="center"/>
    </xf>
    <xf numFmtId="0" fontId="2" fillId="2" borderId="0" xfId="0" applyFont="1" applyFill="1" applyAlignment="1">
      <alignment horizontal="left" vertical="center" wrapText="1"/>
    </xf>
    <xf numFmtId="0" fontId="15" fillId="2" borderId="0" xfId="0" applyFont="1" applyFill="1" applyAlignment="1">
      <alignment horizontal="left" vertical="center" wrapText="1"/>
    </xf>
    <xf numFmtId="0" fontId="0" fillId="2" borderId="0" xfId="0" applyFill="1" applyAlignment="1">
      <alignment wrapText="1"/>
    </xf>
    <xf numFmtId="0" fontId="3" fillId="2" borderId="26" xfId="0" applyFont="1" applyFill="1" applyBorder="1" applyAlignment="1">
      <alignment horizontal="left"/>
    </xf>
    <xf numFmtId="0" fontId="11" fillId="0" borderId="29" xfId="0" applyFont="1" applyBorder="1" applyAlignment="1">
      <alignment horizontal="center" wrapText="1"/>
    </xf>
    <xf numFmtId="0" fontId="11" fillId="0" borderId="5" xfId="0" applyFont="1" applyBorder="1" applyAlignment="1">
      <alignment horizontal="center" wrapText="1"/>
    </xf>
    <xf numFmtId="0" fontId="11" fillId="0" borderId="30" xfId="0" applyFont="1" applyBorder="1" applyAlignment="1">
      <alignment horizontal="center" wrapText="1"/>
    </xf>
    <xf numFmtId="0" fontId="11" fillId="2" borderId="29" xfId="0" applyFont="1" applyFill="1" applyBorder="1" applyAlignment="1">
      <alignment horizontal="center"/>
    </xf>
    <xf numFmtId="0" fontId="11" fillId="2" borderId="5" xfId="0" applyFont="1" applyFill="1" applyBorder="1" applyAlignment="1">
      <alignment horizontal="center"/>
    </xf>
    <xf numFmtId="0" fontId="11" fillId="2" borderId="30" xfId="0" applyFont="1" applyFill="1" applyBorder="1" applyAlignment="1">
      <alignment horizontal="center"/>
    </xf>
    <xf numFmtId="0" fontId="11" fillId="6" borderId="17" xfId="0" applyFont="1" applyFill="1" applyBorder="1" applyAlignment="1">
      <alignment horizontal="center"/>
    </xf>
    <xf numFmtId="168" fontId="10" fillId="6" borderId="12" xfId="0" applyNumberFormat="1" applyFont="1" applyFill="1" applyBorder="1" applyAlignment="1">
      <alignment horizontal="center"/>
    </xf>
    <xf numFmtId="0" fontId="10" fillId="6" borderId="12" xfId="0" applyFont="1" applyFill="1" applyBorder="1" applyAlignment="1">
      <alignment horizontal="center"/>
    </xf>
    <xf numFmtId="0" fontId="9" fillId="6" borderId="13" xfId="3" applyFill="1" applyBorder="1" applyAlignment="1" applyProtection="1">
      <alignment horizontal="center"/>
    </xf>
    <xf numFmtId="0" fontId="10" fillId="6" borderId="13" xfId="0" applyFont="1" applyFill="1" applyBorder="1" applyAlignment="1">
      <alignment horizontal="center"/>
    </xf>
    <xf numFmtId="165" fontId="10" fillId="6" borderId="15" xfId="1" applyNumberFormat="1" applyFont="1" applyFill="1" applyBorder="1" applyAlignment="1">
      <alignment horizontal="center"/>
    </xf>
    <xf numFmtId="165" fontId="10" fillId="6" borderId="17" xfId="1" applyNumberFormat="1" applyFont="1" applyFill="1" applyBorder="1" applyAlignment="1">
      <alignment horizontal="center"/>
    </xf>
    <xf numFmtId="165" fontId="10" fillId="6" borderId="8" xfId="1" applyNumberFormat="1" applyFont="1" applyFill="1" applyBorder="1" applyAlignment="1">
      <alignment horizontal="center"/>
    </xf>
    <xf numFmtId="165" fontId="10" fillId="6" borderId="21" xfId="1" applyNumberFormat="1" applyFont="1" applyFill="1" applyBorder="1" applyAlignment="1">
      <alignment horizontal="center"/>
    </xf>
    <xf numFmtId="165" fontId="10" fillId="6" borderId="12" xfId="1" applyNumberFormat="1" applyFont="1" applyFill="1" applyBorder="1" applyAlignment="1">
      <alignment horizontal="center"/>
    </xf>
    <xf numFmtId="165" fontId="10" fillId="6" borderId="4" xfId="1" applyNumberFormat="1" applyFont="1" applyFill="1" applyBorder="1" applyAlignment="1">
      <alignment horizontal="center"/>
    </xf>
    <xf numFmtId="0" fontId="11" fillId="5" borderId="9" xfId="0" applyFont="1" applyFill="1" applyBorder="1" applyAlignment="1">
      <alignment horizontal="center"/>
    </xf>
    <xf numFmtId="0" fontId="10" fillId="5" borderId="2" xfId="0" applyFont="1" applyFill="1" applyBorder="1" applyAlignment="1">
      <alignment horizontal="center"/>
    </xf>
    <xf numFmtId="0" fontId="10" fillId="5" borderId="16" xfId="0" applyFont="1" applyFill="1" applyBorder="1" applyAlignment="1">
      <alignment horizontal="center"/>
    </xf>
    <xf numFmtId="165" fontId="10" fillId="6" borderId="16" xfId="1" applyNumberFormat="1" applyFont="1" applyFill="1" applyBorder="1" applyAlignment="1">
      <alignment horizontal="center"/>
    </xf>
    <xf numFmtId="165" fontId="10" fillId="6" borderId="13" xfId="1" applyNumberFormat="1" applyFont="1" applyFill="1" applyBorder="1" applyAlignment="1">
      <alignment horizontal="center"/>
    </xf>
    <xf numFmtId="165" fontId="10" fillId="6" borderId="9" xfId="1" applyNumberFormat="1" applyFont="1" applyFill="1" applyBorder="1" applyAlignment="1">
      <alignment horizontal="center"/>
    </xf>
    <xf numFmtId="0" fontId="13" fillId="2" borderId="26" xfId="0" applyFont="1" applyFill="1" applyBorder="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180974</xdr:colOff>
      <xdr:row>100</xdr:row>
      <xdr:rowOff>0</xdr:rowOff>
    </xdr:from>
    <xdr:to>
      <xdr:col>14</xdr:col>
      <xdr:colOff>609599</xdr:colOff>
      <xdr:row>112</xdr:row>
      <xdr:rowOff>152400</xdr:rowOff>
    </xdr:to>
    <xdr:sp macro="" textlink="">
      <xdr:nvSpPr>
        <xdr:cNvPr id="2" name="TextBox 1"/>
        <xdr:cNvSpPr txBox="1"/>
      </xdr:nvSpPr>
      <xdr:spPr>
        <a:xfrm>
          <a:off x="180974" y="20335875"/>
          <a:ext cx="11134725" cy="22098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161925</xdr:colOff>
      <xdr:row>115</xdr:row>
      <xdr:rowOff>123825</xdr:rowOff>
    </xdr:from>
    <xdr:to>
      <xdr:col>14</xdr:col>
      <xdr:colOff>647701</xdr:colOff>
      <xdr:row>135</xdr:row>
      <xdr:rowOff>38100</xdr:rowOff>
    </xdr:to>
    <xdr:sp macro="" textlink="">
      <xdr:nvSpPr>
        <xdr:cNvPr id="3" name="TextBox 2"/>
        <xdr:cNvSpPr txBox="1"/>
      </xdr:nvSpPr>
      <xdr:spPr>
        <a:xfrm>
          <a:off x="161925" y="23002875"/>
          <a:ext cx="11191876" cy="23431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t>The</a:t>
          </a:r>
          <a:r>
            <a:rPr lang="en-US" baseline="0"/>
            <a:t>re are no RECs to report for the Wanapum Fish Bypass because the water level for the hydroelectric project was lowered from February 2014 through March 2015 to facilitate repairs to the spillway.</a:t>
          </a:r>
        </a:p>
        <a:p>
          <a:endParaRPr lang="en-US" baseline="0"/>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In 2008, Avista purchased 50,000 renewable energy certificates per year generated from the Stateline Wind Project for the 2012 through 2015 period to comply with RCW Chapter 19.285 requirements. Avista sold the renewable energy certificates for 2012 through 2014 because they became surplus of the Company’s needs in 2011 with the acquisition of the Palouse Wind Power Purchase Agreement and decisions concerning the need for reserves for qualifying hydroelectric upgrades. Avista retained the 2015 renewable energy certificates since they are eligible for 2016 compliance obligations.  The 50,000 renewable energy certificates purchased from the Stateline Wind Project for 2014 are not included in this filing because they have already been sold and are not being submitted for compliance</a:t>
          </a:r>
          <a:r>
            <a:rPr lang="en-US" sz="1100" baseline="0">
              <a:solidFill>
                <a:schemeClr val="dk1"/>
              </a:solidFill>
              <a:latin typeface="+mn-lt"/>
              <a:ea typeface="+mn-ea"/>
              <a:cs typeface="+mn-cs"/>
            </a:rPr>
            <a:t>.</a:t>
          </a:r>
          <a:endParaRPr lang="en-US" sz="1100">
            <a:solidFill>
              <a:schemeClr val="dk1"/>
            </a:solidFill>
            <a:latin typeface="+mn-lt"/>
            <a:ea typeface="+mn-ea"/>
            <a:cs typeface="+mn-cs"/>
          </a:endParaRPr>
        </a:p>
        <a:p>
          <a:endParaRPr lang="en-US"/>
        </a:p>
        <a:p>
          <a:r>
            <a:rPr lang="en-US"/>
            <a:t>Washington</a:t>
          </a:r>
          <a:r>
            <a:rPr lang="en-US" baseline="0"/>
            <a:t> revenue requirement is from 2014, which is the current revenue requirement in place at the time this report was developed. This number is adjusted to account for the transfer to Idaho for  incremental hydro and Palouse  RECs.</a:t>
          </a:r>
          <a:endParaRPr lang="en-US"/>
        </a:p>
      </xdr:txBody>
    </xdr:sp>
    <xdr:clientData/>
  </xdr:twoCellAnchor>
  <xdr:twoCellAnchor>
    <xdr:from>
      <xdr:col>1</xdr:col>
      <xdr:colOff>19051</xdr:colOff>
      <xdr:row>20</xdr:row>
      <xdr:rowOff>152401</xdr:rowOff>
    </xdr:from>
    <xdr:to>
      <xdr:col>14</xdr:col>
      <xdr:colOff>514350</xdr:colOff>
      <xdr:row>33</xdr:row>
      <xdr:rowOff>66675</xdr:rowOff>
    </xdr:to>
    <xdr:sp macro="" textlink="">
      <xdr:nvSpPr>
        <xdr:cNvPr id="4" name="TextBox 3"/>
        <xdr:cNvSpPr txBox="1"/>
      </xdr:nvSpPr>
      <xdr:spPr>
        <a:xfrm>
          <a:off x="200026" y="4581526"/>
          <a:ext cx="1102042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2015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2015 for the purpose of meeting its Energy Independence Act (EIA) renewables target for 2015. The actual resources and RECs used to comply with the 2015 EIA target may vary from those reported here. Utilities will report in June of 2017 on the actual results for 2015.</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2015 is 3%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2015 target year. Utilities that elect to use a compliance method based on renewable investments must provide additional information demonstrating compliance with that method.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2</xdr:col>
          <xdr:colOff>15240</xdr:colOff>
          <xdr:row>8</xdr:row>
          <xdr:rowOff>7620</xdr:rowOff>
        </xdr:from>
        <xdr:to>
          <xdr:col>4</xdr:col>
          <xdr:colOff>457200</xdr:colOff>
          <xdr:row>9</xdr:row>
          <xdr:rowOff>15240</xdr:rowOff>
        </xdr:to>
        <xdr:sp macro="" textlink="">
          <xdr:nvSpPr>
            <xdr:cNvPr id="5448" name="Check Box 328" hidden="1">
              <a:extLst>
                <a:ext uri="{63B3BB69-23CF-44E3-9099-C40C66FF867C}">
                  <a14:compatExt spid="_x0000_s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15240</xdr:colOff>
          <xdr:row>9</xdr:row>
          <xdr:rowOff>22860</xdr:rowOff>
        </xdr:from>
        <xdr:to>
          <xdr:col>5</xdr:col>
          <xdr:colOff>0</xdr:colOff>
          <xdr:row>10</xdr:row>
          <xdr:rowOff>22860</xdr:rowOff>
        </xdr:to>
        <xdr:sp macro="" textlink="">
          <xdr:nvSpPr>
            <xdr:cNvPr id="5449" name="Check Box 329" hidden="1">
              <a:extLst>
                <a:ext uri="{63B3BB69-23CF-44E3-9099-C40C66FF867C}">
                  <a14:compatExt spid="_x0000_s5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15240</xdr:colOff>
          <xdr:row>10</xdr:row>
          <xdr:rowOff>53340</xdr:rowOff>
        </xdr:from>
        <xdr:to>
          <xdr:col>5</xdr:col>
          <xdr:colOff>91440</xdr:colOff>
          <xdr:row>11</xdr:row>
          <xdr:rowOff>7620</xdr:rowOff>
        </xdr:to>
        <xdr:sp macro="" textlink="">
          <xdr:nvSpPr>
            <xdr:cNvPr id="5450" name="Check Box 330" hidden="1">
              <a:extLst>
                <a:ext uri="{63B3BB69-23CF-44E3-9099-C40C66FF867C}">
                  <a14:compatExt spid="_x0000_s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63</xdr:row>
      <xdr:rowOff>0</xdr:rowOff>
    </xdr:from>
    <xdr:to>
      <xdr:col>12</xdr:col>
      <xdr:colOff>0</xdr:colOff>
      <xdr:row>75</xdr:row>
      <xdr:rowOff>152400</xdr:rowOff>
    </xdr:to>
    <xdr:sp macro="" textlink="">
      <xdr:nvSpPr>
        <xdr:cNvPr id="2" name="TextBox 1"/>
        <xdr:cNvSpPr txBox="1"/>
      </xdr:nvSpPr>
      <xdr:spPr>
        <a:xfrm>
          <a:off x="180975" y="12611100"/>
          <a:ext cx="10296526" cy="22098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Avista calculated the incremental cost of investments made to meet RCW Chapter 19.285, by taking the annual levelized revenue requirement ($/MWh) for each qualifying project compared to the cost of alternative power over the same period. Each qualifying resource is compared to a combined cycle combustion turbine (CCCT). To estimate the annual levelized cost of the CCCT, cost assumptions are used based upon the IRP from the time of the resource decision with costs split between energy ($/MWh) and capacity ($/kW-year).  Avista includes any REC sales as a reduction to the incremental cost calculation. The Company also includes an adjustment to account for the value of RECs transferred from Idaho to Washington. In total, the change in revenue requirement is -0.72 percent due to the savings in hydro upgrade investments. Appendix B shows the calculation of this incremental cost for the qualified renewable resources. The supporting documentation and spreadsheets are located in the confidential work papers for this filing.</a:t>
          </a:r>
          <a:endParaRPr lang="en-US"/>
        </a:p>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mmerce.wa.gov/Documents/EIA_2014%20ReportWorkbook_DRAFT%203-27-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servation Report"/>
      <sheetName val="Renewables Report"/>
    </sheetNames>
    <sheetDataSet>
      <sheetData sheetId="0" refreshError="1"/>
      <sheetData sheetId="1">
        <row r="3">
          <cell r="C3" t="str">
            <v>Utility Name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mailto:john.lyons@avistacorp.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43"/>
  <sheetViews>
    <sheetView tabSelected="1" workbookViewId="0">
      <selection activeCell="D8" sqref="D8"/>
    </sheetView>
  </sheetViews>
  <sheetFormatPr defaultRowHeight="14.4" x14ac:dyDescent="0.3"/>
  <cols>
    <col min="1" max="1" width="135.109375" customWidth="1"/>
    <col min="14" max="14" width="11.6640625" customWidth="1"/>
  </cols>
  <sheetData>
    <row r="1" spans="1:14" ht="17.399999999999999" x14ac:dyDescent="0.3">
      <c r="A1" s="57" t="s">
        <v>90</v>
      </c>
    </row>
    <row r="2" spans="1:14" x14ac:dyDescent="0.3">
      <c r="A2" s="70" t="s">
        <v>99</v>
      </c>
    </row>
    <row r="3" spans="1:14" x14ac:dyDescent="0.3">
      <c r="A3" s="58"/>
      <c r="N3" s="69"/>
    </row>
    <row r="4" spans="1:14" x14ac:dyDescent="0.3">
      <c r="A4" s="59" t="s">
        <v>100</v>
      </c>
    </row>
    <row r="5" spans="1:14" x14ac:dyDescent="0.3">
      <c r="A5" s="59" t="s">
        <v>162</v>
      </c>
      <c r="N5">
        <f>IF(REN_Load_2013+REN_Load_2014&gt;0,AVERAGE(REN_Load_2013,REN_Load_2014),0)</f>
        <v>5682413</v>
      </c>
    </row>
    <row r="6" spans="1:14" x14ac:dyDescent="0.3">
      <c r="A6" s="60" t="s">
        <v>91</v>
      </c>
    </row>
    <row r="7" spans="1:14" x14ac:dyDescent="0.3">
      <c r="A7" s="58"/>
    </row>
    <row r="8" spans="1:14" ht="55.2" x14ac:dyDescent="0.3">
      <c r="A8" s="61" t="s">
        <v>153</v>
      </c>
    </row>
    <row r="9" spans="1:14" x14ac:dyDescent="0.3">
      <c r="A9" s="61"/>
    </row>
    <row r="10" spans="1:14" x14ac:dyDescent="0.3">
      <c r="A10" s="62" t="s">
        <v>154</v>
      </c>
    </row>
    <row r="11" spans="1:14" x14ac:dyDescent="0.3">
      <c r="A11" s="62"/>
    </row>
    <row r="12" spans="1:14" x14ac:dyDescent="0.3">
      <c r="A12" s="125" t="s">
        <v>155</v>
      </c>
    </row>
    <row r="13" spans="1:14" x14ac:dyDescent="0.3">
      <c r="A13" s="126" t="s">
        <v>156</v>
      </c>
    </row>
    <row r="14" spans="1:14" ht="41.4" x14ac:dyDescent="0.3">
      <c r="A14" s="63" t="s">
        <v>157</v>
      </c>
    </row>
    <row r="15" spans="1:14" x14ac:dyDescent="0.3">
      <c r="A15" s="58"/>
    </row>
    <row r="16" spans="1:14" ht="27.6" x14ac:dyDescent="0.3">
      <c r="A16" s="60" t="s">
        <v>92</v>
      </c>
    </row>
    <row r="17" spans="1:1" x14ac:dyDescent="0.3">
      <c r="A17" s="58"/>
    </row>
    <row r="18" spans="1:1" ht="17.399999999999999" x14ac:dyDescent="0.3">
      <c r="A18" s="64" t="s">
        <v>93</v>
      </c>
    </row>
    <row r="19" spans="1:1" ht="27.6" x14ac:dyDescent="0.3">
      <c r="A19" s="63" t="s">
        <v>94</v>
      </c>
    </row>
    <row r="20" spans="1:1" x14ac:dyDescent="0.3">
      <c r="A20" s="58"/>
    </row>
    <row r="21" spans="1:1" ht="41.4" x14ac:dyDescent="0.3">
      <c r="A21" s="60" t="s">
        <v>158</v>
      </c>
    </row>
    <row r="22" spans="1:1" x14ac:dyDescent="0.3">
      <c r="A22" s="58"/>
    </row>
    <row r="23" spans="1:1" ht="41.4" x14ac:dyDescent="0.3">
      <c r="A23" s="60" t="s">
        <v>95</v>
      </c>
    </row>
    <row r="24" spans="1:1" x14ac:dyDescent="0.3">
      <c r="A24" s="58"/>
    </row>
    <row r="25" spans="1:1" ht="27.6" x14ac:dyDescent="0.3">
      <c r="A25" s="60" t="s">
        <v>159</v>
      </c>
    </row>
    <row r="26" spans="1:1" x14ac:dyDescent="0.3">
      <c r="A26" s="58"/>
    </row>
    <row r="27" spans="1:1" x14ac:dyDescent="0.3">
      <c r="A27" s="59" t="s">
        <v>134</v>
      </c>
    </row>
    <row r="28" spans="1:1" ht="27.6" x14ac:dyDescent="0.3">
      <c r="A28" s="63" t="s">
        <v>136</v>
      </c>
    </row>
    <row r="29" spans="1:1" ht="41.4" x14ac:dyDescent="0.3">
      <c r="A29" s="63" t="s">
        <v>135</v>
      </c>
    </row>
    <row r="30" spans="1:1" x14ac:dyDescent="0.3">
      <c r="A30" s="58"/>
    </row>
    <row r="31" spans="1:1" ht="55.2" x14ac:dyDescent="0.3">
      <c r="A31" s="65" t="s">
        <v>160</v>
      </c>
    </row>
    <row r="32" spans="1:1" x14ac:dyDescent="0.3">
      <c r="A32" s="58"/>
    </row>
    <row r="33" spans="1:1" ht="74.25" customHeight="1" x14ac:dyDescent="0.3">
      <c r="A33" s="60" t="s">
        <v>161</v>
      </c>
    </row>
    <row r="34" spans="1:1" x14ac:dyDescent="0.3">
      <c r="A34" s="58"/>
    </row>
    <row r="35" spans="1:1" ht="55.2" x14ac:dyDescent="0.3">
      <c r="A35" s="60" t="s">
        <v>137</v>
      </c>
    </row>
    <row r="36" spans="1:1" x14ac:dyDescent="0.3">
      <c r="A36" s="58"/>
    </row>
    <row r="37" spans="1:1" x14ac:dyDescent="0.3">
      <c r="A37" s="59" t="s">
        <v>96</v>
      </c>
    </row>
    <row r="38" spans="1:1" ht="27.6" x14ac:dyDescent="0.3">
      <c r="A38" s="63" t="s">
        <v>138</v>
      </c>
    </row>
    <row r="39" spans="1:1" x14ac:dyDescent="0.3">
      <c r="A39" s="58"/>
    </row>
    <row r="40" spans="1:1" x14ac:dyDescent="0.3">
      <c r="A40" s="59" t="s">
        <v>97</v>
      </c>
    </row>
    <row r="41" spans="1:1" ht="27.6" x14ac:dyDescent="0.3">
      <c r="A41" s="63" t="s">
        <v>139</v>
      </c>
    </row>
    <row r="42" spans="1:1" x14ac:dyDescent="0.3">
      <c r="A42" s="58"/>
    </row>
    <row r="43" spans="1:1" ht="15" thickBot="1" x14ac:dyDescent="0.35">
      <c r="A43" s="66" t="s">
        <v>98</v>
      </c>
    </row>
  </sheetData>
  <pageMargins left="0.7" right="0.7" top="0.75" bottom="0.75" header="0.3" footer="0.3"/>
  <pageSetup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tabSelected="1" workbookViewId="0">
      <selection activeCell="D8" sqref="D8"/>
    </sheetView>
  </sheetViews>
  <sheetFormatPr defaultRowHeight="14.4" x14ac:dyDescent="0.3"/>
  <cols>
    <col min="1" max="1" width="107" customWidth="1"/>
    <col min="14" max="14" width="11.6640625" customWidth="1"/>
  </cols>
  <sheetData>
    <row r="1" spans="1:14" ht="17.399999999999999" x14ac:dyDescent="0.3">
      <c r="A1" s="53" t="s">
        <v>163</v>
      </c>
    </row>
    <row r="2" spans="1:14" ht="17.399999999999999" x14ac:dyDescent="0.3">
      <c r="A2" s="54"/>
    </row>
    <row r="3" spans="1:14" ht="55.2" x14ac:dyDescent="0.3">
      <c r="A3" s="55" t="s">
        <v>164</v>
      </c>
      <c r="N3" s="69"/>
    </row>
    <row r="4" spans="1:14" x14ac:dyDescent="0.3">
      <c r="A4" s="55"/>
      <c r="N4" s="69"/>
    </row>
    <row r="5" spans="1:14" ht="69" x14ac:dyDescent="0.3">
      <c r="A5" s="55" t="s">
        <v>102</v>
      </c>
      <c r="N5" s="69"/>
    </row>
    <row r="6" spans="1:14" x14ac:dyDescent="0.3">
      <c r="A6" s="55"/>
    </row>
    <row r="7" spans="1:14" ht="28.2" thickBot="1" x14ac:dyDescent="0.35">
      <c r="A7" s="56" t="s">
        <v>101</v>
      </c>
      <c r="N7">
        <f>IF(REN_Load_2013+REN_Load_2014&gt;0,AVERAGE(REN_Load_2013,REN_Load_2014),0)</f>
        <v>5682413</v>
      </c>
    </row>
  </sheetData>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H136"/>
  <sheetViews>
    <sheetView showGridLines="0" tabSelected="1" view="pageBreakPreview" zoomScaleNormal="100" zoomScaleSheetLayoutView="100" workbookViewId="0">
      <selection activeCell="D8" sqref="D8"/>
    </sheetView>
  </sheetViews>
  <sheetFormatPr defaultColWidth="9.109375" defaultRowHeight="13.2" x14ac:dyDescent="0.25"/>
  <cols>
    <col min="1" max="1" width="2.6640625" style="1" customWidth="1"/>
    <col min="2" max="2" width="30.109375" style="1" customWidth="1"/>
    <col min="3" max="4" width="10.33203125" style="1" customWidth="1"/>
    <col min="5" max="13" width="10.6640625" style="1" customWidth="1"/>
    <col min="14" max="14" width="12.109375" style="1" bestFit="1" customWidth="1"/>
    <col min="15" max="15" width="10.6640625" style="1" customWidth="1"/>
    <col min="16" max="16" width="10.5546875" style="1" customWidth="1"/>
    <col min="17" max="17" width="10.6640625" style="1" customWidth="1"/>
    <col min="18" max="16384" width="9.109375" style="1"/>
  </cols>
  <sheetData>
    <row r="1" spans="2:34" s="7" customFormat="1" ht="18.600000000000001" x14ac:dyDescent="0.45">
      <c r="B1" s="38" t="s">
        <v>133</v>
      </c>
      <c r="C1" s="38"/>
      <c r="D1" s="38"/>
      <c r="AC1" s="33" t="s">
        <v>37</v>
      </c>
      <c r="AH1" s="30"/>
    </row>
    <row r="2" spans="2:34" ht="13.8" x14ac:dyDescent="0.25">
      <c r="B2" s="17"/>
      <c r="C2" s="17"/>
      <c r="D2" s="17"/>
      <c r="I2" s="145" t="s">
        <v>35</v>
      </c>
      <c r="J2" s="146"/>
      <c r="K2" s="146"/>
      <c r="L2" s="146"/>
      <c r="M2" s="146"/>
      <c r="N2" s="147"/>
      <c r="AC2" s="34" t="s">
        <v>38</v>
      </c>
      <c r="AH2" s="28"/>
    </row>
    <row r="3" spans="2:34" ht="15" customHeight="1" x14ac:dyDescent="0.25">
      <c r="B3" s="3" t="s">
        <v>3</v>
      </c>
      <c r="C3" s="151" t="s">
        <v>170</v>
      </c>
      <c r="D3" s="151"/>
      <c r="E3" s="151"/>
      <c r="I3" s="43"/>
      <c r="J3" s="7"/>
      <c r="K3" s="7"/>
      <c r="L3" s="7"/>
      <c r="M3" s="42" t="s">
        <v>42</v>
      </c>
      <c r="N3" s="98">
        <v>5678868</v>
      </c>
      <c r="AC3" s="34" t="s">
        <v>39</v>
      </c>
      <c r="AH3" s="28"/>
    </row>
    <row r="4" spans="2:34" ht="15" customHeight="1" thickBot="1" x14ac:dyDescent="0.3">
      <c r="B4" s="4" t="s">
        <v>48</v>
      </c>
      <c r="C4" s="152">
        <v>42156</v>
      </c>
      <c r="D4" s="152"/>
      <c r="E4" s="152"/>
      <c r="I4" s="43"/>
      <c r="J4" s="7"/>
      <c r="K4" s="7"/>
      <c r="L4" s="7"/>
      <c r="M4" s="42" t="s">
        <v>130</v>
      </c>
      <c r="N4" s="99">
        <v>5685958</v>
      </c>
      <c r="AC4" s="34" t="s">
        <v>40</v>
      </c>
      <c r="AH4" s="29"/>
    </row>
    <row r="5" spans="2:34" ht="15" customHeight="1" x14ac:dyDescent="0.25">
      <c r="B5" s="5" t="s">
        <v>0</v>
      </c>
      <c r="C5" s="153" t="s">
        <v>171</v>
      </c>
      <c r="D5" s="153"/>
      <c r="E5" s="153"/>
      <c r="I5" s="43"/>
      <c r="J5" s="7"/>
      <c r="K5" s="7"/>
      <c r="L5" s="7"/>
      <c r="M5" s="42" t="s">
        <v>131</v>
      </c>
      <c r="N5" s="93">
        <f>IF(REN_Load_2013+REN_Load_2014&gt;0,AVERAGE(REN_Load_2013,REN_Load_2014),0)</f>
        <v>5682413</v>
      </c>
    </row>
    <row r="6" spans="2:34" ht="15" customHeight="1" x14ac:dyDescent="0.25">
      <c r="B6" s="5" t="s">
        <v>1</v>
      </c>
      <c r="C6" s="153" t="s">
        <v>172</v>
      </c>
      <c r="D6" s="153"/>
      <c r="E6" s="153"/>
      <c r="I6" s="43"/>
      <c r="J6" s="7"/>
      <c r="K6" s="7"/>
      <c r="L6" s="7"/>
      <c r="M6" s="42" t="s">
        <v>132</v>
      </c>
      <c r="N6" s="94">
        <v>0.03</v>
      </c>
    </row>
    <row r="7" spans="2:34" ht="15" customHeight="1" x14ac:dyDescent="0.25">
      <c r="B7" s="5" t="s">
        <v>2</v>
      </c>
      <c r="C7" s="154" t="s">
        <v>173</v>
      </c>
      <c r="D7" s="155"/>
      <c r="E7" s="155"/>
      <c r="I7" s="48"/>
      <c r="J7" s="7"/>
      <c r="K7" s="7"/>
      <c r="L7" s="7"/>
      <c r="M7" s="42" t="s">
        <v>144</v>
      </c>
      <c r="N7" s="93">
        <f>N5*N6</f>
        <v>170472.38999999998</v>
      </c>
    </row>
    <row r="8" spans="2:34" ht="15" customHeight="1" x14ac:dyDescent="0.25">
      <c r="B8" s="5"/>
      <c r="C8" s="5"/>
      <c r="D8" s="5"/>
      <c r="E8" s="27"/>
      <c r="I8" s="44"/>
      <c r="J8" s="45"/>
      <c r="K8" s="45"/>
      <c r="L8" s="45"/>
      <c r="M8" s="46" t="s">
        <v>41</v>
      </c>
      <c r="N8" s="95">
        <f>SUM(C20:M20)</f>
        <v>622438.19999999995</v>
      </c>
    </row>
    <row r="9" spans="2:34" ht="15" customHeight="1" x14ac:dyDescent="0.25">
      <c r="B9" s="3" t="s">
        <v>166</v>
      </c>
      <c r="C9" s="39"/>
      <c r="D9" s="39"/>
    </row>
    <row r="10" spans="2:34" ht="15" customHeight="1" x14ac:dyDescent="0.25">
      <c r="C10" s="17"/>
      <c r="D10" s="17"/>
      <c r="G10" s="148" t="s">
        <v>165</v>
      </c>
      <c r="H10" s="149"/>
      <c r="I10" s="149"/>
      <c r="J10" s="149"/>
      <c r="K10" s="149"/>
      <c r="L10" s="149"/>
      <c r="M10" s="149"/>
      <c r="N10" s="150"/>
    </row>
    <row r="11" spans="2:34" s="31" customFormat="1" ht="14.25" customHeight="1" x14ac:dyDescent="0.3">
      <c r="B11" s="1"/>
      <c r="C11" s="32"/>
      <c r="D11" s="32"/>
      <c r="G11" s="43" t="s">
        <v>84</v>
      </c>
      <c r="H11" s="51"/>
      <c r="I11" s="51"/>
      <c r="J11" s="51"/>
      <c r="K11" s="51"/>
      <c r="L11" s="51"/>
      <c r="M11" s="7"/>
      <c r="N11" s="91">
        <f>'Renewable Cost Report'!L28+'Renewable Cost Report'!F60</f>
        <v>7585414.5599999987</v>
      </c>
    </row>
    <row r="12" spans="2:34" x14ac:dyDescent="0.25">
      <c r="C12" s="17"/>
      <c r="D12" s="17"/>
      <c r="G12" s="43" t="s">
        <v>145</v>
      </c>
      <c r="H12" s="49"/>
      <c r="I12" s="49"/>
      <c r="J12" s="49"/>
      <c r="K12" s="49"/>
      <c r="L12" s="7"/>
      <c r="M12" s="7"/>
      <c r="N12" s="100">
        <v>486512449</v>
      </c>
    </row>
    <row r="13" spans="2:34" x14ac:dyDescent="0.25">
      <c r="G13" s="52" t="s">
        <v>85</v>
      </c>
      <c r="H13" s="50"/>
      <c r="I13" s="50"/>
      <c r="J13" s="50"/>
      <c r="K13" s="50"/>
      <c r="L13" s="45"/>
      <c r="M13" s="45"/>
      <c r="N13" s="92">
        <f>IF(REN_RetailRevenueRequirement_2015&gt;0,REN_Expenditure_Amount_2015/REN_RetailRevenueRequirement_2015,"")</f>
        <v>1.5591408967214318E-2</v>
      </c>
    </row>
    <row r="14" spans="2:34" ht="17.399999999999999" customHeight="1" x14ac:dyDescent="0.25">
      <c r="I14" s="134"/>
      <c r="J14" s="134"/>
      <c r="K14" s="134"/>
      <c r="L14" s="134"/>
      <c r="M14" s="134"/>
      <c r="N14" s="24"/>
      <c r="O14" s="13"/>
      <c r="P14" s="13"/>
    </row>
    <row r="15" spans="2:34" ht="16.95" customHeight="1" x14ac:dyDescent="0.25">
      <c r="B15" s="5"/>
      <c r="C15" s="22" t="s">
        <v>7</v>
      </c>
      <c r="D15" s="20" t="s">
        <v>8</v>
      </c>
      <c r="E15" s="20" t="s">
        <v>9</v>
      </c>
      <c r="F15" s="20" t="s">
        <v>10</v>
      </c>
      <c r="G15" s="20" t="s">
        <v>11</v>
      </c>
      <c r="H15" s="20" t="s">
        <v>12</v>
      </c>
      <c r="I15" s="20" t="s">
        <v>13</v>
      </c>
      <c r="J15" s="20" t="s">
        <v>14</v>
      </c>
      <c r="K15" s="21" t="s">
        <v>15</v>
      </c>
      <c r="L15" s="21" t="s">
        <v>49</v>
      </c>
      <c r="M15" s="21" t="s">
        <v>50</v>
      </c>
      <c r="N15" s="24"/>
      <c r="O15" s="13"/>
      <c r="P15" s="13"/>
    </row>
    <row r="16" spans="2:34" ht="21.75" customHeight="1" x14ac:dyDescent="0.25">
      <c r="B16" s="10"/>
      <c r="C16" s="16" t="s">
        <v>16</v>
      </c>
      <c r="D16" s="16" t="s">
        <v>17</v>
      </c>
      <c r="E16" s="16" t="s">
        <v>18</v>
      </c>
      <c r="F16" s="16" t="s">
        <v>19</v>
      </c>
      <c r="G16" s="16" t="s">
        <v>20</v>
      </c>
      <c r="H16" s="16" t="s">
        <v>31</v>
      </c>
      <c r="I16" s="16" t="s">
        <v>21</v>
      </c>
      <c r="J16" s="16" t="s">
        <v>22</v>
      </c>
      <c r="K16" s="16" t="s">
        <v>23</v>
      </c>
      <c r="L16" s="16" t="s">
        <v>27</v>
      </c>
      <c r="M16" s="16" t="s">
        <v>24</v>
      </c>
      <c r="N16" s="24"/>
      <c r="O16" s="13"/>
      <c r="P16" s="13"/>
    </row>
    <row r="17" spans="2:34" ht="18" customHeight="1" x14ac:dyDescent="0.25">
      <c r="B17" s="5"/>
      <c r="C17" s="14" t="s">
        <v>5</v>
      </c>
      <c r="D17" s="14" t="s">
        <v>5</v>
      </c>
      <c r="E17" s="14" t="s">
        <v>5</v>
      </c>
      <c r="F17" s="14" t="s">
        <v>5</v>
      </c>
      <c r="G17" s="14" t="s">
        <v>5</v>
      </c>
      <c r="H17" s="14" t="s">
        <v>5</v>
      </c>
      <c r="I17" s="14" t="s">
        <v>5</v>
      </c>
      <c r="J17" s="14" t="s">
        <v>5</v>
      </c>
      <c r="K17" s="14" t="s">
        <v>5</v>
      </c>
      <c r="L17" s="14" t="s">
        <v>45</v>
      </c>
      <c r="M17" s="14" t="s">
        <v>45</v>
      </c>
      <c r="N17" s="24"/>
      <c r="O17" s="13"/>
      <c r="P17" s="13"/>
    </row>
    <row r="18" spans="2:34" ht="15" customHeight="1" x14ac:dyDescent="0.25">
      <c r="B18" s="4" t="s">
        <v>32</v>
      </c>
      <c r="C18" s="101">
        <f t="shared" ref="C18:L18" si="0">SUM(E44:E64)</f>
        <v>170089</v>
      </c>
      <c r="D18" s="101">
        <f t="shared" si="0"/>
        <v>335291</v>
      </c>
      <c r="E18" s="101">
        <f t="shared" si="0"/>
        <v>0</v>
      </c>
      <c r="F18" s="101">
        <f t="shared" si="0"/>
        <v>0</v>
      </c>
      <c r="G18" s="101">
        <f t="shared" si="0"/>
        <v>0</v>
      </c>
      <c r="H18" s="101">
        <f t="shared" si="0"/>
        <v>0</v>
      </c>
      <c r="I18" s="101">
        <f t="shared" si="0"/>
        <v>0</v>
      </c>
      <c r="J18" s="101">
        <f t="shared" si="0"/>
        <v>0</v>
      </c>
      <c r="K18" s="101">
        <f t="shared" si="0"/>
        <v>0</v>
      </c>
      <c r="L18" s="101">
        <f t="shared" si="0"/>
        <v>67058.2</v>
      </c>
      <c r="M18" s="47"/>
      <c r="N18" s="25"/>
      <c r="O18" s="36"/>
      <c r="P18" s="36"/>
    </row>
    <row r="19" spans="2:34" ht="16.5" customHeight="1" x14ac:dyDescent="0.25">
      <c r="B19" s="4" t="s">
        <v>33</v>
      </c>
      <c r="C19" s="47"/>
      <c r="D19" s="102">
        <f t="shared" ref="D19:M19" si="1">SUM(F72:F96)</f>
        <v>50000</v>
      </c>
      <c r="E19" s="102">
        <f t="shared" si="1"/>
        <v>0</v>
      </c>
      <c r="F19" s="102">
        <f t="shared" si="1"/>
        <v>0</v>
      </c>
      <c r="G19" s="102">
        <f t="shared" si="1"/>
        <v>0</v>
      </c>
      <c r="H19" s="102">
        <f t="shared" si="1"/>
        <v>0</v>
      </c>
      <c r="I19" s="102">
        <f t="shared" si="1"/>
        <v>0</v>
      </c>
      <c r="J19" s="102">
        <f t="shared" si="1"/>
        <v>0</v>
      </c>
      <c r="K19" s="102">
        <f t="shared" si="1"/>
        <v>0</v>
      </c>
      <c r="L19" s="102">
        <f t="shared" si="1"/>
        <v>0</v>
      </c>
      <c r="M19" s="102">
        <f t="shared" si="1"/>
        <v>0</v>
      </c>
      <c r="N19" s="26"/>
      <c r="O19" s="13"/>
      <c r="P19" s="13"/>
    </row>
    <row r="20" spans="2:34" ht="16.5" customHeight="1" x14ac:dyDescent="0.25">
      <c r="B20" s="5" t="s">
        <v>34</v>
      </c>
      <c r="C20" s="103">
        <f t="shared" ref="C20:L20" si="2">C18+C19</f>
        <v>170089</v>
      </c>
      <c r="D20" s="103">
        <f t="shared" si="2"/>
        <v>385291</v>
      </c>
      <c r="E20" s="103">
        <f t="shared" si="2"/>
        <v>0</v>
      </c>
      <c r="F20" s="103">
        <f t="shared" si="2"/>
        <v>0</v>
      </c>
      <c r="G20" s="103">
        <f t="shared" si="2"/>
        <v>0</v>
      </c>
      <c r="H20" s="103">
        <f t="shared" si="2"/>
        <v>0</v>
      </c>
      <c r="I20" s="103">
        <f t="shared" si="2"/>
        <v>0</v>
      </c>
      <c r="J20" s="103">
        <f t="shared" si="2"/>
        <v>0</v>
      </c>
      <c r="K20" s="103">
        <f t="shared" si="2"/>
        <v>0</v>
      </c>
      <c r="L20" s="103">
        <f t="shared" si="2"/>
        <v>67058.2</v>
      </c>
      <c r="M20" s="102">
        <f>M19</f>
        <v>0</v>
      </c>
      <c r="N20" s="26"/>
      <c r="O20" s="13"/>
      <c r="P20" s="13"/>
    </row>
    <row r="21" spans="2:34" ht="16.5" customHeight="1" x14ac:dyDescent="0.25">
      <c r="L21" s="7"/>
      <c r="M21" s="4"/>
      <c r="N21" s="26"/>
      <c r="O21" s="13"/>
      <c r="P21" s="13"/>
    </row>
    <row r="22" spans="2:34" ht="21.75" customHeight="1" x14ac:dyDescent="0.25">
      <c r="L22" s="7"/>
      <c r="M22" s="4"/>
      <c r="N22" s="26"/>
      <c r="O22" s="13"/>
      <c r="P22" s="13"/>
    </row>
    <row r="23" spans="2:34" ht="15" customHeight="1" x14ac:dyDescent="0.25">
      <c r="B23" s="37"/>
      <c r="C23" s="40"/>
      <c r="D23" s="40"/>
      <c r="E23" s="37"/>
      <c r="F23" s="40"/>
      <c r="G23" s="40"/>
      <c r="I23" s="7"/>
      <c r="J23" s="7"/>
      <c r="K23" s="7"/>
      <c r="L23" s="7"/>
      <c r="M23" s="4"/>
      <c r="N23" s="26"/>
      <c r="O23" s="13"/>
      <c r="P23" s="13"/>
    </row>
    <row r="24" spans="2:34" ht="15" customHeight="1" x14ac:dyDescent="0.25"/>
    <row r="25" spans="2:34" s="11" customFormat="1" x14ac:dyDescent="0.25">
      <c r="AH25" s="1"/>
    </row>
    <row r="26" spans="2:34" ht="15" customHeight="1" x14ac:dyDescent="0.25">
      <c r="AH26" s="11"/>
    </row>
    <row r="27" spans="2:34" ht="15" customHeight="1" x14ac:dyDescent="0.25">
      <c r="AH27" s="11"/>
    </row>
    <row r="28" spans="2:34" ht="15" customHeight="1" x14ac:dyDescent="0.25">
      <c r="AH28" s="11"/>
    </row>
    <row r="29" spans="2:34" ht="15" customHeight="1" x14ac:dyDescent="0.25">
      <c r="AH29" s="11"/>
    </row>
    <row r="30" spans="2:34" ht="15" customHeight="1" x14ac:dyDescent="0.25">
      <c r="AH30" s="11"/>
    </row>
    <row r="31" spans="2:34" ht="15" customHeight="1" x14ac:dyDescent="0.25">
      <c r="AH31" s="11"/>
    </row>
    <row r="32" spans="2:34" ht="15" customHeight="1" x14ac:dyDescent="0.25">
      <c r="AH32" s="11"/>
    </row>
    <row r="33" spans="2:34" ht="15" customHeight="1" x14ac:dyDescent="0.25"/>
    <row r="34" spans="2:34" ht="15" customHeight="1" x14ac:dyDescent="0.25"/>
    <row r="35" spans="2:34" ht="15" customHeight="1" x14ac:dyDescent="0.25"/>
    <row r="36" spans="2:34" ht="16.5" customHeight="1" x14ac:dyDescent="0.25">
      <c r="B36" s="6" t="s">
        <v>29</v>
      </c>
      <c r="C36" s="6"/>
      <c r="D36" s="6"/>
      <c r="E36" s="10" t="s">
        <v>3</v>
      </c>
      <c r="F36" s="135" t="str">
        <f>C3</f>
        <v>Avista</v>
      </c>
      <c r="G36" s="136"/>
      <c r="H36" s="137"/>
    </row>
    <row r="37" spans="2:34" ht="15" customHeight="1" x14ac:dyDescent="0.25">
      <c r="E37" s="10" t="s">
        <v>6</v>
      </c>
      <c r="F37" s="138">
        <v>2015</v>
      </c>
      <c r="G37" s="139"/>
      <c r="H37" s="140"/>
    </row>
    <row r="38" spans="2:34" ht="15" customHeight="1" x14ac:dyDescent="0.25">
      <c r="E38" s="10"/>
      <c r="F38" s="35"/>
      <c r="G38" s="9"/>
      <c r="H38" s="9"/>
    </row>
    <row r="39" spans="2:34" s="18" customFormat="1" ht="27" customHeight="1" x14ac:dyDescent="0.3">
      <c r="B39" s="141" t="s">
        <v>88</v>
      </c>
      <c r="C39" s="142"/>
      <c r="D39" s="142"/>
      <c r="E39" s="143"/>
      <c r="F39" s="143"/>
      <c r="G39" s="143"/>
      <c r="H39" s="19"/>
      <c r="AH39" s="1"/>
    </row>
    <row r="40" spans="2:34" ht="15" customHeight="1" x14ac:dyDescent="0.25">
      <c r="E40" s="12"/>
      <c r="F40" s="12"/>
      <c r="G40" s="12"/>
      <c r="H40" s="12"/>
      <c r="I40" s="12"/>
      <c r="J40" s="12"/>
      <c r="K40" s="12"/>
      <c r="L40" s="12"/>
      <c r="M40" s="12"/>
      <c r="N40" s="12"/>
      <c r="P40" s="12"/>
      <c r="Q40" s="12"/>
      <c r="R40" s="12"/>
      <c r="S40" s="12"/>
      <c r="AH40" s="18"/>
    </row>
    <row r="41" spans="2:34" s="7" customFormat="1" ht="12.75" customHeight="1" x14ac:dyDescent="0.25">
      <c r="E41" s="22" t="s">
        <v>7</v>
      </c>
      <c r="F41" s="20" t="s">
        <v>8</v>
      </c>
      <c r="G41" s="20" t="s">
        <v>9</v>
      </c>
      <c r="H41" s="20" t="s">
        <v>10</v>
      </c>
      <c r="I41" s="20" t="s">
        <v>11</v>
      </c>
      <c r="J41" s="20" t="s">
        <v>12</v>
      </c>
      <c r="K41" s="20" t="s">
        <v>13</v>
      </c>
      <c r="L41" s="20" t="s">
        <v>14</v>
      </c>
      <c r="M41" s="21" t="s">
        <v>15</v>
      </c>
      <c r="N41" s="21" t="s">
        <v>49</v>
      </c>
      <c r="O41" s="1"/>
      <c r="AH41" s="1"/>
    </row>
    <row r="42" spans="2:34" s="11" customFormat="1" ht="43.5" customHeight="1" x14ac:dyDescent="0.25">
      <c r="E42" s="16" t="s">
        <v>26</v>
      </c>
      <c r="F42" s="16" t="s">
        <v>17</v>
      </c>
      <c r="G42" s="16" t="s">
        <v>18</v>
      </c>
      <c r="H42" s="16" t="s">
        <v>19</v>
      </c>
      <c r="I42" s="16" t="s">
        <v>20</v>
      </c>
      <c r="J42" s="16" t="s">
        <v>30</v>
      </c>
      <c r="K42" s="16" t="s">
        <v>21</v>
      </c>
      <c r="L42" s="16" t="s">
        <v>22</v>
      </c>
      <c r="M42" s="16" t="s">
        <v>23</v>
      </c>
      <c r="N42" s="16" t="s">
        <v>27</v>
      </c>
      <c r="O42" s="1"/>
      <c r="AH42" s="7"/>
    </row>
    <row r="43" spans="2:34" ht="15" customHeight="1" x14ac:dyDescent="0.25">
      <c r="B43" s="41" t="s">
        <v>28</v>
      </c>
      <c r="C43" s="144" t="s">
        <v>43</v>
      </c>
      <c r="D43" s="144"/>
      <c r="E43" s="14" t="s">
        <v>5</v>
      </c>
      <c r="F43" s="14" t="s">
        <v>5</v>
      </c>
      <c r="G43" s="14" t="s">
        <v>5</v>
      </c>
      <c r="H43" s="14" t="s">
        <v>5</v>
      </c>
      <c r="I43" s="14" t="s">
        <v>5</v>
      </c>
      <c r="J43" s="14" t="s">
        <v>5</v>
      </c>
      <c r="K43" s="14" t="s">
        <v>5</v>
      </c>
      <c r="L43" s="14" t="s">
        <v>5</v>
      </c>
      <c r="M43" s="14" t="s">
        <v>5</v>
      </c>
      <c r="N43" s="14" t="s">
        <v>45</v>
      </c>
      <c r="AH43" s="11"/>
    </row>
    <row r="44" spans="2:34" ht="15" customHeight="1" x14ac:dyDescent="0.25">
      <c r="B44" s="104" t="s">
        <v>176</v>
      </c>
      <c r="C44" s="105" t="s">
        <v>177</v>
      </c>
      <c r="D44" s="105"/>
      <c r="E44" s="106">
        <v>4862</v>
      </c>
      <c r="F44" s="101"/>
      <c r="G44" s="101"/>
      <c r="H44" s="101"/>
      <c r="I44" s="101"/>
      <c r="J44" s="101"/>
      <c r="K44" s="101"/>
      <c r="L44" s="101"/>
      <c r="M44" s="101"/>
      <c r="N44" s="101"/>
    </row>
    <row r="45" spans="2:34" ht="15" customHeight="1" x14ac:dyDescent="0.25">
      <c r="B45" s="107" t="s">
        <v>174</v>
      </c>
      <c r="C45" s="108" t="s">
        <v>175</v>
      </c>
      <c r="D45" s="108"/>
      <c r="E45" s="109">
        <v>14197</v>
      </c>
      <c r="F45" s="110"/>
      <c r="G45" s="110"/>
      <c r="H45" s="110"/>
      <c r="I45" s="110"/>
      <c r="J45" s="110"/>
      <c r="K45" s="110"/>
      <c r="L45" s="110"/>
      <c r="M45" s="110"/>
      <c r="N45" s="110"/>
    </row>
    <row r="46" spans="2:34" ht="15" customHeight="1" x14ac:dyDescent="0.25">
      <c r="B46" s="107" t="s">
        <v>178</v>
      </c>
      <c r="C46" s="108" t="s">
        <v>187</v>
      </c>
      <c r="D46" s="108"/>
      <c r="E46" s="109">
        <v>29008</v>
      </c>
      <c r="F46" s="110"/>
      <c r="G46" s="110"/>
      <c r="H46" s="110"/>
      <c r="I46" s="110"/>
      <c r="J46" s="110"/>
      <c r="K46" s="110"/>
      <c r="L46" s="110"/>
      <c r="M46" s="110"/>
      <c r="N46" s="110"/>
    </row>
    <row r="47" spans="2:34" ht="15" customHeight="1" x14ac:dyDescent="0.25">
      <c r="B47" s="111" t="s">
        <v>179</v>
      </c>
      <c r="C47" s="112" t="s">
        <v>188</v>
      </c>
      <c r="D47" s="112"/>
      <c r="E47" s="109">
        <v>45808</v>
      </c>
      <c r="F47" s="110"/>
      <c r="G47" s="110"/>
      <c r="H47" s="110"/>
      <c r="I47" s="110"/>
      <c r="J47" s="110"/>
      <c r="K47" s="110"/>
      <c r="L47" s="110"/>
      <c r="M47" s="110"/>
      <c r="N47" s="110"/>
    </row>
    <row r="48" spans="2:34" ht="15" customHeight="1" x14ac:dyDescent="0.25">
      <c r="B48" s="107" t="s">
        <v>180</v>
      </c>
      <c r="C48" s="112" t="s">
        <v>189</v>
      </c>
      <c r="D48" s="113"/>
      <c r="E48" s="109">
        <v>20517</v>
      </c>
      <c r="F48" s="110"/>
      <c r="G48" s="110"/>
      <c r="H48" s="110"/>
      <c r="I48" s="110"/>
      <c r="J48" s="110"/>
      <c r="K48" s="110"/>
      <c r="L48" s="110"/>
      <c r="M48" s="110"/>
      <c r="N48" s="110"/>
    </row>
    <row r="49" spans="2:14" ht="15" customHeight="1" x14ac:dyDescent="0.25">
      <c r="B49" s="111" t="s">
        <v>181</v>
      </c>
      <c r="C49" s="112" t="s">
        <v>190</v>
      </c>
      <c r="D49" s="114"/>
      <c r="E49" s="109">
        <v>21435</v>
      </c>
      <c r="F49" s="110"/>
      <c r="G49" s="110"/>
      <c r="H49" s="110"/>
      <c r="I49" s="110"/>
      <c r="J49" s="110"/>
      <c r="K49" s="110"/>
      <c r="L49" s="110"/>
      <c r="M49" s="110"/>
      <c r="N49" s="110"/>
    </row>
    <row r="50" spans="2:14" ht="15" customHeight="1" x14ac:dyDescent="0.25">
      <c r="B50" s="107" t="s">
        <v>182</v>
      </c>
      <c r="C50" s="112" t="s">
        <v>191</v>
      </c>
      <c r="D50" s="114"/>
      <c r="E50" s="109">
        <v>7709</v>
      </c>
      <c r="F50" s="110"/>
      <c r="G50" s="110"/>
      <c r="H50" s="110"/>
      <c r="I50" s="110"/>
      <c r="J50" s="110"/>
      <c r="K50" s="110"/>
      <c r="L50" s="110"/>
      <c r="M50" s="110"/>
      <c r="N50" s="110"/>
    </row>
    <row r="51" spans="2:14" ht="15" customHeight="1" x14ac:dyDescent="0.25">
      <c r="B51" s="111" t="s">
        <v>183</v>
      </c>
      <c r="C51" s="112" t="s">
        <v>192</v>
      </c>
      <c r="D51" s="114"/>
      <c r="E51" s="109">
        <v>14529</v>
      </c>
      <c r="F51" s="110"/>
      <c r="G51" s="110"/>
      <c r="H51" s="110"/>
      <c r="I51" s="110"/>
      <c r="J51" s="110"/>
      <c r="K51" s="110"/>
      <c r="L51" s="110"/>
      <c r="M51" s="110"/>
      <c r="N51" s="110"/>
    </row>
    <row r="52" spans="2:14" ht="15" customHeight="1" x14ac:dyDescent="0.25">
      <c r="B52" s="107" t="s">
        <v>184</v>
      </c>
      <c r="C52" s="112" t="s">
        <v>193</v>
      </c>
      <c r="D52" s="114"/>
      <c r="E52" s="109">
        <v>12024</v>
      </c>
      <c r="F52" s="110"/>
      <c r="G52" s="110"/>
      <c r="H52" s="110"/>
      <c r="I52" s="110"/>
      <c r="J52" s="110"/>
      <c r="K52" s="110"/>
      <c r="L52" s="110"/>
      <c r="M52" s="110"/>
      <c r="N52" s="110"/>
    </row>
    <row r="53" spans="2:14" ht="15" customHeight="1" x14ac:dyDescent="0.25">
      <c r="B53" s="111" t="s">
        <v>185</v>
      </c>
      <c r="C53" s="112" t="s">
        <v>194</v>
      </c>
      <c r="D53" s="114"/>
      <c r="E53" s="109">
        <v>0</v>
      </c>
      <c r="F53" s="110"/>
      <c r="G53" s="110"/>
      <c r="H53" s="110"/>
      <c r="I53" s="110"/>
      <c r="J53" s="110"/>
      <c r="K53" s="110"/>
      <c r="L53" s="110"/>
      <c r="M53" s="110"/>
      <c r="N53" s="110"/>
    </row>
    <row r="54" spans="2:14" ht="15" customHeight="1" x14ac:dyDescent="0.25">
      <c r="B54" s="107" t="s">
        <v>186</v>
      </c>
      <c r="C54" s="112" t="s">
        <v>195</v>
      </c>
      <c r="D54" s="114"/>
      <c r="E54" s="109"/>
      <c r="F54" s="110">
        <v>335291</v>
      </c>
      <c r="G54" s="110"/>
      <c r="H54" s="110"/>
      <c r="I54" s="110"/>
      <c r="J54" s="110"/>
      <c r="K54" s="110"/>
      <c r="L54" s="110"/>
      <c r="M54" s="110"/>
      <c r="N54" s="110">
        <f>F54*0.2</f>
        <v>67058.2</v>
      </c>
    </row>
    <row r="55" spans="2:14" ht="15" customHeight="1" x14ac:dyDescent="0.25">
      <c r="B55" s="97"/>
      <c r="C55" s="114"/>
      <c r="D55" s="114"/>
      <c r="E55" s="109"/>
      <c r="F55" s="110"/>
      <c r="G55" s="110"/>
      <c r="H55" s="110"/>
      <c r="I55" s="110"/>
      <c r="J55" s="110"/>
      <c r="K55" s="110"/>
      <c r="L55" s="110"/>
      <c r="M55" s="110"/>
      <c r="N55" s="110"/>
    </row>
    <row r="56" spans="2:14" ht="15" customHeight="1" x14ac:dyDescent="0.25">
      <c r="B56" s="97"/>
      <c r="C56" s="114"/>
      <c r="D56" s="114"/>
      <c r="E56" s="109"/>
      <c r="F56" s="110"/>
      <c r="G56" s="110"/>
      <c r="H56" s="110"/>
      <c r="I56" s="110"/>
      <c r="J56" s="110"/>
      <c r="K56" s="110"/>
      <c r="L56" s="110"/>
      <c r="M56" s="110"/>
      <c r="N56" s="110"/>
    </row>
    <row r="57" spans="2:14" ht="15" customHeight="1" x14ac:dyDescent="0.25">
      <c r="B57" s="97"/>
      <c r="C57" s="114"/>
      <c r="D57" s="114"/>
      <c r="E57" s="109"/>
      <c r="F57" s="110"/>
      <c r="G57" s="110"/>
      <c r="H57" s="110"/>
      <c r="I57" s="110"/>
      <c r="J57" s="110"/>
      <c r="K57" s="110"/>
      <c r="L57" s="110"/>
      <c r="M57" s="110"/>
      <c r="N57" s="110"/>
    </row>
    <row r="58" spans="2:14" ht="15" customHeight="1" x14ac:dyDescent="0.25">
      <c r="B58" s="97"/>
      <c r="C58" s="114"/>
      <c r="D58" s="114"/>
      <c r="E58" s="109"/>
      <c r="F58" s="110"/>
      <c r="G58" s="110"/>
      <c r="H58" s="110"/>
      <c r="I58" s="110"/>
      <c r="J58" s="110"/>
      <c r="K58" s="110"/>
      <c r="L58" s="110"/>
      <c r="M58" s="110"/>
      <c r="N58" s="110"/>
    </row>
    <row r="59" spans="2:14" ht="15" customHeight="1" x14ac:dyDescent="0.25">
      <c r="B59" s="97"/>
      <c r="C59" s="114"/>
      <c r="D59" s="114"/>
      <c r="E59" s="109"/>
      <c r="F59" s="110"/>
      <c r="G59" s="110"/>
      <c r="H59" s="110"/>
      <c r="I59" s="110"/>
      <c r="J59" s="110"/>
      <c r="K59" s="110"/>
      <c r="L59" s="110"/>
      <c r="M59" s="110"/>
      <c r="N59" s="110"/>
    </row>
    <row r="60" spans="2:14" ht="15" customHeight="1" x14ac:dyDescent="0.25">
      <c r="B60" s="97"/>
      <c r="C60" s="114"/>
      <c r="D60" s="114"/>
      <c r="E60" s="109"/>
      <c r="F60" s="110"/>
      <c r="G60" s="110"/>
      <c r="H60" s="110"/>
      <c r="I60" s="110"/>
      <c r="J60" s="110"/>
      <c r="K60" s="110"/>
      <c r="L60" s="110"/>
      <c r="M60" s="110"/>
      <c r="N60" s="110"/>
    </row>
    <row r="61" spans="2:14" ht="15" customHeight="1" x14ac:dyDescent="0.25">
      <c r="B61" s="97"/>
      <c r="C61" s="114"/>
      <c r="D61" s="114"/>
      <c r="E61" s="109"/>
      <c r="F61" s="110"/>
      <c r="G61" s="110"/>
      <c r="H61" s="110"/>
      <c r="I61" s="110"/>
      <c r="J61" s="110"/>
      <c r="K61" s="110"/>
      <c r="L61" s="110"/>
      <c r="M61" s="110"/>
      <c r="N61" s="110"/>
    </row>
    <row r="62" spans="2:14" ht="15" customHeight="1" x14ac:dyDescent="0.25">
      <c r="B62" s="97"/>
      <c r="C62" s="114"/>
      <c r="D62" s="114"/>
      <c r="E62" s="109"/>
      <c r="F62" s="110"/>
      <c r="G62" s="110"/>
      <c r="H62" s="110"/>
      <c r="I62" s="110"/>
      <c r="J62" s="110"/>
      <c r="K62" s="110"/>
      <c r="L62" s="110"/>
      <c r="M62" s="110"/>
      <c r="N62" s="110"/>
    </row>
    <row r="63" spans="2:14" ht="15" customHeight="1" x14ac:dyDescent="0.25">
      <c r="B63" s="97"/>
      <c r="C63" s="114"/>
      <c r="D63" s="114"/>
      <c r="E63" s="109"/>
      <c r="F63" s="110"/>
      <c r="G63" s="110"/>
      <c r="H63" s="110"/>
      <c r="I63" s="110"/>
      <c r="J63" s="110"/>
      <c r="K63" s="110"/>
      <c r="L63" s="110"/>
      <c r="M63" s="110"/>
      <c r="N63" s="110"/>
    </row>
    <row r="64" spans="2:14" ht="15" customHeight="1" x14ac:dyDescent="0.25">
      <c r="B64" s="115"/>
      <c r="C64" s="116"/>
      <c r="D64" s="116"/>
      <c r="E64" s="117"/>
      <c r="F64" s="102"/>
      <c r="G64" s="102"/>
      <c r="H64" s="102"/>
      <c r="I64" s="102"/>
      <c r="J64" s="102"/>
      <c r="K64" s="102"/>
      <c r="L64" s="102"/>
      <c r="M64" s="102"/>
      <c r="N64" s="102"/>
    </row>
    <row r="65" spans="1:34" ht="15" customHeight="1" x14ac:dyDescent="0.25">
      <c r="E65" s="7"/>
      <c r="F65" s="7"/>
      <c r="G65" s="7"/>
      <c r="H65" s="7"/>
      <c r="I65" s="7"/>
      <c r="J65" s="7"/>
      <c r="K65" s="7"/>
      <c r="L65" s="7"/>
      <c r="M65" s="7"/>
      <c r="N65" s="7"/>
    </row>
    <row r="66" spans="1:34" ht="17.25" customHeight="1" x14ac:dyDescent="0.25">
      <c r="B66" s="6" t="s">
        <v>25</v>
      </c>
      <c r="C66" s="6"/>
      <c r="D66" s="6"/>
      <c r="E66" s="10" t="s">
        <v>3</v>
      </c>
      <c r="F66" s="135" t="str">
        <f>C3</f>
        <v>Avista</v>
      </c>
      <c r="G66" s="136"/>
      <c r="H66" s="137"/>
    </row>
    <row r="67" spans="1:34" ht="15" customHeight="1" x14ac:dyDescent="0.25">
      <c r="E67" s="10" t="s">
        <v>6</v>
      </c>
      <c r="F67" s="138">
        <v>2015</v>
      </c>
      <c r="G67" s="139"/>
      <c r="H67" s="140"/>
    </row>
    <row r="68" spans="1:34" ht="15" customHeight="1" x14ac:dyDescent="0.25">
      <c r="B68" s="10"/>
      <c r="C68" s="10"/>
      <c r="D68" s="10"/>
      <c r="E68" s="8"/>
      <c r="H68" s="15"/>
      <c r="I68" s="7"/>
    </row>
    <row r="69" spans="1:34" s="7" customFormat="1" ht="16.5" customHeight="1" x14ac:dyDescent="0.25">
      <c r="B69" s="6"/>
      <c r="C69" s="6"/>
      <c r="D69" s="6"/>
      <c r="E69" s="22" t="s">
        <v>7</v>
      </c>
      <c r="F69" s="20" t="s">
        <v>8</v>
      </c>
      <c r="G69" s="20" t="s">
        <v>9</v>
      </c>
      <c r="H69" s="20" t="s">
        <v>10</v>
      </c>
      <c r="I69" s="20" t="s">
        <v>11</v>
      </c>
      <c r="J69" s="20" t="s">
        <v>12</v>
      </c>
      <c r="K69" s="20" t="s">
        <v>13</v>
      </c>
      <c r="L69" s="20" t="s">
        <v>14</v>
      </c>
      <c r="M69" s="21" t="s">
        <v>15</v>
      </c>
      <c r="N69" s="21" t="s">
        <v>49</v>
      </c>
      <c r="O69" s="21" t="s">
        <v>50</v>
      </c>
      <c r="AH69" s="1"/>
    </row>
    <row r="70" spans="1:34" s="11" customFormat="1" ht="36" x14ac:dyDescent="0.25">
      <c r="B70" s="10"/>
      <c r="C70" s="10"/>
      <c r="D70" s="10"/>
      <c r="E70" s="16" t="s">
        <v>26</v>
      </c>
      <c r="F70" s="16" t="s">
        <v>17</v>
      </c>
      <c r="G70" s="16" t="s">
        <v>18</v>
      </c>
      <c r="H70" s="16" t="s">
        <v>19</v>
      </c>
      <c r="I70" s="16" t="s">
        <v>20</v>
      </c>
      <c r="J70" s="16" t="s">
        <v>31</v>
      </c>
      <c r="K70" s="16" t="s">
        <v>21</v>
      </c>
      <c r="L70" s="16" t="s">
        <v>22</v>
      </c>
      <c r="M70" s="16" t="s">
        <v>23</v>
      </c>
      <c r="N70" s="16" t="s">
        <v>27</v>
      </c>
      <c r="O70" s="16" t="s">
        <v>24</v>
      </c>
      <c r="AH70" s="7"/>
    </row>
    <row r="71" spans="1:34" ht="15" customHeight="1" x14ac:dyDescent="0.25">
      <c r="B71" s="41" t="s">
        <v>28</v>
      </c>
      <c r="C71" s="23" t="s">
        <v>43</v>
      </c>
      <c r="D71" s="23" t="s">
        <v>44</v>
      </c>
      <c r="E71" s="14" t="s">
        <v>5</v>
      </c>
      <c r="F71" s="14" t="s">
        <v>5</v>
      </c>
      <c r="G71" s="14" t="s">
        <v>5</v>
      </c>
      <c r="H71" s="14" t="s">
        <v>5</v>
      </c>
      <c r="I71" s="14" t="s">
        <v>5</v>
      </c>
      <c r="J71" s="14" t="s">
        <v>5</v>
      </c>
      <c r="K71" s="14" t="s">
        <v>5</v>
      </c>
      <c r="L71" s="14" t="s">
        <v>5</v>
      </c>
      <c r="M71" s="14" t="s">
        <v>5</v>
      </c>
      <c r="N71" s="14" t="s">
        <v>45</v>
      </c>
      <c r="O71" s="14" t="s">
        <v>45</v>
      </c>
      <c r="AH71" s="11"/>
    </row>
    <row r="72" spans="1:34" ht="15" customHeight="1" x14ac:dyDescent="0.25">
      <c r="A72" s="7"/>
      <c r="B72" s="101" t="s">
        <v>196</v>
      </c>
      <c r="C72" s="101" t="s">
        <v>197</v>
      </c>
      <c r="D72" s="133">
        <v>2015</v>
      </c>
      <c r="E72" s="101"/>
      <c r="F72" s="101">
        <v>50000</v>
      </c>
      <c r="G72" s="101"/>
      <c r="H72" s="101"/>
      <c r="I72" s="101"/>
      <c r="J72" s="101"/>
      <c r="K72" s="101"/>
      <c r="L72" s="101"/>
      <c r="M72" s="101"/>
      <c r="N72" s="101"/>
      <c r="O72" s="118"/>
    </row>
    <row r="73" spans="1:34" ht="15" customHeight="1" x14ac:dyDescent="0.25">
      <c r="A73" s="7"/>
      <c r="B73" s="110"/>
      <c r="C73" s="110"/>
      <c r="D73" s="110"/>
      <c r="E73" s="110"/>
      <c r="F73" s="110"/>
      <c r="G73" s="110"/>
      <c r="H73" s="110"/>
      <c r="I73" s="110"/>
      <c r="J73" s="110"/>
      <c r="K73" s="110"/>
      <c r="L73" s="110"/>
      <c r="M73" s="110"/>
      <c r="N73" s="110"/>
      <c r="O73" s="119"/>
    </row>
    <row r="74" spans="1:34" ht="15" customHeight="1" x14ac:dyDescent="0.25">
      <c r="A74" s="7"/>
      <c r="B74" s="110"/>
      <c r="C74" s="110"/>
      <c r="D74" s="110"/>
      <c r="E74" s="110"/>
      <c r="F74" s="110"/>
      <c r="G74" s="110"/>
      <c r="H74" s="110"/>
      <c r="I74" s="110"/>
      <c r="J74" s="110"/>
      <c r="K74" s="110"/>
      <c r="L74" s="110"/>
      <c r="M74" s="110"/>
      <c r="N74" s="110"/>
      <c r="O74" s="119"/>
    </row>
    <row r="75" spans="1:34" ht="15" customHeight="1" x14ac:dyDescent="0.25">
      <c r="A75" s="7"/>
      <c r="B75" s="110"/>
      <c r="C75" s="110"/>
      <c r="D75" s="110"/>
      <c r="E75" s="110"/>
      <c r="F75" s="110"/>
      <c r="G75" s="110"/>
      <c r="H75" s="110"/>
      <c r="I75" s="110"/>
      <c r="J75" s="110"/>
      <c r="K75" s="110"/>
      <c r="L75" s="110"/>
      <c r="M75" s="110"/>
      <c r="N75" s="110"/>
      <c r="O75" s="119"/>
    </row>
    <row r="76" spans="1:34" ht="15" customHeight="1" x14ac:dyDescent="0.25">
      <c r="A76" s="7"/>
      <c r="B76" s="110"/>
      <c r="C76" s="110"/>
      <c r="D76" s="110"/>
      <c r="E76" s="110"/>
      <c r="F76" s="110"/>
      <c r="G76" s="110"/>
      <c r="H76" s="110"/>
      <c r="I76" s="110"/>
      <c r="J76" s="110"/>
      <c r="K76" s="110"/>
      <c r="L76" s="110"/>
      <c r="M76" s="110"/>
      <c r="N76" s="110"/>
      <c r="O76" s="119"/>
    </row>
    <row r="77" spans="1:34" ht="15" customHeight="1" x14ac:dyDescent="0.25">
      <c r="A77" s="7"/>
      <c r="B77" s="110"/>
      <c r="C77" s="110"/>
      <c r="D77" s="110"/>
      <c r="E77" s="110"/>
      <c r="F77" s="110"/>
      <c r="G77" s="110"/>
      <c r="H77" s="110"/>
      <c r="I77" s="110"/>
      <c r="J77" s="110"/>
      <c r="K77" s="110"/>
      <c r="L77" s="110"/>
      <c r="M77" s="110"/>
      <c r="N77" s="110"/>
      <c r="O77" s="119"/>
    </row>
    <row r="78" spans="1:34" ht="15" customHeight="1" x14ac:dyDescent="0.25">
      <c r="A78" s="7"/>
      <c r="B78" s="110"/>
      <c r="C78" s="110"/>
      <c r="D78" s="110"/>
      <c r="E78" s="110"/>
      <c r="F78" s="110"/>
      <c r="G78" s="110"/>
      <c r="H78" s="110"/>
      <c r="I78" s="110"/>
      <c r="J78" s="110"/>
      <c r="K78" s="110"/>
      <c r="L78" s="110"/>
      <c r="M78" s="110"/>
      <c r="N78" s="110"/>
      <c r="O78" s="119"/>
    </row>
    <row r="79" spans="1:34" ht="15" customHeight="1" x14ac:dyDescent="0.25">
      <c r="B79" s="110"/>
      <c r="C79" s="110"/>
      <c r="D79" s="110"/>
      <c r="E79" s="110"/>
      <c r="F79" s="110"/>
      <c r="G79" s="110"/>
      <c r="H79" s="110"/>
      <c r="I79" s="110"/>
      <c r="J79" s="110"/>
      <c r="K79" s="110"/>
      <c r="L79" s="110"/>
      <c r="M79" s="110"/>
      <c r="N79" s="110"/>
      <c r="O79" s="119"/>
    </row>
    <row r="80" spans="1:34" ht="15" customHeight="1" x14ac:dyDescent="0.25">
      <c r="B80" s="110"/>
      <c r="C80" s="110"/>
      <c r="D80" s="110"/>
      <c r="E80" s="110"/>
      <c r="F80" s="110"/>
      <c r="G80" s="110"/>
      <c r="H80" s="110"/>
      <c r="I80" s="110"/>
      <c r="J80" s="110"/>
      <c r="K80" s="110"/>
      <c r="L80" s="110"/>
      <c r="M80" s="110"/>
      <c r="N80" s="110"/>
      <c r="O80" s="119"/>
    </row>
    <row r="81" spans="2:15" ht="15" customHeight="1" x14ac:dyDescent="0.25">
      <c r="B81" s="110"/>
      <c r="C81" s="110"/>
      <c r="D81" s="110"/>
      <c r="E81" s="110"/>
      <c r="F81" s="110"/>
      <c r="G81" s="110"/>
      <c r="H81" s="110"/>
      <c r="I81" s="110"/>
      <c r="J81" s="110"/>
      <c r="K81" s="110"/>
      <c r="L81" s="110"/>
      <c r="M81" s="110"/>
      <c r="N81" s="110"/>
      <c r="O81" s="119"/>
    </row>
    <row r="82" spans="2:15" ht="15" customHeight="1" x14ac:dyDescent="0.25">
      <c r="B82" s="110"/>
      <c r="C82" s="110"/>
      <c r="D82" s="110"/>
      <c r="E82" s="110"/>
      <c r="F82" s="110"/>
      <c r="G82" s="110"/>
      <c r="H82" s="110"/>
      <c r="I82" s="110"/>
      <c r="J82" s="110"/>
      <c r="K82" s="110"/>
      <c r="L82" s="110"/>
      <c r="M82" s="110"/>
      <c r="N82" s="110"/>
      <c r="O82" s="119"/>
    </row>
    <row r="83" spans="2:15" ht="15" customHeight="1" x14ac:dyDescent="0.25">
      <c r="B83" s="110"/>
      <c r="C83" s="110"/>
      <c r="D83" s="110"/>
      <c r="E83" s="110"/>
      <c r="F83" s="110"/>
      <c r="G83" s="110"/>
      <c r="H83" s="110"/>
      <c r="I83" s="110"/>
      <c r="J83" s="110"/>
      <c r="K83" s="110"/>
      <c r="L83" s="110"/>
      <c r="M83" s="110"/>
      <c r="N83" s="110"/>
      <c r="O83" s="119"/>
    </row>
    <row r="84" spans="2:15" ht="15" customHeight="1" x14ac:dyDescent="0.25">
      <c r="B84" s="110"/>
      <c r="C84" s="110"/>
      <c r="D84" s="110"/>
      <c r="E84" s="110"/>
      <c r="F84" s="110"/>
      <c r="G84" s="110"/>
      <c r="H84" s="110"/>
      <c r="I84" s="110"/>
      <c r="J84" s="110"/>
      <c r="K84" s="110"/>
      <c r="L84" s="110"/>
      <c r="M84" s="110"/>
      <c r="N84" s="110"/>
      <c r="O84" s="119"/>
    </row>
    <row r="85" spans="2:15" ht="15" customHeight="1" x14ac:dyDescent="0.25">
      <c r="B85" s="110"/>
      <c r="C85" s="110"/>
      <c r="D85" s="110"/>
      <c r="E85" s="110"/>
      <c r="F85" s="110"/>
      <c r="G85" s="110"/>
      <c r="H85" s="110"/>
      <c r="I85" s="110"/>
      <c r="J85" s="110"/>
      <c r="K85" s="110"/>
      <c r="L85" s="110"/>
      <c r="M85" s="110"/>
      <c r="N85" s="110"/>
      <c r="O85" s="119"/>
    </row>
    <row r="86" spans="2:15" ht="15" customHeight="1" x14ac:dyDescent="0.25">
      <c r="B86" s="110"/>
      <c r="C86" s="110"/>
      <c r="D86" s="110"/>
      <c r="E86" s="110"/>
      <c r="F86" s="110"/>
      <c r="G86" s="110"/>
      <c r="H86" s="110"/>
      <c r="I86" s="110"/>
      <c r="J86" s="110"/>
      <c r="K86" s="110"/>
      <c r="L86" s="110"/>
      <c r="M86" s="110"/>
      <c r="N86" s="110"/>
      <c r="O86" s="119"/>
    </row>
    <row r="87" spans="2:15" ht="15" customHeight="1" x14ac:dyDescent="0.25">
      <c r="B87" s="110"/>
      <c r="C87" s="110"/>
      <c r="D87" s="110"/>
      <c r="E87" s="110"/>
      <c r="F87" s="110"/>
      <c r="G87" s="110"/>
      <c r="H87" s="110"/>
      <c r="I87" s="110"/>
      <c r="J87" s="110"/>
      <c r="K87" s="110"/>
      <c r="L87" s="110"/>
      <c r="M87" s="110"/>
      <c r="N87" s="110"/>
      <c r="O87" s="119"/>
    </row>
    <row r="88" spans="2:15" ht="15" customHeight="1" x14ac:dyDescent="0.25">
      <c r="B88" s="110"/>
      <c r="C88" s="110"/>
      <c r="D88" s="110"/>
      <c r="E88" s="110"/>
      <c r="F88" s="110"/>
      <c r="G88" s="110"/>
      <c r="H88" s="110"/>
      <c r="I88" s="110"/>
      <c r="J88" s="110"/>
      <c r="K88" s="110"/>
      <c r="L88" s="110"/>
      <c r="M88" s="110"/>
      <c r="N88" s="110"/>
      <c r="O88" s="119"/>
    </row>
    <row r="89" spans="2:15" ht="15" customHeight="1" x14ac:dyDescent="0.25">
      <c r="B89" s="110"/>
      <c r="C89" s="110"/>
      <c r="D89" s="110"/>
      <c r="E89" s="110"/>
      <c r="F89" s="110"/>
      <c r="G89" s="110"/>
      <c r="H89" s="110"/>
      <c r="I89" s="110"/>
      <c r="J89" s="110"/>
      <c r="K89" s="110"/>
      <c r="L89" s="110"/>
      <c r="M89" s="110"/>
      <c r="N89" s="110"/>
      <c r="O89" s="119"/>
    </row>
    <row r="90" spans="2:15" ht="15" customHeight="1" x14ac:dyDescent="0.25">
      <c r="B90" s="110"/>
      <c r="C90" s="110"/>
      <c r="D90" s="110"/>
      <c r="E90" s="110"/>
      <c r="F90" s="110"/>
      <c r="G90" s="110"/>
      <c r="H90" s="110"/>
      <c r="I90" s="110"/>
      <c r="J90" s="110"/>
      <c r="K90" s="110"/>
      <c r="L90" s="110"/>
      <c r="M90" s="110"/>
      <c r="N90" s="110"/>
      <c r="O90" s="119"/>
    </row>
    <row r="91" spans="2:15" ht="15" customHeight="1" x14ac:dyDescent="0.25">
      <c r="B91" s="110"/>
      <c r="C91" s="110"/>
      <c r="D91" s="110"/>
      <c r="E91" s="110"/>
      <c r="F91" s="110"/>
      <c r="G91" s="110"/>
      <c r="H91" s="110"/>
      <c r="I91" s="110"/>
      <c r="J91" s="110"/>
      <c r="K91" s="110"/>
      <c r="L91" s="110"/>
      <c r="M91" s="110"/>
      <c r="N91" s="110"/>
      <c r="O91" s="119"/>
    </row>
    <row r="92" spans="2:15" ht="15" customHeight="1" x14ac:dyDescent="0.25">
      <c r="B92" s="110"/>
      <c r="C92" s="110"/>
      <c r="D92" s="110"/>
      <c r="E92" s="110"/>
      <c r="F92" s="110"/>
      <c r="G92" s="110"/>
      <c r="H92" s="110"/>
      <c r="I92" s="110"/>
      <c r="J92" s="110"/>
      <c r="K92" s="110"/>
      <c r="L92" s="110"/>
      <c r="M92" s="110"/>
      <c r="N92" s="110"/>
      <c r="O92" s="119"/>
    </row>
    <row r="93" spans="2:15" ht="15" customHeight="1" x14ac:dyDescent="0.25">
      <c r="B93" s="110"/>
      <c r="C93" s="110"/>
      <c r="D93" s="110"/>
      <c r="E93" s="110"/>
      <c r="F93" s="110"/>
      <c r="G93" s="110"/>
      <c r="H93" s="110"/>
      <c r="I93" s="110"/>
      <c r="J93" s="110"/>
      <c r="K93" s="110"/>
      <c r="L93" s="110"/>
      <c r="M93" s="110"/>
      <c r="N93" s="110"/>
      <c r="O93" s="119"/>
    </row>
    <row r="94" spans="2:15" ht="15" customHeight="1" x14ac:dyDescent="0.25">
      <c r="B94" s="110"/>
      <c r="C94" s="110"/>
      <c r="D94" s="110"/>
      <c r="E94" s="110"/>
      <c r="F94" s="110"/>
      <c r="G94" s="110"/>
      <c r="H94" s="110"/>
      <c r="I94" s="110"/>
      <c r="J94" s="110"/>
      <c r="K94" s="110"/>
      <c r="L94" s="110"/>
      <c r="M94" s="110"/>
      <c r="N94" s="110"/>
      <c r="O94" s="119"/>
    </row>
    <row r="95" spans="2:15" ht="15" customHeight="1" x14ac:dyDescent="0.25">
      <c r="B95" s="110"/>
      <c r="C95" s="110"/>
      <c r="D95" s="110"/>
      <c r="E95" s="110"/>
      <c r="F95" s="110"/>
      <c r="G95" s="110"/>
      <c r="H95" s="110"/>
      <c r="I95" s="110"/>
      <c r="J95" s="110"/>
      <c r="K95" s="110"/>
      <c r="L95" s="110"/>
      <c r="M95" s="110"/>
      <c r="N95" s="110"/>
      <c r="O95" s="119"/>
    </row>
    <row r="96" spans="2:15" ht="15" customHeight="1" x14ac:dyDescent="0.25">
      <c r="B96" s="102"/>
      <c r="C96" s="102"/>
      <c r="D96" s="102"/>
      <c r="E96" s="102"/>
      <c r="F96" s="102"/>
      <c r="G96" s="102"/>
      <c r="H96" s="102"/>
      <c r="I96" s="102"/>
      <c r="J96" s="102"/>
      <c r="K96" s="102"/>
      <c r="L96" s="102"/>
      <c r="M96" s="102"/>
      <c r="N96" s="102"/>
      <c r="O96" s="120"/>
    </row>
    <row r="97" spans="2:34" ht="15" customHeight="1" x14ac:dyDescent="0.25"/>
    <row r="98" spans="2:34" ht="15" customHeight="1" x14ac:dyDescent="0.25">
      <c r="B98" s="11"/>
      <c r="C98" s="11"/>
      <c r="D98" s="11"/>
      <c r="E98" s="10" t="s">
        <v>3</v>
      </c>
      <c r="F98" s="135" t="str">
        <f>C3</f>
        <v>Avista</v>
      </c>
      <c r="G98" s="136"/>
      <c r="H98" s="137"/>
    </row>
    <row r="99" spans="2:34" ht="15" customHeight="1" x14ac:dyDescent="0.25">
      <c r="E99" s="10" t="s">
        <v>36</v>
      </c>
      <c r="F99" s="138">
        <v>2015</v>
      </c>
      <c r="G99" s="139"/>
      <c r="H99" s="140"/>
    </row>
    <row r="100" spans="2:34" ht="15" customHeight="1" x14ac:dyDescent="0.25">
      <c r="B100" s="11" t="s">
        <v>46</v>
      </c>
      <c r="C100" s="11"/>
      <c r="D100" s="11"/>
      <c r="E100" s="10"/>
      <c r="F100" s="35"/>
    </row>
    <row r="101" spans="2:34" ht="15" customHeight="1" x14ac:dyDescent="0.25">
      <c r="B101" s="17"/>
      <c r="C101" s="17"/>
      <c r="D101" s="17"/>
      <c r="E101" s="17"/>
      <c r="F101" s="17"/>
      <c r="G101" s="17"/>
      <c r="H101" s="17"/>
      <c r="I101" s="17"/>
      <c r="J101" s="17"/>
      <c r="K101" s="17"/>
      <c r="L101" s="17"/>
      <c r="M101" s="17"/>
    </row>
    <row r="102" spans="2:34" ht="15" customHeight="1" x14ac:dyDescent="0.25">
      <c r="B102" s="17"/>
      <c r="C102" s="17"/>
      <c r="D102" s="17"/>
      <c r="E102" s="17"/>
      <c r="F102" s="17"/>
      <c r="G102" s="17"/>
      <c r="H102" s="17"/>
      <c r="I102" s="17"/>
      <c r="J102" s="17"/>
      <c r="K102" s="17"/>
      <c r="L102" s="17"/>
      <c r="M102" s="17"/>
    </row>
    <row r="103" spans="2:34" s="7" customFormat="1" ht="15" customHeight="1" x14ac:dyDescent="0.25">
      <c r="B103" s="17"/>
      <c r="C103" s="17"/>
      <c r="D103" s="17"/>
      <c r="E103" s="17"/>
      <c r="F103" s="17"/>
      <c r="G103" s="17"/>
      <c r="H103" s="17"/>
      <c r="I103" s="17"/>
      <c r="J103" s="17"/>
      <c r="K103" s="17"/>
      <c r="L103" s="17"/>
      <c r="M103" s="17"/>
      <c r="AH103" s="1"/>
    </row>
    <row r="104" spans="2:34" s="7" customFormat="1" ht="15" customHeight="1" x14ac:dyDescent="0.25">
      <c r="B104" s="17"/>
      <c r="C104" s="17"/>
      <c r="D104" s="17"/>
      <c r="E104" s="17"/>
      <c r="F104" s="17"/>
      <c r="G104" s="17"/>
      <c r="H104" s="17"/>
      <c r="I104" s="17"/>
      <c r="J104" s="17"/>
      <c r="K104" s="17"/>
      <c r="L104" s="17"/>
      <c r="M104" s="17"/>
    </row>
    <row r="105" spans="2:34" s="7" customFormat="1" x14ac:dyDescent="0.25">
      <c r="B105" s="17"/>
      <c r="C105" s="17"/>
      <c r="D105" s="17"/>
      <c r="E105" s="17"/>
      <c r="F105" s="17"/>
      <c r="G105" s="17"/>
      <c r="H105" s="17"/>
      <c r="I105" s="17"/>
      <c r="J105" s="17"/>
      <c r="K105" s="17"/>
      <c r="L105" s="17"/>
      <c r="M105" s="17"/>
    </row>
    <row r="106" spans="2:34" s="7" customFormat="1" x14ac:dyDescent="0.25">
      <c r="B106" s="17"/>
      <c r="C106" s="17"/>
      <c r="D106" s="17"/>
      <c r="E106" s="17"/>
      <c r="F106" s="17"/>
      <c r="G106" s="17"/>
      <c r="H106" s="17"/>
      <c r="I106" s="17"/>
      <c r="J106" s="17"/>
      <c r="K106" s="17"/>
      <c r="L106" s="17"/>
      <c r="M106" s="17"/>
    </row>
    <row r="107" spans="2:34" s="7" customFormat="1" x14ac:dyDescent="0.25">
      <c r="B107" s="17"/>
      <c r="C107" s="17"/>
      <c r="D107" s="17"/>
      <c r="E107" s="17"/>
      <c r="F107" s="17"/>
      <c r="G107" s="17"/>
      <c r="H107" s="17"/>
      <c r="I107" s="17"/>
      <c r="J107" s="17"/>
      <c r="K107" s="17"/>
      <c r="L107" s="17"/>
      <c r="M107" s="17"/>
    </row>
    <row r="108" spans="2:34" x14ac:dyDescent="0.25">
      <c r="B108" s="17"/>
      <c r="C108" s="17"/>
      <c r="D108" s="17"/>
      <c r="E108" s="17"/>
      <c r="F108" s="17"/>
      <c r="G108" s="17"/>
      <c r="H108" s="17"/>
      <c r="I108" s="17"/>
      <c r="J108" s="17"/>
      <c r="K108" s="17"/>
      <c r="L108" s="17"/>
      <c r="M108" s="17"/>
      <c r="AH108" s="7"/>
    </row>
    <row r="109" spans="2:34" x14ac:dyDescent="0.25">
      <c r="B109" s="17"/>
      <c r="C109" s="17"/>
      <c r="D109" s="17"/>
      <c r="E109" s="17"/>
      <c r="F109" s="17"/>
      <c r="G109" s="17"/>
      <c r="H109" s="17"/>
      <c r="I109" s="17"/>
      <c r="J109" s="17"/>
      <c r="K109" s="17"/>
      <c r="L109" s="17"/>
      <c r="M109" s="17"/>
    </row>
    <row r="110" spans="2:34" x14ac:dyDescent="0.25">
      <c r="B110" s="17"/>
      <c r="C110" s="17"/>
      <c r="D110" s="17"/>
      <c r="E110" s="17"/>
      <c r="F110" s="17"/>
      <c r="G110" s="17"/>
      <c r="H110" s="17"/>
      <c r="I110" s="17"/>
      <c r="J110" s="17"/>
      <c r="K110" s="17"/>
      <c r="L110" s="17"/>
      <c r="M110" s="17"/>
    </row>
    <row r="111" spans="2:34" x14ac:dyDescent="0.25">
      <c r="B111" s="17"/>
      <c r="C111" s="17"/>
      <c r="D111" s="17"/>
      <c r="E111" s="17"/>
      <c r="F111" s="17"/>
      <c r="G111" s="17"/>
      <c r="H111" s="17"/>
      <c r="I111" s="17"/>
      <c r="J111" s="17"/>
      <c r="K111" s="17"/>
      <c r="L111" s="17"/>
      <c r="M111" s="17"/>
    </row>
    <row r="112" spans="2:34" x14ac:dyDescent="0.25">
      <c r="B112" s="17"/>
      <c r="C112" s="17"/>
      <c r="D112" s="17"/>
      <c r="E112" s="17"/>
      <c r="F112" s="17"/>
      <c r="G112" s="17"/>
      <c r="H112" s="17"/>
      <c r="I112" s="17"/>
      <c r="J112" s="17"/>
      <c r="K112" s="17"/>
      <c r="L112" s="17"/>
      <c r="M112" s="17"/>
    </row>
    <row r="113" spans="2:13" x14ac:dyDescent="0.25">
      <c r="B113" s="17"/>
      <c r="C113" s="17"/>
      <c r="D113" s="17"/>
      <c r="E113" s="17"/>
      <c r="F113" s="17"/>
      <c r="G113" s="17"/>
      <c r="H113" s="17"/>
      <c r="I113" s="17"/>
      <c r="J113" s="17"/>
      <c r="K113" s="17"/>
      <c r="L113" s="17"/>
      <c r="M113" s="17"/>
    </row>
    <row r="114" spans="2:13" x14ac:dyDescent="0.25">
      <c r="B114" s="17"/>
      <c r="C114" s="17"/>
      <c r="D114" s="17"/>
      <c r="E114" s="17"/>
      <c r="F114" s="17"/>
      <c r="G114" s="17"/>
      <c r="H114" s="17"/>
      <c r="I114" s="17"/>
      <c r="J114" s="17"/>
      <c r="K114" s="17"/>
      <c r="L114" s="17"/>
      <c r="M114" s="17"/>
    </row>
    <row r="115" spans="2:13" x14ac:dyDescent="0.25">
      <c r="B115" s="2" t="s">
        <v>47</v>
      </c>
      <c r="C115" s="17"/>
      <c r="D115" s="17"/>
      <c r="E115" s="17"/>
      <c r="F115" s="17"/>
      <c r="G115" s="17"/>
      <c r="H115" s="17"/>
      <c r="I115" s="17"/>
      <c r="J115" s="17"/>
      <c r="K115" s="17"/>
      <c r="L115" s="17"/>
      <c r="M115" s="17"/>
    </row>
    <row r="116" spans="2:13" x14ac:dyDescent="0.25">
      <c r="B116" s="17"/>
      <c r="C116" s="17"/>
      <c r="D116" s="17"/>
      <c r="E116" s="17"/>
      <c r="F116" s="17"/>
      <c r="G116" s="17"/>
      <c r="H116" s="17"/>
      <c r="I116" s="17"/>
      <c r="J116" s="17"/>
      <c r="K116" s="17"/>
      <c r="L116" s="17"/>
      <c r="M116" s="17"/>
    </row>
    <row r="117" spans="2:13" x14ac:dyDescent="0.25">
      <c r="B117" s="17"/>
      <c r="C117" s="17"/>
      <c r="D117" s="17"/>
      <c r="E117" s="17"/>
      <c r="F117" s="17"/>
      <c r="G117" s="17"/>
      <c r="H117" s="17"/>
      <c r="I117" s="17"/>
      <c r="J117" s="17"/>
      <c r="K117" s="17"/>
      <c r="L117" s="17"/>
      <c r="M117" s="17"/>
    </row>
    <row r="118" spans="2:13" x14ac:dyDescent="0.25">
      <c r="B118" s="17"/>
      <c r="C118" s="17"/>
      <c r="D118" s="17"/>
      <c r="E118" s="17"/>
      <c r="F118" s="17"/>
      <c r="G118" s="17"/>
      <c r="H118" s="17"/>
      <c r="I118" s="17"/>
      <c r="J118" s="17"/>
      <c r="K118" s="17"/>
      <c r="L118" s="17"/>
      <c r="M118" s="17"/>
    </row>
    <row r="119" spans="2:13" x14ac:dyDescent="0.25">
      <c r="B119" s="17"/>
      <c r="C119" s="17"/>
      <c r="D119" s="17"/>
      <c r="E119" s="17"/>
      <c r="F119" s="17"/>
      <c r="G119" s="17"/>
      <c r="H119" s="17"/>
      <c r="I119" s="17"/>
      <c r="J119" s="17"/>
      <c r="K119" s="17"/>
      <c r="L119" s="17"/>
      <c r="M119" s="17"/>
    </row>
    <row r="120" spans="2:13" x14ac:dyDescent="0.25">
      <c r="B120" s="17"/>
      <c r="C120" s="17"/>
      <c r="D120" s="17"/>
      <c r="E120" s="17"/>
      <c r="F120" s="17"/>
      <c r="G120" s="17"/>
      <c r="H120" s="17"/>
      <c r="I120" s="17"/>
      <c r="J120" s="17"/>
      <c r="K120" s="17"/>
      <c r="L120" s="17"/>
      <c r="M120" s="17"/>
    </row>
    <row r="121" spans="2:13" x14ac:dyDescent="0.25">
      <c r="B121" s="17"/>
      <c r="C121" s="17"/>
      <c r="D121" s="17"/>
      <c r="E121" s="17"/>
      <c r="F121" s="17"/>
      <c r="G121" s="17"/>
      <c r="H121" s="17"/>
      <c r="I121" s="17"/>
      <c r="J121" s="17"/>
      <c r="K121" s="17"/>
      <c r="L121" s="17"/>
      <c r="M121" s="17"/>
    </row>
    <row r="122" spans="2:13" x14ac:dyDescent="0.25">
      <c r="B122" s="17"/>
      <c r="C122" s="17"/>
      <c r="D122" s="17"/>
      <c r="E122" s="17"/>
      <c r="F122" s="17"/>
      <c r="G122" s="17"/>
      <c r="H122" s="17"/>
      <c r="I122" s="17"/>
      <c r="J122" s="17"/>
      <c r="K122" s="17"/>
      <c r="L122" s="17"/>
      <c r="M122" s="17"/>
    </row>
    <row r="123" spans="2:13" x14ac:dyDescent="0.25">
      <c r="B123" s="17"/>
      <c r="C123" s="17"/>
      <c r="D123" s="17"/>
      <c r="E123" s="17"/>
      <c r="F123" s="17"/>
      <c r="G123" s="17"/>
      <c r="H123" s="17"/>
      <c r="I123" s="17"/>
      <c r="J123" s="17"/>
      <c r="K123" s="17"/>
      <c r="L123" s="17"/>
      <c r="M123" s="17"/>
    </row>
    <row r="124" spans="2:13" x14ac:dyDescent="0.25">
      <c r="B124" s="17"/>
      <c r="C124" s="17"/>
      <c r="D124" s="17"/>
      <c r="E124" s="17"/>
      <c r="F124" s="17"/>
      <c r="G124" s="17"/>
      <c r="H124" s="17"/>
      <c r="I124" s="17"/>
      <c r="J124" s="17"/>
      <c r="K124" s="17"/>
      <c r="L124" s="17"/>
      <c r="M124" s="17"/>
    </row>
    <row r="125" spans="2:13" x14ac:dyDescent="0.25">
      <c r="B125" s="17"/>
      <c r="C125" s="17"/>
      <c r="D125" s="17"/>
      <c r="E125" s="17"/>
      <c r="F125" s="17"/>
      <c r="G125" s="17"/>
      <c r="H125" s="17"/>
      <c r="I125" s="17"/>
      <c r="J125" s="17"/>
      <c r="K125" s="17"/>
      <c r="L125" s="17"/>
      <c r="M125" s="17"/>
    </row>
    <row r="126" spans="2:13" x14ac:dyDescent="0.25">
      <c r="B126" s="17"/>
      <c r="C126" s="17"/>
      <c r="D126" s="17"/>
      <c r="E126" s="17"/>
      <c r="F126" s="17"/>
      <c r="G126" s="17"/>
      <c r="H126" s="17"/>
      <c r="I126" s="17"/>
      <c r="J126" s="17"/>
      <c r="K126" s="17"/>
      <c r="L126" s="17"/>
      <c r="M126" s="17"/>
    </row>
    <row r="127" spans="2:13" x14ac:dyDescent="0.25">
      <c r="B127" s="17"/>
      <c r="C127" s="17"/>
      <c r="D127" s="17"/>
      <c r="E127" s="17"/>
      <c r="F127" s="17"/>
      <c r="G127" s="17"/>
      <c r="H127" s="17"/>
      <c r="I127" s="17"/>
      <c r="J127" s="17"/>
      <c r="K127" s="17"/>
      <c r="L127" s="17"/>
      <c r="M127" s="17"/>
    </row>
    <row r="128" spans="2:13" x14ac:dyDescent="0.25">
      <c r="B128" s="17"/>
      <c r="C128" s="17"/>
      <c r="D128" s="17"/>
      <c r="E128" s="17"/>
      <c r="F128" s="17"/>
      <c r="G128" s="17"/>
      <c r="H128" s="17"/>
      <c r="I128" s="17"/>
      <c r="J128" s="17"/>
      <c r="K128" s="17"/>
      <c r="L128" s="17"/>
      <c r="M128" s="17"/>
    </row>
    <row r="129" spans="2:13" x14ac:dyDescent="0.25">
      <c r="B129" s="17"/>
      <c r="C129" s="17"/>
      <c r="D129" s="17"/>
      <c r="E129" s="17"/>
      <c r="F129" s="17"/>
      <c r="G129" s="17"/>
      <c r="H129" s="17"/>
      <c r="I129" s="17"/>
      <c r="J129" s="17"/>
      <c r="K129" s="17"/>
      <c r="L129" s="17"/>
      <c r="M129" s="17"/>
    </row>
    <row r="130" spans="2:13" x14ac:dyDescent="0.25">
      <c r="B130" s="17"/>
      <c r="C130" s="17"/>
      <c r="D130" s="17"/>
      <c r="E130" s="17"/>
      <c r="F130" s="17"/>
      <c r="G130" s="17"/>
      <c r="H130" s="17"/>
      <c r="I130" s="17"/>
      <c r="J130" s="17"/>
      <c r="K130" s="17"/>
      <c r="L130" s="17"/>
      <c r="M130" s="17"/>
    </row>
    <row r="131" spans="2:13" x14ac:dyDescent="0.25">
      <c r="B131" s="17"/>
      <c r="C131" s="17"/>
      <c r="D131" s="17"/>
      <c r="E131" s="17"/>
      <c r="F131" s="17"/>
      <c r="G131" s="17"/>
      <c r="H131" s="17"/>
      <c r="I131" s="17"/>
      <c r="J131" s="17"/>
      <c r="K131" s="17"/>
      <c r="L131" s="17"/>
      <c r="M131" s="17"/>
    </row>
    <row r="132" spans="2:13" x14ac:dyDescent="0.25">
      <c r="B132" s="17"/>
      <c r="C132" s="17"/>
      <c r="D132" s="17"/>
      <c r="E132" s="17"/>
      <c r="F132" s="17"/>
      <c r="G132" s="17"/>
      <c r="H132" s="17"/>
      <c r="I132" s="17"/>
      <c r="J132" s="17"/>
      <c r="K132" s="17"/>
      <c r="L132" s="17"/>
      <c r="M132" s="17"/>
    </row>
    <row r="133" spans="2:13" x14ac:dyDescent="0.25">
      <c r="B133" s="17"/>
      <c r="C133" s="17"/>
      <c r="D133" s="17"/>
      <c r="E133" s="17"/>
      <c r="F133" s="17"/>
      <c r="G133" s="17"/>
      <c r="H133" s="17"/>
      <c r="I133" s="17"/>
      <c r="J133" s="17"/>
      <c r="K133" s="17"/>
      <c r="L133" s="17"/>
      <c r="M133" s="17"/>
    </row>
    <row r="134" spans="2:13" x14ac:dyDescent="0.25">
      <c r="B134" s="17"/>
      <c r="C134" s="17"/>
      <c r="D134" s="17"/>
      <c r="E134" s="17"/>
      <c r="F134" s="17"/>
      <c r="G134" s="17"/>
      <c r="H134" s="17"/>
      <c r="I134" s="17"/>
      <c r="J134" s="17"/>
      <c r="K134" s="17"/>
      <c r="L134" s="17"/>
      <c r="M134" s="17"/>
    </row>
    <row r="135" spans="2:13" x14ac:dyDescent="0.25">
      <c r="B135" s="17"/>
      <c r="C135" s="17"/>
      <c r="D135" s="17"/>
      <c r="E135" s="17"/>
      <c r="F135" s="17"/>
      <c r="G135" s="17"/>
      <c r="H135" s="17"/>
      <c r="I135" s="17"/>
      <c r="J135" s="17"/>
      <c r="K135" s="17"/>
      <c r="L135" s="17"/>
      <c r="M135" s="17"/>
    </row>
    <row r="136" spans="2:13" x14ac:dyDescent="0.25">
      <c r="B136" s="17"/>
      <c r="C136" s="17"/>
      <c r="D136" s="17"/>
      <c r="E136" s="17"/>
      <c r="F136" s="17"/>
      <c r="G136" s="17"/>
      <c r="H136" s="17"/>
      <c r="I136" s="17"/>
      <c r="J136" s="17"/>
      <c r="K136" s="17"/>
      <c r="L136" s="17"/>
      <c r="M136" s="17"/>
    </row>
  </sheetData>
  <mergeCells count="16">
    <mergeCell ref="I2:N2"/>
    <mergeCell ref="G10:N10"/>
    <mergeCell ref="C3:E3"/>
    <mergeCell ref="C4:E4"/>
    <mergeCell ref="C5:E5"/>
    <mergeCell ref="C6:E6"/>
    <mergeCell ref="C7:E7"/>
    <mergeCell ref="I14:M14"/>
    <mergeCell ref="F66:H66"/>
    <mergeCell ref="F67:H67"/>
    <mergeCell ref="F98:H98"/>
    <mergeCell ref="F99:H99"/>
    <mergeCell ref="F36:H36"/>
    <mergeCell ref="F37:H37"/>
    <mergeCell ref="B39:G39"/>
    <mergeCell ref="C43:D43"/>
  </mergeCells>
  <hyperlinks>
    <hyperlink ref="C7" r:id="rId1"/>
  </hyperlinks>
  <pageMargins left="0.7" right="0.7" top="0.75" bottom="0.75" header="0.3" footer="0.3"/>
  <pageSetup scale="71" fitToHeight="0" orientation="landscape" r:id="rId2"/>
  <rowBreaks count="3" manualBreakCount="3">
    <brk id="34" max="12" man="1"/>
    <brk id="64" max="12" man="1"/>
    <brk id="97"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5448" r:id="rId5" name="Check Box 328">
              <controlPr defaultSize="0" autoFill="0" autoLine="0" autoPict="0">
                <anchor moveWithCells="1" sizeWithCells="1">
                  <from>
                    <xdr:col>2</xdr:col>
                    <xdr:colOff>15240</xdr:colOff>
                    <xdr:row>8</xdr:row>
                    <xdr:rowOff>7620</xdr:rowOff>
                  </from>
                  <to>
                    <xdr:col>4</xdr:col>
                    <xdr:colOff>457200</xdr:colOff>
                    <xdr:row>9</xdr:row>
                    <xdr:rowOff>15240</xdr:rowOff>
                  </to>
                </anchor>
              </controlPr>
            </control>
          </mc:Choice>
        </mc:AlternateContent>
        <mc:AlternateContent xmlns:mc="http://schemas.openxmlformats.org/markup-compatibility/2006">
          <mc:Choice Requires="x14">
            <control shapeId="5449" r:id="rId6" name="Check Box 329">
              <controlPr defaultSize="0" autoFill="0" autoLine="0" autoPict="0">
                <anchor moveWithCells="1" sizeWithCells="1">
                  <from>
                    <xdr:col>2</xdr:col>
                    <xdr:colOff>15240</xdr:colOff>
                    <xdr:row>9</xdr:row>
                    <xdr:rowOff>22860</xdr:rowOff>
                  </from>
                  <to>
                    <xdr:col>5</xdr:col>
                    <xdr:colOff>0</xdr:colOff>
                    <xdr:row>10</xdr:row>
                    <xdr:rowOff>22860</xdr:rowOff>
                  </to>
                </anchor>
              </controlPr>
            </control>
          </mc:Choice>
        </mc:AlternateContent>
        <mc:AlternateContent xmlns:mc="http://schemas.openxmlformats.org/markup-compatibility/2006">
          <mc:Choice Requires="x14">
            <control shapeId="5450" r:id="rId7" name="Check Box 330">
              <controlPr defaultSize="0" autoFill="0" autoLine="0" autoPict="0">
                <anchor moveWithCells="1" sizeWithCells="1">
                  <from>
                    <xdr:col>2</xdr:col>
                    <xdr:colOff>15240</xdr:colOff>
                    <xdr:row>10</xdr:row>
                    <xdr:rowOff>53340</xdr:rowOff>
                  </from>
                  <to>
                    <xdr:col>5</xdr:col>
                    <xdr:colOff>91440</xdr:colOff>
                    <xdr:row>11</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L77"/>
  <sheetViews>
    <sheetView showGridLines="0" tabSelected="1" view="pageBreakPreview" topLeftCell="A4" zoomScaleNormal="100" zoomScaleSheetLayoutView="100" workbookViewId="0">
      <selection activeCell="D8" sqref="D8"/>
    </sheetView>
  </sheetViews>
  <sheetFormatPr defaultColWidth="9.109375" defaultRowHeight="13.2" x14ac:dyDescent="0.25"/>
  <cols>
    <col min="1" max="1" width="2.6640625" style="1" customWidth="1"/>
    <col min="2" max="2" width="30.109375" style="1" customWidth="1"/>
    <col min="3" max="3" width="10.88671875" style="1" customWidth="1"/>
    <col min="4" max="4" width="10.33203125" style="1" customWidth="1"/>
    <col min="5" max="5" width="14" style="1" customWidth="1"/>
    <col min="6" max="6" width="14.109375" style="1" customWidth="1"/>
    <col min="7" max="9" width="10.6640625" style="1" customWidth="1"/>
    <col min="10" max="10" width="15.6640625" style="1" customWidth="1"/>
    <col min="11" max="11" width="10.6640625" style="1" customWidth="1"/>
    <col min="12" max="12" width="16.5546875" style="1" customWidth="1"/>
    <col min="13" max="16384" width="9.109375" style="1"/>
  </cols>
  <sheetData>
    <row r="1" spans="2:12" s="7" customFormat="1" ht="18.600000000000001" x14ac:dyDescent="0.45">
      <c r="B1" s="38" t="s">
        <v>141</v>
      </c>
      <c r="C1" s="38"/>
      <c r="D1" s="38"/>
    </row>
    <row r="2" spans="2:12" ht="15" customHeight="1" x14ac:dyDescent="0.25"/>
    <row r="3" spans="2:12" ht="16.5" customHeight="1" x14ac:dyDescent="0.3">
      <c r="B3" s="127" t="s">
        <v>142</v>
      </c>
      <c r="C3" s="6"/>
      <c r="D3" s="6"/>
      <c r="E3" s="10" t="s">
        <v>3</v>
      </c>
      <c r="F3" s="135" t="str">
        <f>'Renewables Report'!$C$3</f>
        <v>Avista</v>
      </c>
      <c r="G3" s="136"/>
      <c r="H3" s="137"/>
    </row>
    <row r="4" spans="2:12" ht="15" customHeight="1" x14ac:dyDescent="0.25">
      <c r="E4" s="10" t="s">
        <v>6</v>
      </c>
      <c r="F4" s="162">
        <v>2015</v>
      </c>
      <c r="G4" s="163"/>
      <c r="H4" s="164"/>
    </row>
    <row r="5" spans="2:12" ht="15" customHeight="1" x14ac:dyDescent="0.25">
      <c r="E5" s="10"/>
      <c r="F5" s="68"/>
      <c r="G5" s="9"/>
      <c r="H5" s="9"/>
    </row>
    <row r="6" spans="2:12" ht="48" x14ac:dyDescent="0.25">
      <c r="B6" s="41" t="s">
        <v>28</v>
      </c>
      <c r="C6" s="71" t="s">
        <v>43</v>
      </c>
      <c r="D6" s="89" t="s">
        <v>5</v>
      </c>
      <c r="E6" s="84" t="s">
        <v>124</v>
      </c>
      <c r="F6" s="84" t="s">
        <v>126</v>
      </c>
      <c r="G6" s="168" t="s">
        <v>123</v>
      </c>
      <c r="H6" s="168"/>
      <c r="I6" s="168"/>
      <c r="J6" s="84" t="s">
        <v>125</v>
      </c>
      <c r="K6" s="84" t="s">
        <v>127</v>
      </c>
      <c r="L6" s="84" t="s">
        <v>128</v>
      </c>
    </row>
    <row r="7" spans="2:12" ht="15" customHeight="1" x14ac:dyDescent="0.25">
      <c r="B7" s="72" t="str">
        <f>'Renewables Report'!B44</f>
        <v>Little Falls #4</v>
      </c>
      <c r="C7" s="73" t="str">
        <f>'Renewables Report'!C44</f>
        <v>W2102</v>
      </c>
      <c r="D7" s="74">
        <f>SUM('Renewables Report'!E44:M44)</f>
        <v>4862</v>
      </c>
      <c r="E7" s="121">
        <v>112198</v>
      </c>
      <c r="F7" s="78">
        <f>IF(D7&gt;0,E7/D7,"")</f>
        <v>23.076511723570547</v>
      </c>
      <c r="G7" s="156" t="s">
        <v>198</v>
      </c>
      <c r="H7" s="157"/>
      <c r="I7" s="158"/>
      <c r="J7" s="121">
        <v>269451.26</v>
      </c>
      <c r="K7" s="78">
        <f>IF(D7&gt;0,J7/D7,"")</f>
        <v>55.419839572192515</v>
      </c>
      <c r="L7" s="78">
        <f>MAX(0,E7-J7)</f>
        <v>0</v>
      </c>
    </row>
    <row r="8" spans="2:12" ht="15" customHeight="1" x14ac:dyDescent="0.25">
      <c r="B8" s="75" t="str">
        <f>'Renewables Report'!B45</f>
        <v>Long Lake #3</v>
      </c>
      <c r="C8" s="76" t="str">
        <f>'Renewables Report'!C45</f>
        <v>W2103</v>
      </c>
      <c r="D8" s="77">
        <f>SUM('Renewables Report'!E45:M45)</f>
        <v>14197</v>
      </c>
      <c r="E8" s="122">
        <v>92282</v>
      </c>
      <c r="F8" s="79">
        <f t="shared" ref="F8:F27" si="0">IF(D8&gt;0,E8/D8,"")</f>
        <v>6.5001056561245329</v>
      </c>
      <c r="G8" s="156" t="s">
        <v>199</v>
      </c>
      <c r="H8" s="157"/>
      <c r="I8" s="158"/>
      <c r="J8" s="122">
        <v>1141013.3700000001</v>
      </c>
      <c r="K8" s="79">
        <f t="shared" ref="K8:K27" si="1">IF(D8&gt;0,J8/D8,"")</f>
        <v>80.370033809959864</v>
      </c>
      <c r="L8" s="79">
        <f t="shared" ref="L8:L27" si="2">MAX(0,E8-J8)</f>
        <v>0</v>
      </c>
    </row>
    <row r="9" spans="2:12" ht="15" customHeight="1" x14ac:dyDescent="0.25">
      <c r="B9" s="75" t="str">
        <f>'Renewables Report'!B46</f>
        <v>Cabinet Gorge #2</v>
      </c>
      <c r="C9" s="76" t="str">
        <f>'Renewables Report'!C46</f>
        <v>W1560</v>
      </c>
      <c r="D9" s="77">
        <f>SUM('Renewables Report'!E46:M46)</f>
        <v>29008</v>
      </c>
      <c r="E9" s="122">
        <v>663840</v>
      </c>
      <c r="F9" s="79">
        <f t="shared" si="0"/>
        <v>22.884721456150029</v>
      </c>
      <c r="G9" s="156" t="s">
        <v>200</v>
      </c>
      <c r="H9" s="157"/>
      <c r="I9" s="158"/>
      <c r="J9" s="122">
        <v>3233260</v>
      </c>
      <c r="K9" s="79">
        <f t="shared" si="1"/>
        <v>111.46097628240486</v>
      </c>
      <c r="L9" s="79">
        <f t="shared" si="2"/>
        <v>0</v>
      </c>
    </row>
    <row r="10" spans="2:12" ht="15" customHeight="1" x14ac:dyDescent="0.25">
      <c r="B10" s="75" t="str">
        <f>'Renewables Report'!B47</f>
        <v>Cabinet Gorge #3</v>
      </c>
      <c r="C10" s="76" t="str">
        <f>'Renewables Report'!C47</f>
        <v>W1561</v>
      </c>
      <c r="D10" s="77">
        <f>SUM('Renewables Report'!E47:M47)</f>
        <v>45808</v>
      </c>
      <c r="E10" s="122">
        <v>861603</v>
      </c>
      <c r="F10" s="79">
        <f t="shared" si="0"/>
        <v>18.80900716032134</v>
      </c>
      <c r="G10" s="156" t="s">
        <v>198</v>
      </c>
      <c r="H10" s="157"/>
      <c r="I10" s="158"/>
      <c r="J10" s="122">
        <v>3663667</v>
      </c>
      <c r="K10" s="79">
        <f t="shared" si="1"/>
        <v>79.978759168704158</v>
      </c>
      <c r="L10" s="79">
        <f t="shared" si="2"/>
        <v>0</v>
      </c>
    </row>
    <row r="11" spans="2:12" ht="15" customHeight="1" x14ac:dyDescent="0.25">
      <c r="B11" s="75" t="str">
        <f>'Renewables Report'!B48</f>
        <v>Cabinet Gorge #4</v>
      </c>
      <c r="C11" s="76" t="str">
        <f>'Renewables Report'!C48</f>
        <v>W1562</v>
      </c>
      <c r="D11" s="77">
        <f>SUM('Renewables Report'!E48:M48)</f>
        <v>20517</v>
      </c>
      <c r="E11" s="122">
        <v>494522</v>
      </c>
      <c r="F11" s="79">
        <f t="shared" si="0"/>
        <v>24.103036506311838</v>
      </c>
      <c r="G11" s="156" t="s">
        <v>201</v>
      </c>
      <c r="H11" s="157"/>
      <c r="I11" s="158"/>
      <c r="J11" s="122">
        <v>2451932</v>
      </c>
      <c r="K11" s="79">
        <f t="shared" si="1"/>
        <v>119.50733538041624</v>
      </c>
      <c r="L11" s="79">
        <f t="shared" si="2"/>
        <v>0</v>
      </c>
    </row>
    <row r="12" spans="2:12" ht="15" customHeight="1" x14ac:dyDescent="0.25">
      <c r="B12" s="75" t="str">
        <f>'Renewables Report'!B49</f>
        <v>Noxon Rapids #1</v>
      </c>
      <c r="C12" s="76" t="str">
        <f>'Renewables Report'!C49</f>
        <v>W1530</v>
      </c>
      <c r="D12" s="77">
        <f>SUM('Renewables Report'!E49:M49)</f>
        <v>21435</v>
      </c>
      <c r="E12" s="122">
        <v>1780183</v>
      </c>
      <c r="F12" s="79">
        <f t="shared" si="0"/>
        <v>83.050291579192915</v>
      </c>
      <c r="G12" s="156" t="s">
        <v>202</v>
      </c>
      <c r="H12" s="157"/>
      <c r="I12" s="158"/>
      <c r="J12" s="122">
        <v>2367976</v>
      </c>
      <c r="K12" s="79">
        <f t="shared" si="1"/>
        <v>110.47240494518311</v>
      </c>
      <c r="L12" s="79">
        <f t="shared" si="2"/>
        <v>0</v>
      </c>
    </row>
    <row r="13" spans="2:12" ht="15" customHeight="1" x14ac:dyDescent="0.25">
      <c r="B13" s="75" t="str">
        <f>'Renewables Report'!B50</f>
        <v>Noxon Rapids #2</v>
      </c>
      <c r="C13" s="76" t="str">
        <f>'Renewables Report'!C50</f>
        <v>W1552</v>
      </c>
      <c r="D13" s="77">
        <f>SUM('Renewables Report'!E50:M50)</f>
        <v>7709</v>
      </c>
      <c r="E13" s="122">
        <v>887937</v>
      </c>
      <c r="F13" s="79">
        <f t="shared" si="0"/>
        <v>115.18186535218575</v>
      </c>
      <c r="G13" s="156" t="s">
        <v>202</v>
      </c>
      <c r="H13" s="157"/>
      <c r="I13" s="158"/>
      <c r="J13" s="122">
        <v>1570262</v>
      </c>
      <c r="K13" s="79">
        <f t="shared" si="1"/>
        <v>203.69204825528604</v>
      </c>
      <c r="L13" s="79">
        <f t="shared" si="2"/>
        <v>0</v>
      </c>
    </row>
    <row r="14" spans="2:12" ht="15" customHeight="1" x14ac:dyDescent="0.25">
      <c r="B14" s="75" t="str">
        <f>'Renewables Report'!B51</f>
        <v>Noxon Rapids #3</v>
      </c>
      <c r="C14" s="76" t="str">
        <f>'Renewables Report'!C51</f>
        <v>W1554</v>
      </c>
      <c r="D14" s="77">
        <f>SUM('Renewables Report'!E51:M51)</f>
        <v>14529</v>
      </c>
      <c r="E14" s="122">
        <v>867560</v>
      </c>
      <c r="F14" s="79">
        <f t="shared" si="0"/>
        <v>59.71229953885333</v>
      </c>
      <c r="G14" s="156" t="s">
        <v>202</v>
      </c>
      <c r="H14" s="157"/>
      <c r="I14" s="158"/>
      <c r="J14" s="122">
        <v>1982089</v>
      </c>
      <c r="K14" s="79">
        <f t="shared" si="1"/>
        <v>136.42294720903021</v>
      </c>
      <c r="L14" s="79">
        <f t="shared" si="2"/>
        <v>0</v>
      </c>
    </row>
    <row r="15" spans="2:12" ht="15" customHeight="1" x14ac:dyDescent="0.25">
      <c r="B15" s="75" t="str">
        <f>'Renewables Report'!B52</f>
        <v>Noxon Rapids #4</v>
      </c>
      <c r="C15" s="76" t="str">
        <f>'Renewables Report'!C52</f>
        <v>W1555</v>
      </c>
      <c r="D15" s="77">
        <f>SUM('Renewables Report'!E52:M52)</f>
        <v>12024</v>
      </c>
      <c r="E15" s="122">
        <v>782277</v>
      </c>
      <c r="F15" s="79">
        <f t="shared" si="0"/>
        <v>65.059630738522955</v>
      </c>
      <c r="G15" s="156" t="s">
        <v>202</v>
      </c>
      <c r="H15" s="157"/>
      <c r="I15" s="158"/>
      <c r="J15" s="122">
        <v>1948060</v>
      </c>
      <c r="K15" s="79">
        <f t="shared" si="1"/>
        <v>162.01430472388557</v>
      </c>
      <c r="L15" s="79">
        <f t="shared" si="2"/>
        <v>0</v>
      </c>
    </row>
    <row r="16" spans="2:12" ht="15" customHeight="1" x14ac:dyDescent="0.25">
      <c r="B16" s="75" t="str">
        <f>'Renewables Report'!B53</f>
        <v>Wanapum Fish Bypass</v>
      </c>
      <c r="C16" s="76" t="str">
        <f>'Renewables Report'!C53</f>
        <v>N/A</v>
      </c>
      <c r="D16" s="77">
        <f>SUM('Renewables Report'!E53:M53)</f>
        <v>0</v>
      </c>
      <c r="E16" s="122">
        <v>0</v>
      </c>
      <c r="F16" s="79" t="str">
        <f t="shared" si="0"/>
        <v/>
      </c>
      <c r="G16" s="159" t="s">
        <v>203</v>
      </c>
      <c r="H16" s="160"/>
      <c r="I16" s="161"/>
      <c r="J16" s="122">
        <v>0</v>
      </c>
      <c r="K16" s="79" t="str">
        <f t="shared" si="1"/>
        <v/>
      </c>
      <c r="L16" s="79">
        <f t="shared" si="2"/>
        <v>0</v>
      </c>
    </row>
    <row r="17" spans="2:12" ht="15" customHeight="1" x14ac:dyDescent="0.25">
      <c r="B17" s="75" t="str">
        <f>'Renewables Report'!B54</f>
        <v>Palouse Wind</v>
      </c>
      <c r="C17" s="76" t="str">
        <f>'Renewables Report'!C54</f>
        <v>W2906</v>
      </c>
      <c r="D17" s="77">
        <f>SUM('Renewables Report'!E54:M54)</f>
        <v>335291</v>
      </c>
      <c r="E17" s="122">
        <v>26265655</v>
      </c>
      <c r="F17" s="79">
        <f t="shared" si="0"/>
        <v>78.336892430754176</v>
      </c>
      <c r="G17" s="159" t="s">
        <v>204</v>
      </c>
      <c r="H17" s="160"/>
      <c r="I17" s="161"/>
      <c r="J17" s="122">
        <v>19405240.440000001</v>
      </c>
      <c r="K17" s="79">
        <f t="shared" si="1"/>
        <v>57.875816648821477</v>
      </c>
      <c r="L17" s="79">
        <f t="shared" si="2"/>
        <v>6860414.5599999987</v>
      </c>
    </row>
    <row r="18" spans="2:12" ht="15" customHeight="1" x14ac:dyDescent="0.25">
      <c r="B18" s="75">
        <f>'Renewables Report'!B55</f>
        <v>0</v>
      </c>
      <c r="C18" s="76">
        <f>'Renewables Report'!C55</f>
        <v>0</v>
      </c>
      <c r="D18" s="77">
        <f>SUM('Renewables Report'!E55:M55)</f>
        <v>0</v>
      </c>
      <c r="E18" s="122"/>
      <c r="F18" s="79" t="str">
        <f t="shared" si="0"/>
        <v/>
      </c>
      <c r="G18" s="159"/>
      <c r="H18" s="160"/>
      <c r="I18" s="161"/>
      <c r="J18" s="122"/>
      <c r="K18" s="79" t="str">
        <f t="shared" si="1"/>
        <v/>
      </c>
      <c r="L18" s="79">
        <f t="shared" si="2"/>
        <v>0</v>
      </c>
    </row>
    <row r="19" spans="2:12" ht="15" customHeight="1" x14ac:dyDescent="0.25">
      <c r="B19" s="75">
        <f>'Renewables Report'!B56</f>
        <v>0</v>
      </c>
      <c r="C19" s="76">
        <f>'Renewables Report'!C56</f>
        <v>0</v>
      </c>
      <c r="D19" s="77">
        <f>SUM('Renewables Report'!E56:M56)</f>
        <v>0</v>
      </c>
      <c r="E19" s="122"/>
      <c r="F19" s="79" t="str">
        <f t="shared" si="0"/>
        <v/>
      </c>
      <c r="G19" s="159"/>
      <c r="H19" s="160"/>
      <c r="I19" s="161"/>
      <c r="J19" s="122"/>
      <c r="K19" s="79" t="str">
        <f t="shared" si="1"/>
        <v/>
      </c>
      <c r="L19" s="79">
        <f t="shared" si="2"/>
        <v>0</v>
      </c>
    </row>
    <row r="20" spans="2:12" ht="15" customHeight="1" x14ac:dyDescent="0.25">
      <c r="B20" s="75">
        <f>'Renewables Report'!B57</f>
        <v>0</v>
      </c>
      <c r="C20" s="76">
        <f>'Renewables Report'!C57</f>
        <v>0</v>
      </c>
      <c r="D20" s="77">
        <f>SUM('Renewables Report'!E57:M57)</f>
        <v>0</v>
      </c>
      <c r="E20" s="122"/>
      <c r="F20" s="79" t="str">
        <f t="shared" si="0"/>
        <v/>
      </c>
      <c r="G20" s="159"/>
      <c r="H20" s="160"/>
      <c r="I20" s="161"/>
      <c r="J20" s="122"/>
      <c r="K20" s="79" t="str">
        <f t="shared" si="1"/>
        <v/>
      </c>
      <c r="L20" s="79">
        <f t="shared" si="2"/>
        <v>0</v>
      </c>
    </row>
    <row r="21" spans="2:12" ht="15" customHeight="1" x14ac:dyDescent="0.25">
      <c r="B21" s="75">
        <f>'Renewables Report'!B58</f>
        <v>0</v>
      </c>
      <c r="C21" s="76">
        <f>'Renewables Report'!C58</f>
        <v>0</v>
      </c>
      <c r="D21" s="77">
        <f>SUM('Renewables Report'!E58:M58)</f>
        <v>0</v>
      </c>
      <c r="E21" s="122"/>
      <c r="F21" s="79" t="str">
        <f t="shared" si="0"/>
        <v/>
      </c>
      <c r="G21" s="159"/>
      <c r="H21" s="160"/>
      <c r="I21" s="161"/>
      <c r="J21" s="122"/>
      <c r="K21" s="79" t="str">
        <f t="shared" si="1"/>
        <v/>
      </c>
      <c r="L21" s="79">
        <f t="shared" si="2"/>
        <v>0</v>
      </c>
    </row>
    <row r="22" spans="2:12" ht="15" customHeight="1" x14ac:dyDescent="0.25">
      <c r="B22" s="75">
        <f>'Renewables Report'!B59</f>
        <v>0</v>
      </c>
      <c r="C22" s="76">
        <f>'Renewables Report'!C59</f>
        <v>0</v>
      </c>
      <c r="D22" s="77">
        <f>SUM('Renewables Report'!E59:M59)</f>
        <v>0</v>
      </c>
      <c r="E22" s="122"/>
      <c r="F22" s="79" t="str">
        <f t="shared" si="0"/>
        <v/>
      </c>
      <c r="G22" s="159"/>
      <c r="H22" s="160"/>
      <c r="I22" s="161"/>
      <c r="J22" s="122"/>
      <c r="K22" s="79" t="str">
        <f t="shared" si="1"/>
        <v/>
      </c>
      <c r="L22" s="79">
        <f t="shared" si="2"/>
        <v>0</v>
      </c>
    </row>
    <row r="23" spans="2:12" ht="15" customHeight="1" x14ac:dyDescent="0.25">
      <c r="B23" s="75">
        <f>'Renewables Report'!B60</f>
        <v>0</v>
      </c>
      <c r="C23" s="76">
        <f>'Renewables Report'!C60</f>
        <v>0</v>
      </c>
      <c r="D23" s="77">
        <f>SUM('Renewables Report'!E60:M60)</f>
        <v>0</v>
      </c>
      <c r="E23" s="122"/>
      <c r="F23" s="79" t="str">
        <f t="shared" si="0"/>
        <v/>
      </c>
      <c r="G23" s="159"/>
      <c r="H23" s="160"/>
      <c r="I23" s="161"/>
      <c r="J23" s="122"/>
      <c r="K23" s="79" t="str">
        <f t="shared" si="1"/>
        <v/>
      </c>
      <c r="L23" s="79">
        <f t="shared" si="2"/>
        <v>0</v>
      </c>
    </row>
    <row r="24" spans="2:12" ht="15" customHeight="1" x14ac:dyDescent="0.25">
      <c r="B24" s="75">
        <f>'Renewables Report'!B61</f>
        <v>0</v>
      </c>
      <c r="C24" s="76">
        <f>'Renewables Report'!C61</f>
        <v>0</v>
      </c>
      <c r="D24" s="77">
        <f>SUM('Renewables Report'!E61:M61)</f>
        <v>0</v>
      </c>
      <c r="E24" s="122"/>
      <c r="F24" s="79" t="str">
        <f t="shared" si="0"/>
        <v/>
      </c>
      <c r="G24" s="159"/>
      <c r="H24" s="160"/>
      <c r="I24" s="161"/>
      <c r="J24" s="122"/>
      <c r="K24" s="79" t="str">
        <f t="shared" si="1"/>
        <v/>
      </c>
      <c r="L24" s="79">
        <f t="shared" si="2"/>
        <v>0</v>
      </c>
    </row>
    <row r="25" spans="2:12" ht="15" customHeight="1" x14ac:dyDescent="0.25">
      <c r="B25" s="75">
        <f>'Renewables Report'!B62</f>
        <v>0</v>
      </c>
      <c r="C25" s="76">
        <f>'Renewables Report'!C62</f>
        <v>0</v>
      </c>
      <c r="D25" s="77">
        <f>SUM('Renewables Report'!E62:M62)</f>
        <v>0</v>
      </c>
      <c r="E25" s="122"/>
      <c r="F25" s="79" t="str">
        <f t="shared" si="0"/>
        <v/>
      </c>
      <c r="G25" s="159"/>
      <c r="H25" s="160"/>
      <c r="I25" s="161"/>
      <c r="J25" s="122"/>
      <c r="K25" s="79" t="str">
        <f t="shared" si="1"/>
        <v/>
      </c>
      <c r="L25" s="79">
        <f t="shared" si="2"/>
        <v>0</v>
      </c>
    </row>
    <row r="26" spans="2:12" ht="15" customHeight="1" x14ac:dyDescent="0.25">
      <c r="B26" s="75">
        <f>'Renewables Report'!B63</f>
        <v>0</v>
      </c>
      <c r="C26" s="76">
        <f>'Renewables Report'!C63</f>
        <v>0</v>
      </c>
      <c r="D26" s="77">
        <f>SUM('Renewables Report'!E63:M63)</f>
        <v>0</v>
      </c>
      <c r="E26" s="122"/>
      <c r="F26" s="79" t="str">
        <f t="shared" si="0"/>
        <v/>
      </c>
      <c r="G26" s="159"/>
      <c r="H26" s="160"/>
      <c r="I26" s="161"/>
      <c r="J26" s="122"/>
      <c r="K26" s="79" t="str">
        <f t="shared" si="1"/>
        <v/>
      </c>
      <c r="L26" s="79">
        <f t="shared" si="2"/>
        <v>0</v>
      </c>
    </row>
    <row r="27" spans="2:12" ht="15" customHeight="1" x14ac:dyDescent="0.25">
      <c r="B27" s="80">
        <f>'Renewables Report'!B64</f>
        <v>0</v>
      </c>
      <c r="C27" s="81">
        <f>'Renewables Report'!C64</f>
        <v>0</v>
      </c>
      <c r="D27" s="82">
        <f>SUM('Renewables Report'!E64:M64)</f>
        <v>0</v>
      </c>
      <c r="E27" s="123"/>
      <c r="F27" s="83" t="str">
        <f t="shared" si="0"/>
        <v/>
      </c>
      <c r="G27" s="165"/>
      <c r="H27" s="166"/>
      <c r="I27" s="167"/>
      <c r="J27" s="123"/>
      <c r="K27" s="83" t="str">
        <f t="shared" si="1"/>
        <v/>
      </c>
      <c r="L27" s="83">
        <f t="shared" si="2"/>
        <v>0</v>
      </c>
    </row>
    <row r="28" spans="2:12" ht="15" customHeight="1" x14ac:dyDescent="0.25">
      <c r="B28" s="85" t="s">
        <v>129</v>
      </c>
      <c r="C28" s="85"/>
      <c r="D28" s="87">
        <f>SUM(D7:D27)</f>
        <v>505380</v>
      </c>
      <c r="E28" s="88">
        <f>SUM(E7:E27)</f>
        <v>32808057</v>
      </c>
      <c r="F28" s="88"/>
      <c r="G28" s="88"/>
      <c r="H28" s="88"/>
      <c r="I28" s="88"/>
      <c r="J28" s="88">
        <f>SUM(J7:J27)</f>
        <v>38032951.07</v>
      </c>
      <c r="K28" s="86"/>
      <c r="L28" s="88">
        <f>SUM(L7:L27)</f>
        <v>6860414.5599999987</v>
      </c>
    </row>
    <row r="29" spans="2:12" ht="15" customHeight="1" x14ac:dyDescent="0.25">
      <c r="E29" s="7"/>
      <c r="F29" s="7"/>
      <c r="G29" s="7"/>
      <c r="H29" s="7"/>
      <c r="I29" s="7"/>
      <c r="J29" s="7"/>
      <c r="K29" s="7"/>
      <c r="L29" s="7"/>
    </row>
    <row r="30" spans="2:12" ht="17.25" customHeight="1" x14ac:dyDescent="0.3">
      <c r="B30" s="127" t="s">
        <v>143</v>
      </c>
      <c r="C30" s="96"/>
      <c r="D30" s="6"/>
      <c r="E30" s="10" t="s">
        <v>3</v>
      </c>
      <c r="F30" s="135" t="str">
        <f>F3</f>
        <v>Avista</v>
      </c>
      <c r="G30" s="136"/>
      <c r="H30" s="137"/>
    </row>
    <row r="31" spans="2:12" ht="15" customHeight="1" x14ac:dyDescent="0.25">
      <c r="B31" s="96"/>
      <c r="C31" s="96"/>
      <c r="E31" s="10" t="s">
        <v>6</v>
      </c>
      <c r="F31" s="162">
        <v>2015</v>
      </c>
      <c r="G31" s="163"/>
      <c r="H31" s="164"/>
    </row>
    <row r="32" spans="2:12" ht="15" customHeight="1" x14ac:dyDescent="0.25">
      <c r="B32" s="10"/>
      <c r="C32" s="10"/>
      <c r="D32" s="10"/>
      <c r="E32" s="8"/>
      <c r="H32" s="15"/>
      <c r="I32" s="7"/>
    </row>
    <row r="33" spans="1:12" s="11" customFormat="1" x14ac:dyDescent="0.25">
      <c r="B33" s="10"/>
      <c r="C33" s="10"/>
      <c r="D33" s="10"/>
      <c r="E33" s="16"/>
      <c r="F33" s="16"/>
      <c r="G33" s="16"/>
      <c r="H33" s="16"/>
      <c r="I33" s="16"/>
      <c r="J33" s="16"/>
      <c r="K33" s="16"/>
      <c r="L33" s="16"/>
    </row>
    <row r="34" spans="1:12" ht="36" x14ac:dyDescent="0.25">
      <c r="B34" s="41" t="s">
        <v>28</v>
      </c>
      <c r="C34" s="23" t="s">
        <v>43</v>
      </c>
      <c r="D34" s="41" t="s">
        <v>44</v>
      </c>
      <c r="E34" s="128" t="s">
        <v>167</v>
      </c>
      <c r="F34" s="84" t="s">
        <v>168</v>
      </c>
      <c r="G34" s="84" t="s">
        <v>169</v>
      </c>
    </row>
    <row r="35" spans="1:12" ht="15" customHeight="1" x14ac:dyDescent="0.25">
      <c r="A35" s="7"/>
      <c r="B35" s="72" t="str">
        <f>'Renewables Report'!B72</f>
        <v>Stateline Wind Project</v>
      </c>
      <c r="C35" s="73" t="str">
        <f>'Renewables Report'!C72</f>
        <v>W249</v>
      </c>
      <c r="D35" s="74">
        <f>'Renewables Report'!D72</f>
        <v>2015</v>
      </c>
      <c r="E35" s="74">
        <f>MAX('Renewables Report'!$E72:$M72)</f>
        <v>50000</v>
      </c>
      <c r="F35" s="121">
        <f>E35*14.5</f>
        <v>725000</v>
      </c>
      <c r="G35" s="131">
        <f>IF(E35&gt;0,F35/E35,"")</f>
        <v>14.5</v>
      </c>
    </row>
    <row r="36" spans="1:12" ht="15" customHeight="1" x14ac:dyDescent="0.25">
      <c r="A36" s="7"/>
      <c r="B36" s="75">
        <f>'Renewables Report'!B73</f>
        <v>0</v>
      </c>
      <c r="C36" s="76">
        <f>'Renewables Report'!C73</f>
        <v>0</v>
      </c>
      <c r="D36" s="77">
        <f>'Renewables Report'!D73</f>
        <v>0</v>
      </c>
      <c r="E36" s="77">
        <f>MAX('Renewables Report'!$E73:$M73)</f>
        <v>0</v>
      </c>
      <c r="F36" s="122"/>
      <c r="G36" s="130" t="str">
        <f t="shared" ref="G36:G59" si="3">IF(E36&gt;0,F36/E36,"")</f>
        <v/>
      </c>
    </row>
    <row r="37" spans="1:12" ht="15" customHeight="1" x14ac:dyDescent="0.25">
      <c r="A37" s="7"/>
      <c r="B37" s="75">
        <f>'Renewables Report'!B74</f>
        <v>0</v>
      </c>
      <c r="C37" s="76">
        <f>'Renewables Report'!C74</f>
        <v>0</v>
      </c>
      <c r="D37" s="77">
        <f>'Renewables Report'!D74</f>
        <v>0</v>
      </c>
      <c r="E37" s="77">
        <f>MAX('Renewables Report'!$E74:$M74)</f>
        <v>0</v>
      </c>
      <c r="F37" s="122"/>
      <c r="G37" s="130" t="str">
        <f t="shared" si="3"/>
        <v/>
      </c>
    </row>
    <row r="38" spans="1:12" ht="15" customHeight="1" x14ac:dyDescent="0.25">
      <c r="A38" s="7"/>
      <c r="B38" s="75">
        <f>'Renewables Report'!B75</f>
        <v>0</v>
      </c>
      <c r="C38" s="76">
        <f>'Renewables Report'!C75</f>
        <v>0</v>
      </c>
      <c r="D38" s="77">
        <f>'Renewables Report'!D75</f>
        <v>0</v>
      </c>
      <c r="E38" s="77">
        <f>MAX('Renewables Report'!$E75:$M75)</f>
        <v>0</v>
      </c>
      <c r="F38" s="122"/>
      <c r="G38" s="130" t="str">
        <f t="shared" si="3"/>
        <v/>
      </c>
    </row>
    <row r="39" spans="1:12" ht="15" customHeight="1" x14ac:dyDescent="0.25">
      <c r="A39" s="7"/>
      <c r="B39" s="75">
        <f>'Renewables Report'!B76</f>
        <v>0</v>
      </c>
      <c r="C39" s="76">
        <f>'Renewables Report'!C76</f>
        <v>0</v>
      </c>
      <c r="D39" s="77">
        <f>'Renewables Report'!D76</f>
        <v>0</v>
      </c>
      <c r="E39" s="77">
        <f>MAX('Renewables Report'!$E76:$M76)</f>
        <v>0</v>
      </c>
      <c r="F39" s="122"/>
      <c r="G39" s="130" t="str">
        <f t="shared" si="3"/>
        <v/>
      </c>
    </row>
    <row r="40" spans="1:12" ht="15" customHeight="1" x14ac:dyDescent="0.25">
      <c r="A40" s="7"/>
      <c r="B40" s="75">
        <f>'Renewables Report'!B77</f>
        <v>0</v>
      </c>
      <c r="C40" s="76">
        <f>'Renewables Report'!C77</f>
        <v>0</v>
      </c>
      <c r="D40" s="77">
        <f>'Renewables Report'!D77</f>
        <v>0</v>
      </c>
      <c r="E40" s="77">
        <f>MAX('Renewables Report'!$E77:$M77)</f>
        <v>0</v>
      </c>
      <c r="F40" s="122"/>
      <c r="G40" s="130" t="str">
        <f t="shared" si="3"/>
        <v/>
      </c>
    </row>
    <row r="41" spans="1:12" ht="15" customHeight="1" x14ac:dyDescent="0.25">
      <c r="A41" s="7"/>
      <c r="B41" s="75">
        <f>'Renewables Report'!B78</f>
        <v>0</v>
      </c>
      <c r="C41" s="76">
        <f>'Renewables Report'!C78</f>
        <v>0</v>
      </c>
      <c r="D41" s="77">
        <f>'Renewables Report'!D78</f>
        <v>0</v>
      </c>
      <c r="E41" s="77">
        <f>MAX('Renewables Report'!$E78:$M78)</f>
        <v>0</v>
      </c>
      <c r="F41" s="122"/>
      <c r="G41" s="130" t="str">
        <f t="shared" si="3"/>
        <v/>
      </c>
    </row>
    <row r="42" spans="1:12" ht="15" customHeight="1" x14ac:dyDescent="0.25">
      <c r="B42" s="75">
        <f>'Renewables Report'!B79</f>
        <v>0</v>
      </c>
      <c r="C42" s="76">
        <f>'Renewables Report'!C79</f>
        <v>0</v>
      </c>
      <c r="D42" s="77">
        <f>'Renewables Report'!D79</f>
        <v>0</v>
      </c>
      <c r="E42" s="77">
        <f>MAX('Renewables Report'!$E79:$M79)</f>
        <v>0</v>
      </c>
      <c r="F42" s="122"/>
      <c r="G42" s="130" t="str">
        <f t="shared" si="3"/>
        <v/>
      </c>
    </row>
    <row r="43" spans="1:12" ht="15" customHeight="1" x14ac:dyDescent="0.25">
      <c r="B43" s="75">
        <f>'Renewables Report'!B80</f>
        <v>0</v>
      </c>
      <c r="C43" s="76">
        <f>'Renewables Report'!C80</f>
        <v>0</v>
      </c>
      <c r="D43" s="77">
        <f>'Renewables Report'!D80</f>
        <v>0</v>
      </c>
      <c r="E43" s="77">
        <f>MAX('Renewables Report'!$E80:$M80)</f>
        <v>0</v>
      </c>
      <c r="F43" s="122"/>
      <c r="G43" s="130" t="str">
        <f t="shared" si="3"/>
        <v/>
      </c>
    </row>
    <row r="44" spans="1:12" ht="15" customHeight="1" x14ac:dyDescent="0.25">
      <c r="B44" s="75">
        <f>'Renewables Report'!B81</f>
        <v>0</v>
      </c>
      <c r="C44" s="76">
        <f>'Renewables Report'!C81</f>
        <v>0</v>
      </c>
      <c r="D44" s="77">
        <f>'Renewables Report'!D81</f>
        <v>0</v>
      </c>
      <c r="E44" s="77">
        <f>MAX('Renewables Report'!$E81:$M81)</f>
        <v>0</v>
      </c>
      <c r="F44" s="122"/>
      <c r="G44" s="130" t="str">
        <f t="shared" si="3"/>
        <v/>
      </c>
    </row>
    <row r="45" spans="1:12" ht="15" customHeight="1" x14ac:dyDescent="0.25">
      <c r="B45" s="75">
        <f>'Renewables Report'!B82</f>
        <v>0</v>
      </c>
      <c r="C45" s="76">
        <f>'Renewables Report'!C82</f>
        <v>0</v>
      </c>
      <c r="D45" s="77">
        <f>'Renewables Report'!D82</f>
        <v>0</v>
      </c>
      <c r="E45" s="77">
        <f>MAX('Renewables Report'!$E82:$M82)</f>
        <v>0</v>
      </c>
      <c r="F45" s="122"/>
      <c r="G45" s="130" t="str">
        <f t="shared" si="3"/>
        <v/>
      </c>
    </row>
    <row r="46" spans="1:12" ht="15" customHeight="1" x14ac:dyDescent="0.25">
      <c r="B46" s="75">
        <f>'Renewables Report'!B83</f>
        <v>0</v>
      </c>
      <c r="C46" s="76">
        <f>'Renewables Report'!C83</f>
        <v>0</v>
      </c>
      <c r="D46" s="77">
        <f>'Renewables Report'!D83</f>
        <v>0</v>
      </c>
      <c r="E46" s="77">
        <f>MAX('Renewables Report'!$E83:$M83)</f>
        <v>0</v>
      </c>
      <c r="F46" s="122"/>
      <c r="G46" s="130" t="str">
        <f t="shared" si="3"/>
        <v/>
      </c>
    </row>
    <row r="47" spans="1:12" ht="15" customHeight="1" x14ac:dyDescent="0.25">
      <c r="B47" s="75">
        <f>'Renewables Report'!B84</f>
        <v>0</v>
      </c>
      <c r="C47" s="76">
        <f>'Renewables Report'!C84</f>
        <v>0</v>
      </c>
      <c r="D47" s="77">
        <f>'Renewables Report'!D84</f>
        <v>0</v>
      </c>
      <c r="E47" s="77">
        <f>MAX('Renewables Report'!$E84:$M84)</f>
        <v>0</v>
      </c>
      <c r="F47" s="122"/>
      <c r="G47" s="130" t="str">
        <f t="shared" si="3"/>
        <v/>
      </c>
    </row>
    <row r="48" spans="1:12" ht="15" customHeight="1" x14ac:dyDescent="0.25">
      <c r="B48" s="75">
        <f>'Renewables Report'!B85</f>
        <v>0</v>
      </c>
      <c r="C48" s="76">
        <f>'Renewables Report'!C85</f>
        <v>0</v>
      </c>
      <c r="D48" s="77">
        <f>'Renewables Report'!D85</f>
        <v>0</v>
      </c>
      <c r="E48" s="77">
        <f>MAX('Renewables Report'!$E85:$M85)</f>
        <v>0</v>
      </c>
      <c r="F48" s="122"/>
      <c r="G48" s="130" t="str">
        <f t="shared" si="3"/>
        <v/>
      </c>
    </row>
    <row r="49" spans="2:12" ht="15" customHeight="1" x14ac:dyDescent="0.25">
      <c r="B49" s="75">
        <f>'Renewables Report'!B86</f>
        <v>0</v>
      </c>
      <c r="C49" s="76">
        <f>'Renewables Report'!C86</f>
        <v>0</v>
      </c>
      <c r="D49" s="77">
        <f>'Renewables Report'!D86</f>
        <v>0</v>
      </c>
      <c r="E49" s="77">
        <f>MAX('Renewables Report'!$E86:$M86)</f>
        <v>0</v>
      </c>
      <c r="F49" s="122"/>
      <c r="G49" s="130" t="str">
        <f t="shared" si="3"/>
        <v/>
      </c>
    </row>
    <row r="50" spans="2:12" ht="15" customHeight="1" x14ac:dyDescent="0.25">
      <c r="B50" s="75">
        <f>'Renewables Report'!B87</f>
        <v>0</v>
      </c>
      <c r="C50" s="76">
        <f>'Renewables Report'!C87</f>
        <v>0</v>
      </c>
      <c r="D50" s="77">
        <f>'Renewables Report'!D87</f>
        <v>0</v>
      </c>
      <c r="E50" s="77">
        <f>MAX('Renewables Report'!$E87:$M87)</f>
        <v>0</v>
      </c>
      <c r="F50" s="122"/>
      <c r="G50" s="130" t="str">
        <f t="shared" si="3"/>
        <v/>
      </c>
    </row>
    <row r="51" spans="2:12" ht="15" customHeight="1" x14ac:dyDescent="0.25">
      <c r="B51" s="75">
        <f>'Renewables Report'!B88</f>
        <v>0</v>
      </c>
      <c r="C51" s="76">
        <f>'Renewables Report'!C88</f>
        <v>0</v>
      </c>
      <c r="D51" s="77">
        <f>'Renewables Report'!D88</f>
        <v>0</v>
      </c>
      <c r="E51" s="77">
        <f>MAX('Renewables Report'!$E88:$M88)</f>
        <v>0</v>
      </c>
      <c r="F51" s="122"/>
      <c r="G51" s="130" t="str">
        <f t="shared" si="3"/>
        <v/>
      </c>
    </row>
    <row r="52" spans="2:12" ht="15" customHeight="1" x14ac:dyDescent="0.25">
      <c r="B52" s="75">
        <f>'Renewables Report'!B89</f>
        <v>0</v>
      </c>
      <c r="C52" s="76">
        <f>'Renewables Report'!C89</f>
        <v>0</v>
      </c>
      <c r="D52" s="77">
        <f>'Renewables Report'!D89</f>
        <v>0</v>
      </c>
      <c r="E52" s="77">
        <f>MAX('Renewables Report'!$E89:$M89)</f>
        <v>0</v>
      </c>
      <c r="F52" s="122"/>
      <c r="G52" s="130" t="str">
        <f t="shared" si="3"/>
        <v/>
      </c>
    </row>
    <row r="53" spans="2:12" ht="15" customHeight="1" x14ac:dyDescent="0.25">
      <c r="B53" s="75">
        <f>'Renewables Report'!B90</f>
        <v>0</v>
      </c>
      <c r="C53" s="76">
        <f>'Renewables Report'!C90</f>
        <v>0</v>
      </c>
      <c r="D53" s="77">
        <f>'Renewables Report'!D90</f>
        <v>0</v>
      </c>
      <c r="E53" s="77">
        <f>MAX('Renewables Report'!$E90:$M90)</f>
        <v>0</v>
      </c>
      <c r="F53" s="122"/>
      <c r="G53" s="130" t="str">
        <f t="shared" si="3"/>
        <v/>
      </c>
    </row>
    <row r="54" spans="2:12" ht="15" customHeight="1" x14ac:dyDescent="0.25">
      <c r="B54" s="75">
        <f>'Renewables Report'!B91</f>
        <v>0</v>
      </c>
      <c r="C54" s="76">
        <f>'Renewables Report'!C91</f>
        <v>0</v>
      </c>
      <c r="D54" s="77">
        <f>'Renewables Report'!D91</f>
        <v>0</v>
      </c>
      <c r="E54" s="77">
        <f>MAX('Renewables Report'!$E91:$M91)</f>
        <v>0</v>
      </c>
      <c r="F54" s="122"/>
      <c r="G54" s="130" t="str">
        <f t="shared" si="3"/>
        <v/>
      </c>
    </row>
    <row r="55" spans="2:12" ht="15" customHeight="1" x14ac:dyDescent="0.25">
      <c r="B55" s="75">
        <f>'Renewables Report'!B92</f>
        <v>0</v>
      </c>
      <c r="C55" s="76">
        <f>'Renewables Report'!C92</f>
        <v>0</v>
      </c>
      <c r="D55" s="77">
        <f>'Renewables Report'!D92</f>
        <v>0</v>
      </c>
      <c r="E55" s="77">
        <f>MAX('Renewables Report'!$E92:$M92)</f>
        <v>0</v>
      </c>
      <c r="F55" s="122"/>
      <c r="G55" s="130" t="str">
        <f t="shared" si="3"/>
        <v/>
      </c>
    </row>
    <row r="56" spans="2:12" ht="15" customHeight="1" x14ac:dyDescent="0.25">
      <c r="B56" s="75">
        <f>'Renewables Report'!B93</f>
        <v>0</v>
      </c>
      <c r="C56" s="76">
        <f>'Renewables Report'!C93</f>
        <v>0</v>
      </c>
      <c r="D56" s="77">
        <f>'Renewables Report'!D93</f>
        <v>0</v>
      </c>
      <c r="E56" s="77">
        <f>MAX('Renewables Report'!$E93:$M93)</f>
        <v>0</v>
      </c>
      <c r="F56" s="122"/>
      <c r="G56" s="130" t="str">
        <f t="shared" si="3"/>
        <v/>
      </c>
    </row>
    <row r="57" spans="2:12" ht="15" customHeight="1" x14ac:dyDescent="0.25">
      <c r="B57" s="75">
        <f>'Renewables Report'!B94</f>
        <v>0</v>
      </c>
      <c r="C57" s="76">
        <f>'Renewables Report'!C94</f>
        <v>0</v>
      </c>
      <c r="D57" s="77">
        <f>'Renewables Report'!D94</f>
        <v>0</v>
      </c>
      <c r="E57" s="77">
        <f>MAX('Renewables Report'!$E94:$M94)</f>
        <v>0</v>
      </c>
      <c r="F57" s="122"/>
      <c r="G57" s="130" t="str">
        <f t="shared" si="3"/>
        <v/>
      </c>
    </row>
    <row r="58" spans="2:12" ht="15" customHeight="1" x14ac:dyDescent="0.25">
      <c r="B58" s="75">
        <f>'Renewables Report'!B95</f>
        <v>0</v>
      </c>
      <c r="C58" s="76">
        <f>'Renewables Report'!C95</f>
        <v>0</v>
      </c>
      <c r="D58" s="77">
        <f>'Renewables Report'!D95</f>
        <v>0</v>
      </c>
      <c r="E58" s="77">
        <f>MAX('Renewables Report'!$E95:$M95)</f>
        <v>0</v>
      </c>
      <c r="F58" s="122"/>
      <c r="G58" s="130" t="str">
        <f t="shared" si="3"/>
        <v/>
      </c>
    </row>
    <row r="59" spans="2:12" ht="15" customHeight="1" x14ac:dyDescent="0.25">
      <c r="B59" s="80">
        <f>'Renewables Report'!B96</f>
        <v>0</v>
      </c>
      <c r="C59" s="81">
        <f>'Renewables Report'!C96</f>
        <v>0</v>
      </c>
      <c r="D59" s="82">
        <f>'Renewables Report'!D96</f>
        <v>0</v>
      </c>
      <c r="E59" s="82">
        <f>MAX('Renewables Report'!$E96:$M96)</f>
        <v>0</v>
      </c>
      <c r="F59" s="124"/>
      <c r="G59" s="132" t="str">
        <f t="shared" si="3"/>
        <v/>
      </c>
    </row>
    <row r="60" spans="2:12" ht="15" customHeight="1" x14ac:dyDescent="0.25">
      <c r="B60" s="85" t="s">
        <v>4</v>
      </c>
      <c r="C60" s="90"/>
      <c r="D60" s="90"/>
      <c r="E60" s="129"/>
      <c r="F60" s="88">
        <f>SUM(F35:F59)</f>
        <v>725000</v>
      </c>
      <c r="G60" s="129"/>
    </row>
    <row r="61" spans="2:12" ht="15" customHeight="1" x14ac:dyDescent="0.25">
      <c r="B61" s="11"/>
      <c r="C61" s="11"/>
      <c r="D61" s="11"/>
      <c r="E61" s="10"/>
    </row>
    <row r="62" spans="2:12" ht="15" customHeight="1" x14ac:dyDescent="0.25">
      <c r="E62" s="10"/>
    </row>
    <row r="63" spans="2:12" ht="15" customHeight="1" x14ac:dyDescent="0.25">
      <c r="B63" s="11" t="s">
        <v>140</v>
      </c>
      <c r="C63" s="11"/>
      <c r="D63" s="11"/>
      <c r="E63" s="10"/>
      <c r="F63" s="68"/>
    </row>
    <row r="64" spans="2:12" ht="15" customHeight="1" x14ac:dyDescent="0.25">
      <c r="B64" s="67"/>
      <c r="C64" s="67"/>
      <c r="D64" s="67"/>
      <c r="E64" s="67"/>
      <c r="F64" s="67"/>
      <c r="G64" s="67"/>
      <c r="H64" s="67"/>
      <c r="I64" s="67"/>
      <c r="J64" s="67"/>
      <c r="K64" s="67"/>
      <c r="L64" s="67"/>
    </row>
    <row r="65" spans="2:12" ht="15" customHeight="1" x14ac:dyDescent="0.25">
      <c r="B65" s="67"/>
      <c r="C65" s="67"/>
      <c r="D65" s="67"/>
      <c r="E65" s="67"/>
      <c r="F65" s="67"/>
      <c r="G65" s="67"/>
      <c r="H65" s="67"/>
      <c r="I65" s="67"/>
      <c r="J65" s="67"/>
      <c r="K65" s="67"/>
      <c r="L65" s="67"/>
    </row>
    <row r="66" spans="2:12" s="7" customFormat="1" ht="15" customHeight="1" x14ac:dyDescent="0.25">
      <c r="B66" s="67"/>
      <c r="C66" s="67"/>
      <c r="D66" s="67"/>
      <c r="E66" s="67"/>
      <c r="F66" s="67"/>
      <c r="G66" s="67"/>
      <c r="H66" s="67"/>
      <c r="I66" s="67"/>
      <c r="J66" s="67"/>
      <c r="K66" s="67"/>
      <c r="L66" s="67"/>
    </row>
    <row r="67" spans="2:12" s="7" customFormat="1" ht="15" customHeight="1" x14ac:dyDescent="0.25">
      <c r="B67" s="67"/>
      <c r="C67" s="67"/>
      <c r="D67" s="67"/>
      <c r="E67" s="67"/>
      <c r="F67" s="67"/>
      <c r="G67" s="67"/>
      <c r="H67" s="67"/>
      <c r="I67" s="67"/>
      <c r="J67" s="67"/>
      <c r="K67" s="67"/>
      <c r="L67" s="67"/>
    </row>
    <row r="68" spans="2:12" s="7" customFormat="1" x14ac:dyDescent="0.25">
      <c r="B68" s="67"/>
      <c r="C68" s="67"/>
      <c r="D68" s="67"/>
      <c r="E68" s="67"/>
      <c r="F68" s="67"/>
      <c r="G68" s="67"/>
      <c r="H68" s="67"/>
      <c r="I68" s="67"/>
      <c r="J68" s="67"/>
      <c r="K68" s="67"/>
      <c r="L68" s="67"/>
    </row>
    <row r="69" spans="2:12" s="7" customFormat="1" x14ac:dyDescent="0.25">
      <c r="B69" s="67"/>
      <c r="C69" s="67"/>
      <c r="D69" s="67"/>
      <c r="E69" s="67"/>
      <c r="F69" s="67"/>
      <c r="G69" s="67"/>
      <c r="H69" s="67"/>
      <c r="I69" s="67"/>
      <c r="J69" s="67"/>
      <c r="K69" s="67"/>
      <c r="L69" s="67"/>
    </row>
    <row r="70" spans="2:12" s="7" customFormat="1" x14ac:dyDescent="0.25">
      <c r="B70" s="67"/>
      <c r="C70" s="67"/>
      <c r="D70" s="67"/>
      <c r="E70" s="67"/>
      <c r="F70" s="67"/>
      <c r="G70" s="67"/>
      <c r="H70" s="67"/>
      <c r="I70" s="67"/>
      <c r="J70" s="67"/>
      <c r="K70" s="67"/>
      <c r="L70" s="67"/>
    </row>
    <row r="71" spans="2:12" x14ac:dyDescent="0.25">
      <c r="B71" s="67"/>
      <c r="C71" s="67"/>
      <c r="D71" s="67"/>
      <c r="E71" s="67"/>
      <c r="F71" s="67"/>
      <c r="G71" s="67"/>
      <c r="H71" s="67"/>
      <c r="I71" s="67"/>
      <c r="J71" s="67"/>
      <c r="K71" s="67"/>
      <c r="L71" s="67"/>
    </row>
    <row r="72" spans="2:12" x14ac:dyDescent="0.25">
      <c r="B72" s="67"/>
      <c r="C72" s="67"/>
      <c r="D72" s="67"/>
      <c r="E72" s="67"/>
      <c r="F72" s="67"/>
      <c r="G72" s="67"/>
      <c r="H72" s="67"/>
      <c r="I72" s="67"/>
      <c r="J72" s="67"/>
      <c r="K72" s="67"/>
      <c r="L72" s="67"/>
    </row>
    <row r="73" spans="2:12" x14ac:dyDescent="0.25">
      <c r="B73" s="67"/>
      <c r="C73" s="67"/>
      <c r="D73" s="67"/>
      <c r="E73" s="67"/>
      <c r="F73" s="67"/>
      <c r="G73" s="67"/>
      <c r="H73" s="67"/>
      <c r="I73" s="67"/>
      <c r="J73" s="67"/>
      <c r="K73" s="67"/>
      <c r="L73" s="67"/>
    </row>
    <row r="74" spans="2:12" x14ac:dyDescent="0.25">
      <c r="B74" s="67"/>
      <c r="C74" s="67"/>
      <c r="D74" s="67"/>
      <c r="E74" s="67"/>
      <c r="F74" s="67"/>
      <c r="G74" s="67"/>
      <c r="H74" s="67"/>
      <c r="I74" s="67"/>
      <c r="J74" s="67"/>
      <c r="K74" s="67"/>
      <c r="L74" s="67"/>
    </row>
    <row r="75" spans="2:12" x14ac:dyDescent="0.25">
      <c r="B75" s="67"/>
      <c r="C75" s="67"/>
      <c r="D75" s="67"/>
      <c r="E75" s="67"/>
      <c r="F75" s="67"/>
      <c r="G75" s="67"/>
      <c r="H75" s="67"/>
      <c r="I75" s="67"/>
      <c r="J75" s="67"/>
      <c r="K75" s="67"/>
      <c r="L75" s="67"/>
    </row>
    <row r="76" spans="2:12" x14ac:dyDescent="0.25">
      <c r="B76" s="67"/>
      <c r="C76" s="67"/>
      <c r="D76" s="67"/>
      <c r="E76" s="67"/>
      <c r="F76" s="67"/>
      <c r="G76" s="67"/>
      <c r="H76" s="67"/>
      <c r="I76" s="67"/>
      <c r="J76" s="67"/>
      <c r="K76" s="67"/>
      <c r="L76" s="67"/>
    </row>
    <row r="77" spans="2:12" x14ac:dyDescent="0.25">
      <c r="B77" s="67"/>
      <c r="C77" s="67"/>
      <c r="D77" s="67"/>
      <c r="E77" s="67"/>
      <c r="F77" s="67"/>
      <c r="G77" s="67"/>
      <c r="H77" s="67"/>
      <c r="I77" s="67"/>
      <c r="J77" s="67"/>
      <c r="K77" s="67"/>
      <c r="L77" s="67"/>
    </row>
  </sheetData>
  <mergeCells count="26">
    <mergeCell ref="G20:I20"/>
    <mergeCell ref="F30:H30"/>
    <mergeCell ref="F31:H31"/>
    <mergeCell ref="F3:H3"/>
    <mergeCell ref="F4:H4"/>
    <mergeCell ref="G21:I21"/>
    <mergeCell ref="G22:I22"/>
    <mergeCell ref="G23:I23"/>
    <mergeCell ref="G24:I24"/>
    <mergeCell ref="G25:I25"/>
    <mergeCell ref="G26:I26"/>
    <mergeCell ref="G27:I27"/>
    <mergeCell ref="G6:I6"/>
    <mergeCell ref="G7:I7"/>
    <mergeCell ref="G8:I8"/>
    <mergeCell ref="G9:I9"/>
    <mergeCell ref="G10:I10"/>
    <mergeCell ref="G11:I11"/>
    <mergeCell ref="G12:I12"/>
    <mergeCell ref="G13:I13"/>
    <mergeCell ref="G14:I14"/>
    <mergeCell ref="G15:I15"/>
    <mergeCell ref="G16:I16"/>
    <mergeCell ref="G17:I17"/>
    <mergeCell ref="G18:I18"/>
    <mergeCell ref="G19:I19"/>
  </mergeCells>
  <pageMargins left="0.7" right="0.7" top="0.75" bottom="0.75" header="0.3" footer="0.3"/>
  <pageSetup scale="79" fitToHeight="0" orientation="landscape" r:id="rId1"/>
  <rowBreaks count="1" manualBreakCount="1">
    <brk id="28" min="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
  <sheetViews>
    <sheetView workbookViewId="0">
      <selection activeCell="A2" sqref="A2"/>
    </sheetView>
  </sheetViews>
  <sheetFormatPr defaultRowHeight="14.4" x14ac:dyDescent="0.3"/>
  <cols>
    <col min="1" max="1" width="36.109375" bestFit="1" customWidth="1"/>
  </cols>
  <sheetData>
    <row r="1" spans="1:83" x14ac:dyDescent="0.3">
      <c r="B1" t="s">
        <v>103</v>
      </c>
      <c r="C1" t="s">
        <v>104</v>
      </c>
      <c r="D1" t="s">
        <v>105</v>
      </c>
      <c r="E1" t="s">
        <v>106</v>
      </c>
      <c r="F1" t="s">
        <v>107</v>
      </c>
      <c r="G1" t="s">
        <v>108</v>
      </c>
      <c r="H1" t="s">
        <v>109</v>
      </c>
      <c r="I1" t="s">
        <v>110</v>
      </c>
      <c r="J1" t="s">
        <v>111</v>
      </c>
      <c r="K1" t="s">
        <v>112</v>
      </c>
      <c r="L1" t="s">
        <v>146</v>
      </c>
      <c r="M1" t="s">
        <v>147</v>
      </c>
      <c r="N1" t="s">
        <v>113</v>
      </c>
      <c r="O1" t="s">
        <v>114</v>
      </c>
      <c r="P1" t="s">
        <v>115</v>
      </c>
      <c r="Q1" t="s">
        <v>116</v>
      </c>
      <c r="R1" t="s">
        <v>117</v>
      </c>
      <c r="S1" t="s">
        <v>118</v>
      </c>
      <c r="T1" t="s">
        <v>119</v>
      </c>
      <c r="U1" t="s">
        <v>120</v>
      </c>
      <c r="V1" t="s">
        <v>121</v>
      </c>
      <c r="W1" t="s">
        <v>122</v>
      </c>
      <c r="X1" t="s">
        <v>51</v>
      </c>
      <c r="Y1" t="s">
        <v>52</v>
      </c>
      <c r="Z1" t="s">
        <v>53</v>
      </c>
      <c r="AA1" t="s">
        <v>60</v>
      </c>
      <c r="AB1" t="s">
        <v>54</v>
      </c>
      <c r="AC1" t="s">
        <v>61</v>
      </c>
      <c r="AD1" t="s">
        <v>55</v>
      </c>
      <c r="AE1" t="s">
        <v>56</v>
      </c>
      <c r="AF1" t="s">
        <v>57</v>
      </c>
      <c r="AG1" t="s">
        <v>62</v>
      </c>
      <c r="AH1" t="s">
        <v>63</v>
      </c>
      <c r="AI1" t="s">
        <v>64</v>
      </c>
      <c r="AJ1" t="s">
        <v>65</v>
      </c>
      <c r="AK1" t="s">
        <v>66</v>
      </c>
      <c r="AL1" t="s">
        <v>67</v>
      </c>
      <c r="AM1" t="s">
        <v>68</v>
      </c>
      <c r="AN1" t="s">
        <v>69</v>
      </c>
      <c r="AO1" t="s">
        <v>70</v>
      </c>
      <c r="AP1" t="s">
        <v>71</v>
      </c>
      <c r="AQ1" t="s">
        <v>148</v>
      </c>
      <c r="AR1" t="s">
        <v>149</v>
      </c>
      <c r="AS1" t="s">
        <v>73</v>
      </c>
      <c r="AT1" t="s">
        <v>150</v>
      </c>
      <c r="AU1" t="s">
        <v>74</v>
      </c>
      <c r="AV1" t="s">
        <v>75</v>
      </c>
      <c r="AW1" t="s">
        <v>76</v>
      </c>
      <c r="AX1" t="s">
        <v>77</v>
      </c>
      <c r="AY1" t="s">
        <v>78</v>
      </c>
      <c r="AZ1" t="s">
        <v>79</v>
      </c>
      <c r="BA1" t="s">
        <v>80</v>
      </c>
      <c r="BB1" t="s">
        <v>81</v>
      </c>
      <c r="BC1" t="s">
        <v>82</v>
      </c>
      <c r="BD1" t="s">
        <v>83</v>
      </c>
      <c r="BE1" t="s">
        <v>152</v>
      </c>
      <c r="BF1" t="s">
        <v>58</v>
      </c>
      <c r="BG1" t="s">
        <v>151</v>
      </c>
      <c r="BH1" t="s">
        <v>59</v>
      </c>
      <c r="BI1" t="s">
        <v>66</v>
      </c>
      <c r="BJ1" t="s">
        <v>67</v>
      </c>
      <c r="BK1" t="s">
        <v>68</v>
      </c>
      <c r="BL1" t="s">
        <v>69</v>
      </c>
      <c r="BM1" t="s">
        <v>70</v>
      </c>
      <c r="BN1" t="s">
        <v>71</v>
      </c>
      <c r="BO1" t="s">
        <v>86</v>
      </c>
      <c r="BP1" t="s">
        <v>87</v>
      </c>
      <c r="BQ1" t="s">
        <v>72</v>
      </c>
      <c r="BR1" t="s">
        <v>73</v>
      </c>
      <c r="BS1" t="s">
        <v>74</v>
      </c>
      <c r="BT1" t="s">
        <v>75</v>
      </c>
      <c r="BU1" t="s">
        <v>76</v>
      </c>
      <c r="BV1" t="s">
        <v>77</v>
      </c>
      <c r="BW1" t="s">
        <v>78</v>
      </c>
      <c r="BX1" t="s">
        <v>79</v>
      </c>
      <c r="BY1" t="s">
        <v>80</v>
      </c>
      <c r="BZ1" t="s">
        <v>81</v>
      </c>
      <c r="CA1" t="s">
        <v>82</v>
      </c>
      <c r="CB1" t="s">
        <v>83</v>
      </c>
      <c r="CC1" t="s">
        <v>58</v>
      </c>
      <c r="CD1" t="s">
        <v>89</v>
      </c>
      <c r="CE1" t="s">
        <v>59</v>
      </c>
    </row>
    <row r="2" spans="1:83" x14ac:dyDescent="0.3">
      <c r="A2" t="str">
        <f>REN_Utility_Name</f>
        <v>Avista</v>
      </c>
      <c r="B2" t="e">
        <f>CON_2014_Agriculture_Expend</f>
        <v>#REF!</v>
      </c>
      <c r="C2" t="e">
        <f>CON_2014_Agriculture_MWH</f>
        <v>#REF!</v>
      </c>
      <c r="D2" t="e">
        <f>CON_2014_Commercial_Expend</f>
        <v>#REF!</v>
      </c>
      <c r="E2" t="e">
        <f>CON_2014_Commercial_MWH</f>
        <v>#REF!</v>
      </c>
      <c r="F2" t="e">
        <f>CON_2014_Distribution_Expend</f>
        <v>#REF!</v>
      </c>
      <c r="G2" t="e">
        <f>CON_2014_Distribution_MWH</f>
        <v>#REF!</v>
      </c>
      <c r="H2" t="e">
        <f>CON_2014_Expenditures</f>
        <v>#REF!</v>
      </c>
      <c r="I2" t="e">
        <f>CON_2014_Industrial_Expend</f>
        <v>#REF!</v>
      </c>
      <c r="J2" t="e">
        <f>CON_2014_Industrial_MWH</f>
        <v>#REF!</v>
      </c>
      <c r="K2" t="e">
        <f>CON_2014_MWH</f>
        <v>#REF!</v>
      </c>
      <c r="L2" t="e">
        <f>CON_2014_NEEA_Expend</f>
        <v>#REF!</v>
      </c>
      <c r="M2" t="e">
        <f>CON_2014_NEEA_MWH</f>
        <v>#REF!</v>
      </c>
      <c r="N2" t="e">
        <f>CON_2014_OtherSector1_Expend</f>
        <v>#REF!</v>
      </c>
      <c r="O2" t="e">
        <f>CON_2014_OtherSector1_MWH</f>
        <v>#REF!</v>
      </c>
      <c r="P2" t="e">
        <f>CON_2014_OtherSector2_Expend</f>
        <v>#REF!</v>
      </c>
      <c r="Q2" t="e">
        <f>CON_2014_OtherSector2_MWH</f>
        <v>#REF!</v>
      </c>
      <c r="R2" t="e">
        <f>CON_2014_Production_Expend</f>
        <v>#REF!</v>
      </c>
      <c r="S2" t="e">
        <f>CON_2014_Production_MWH</f>
        <v>#REF!</v>
      </c>
      <c r="T2" t="e">
        <f>CON_2014_Program1_Expend</f>
        <v>#REF!</v>
      </c>
      <c r="U2" t="e">
        <f>CON_2014_Program2_Expend</f>
        <v>#REF!</v>
      </c>
      <c r="V2" t="e">
        <f>CON_2014_Residential_Expend</f>
        <v>#REF!</v>
      </c>
      <c r="W2" t="e">
        <f>CON_2014_Residential_MWH</f>
        <v>#REF!</v>
      </c>
      <c r="X2" t="e">
        <f>CON_Contact_Name</f>
        <v>#REF!</v>
      </c>
      <c r="Y2" t="e">
        <f>CON_Email</f>
        <v>#REF!</v>
      </c>
      <c r="Z2" t="e">
        <f>CON_Phone</f>
        <v>#REF!</v>
      </c>
      <c r="AA2" t="e">
        <f>CON_Potential_2014_2023</f>
        <v>#REF!</v>
      </c>
      <c r="AB2" t="e">
        <f>CON_Report_Date</f>
        <v>#REF!</v>
      </c>
      <c r="AC2" t="e">
        <f>CON_Target_2014_2015</f>
        <v>#REF!</v>
      </c>
      <c r="AD2" t="e">
        <f>CON_Utility_Name</f>
        <v>#REF!</v>
      </c>
      <c r="AE2" t="str">
        <f>REN_Contact_Name</f>
        <v>John Lyons, Energy Resources</v>
      </c>
      <c r="AF2" t="str">
        <f>REN_Email</f>
        <v>john.lyons@avistacorp.com</v>
      </c>
      <c r="AG2">
        <f>REN_ERR_ApprenticeLabor</f>
        <v>67058.2</v>
      </c>
      <c r="AH2">
        <f>REN_ERR_Biodiesel</f>
        <v>0</v>
      </c>
      <c r="AI2">
        <f>REN_ERR_Biomass</f>
        <v>0</v>
      </c>
      <c r="AJ2">
        <f>REN_ERR_Geothermal</f>
        <v>0</v>
      </c>
      <c r="AK2">
        <f>REN_ERR_LandfillGas</f>
        <v>0</v>
      </c>
      <c r="AL2">
        <f>REN_ERR_SewageGas</f>
        <v>0</v>
      </c>
      <c r="AM2">
        <f>REN_ERR_Solar</f>
        <v>0</v>
      </c>
      <c r="AN2">
        <f>REN_ERR_Water</f>
        <v>170089</v>
      </c>
      <c r="AO2">
        <f>REN_ERR_Wind</f>
        <v>335291</v>
      </c>
      <c r="AP2">
        <f>REN_ERR_WOT</f>
        <v>0</v>
      </c>
      <c r="AQ2">
        <f>REN_Expenditure_Amount_2015</f>
        <v>7585414.5599999987</v>
      </c>
      <c r="AR2">
        <f>REN_Expenditure_Percent_2015</f>
        <v>1.5591408967214318E-2</v>
      </c>
      <c r="AS2">
        <f>REN_Load_2013</f>
        <v>5678868</v>
      </c>
      <c r="AT2">
        <f>REN_Load_2014</f>
        <v>5685958</v>
      </c>
      <c r="AU2">
        <f>REN_REC_ApprenticeLabor</f>
        <v>0</v>
      </c>
      <c r="AV2">
        <f>REN_REC_Biodiesel</f>
        <v>0</v>
      </c>
      <c r="AW2">
        <f>REN_REC_Biomass</f>
        <v>0</v>
      </c>
      <c r="AX2">
        <f>REN_REC_DistributedGeneration</f>
        <v>0</v>
      </c>
      <c r="AY2">
        <f>REN_REC_Geothermal</f>
        <v>0</v>
      </c>
      <c r="AZ2">
        <f>REN_REC_LandfillGas</f>
        <v>0</v>
      </c>
      <c r="BA2">
        <f>REN_REC_SewageGas</f>
        <v>0</v>
      </c>
      <c r="BB2">
        <f>REN_REC_Solar</f>
        <v>0</v>
      </c>
      <c r="BC2">
        <f>REN_REC_Wind</f>
        <v>50000</v>
      </c>
      <c r="BD2">
        <f>REN_REC_WOT</f>
        <v>0</v>
      </c>
      <c r="BE2">
        <f>REN_RetailRevenueRequirement_2015</f>
        <v>486512449</v>
      </c>
      <c r="BF2">
        <f>REN_Submittal_Date</f>
        <v>42156</v>
      </c>
      <c r="BG2">
        <f>REN_Total_2015</f>
        <v>622438.19999999995</v>
      </c>
      <c r="BH2" t="str">
        <f>REN_Utility_Name</f>
        <v>Avista</v>
      </c>
      <c r="BI2">
        <f>REN_ERR_LandfillGas</f>
        <v>0</v>
      </c>
      <c r="BJ2">
        <f>REN_ERR_SewageGas</f>
        <v>0</v>
      </c>
      <c r="BK2">
        <f>REN_ERR_Solar</f>
        <v>0</v>
      </c>
      <c r="BL2">
        <f>REN_ERR_Water</f>
        <v>170089</v>
      </c>
      <c r="BM2">
        <f>REN_ERR_Wind</f>
        <v>335291</v>
      </c>
      <c r="BN2">
        <f>REN_ERR_WOT</f>
        <v>0</v>
      </c>
      <c r="BO2">
        <f>REN_Expenditure_Amount_2015</f>
        <v>7585414.5599999987</v>
      </c>
      <c r="BP2">
        <f>REN_Expenditure_Percent_2015</f>
        <v>1.5591408967214318E-2</v>
      </c>
      <c r="BQ2">
        <f>REN_Load_2013</f>
        <v>5678868</v>
      </c>
      <c r="BR2">
        <f>REN_Load_2014</f>
        <v>5685958</v>
      </c>
      <c r="BS2">
        <f>REN_REC_ApprenticeLabor</f>
        <v>0</v>
      </c>
      <c r="BT2">
        <f>REN_REC_Biodiesel</f>
        <v>0</v>
      </c>
      <c r="BU2">
        <f>REN_REC_Biomass</f>
        <v>0</v>
      </c>
      <c r="BV2">
        <f>REN_REC_DistributedGeneration</f>
        <v>0</v>
      </c>
      <c r="BW2">
        <f>REN_REC_Geothermal</f>
        <v>0</v>
      </c>
      <c r="BX2">
        <f>REN_REC_LandfillGas</f>
        <v>0</v>
      </c>
      <c r="BY2">
        <f>REN_REC_SewageGas</f>
        <v>0</v>
      </c>
      <c r="BZ2">
        <f>REN_REC_Solar</f>
        <v>0</v>
      </c>
      <c r="CA2">
        <f>REN_REC_Wind</f>
        <v>50000</v>
      </c>
      <c r="CB2">
        <f>REN_REC_WOT</f>
        <v>0</v>
      </c>
      <c r="CC2">
        <f>REN_Submittal_Date</f>
        <v>42156</v>
      </c>
      <c r="CD2">
        <f>REN_Total_2015</f>
        <v>622438.19999999995</v>
      </c>
      <c r="CE2" t="str">
        <f>REN_Utility_Name</f>
        <v>Avista</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4481409183124468F82471CEBACCD6E" ma:contentTypeVersion="111" ma:contentTypeDescription="" ma:contentTypeScope="" ma:versionID="a072b4a87f0a43118822ca86bd5619a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Replacement Page</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2015-05-29T07:00:00+00:00</OpenedDate>
    <Date1 xmlns="dc463f71-b30c-4ab2-9473-d307f9d35888">2015-06-02T07:00:00+00:00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151145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275319F-6837-4167-ABFE-D0CC00859DC9}"/>
</file>

<file path=customXml/itemProps2.xml><?xml version="1.0" encoding="utf-8"?>
<ds:datastoreItem xmlns:ds="http://schemas.openxmlformats.org/officeDocument/2006/customXml" ds:itemID="{2F4EF345-C7A3-4312-A2DA-7A75ECC155C4}"/>
</file>

<file path=customXml/itemProps3.xml><?xml version="1.0" encoding="utf-8"?>
<ds:datastoreItem xmlns:ds="http://schemas.openxmlformats.org/officeDocument/2006/customXml" ds:itemID="{B5134EF7-F04D-4218-953F-7A835D8EE7C1}"/>
</file>

<file path=customXml/itemProps4.xml><?xml version="1.0" encoding="utf-8"?>
<ds:datastoreItem xmlns:ds="http://schemas.openxmlformats.org/officeDocument/2006/customXml" ds:itemID="{32A4E22A-3811-4511-8040-B678E509C7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32</vt:i4>
      </vt:variant>
    </vt:vector>
  </HeadingPairs>
  <TitlesOfParts>
    <vt:vector size="37" baseType="lpstr">
      <vt:lpstr>Instructions - 2015</vt:lpstr>
      <vt:lpstr>Instructions - Revise 2013</vt:lpstr>
      <vt:lpstr>Renewables Report</vt:lpstr>
      <vt:lpstr>Renewable Cost Report</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REN_ERR_SewageGas</vt:lpstr>
      <vt:lpstr>REN_ERR_Solar</vt:lpstr>
      <vt:lpstr>REN_ERR_Water</vt:lpstr>
      <vt:lpstr>REN_ERR_Wind</vt:lpstr>
      <vt:lpstr>REN_ERR_WOT</vt:lpstr>
      <vt:lpstr>REN_Expenditure_Amount_2015</vt:lpstr>
      <vt:lpstr>REN_Expenditure_Percent_2015</vt:lpstr>
      <vt:lpstr>REN_Load_2013</vt:lpstr>
      <vt:lpstr>REN_Load_2014</vt:lpstr>
      <vt:lpstr>REN_REC_ApprenticeLabor</vt:lpstr>
      <vt:lpstr>REN_REC_Biodiesel</vt:lpstr>
      <vt:lpstr>REN_REC_Biomass</vt:lpstr>
      <vt:lpstr>REN_REC_DistributedGeneration</vt:lpstr>
      <vt:lpstr>REN_REC_Geothermal</vt:lpstr>
      <vt:lpstr>REN_REC_LandfillGas</vt:lpstr>
      <vt:lpstr>REN_REC_SewageGas</vt:lpstr>
      <vt:lpstr>REN_REC_Solar</vt:lpstr>
      <vt:lpstr>REN_REC_Wind</vt:lpstr>
      <vt:lpstr>REN_REC_WOT</vt:lpstr>
      <vt:lpstr>REN_RetailRevenueRequirement_2015</vt:lpstr>
      <vt:lpstr>REN_Submittal_Date</vt:lpstr>
      <vt:lpstr>REN_Total_2015</vt:lpstr>
      <vt:lpstr>REN_Utility_Name</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2015 Report Workbook for Utilities</dc:title>
  <dc:creator>Glenn Blackmon</dc:creator>
  <cp:keywords>EIA 2014 Report Workbook for Utilities</cp:keywords>
  <cp:lastModifiedBy>Denise Crawford</cp:lastModifiedBy>
  <cp:lastPrinted>2015-05-04T22:21:00Z</cp:lastPrinted>
  <dcterms:created xsi:type="dcterms:W3CDTF">2012-03-20T21:01:26Z</dcterms:created>
  <dcterms:modified xsi:type="dcterms:W3CDTF">2015-06-03T19:32:25Z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0x0101006E56B4D1795A2E4DB2F0B01679ED314A00B4481409183124468F82471CEBACCD6E</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ies>
</file>