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0515" tabRatio="882"/>
  </bookViews>
  <sheets>
    <sheet name="Top" sheetId="25" r:id="rId1"/>
    <sheet name="Summary" sheetId="28" r:id="rId2"/>
    <sheet name="Existing Storm Amortizations" sheetId="29" r:id="rId3"/>
    <sheet name="Storm O&amp;M CY 2010-2018" sheetId="14" r:id="rId4"/>
    <sheet name="TY2018 Amort" sheetId="23" r:id="rId5"/>
  </sheets>
  <calcPr calcId="145621"/>
</workbook>
</file>

<file path=xl/calcChain.xml><?xml version="1.0" encoding="utf-8"?>
<calcChain xmlns="http://schemas.openxmlformats.org/spreadsheetml/2006/main">
  <c r="C48" i="28" l="1"/>
  <c r="E50" i="28" s="1"/>
  <c r="K13" i="29"/>
  <c r="J13" i="29"/>
  <c r="D13" i="29"/>
  <c r="E13" i="29" s="1"/>
  <c r="C14" i="29" s="1"/>
  <c r="E14" i="29" s="1"/>
  <c r="C15" i="29" s="1"/>
  <c r="E15" i="29" s="1"/>
  <c r="C16" i="29" s="1"/>
  <c r="E16" i="29" s="1"/>
  <c r="C17" i="29" s="1"/>
  <c r="E17" i="29" s="1"/>
  <c r="C18" i="29" s="1"/>
  <c r="E18" i="29" s="1"/>
  <c r="C19" i="29" s="1"/>
  <c r="E19" i="29" s="1"/>
  <c r="C20" i="29" s="1"/>
  <c r="E20" i="29" s="1"/>
  <c r="C21" i="29" s="1"/>
  <c r="E21" i="29" s="1"/>
  <c r="C22" i="29" s="1"/>
  <c r="E22" i="29" s="1"/>
  <c r="C23" i="29" s="1"/>
  <c r="E23" i="29" s="1"/>
  <c r="C24" i="29" s="1"/>
  <c r="E24" i="29" s="1"/>
  <c r="C25" i="29" s="1"/>
  <c r="E25" i="29" s="1"/>
  <c r="C26" i="29" s="1"/>
  <c r="E26" i="29" s="1"/>
  <c r="C27" i="29" s="1"/>
  <c r="E27" i="29" s="1"/>
  <c r="C28" i="29" s="1"/>
  <c r="E28" i="29" s="1"/>
  <c r="C29" i="29" s="1"/>
  <c r="E29" i="29" s="1"/>
  <c r="C30" i="29" s="1"/>
  <c r="E30" i="29" s="1"/>
  <c r="C31" i="29" s="1"/>
  <c r="E31" i="29" s="1"/>
  <c r="C32" i="29" s="1"/>
  <c r="E32" i="29" s="1"/>
  <c r="C33" i="29" s="1"/>
  <c r="E33" i="29" s="1"/>
  <c r="C34" i="29" s="1"/>
  <c r="E34" i="29" s="1"/>
  <c r="C35" i="29" s="1"/>
  <c r="E35" i="29" s="1"/>
  <c r="C36" i="29" s="1"/>
  <c r="E36" i="29" s="1"/>
  <c r="C37" i="29" s="1"/>
  <c r="E37" i="29" s="1"/>
  <c r="C38" i="29" s="1"/>
  <c r="E38" i="29" s="1"/>
  <c r="C39" i="29" s="1"/>
  <c r="E39" i="29" s="1"/>
  <c r="C40" i="29" s="1"/>
  <c r="E40" i="29" s="1"/>
  <c r="C41" i="29" s="1"/>
  <c r="E41" i="29" s="1"/>
  <c r="C42" i="29" s="1"/>
  <c r="E42" i="29" s="1"/>
  <c r="C43" i="29" s="1"/>
  <c r="E43" i="29" s="1"/>
  <c r="C44" i="29" s="1"/>
  <c r="E44" i="29" s="1"/>
  <c r="C45" i="29" s="1"/>
  <c r="E45" i="29" s="1"/>
  <c r="C46" i="29" s="1"/>
  <c r="E46" i="29" s="1"/>
  <c r="C47" i="29" s="1"/>
  <c r="E47" i="29" s="1"/>
  <c r="C48" i="29" s="1"/>
  <c r="E48" i="29" s="1"/>
  <c r="C49" i="29" s="1"/>
  <c r="E49" i="29" s="1"/>
  <c r="C50" i="29" s="1"/>
  <c r="E50" i="29" s="1"/>
  <c r="C51" i="29" s="1"/>
  <c r="E51" i="29" s="1"/>
  <c r="C52" i="29" s="1"/>
  <c r="E52" i="29" s="1"/>
  <c r="C53" i="29" s="1"/>
  <c r="E53" i="29" s="1"/>
  <c r="C54" i="29" s="1"/>
  <c r="E54" i="29" s="1"/>
  <c r="C55" i="29" s="1"/>
  <c r="E55" i="29" s="1"/>
  <c r="C56" i="29" s="1"/>
  <c r="E56" i="29" s="1"/>
  <c r="C57" i="29" s="1"/>
  <c r="E57" i="29" s="1"/>
  <c r="C58" i="29" s="1"/>
  <c r="E58" i="29" s="1"/>
  <c r="C59" i="29" s="1"/>
  <c r="E59" i="29" s="1"/>
  <c r="C60" i="29" s="1"/>
  <c r="E60" i="29" s="1"/>
  <c r="C61" i="29" s="1"/>
  <c r="E42" i="28"/>
  <c r="D42" i="28"/>
  <c r="E41" i="28"/>
  <c r="D41" i="28"/>
  <c r="A16" i="28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L13" i="29" l="1"/>
  <c r="J14" i="29" s="1"/>
  <c r="L14" i="29" s="1"/>
  <c r="J15" i="29" s="1"/>
  <c r="L15" i="29" s="1"/>
  <c r="J16" i="29" s="1"/>
  <c r="L16" i="29" s="1"/>
  <c r="J17" i="29" s="1"/>
  <c r="L17" i="29" s="1"/>
  <c r="J18" i="29" s="1"/>
  <c r="L18" i="29" s="1"/>
  <c r="J19" i="29" s="1"/>
  <c r="L19" i="29" s="1"/>
  <c r="J20" i="29" s="1"/>
  <c r="L20" i="29" s="1"/>
  <c r="J21" i="29" s="1"/>
  <c r="L21" i="29" s="1"/>
  <c r="J22" i="29" s="1"/>
  <c r="L22" i="29" s="1"/>
  <c r="J23" i="29" s="1"/>
  <c r="L23" i="29" s="1"/>
  <c r="J24" i="29" s="1"/>
  <c r="L24" i="29" s="1"/>
  <c r="J25" i="29" s="1"/>
  <c r="L25" i="29" s="1"/>
  <c r="J26" i="29" s="1"/>
  <c r="L26" i="29" s="1"/>
  <c r="J27" i="29" s="1"/>
  <c r="L27" i="29" s="1"/>
  <c r="J28" i="29" s="1"/>
  <c r="L28" i="29" s="1"/>
  <c r="J29" i="29" s="1"/>
  <c r="L29" i="29" s="1"/>
  <c r="J30" i="29" s="1"/>
  <c r="L30" i="29" s="1"/>
  <c r="J31" i="29" s="1"/>
  <c r="L31" i="29" s="1"/>
  <c r="J32" i="29" s="1"/>
  <c r="L32" i="29" s="1"/>
  <c r="J33" i="29" s="1"/>
  <c r="L33" i="29" s="1"/>
  <c r="J34" i="29" s="1"/>
  <c r="L34" i="29" s="1"/>
  <c r="J35" i="29" s="1"/>
  <c r="L35" i="29" s="1"/>
  <c r="J36" i="29" s="1"/>
  <c r="L36" i="29" s="1"/>
  <c r="J37" i="29" s="1"/>
  <c r="L37" i="29" s="1"/>
  <c r="J38" i="29" s="1"/>
  <c r="L38" i="29" s="1"/>
  <c r="J39" i="29" s="1"/>
  <c r="L39" i="29" s="1"/>
  <c r="J40" i="29" s="1"/>
  <c r="L40" i="29" s="1"/>
  <c r="J41" i="29" s="1"/>
  <c r="L41" i="29" s="1"/>
  <c r="J42" i="29" s="1"/>
  <c r="L42" i="29" s="1"/>
  <c r="J43" i="29" s="1"/>
  <c r="L43" i="29" s="1"/>
  <c r="J44" i="29" s="1"/>
  <c r="L44" i="29" s="1"/>
  <c r="J45" i="29" s="1"/>
  <c r="L45" i="29" s="1"/>
  <c r="J46" i="29" s="1"/>
  <c r="L46" i="29" s="1"/>
  <c r="J47" i="29" s="1"/>
  <c r="L47" i="29" s="1"/>
  <c r="J48" i="29" s="1"/>
  <c r="L48" i="29" s="1"/>
  <c r="J49" i="29" s="1"/>
  <c r="L49" i="29" s="1"/>
  <c r="J50" i="29" s="1"/>
  <c r="L50" i="29" s="1"/>
  <c r="J51" i="29" s="1"/>
  <c r="L51" i="29" s="1"/>
  <c r="J52" i="29" s="1"/>
  <c r="L52" i="29" s="1"/>
  <c r="J53" i="29" s="1"/>
  <c r="L53" i="29" s="1"/>
  <c r="J54" i="29" s="1"/>
  <c r="L54" i="29" s="1"/>
  <c r="J55" i="29" s="1"/>
  <c r="L55" i="29" s="1"/>
  <c r="J56" i="29" s="1"/>
  <c r="L56" i="29" s="1"/>
  <c r="J57" i="29" s="1"/>
  <c r="L57" i="29" s="1"/>
  <c r="J58" i="29" s="1"/>
  <c r="L58" i="29" s="1"/>
  <c r="J59" i="29" s="1"/>
  <c r="L59" i="29" s="1"/>
  <c r="J60" i="29" s="1"/>
  <c r="L60" i="29" s="1"/>
  <c r="J61" i="29" s="1"/>
  <c r="L61" i="29" s="1"/>
  <c r="J62" i="29" s="1"/>
  <c r="L62" i="29" s="1"/>
  <c r="J63" i="29" s="1"/>
  <c r="L63" i="29" s="1"/>
  <c r="J64" i="29" s="1"/>
  <c r="L64" i="29" s="1"/>
  <c r="J65" i="29" s="1"/>
  <c r="L65" i="29" s="1"/>
  <c r="J66" i="29" s="1"/>
  <c r="L66" i="29" s="1"/>
  <c r="J67" i="29" s="1"/>
  <c r="L67" i="29" s="1"/>
  <c r="J68" i="29" s="1"/>
  <c r="L68" i="29" s="1"/>
  <c r="J69" i="29" s="1"/>
  <c r="L69" i="29" s="1"/>
  <c r="J70" i="29" s="1"/>
  <c r="L70" i="29" s="1"/>
  <c r="J71" i="29" s="1"/>
  <c r="L71" i="29" s="1"/>
  <c r="J72" i="29" s="1"/>
  <c r="L72" i="29" s="1"/>
  <c r="J73" i="29" s="1"/>
  <c r="L73" i="29" s="1"/>
  <c r="J74" i="29" s="1"/>
  <c r="L74" i="29" s="1"/>
  <c r="J75" i="29" s="1"/>
  <c r="L75" i="29" s="1"/>
  <c r="J76" i="29" s="1"/>
  <c r="L76" i="29" s="1"/>
  <c r="J77" i="29" s="1"/>
  <c r="L77" i="29" s="1"/>
  <c r="J78" i="29" s="1"/>
  <c r="L78" i="29" s="1"/>
  <c r="J79" i="29" s="1"/>
  <c r="L79" i="29" s="1"/>
  <c r="J80" i="29" s="1"/>
  <c r="L80" i="29" s="1"/>
  <c r="J81" i="29" s="1"/>
  <c r="L81" i="29" s="1"/>
  <c r="J82" i="29" s="1"/>
  <c r="L82" i="29" s="1"/>
  <c r="J83" i="29" s="1"/>
  <c r="L83" i="29" s="1"/>
  <c r="J84" i="29" s="1"/>
  <c r="L84" i="29" s="1"/>
  <c r="J85" i="29" s="1"/>
  <c r="K85" i="29" s="1"/>
  <c r="L85" i="29" s="1"/>
  <c r="E52" i="28"/>
  <c r="G19" i="25" s="1"/>
  <c r="D61" i="29"/>
  <c r="E61" i="29" s="1"/>
  <c r="H19" i="14" l="1"/>
  <c r="H20" i="14" s="1"/>
  <c r="H21" i="14" s="1"/>
  <c r="F19" i="14"/>
  <c r="F20" i="14" s="1"/>
  <c r="F21" i="14" s="1"/>
  <c r="B19" i="14"/>
  <c r="B20" i="14" s="1"/>
  <c r="B21" i="14" s="1"/>
  <c r="G15" i="14" l="1"/>
  <c r="G19" i="14" s="1"/>
  <c r="G20" i="14" s="1"/>
  <c r="G21" i="14" s="1"/>
  <c r="E15" i="14"/>
  <c r="E19" i="14" s="1"/>
  <c r="E20" i="14" s="1"/>
  <c r="E21" i="14" s="1"/>
  <c r="D15" i="14"/>
  <c r="D19" i="14" s="1"/>
  <c r="D20" i="14" s="1"/>
  <c r="D21" i="14" s="1"/>
  <c r="C15" i="14"/>
  <c r="I15" i="14" l="1"/>
  <c r="C19" i="14"/>
  <c r="C20" i="14" s="1"/>
  <c r="C21" i="14" s="1"/>
  <c r="I21" i="14" s="1"/>
  <c r="J15" i="14"/>
  <c r="K15" i="14"/>
  <c r="I17" i="14"/>
  <c r="C22" i="28" l="1"/>
  <c r="E22" i="28" s="1"/>
  <c r="D22" i="28"/>
  <c r="C11" i="23"/>
  <c r="C10" i="23"/>
  <c r="C12" i="23" s="1"/>
  <c r="D12" i="23"/>
  <c r="E12" i="23"/>
  <c r="F12" i="23"/>
  <c r="G12" i="23"/>
  <c r="H12" i="23"/>
  <c r="I12" i="23"/>
  <c r="J12" i="23"/>
  <c r="K12" i="23"/>
  <c r="L12" i="23"/>
  <c r="M12" i="23"/>
  <c r="N12" i="23"/>
  <c r="O12" i="23"/>
  <c r="D54" i="28" l="1"/>
  <c r="D19" i="25" l="1"/>
  <c r="E19" i="25" s="1"/>
  <c r="F19" i="25" s="1"/>
  <c r="E56" i="28"/>
  <c r="E60" i="28" s="1"/>
  <c r="E62" i="28" s="1"/>
  <c r="H19" i="25" l="1"/>
  <c r="I11" i="14" l="1"/>
  <c r="K10" i="14"/>
  <c r="J10" i="14"/>
  <c r="C21" i="28" l="1"/>
  <c r="E21" i="28" s="1"/>
  <c r="D21" i="28"/>
  <c r="K11" i="14"/>
  <c r="K9" i="14"/>
  <c r="K8" i="14"/>
  <c r="K7" i="14"/>
  <c r="K6" i="14"/>
  <c r="K5" i="14"/>
  <c r="K4" i="14"/>
  <c r="K3" i="14"/>
  <c r="J11" i="14"/>
  <c r="J9" i="14"/>
  <c r="J8" i="14"/>
  <c r="J7" i="14"/>
  <c r="J6" i="14"/>
  <c r="J5" i="14"/>
  <c r="J4" i="14"/>
  <c r="J3" i="14"/>
  <c r="C17" i="28" l="1"/>
  <c r="C28" i="28"/>
  <c r="D17" i="28"/>
  <c r="D23" i="28" s="1"/>
  <c r="D25" i="28" s="1"/>
  <c r="D28" i="28"/>
  <c r="D13" i="25" s="1"/>
  <c r="C18" i="28"/>
  <c r="E18" i="28" s="1"/>
  <c r="D18" i="28"/>
  <c r="C19" i="28"/>
  <c r="E19" i="28" s="1"/>
  <c r="D19" i="28"/>
  <c r="C20" i="28"/>
  <c r="E20" i="28" s="1"/>
  <c r="D20" i="28"/>
  <c r="D17" i="25" l="1"/>
  <c r="D21" i="25" s="1"/>
  <c r="D23" i="25" s="1"/>
  <c r="D25" i="25" s="1"/>
  <c r="D30" i="28"/>
  <c r="E13" i="25"/>
  <c r="E17" i="28"/>
  <c r="E23" i="28" s="1"/>
  <c r="E25" i="28" s="1"/>
  <c r="E30" i="28" s="1"/>
  <c r="E32" i="28" s="1"/>
  <c r="E34" i="28" s="1"/>
  <c r="C23" i="28"/>
  <c r="C25" i="28" s="1"/>
  <c r="E28" i="28"/>
  <c r="D15" i="25"/>
  <c r="C30" i="28" l="1"/>
  <c r="E15" i="25"/>
  <c r="G15" i="25" s="1"/>
  <c r="H15" i="25" s="1"/>
  <c r="E17" i="25"/>
  <c r="E21" i="25" s="1"/>
  <c r="E23" i="25" s="1"/>
  <c r="E25" i="25" s="1"/>
  <c r="F13" i="25"/>
  <c r="G13" i="25"/>
  <c r="H13" i="25" l="1"/>
  <c r="H17" i="25" s="1"/>
  <c r="G17" i="25"/>
  <c r="G21" i="25" s="1"/>
  <c r="G23" i="25" s="1"/>
  <c r="G25" i="25" s="1"/>
  <c r="F15" i="25"/>
  <c r="F17" i="25" s="1"/>
  <c r="H21" i="25" l="1"/>
  <c r="H23" i="25" s="1"/>
  <c r="H25" i="25" s="1"/>
  <c r="F21" i="25"/>
  <c r="F23" i="25" s="1"/>
  <c r="F25" i="25" s="1"/>
</calcChain>
</file>

<file path=xl/sharedStrings.xml><?xml version="1.0" encoding="utf-8"?>
<sst xmlns="http://schemas.openxmlformats.org/spreadsheetml/2006/main" count="190" uniqueCount="133">
  <si>
    <t>PUGET SOUND ENERGY-ELECTRIC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</si>
  <si>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</si>
  <si>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</si>
  <si>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</si>
  <si>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</si>
  <si>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</si>
  <si>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</si>
  <si>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</si>
  <si>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</si>
  <si>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</si>
  <si>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</si>
  <si>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</si>
  <si>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</si>
  <si>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</si>
  <si>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 xml:space="preserve">  TWELVE MONTHS ENDED 12/31/13</t>
  </si>
  <si>
    <t xml:space="preserve">  TWELVE MONTHS ENDED 12/31/14</t>
  </si>
  <si>
    <t xml:space="preserve">  TWELVE MONTHS ENDED 12/31/15</t>
  </si>
  <si>
    <t xml:space="preserve">  TWELVE MONTHS ENDED 12/31/16</t>
  </si>
  <si>
    <t>INCREASE (DECREASE) NOI</t>
  </si>
  <si>
    <t>STORM</t>
  </si>
  <si>
    <t>570</t>
  </si>
  <si>
    <t>571</t>
  </si>
  <si>
    <t>583</t>
  </si>
  <si>
    <t>584</t>
  </si>
  <si>
    <t>592</t>
  </si>
  <si>
    <t>593</t>
  </si>
  <si>
    <t>594</t>
  </si>
  <si>
    <t>Overall Result</t>
  </si>
  <si>
    <t>2010</t>
  </si>
  <si>
    <t>2011</t>
  </si>
  <si>
    <t>2012</t>
  </si>
  <si>
    <t>2013</t>
  </si>
  <si>
    <t>2014</t>
  </si>
  <si>
    <t>2015</t>
  </si>
  <si>
    <t>2016</t>
  </si>
  <si>
    <t>2017</t>
  </si>
  <si>
    <t>T</t>
  </si>
  <si>
    <t>D</t>
  </si>
  <si>
    <t xml:space="preserve">  TWELVE MONTHS ENDED 12/31/17 </t>
  </si>
  <si>
    <t>2018</t>
  </si>
  <si>
    <t xml:space="preserve">  TWELVE MONTHS ENDED 12/31/18</t>
  </si>
  <si>
    <t>INCREASE (DECREASE) FIT @ 21% (LINE 46 X 21%)</t>
  </si>
  <si>
    <t>CHARGED TO EXPENSE  12 MONTH ENDED 12/31/18</t>
  </si>
  <si>
    <t>CATASTROPHIC STORMS</t>
  </si>
  <si>
    <t>2017 STORM DAMAGE-PENDING APPROVAL</t>
  </si>
  <si>
    <t>LESS TOTAL TEST YEAR AMORTIZATION</t>
  </si>
  <si>
    <t>INCREASE (DECREASE) OPERATING EXPENSE</t>
  </si>
  <si>
    <t>Monthly</t>
  </si>
  <si>
    <t>Amortization</t>
  </si>
  <si>
    <t>Electric Amort of Prpty Losses</t>
  </si>
  <si>
    <t>2019 GENERAL RATE CASE</t>
  </si>
  <si>
    <t>2018 STORM DAMAGE-PENDING APPROVAL</t>
  </si>
  <si>
    <t>CO Order</t>
  </si>
  <si>
    <t>Fiscal year/period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</si>
  <si>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</si>
  <si>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</si>
  <si>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</si>
  <si>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</si>
  <si>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</si>
  <si>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</si>
  <si>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</si>
  <si>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</si>
  <si>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</si>
  <si>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</si>
  <si>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</si>
  <si>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</si>
  <si>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/>
  </si>
  <si>
    <t>40700050</t>
  </si>
  <si>
    <t>2012 Storm Amortization - 6 Yrs</t>
  </si>
  <si>
    <t>40700055</t>
  </si>
  <si>
    <t>2010 - July 2017 Storm Amort - 4 years</t>
  </si>
  <si>
    <t>407E</t>
  </si>
  <si>
    <t>40700025</t>
  </si>
  <si>
    <t>12/13/2006 Storm Amortization</t>
  </si>
  <si>
    <t>40700035</t>
  </si>
  <si>
    <t>2007 Storm Amortization</t>
  </si>
  <si>
    <t>40700040</t>
  </si>
  <si>
    <t>2008 Storm Amortization</t>
  </si>
  <si>
    <t>40700045</t>
  </si>
  <si>
    <t>2010 Storm Amortization</t>
  </si>
  <si>
    <t>Table</t>
  </si>
  <si>
    <t>FOR THE TWELVE MONTHS ENDED DECEMBER 31, 2018</t>
  </si>
  <si>
    <t>RESTATED</t>
  </si>
  <si>
    <t>PROFORMA</t>
  </si>
  <si>
    <t>ADJUSTMENT</t>
  </si>
  <si>
    <t>INCREASE (DECREASE) IN EXPENSE</t>
  </si>
  <si>
    <t>INCREASE (DECREASE) FIT @</t>
  </si>
  <si>
    <t>ANNUAL AMORTIZATION (LINE 34 ÷ 48) x 12</t>
  </si>
  <si>
    <t>STORM DAMAGE O&amp;M EXPENSE</t>
  </si>
  <si>
    <t>DEFERRED STORM DAMAGE AMORTIZATION EXPENSE</t>
  </si>
  <si>
    <t>TY</t>
  </si>
  <si>
    <t>ACTUAL</t>
  </si>
  <si>
    <t>%'s</t>
  </si>
  <si>
    <t>(a)</t>
  </si>
  <si>
    <t>(b)</t>
  </si>
  <si>
    <t>(c)=(b)-(a)</t>
  </si>
  <si>
    <t>(d)</t>
  </si>
  <si>
    <t>(e)=(d)-(b)</t>
  </si>
  <si>
    <t>STORM DAMAGE EXPENSE - DISTRIBUTION</t>
  </si>
  <si>
    <t>STORM DAMAGE EXPENSE - TRANSMISSION</t>
  </si>
  <si>
    <t>STM2018_01.27Q</t>
  </si>
  <si>
    <t>2019 STORM DAMAGE-PENDING APPROVAL</t>
  </si>
  <si>
    <t>SUM</t>
  </si>
  <si>
    <t>AVG</t>
  </si>
  <si>
    <t>IS by FERC</t>
  </si>
  <si>
    <t xml:space="preserve">DEFERRED STORM BALANCES APPROVED FOR 4 YEAR AMORTIZATION IN UE-170033 </t>
  </si>
  <si>
    <t>TEST</t>
  </si>
  <si>
    <t>12 ME APR 2021</t>
  </si>
  <si>
    <r>
      <t>AT START OF RATE YEAR (</t>
    </r>
    <r>
      <rPr>
        <b/>
        <sz val="10"/>
        <rFont val="Times New Roman"/>
        <family val="1"/>
      </rPr>
      <t>5/1/2020</t>
    </r>
    <r>
      <rPr>
        <sz val="10"/>
        <rFont val="Times New Roman"/>
        <family val="1"/>
      </rPr>
      <t>):</t>
    </r>
  </si>
  <si>
    <t>YEAR</t>
  </si>
  <si>
    <t>RATE YEAR</t>
  </si>
  <si>
    <t>ANNUAL AMORTIZATION OF 4 YEAR STORM DEFERRED BALANCES</t>
  </si>
  <si>
    <t>ANNUAL AMORTIZATION OF 6 YEAR STORM DEFERRED BALANCES</t>
  </si>
  <si>
    <t>NEW DEFERRED STORM BALANCES PROPOSED FOR 4-YEAR AMORTIZATIONS</t>
  </si>
  <si>
    <t>TOTAL (LINE 31 THROUGH LINE 34)</t>
  </si>
  <si>
    <t>TOTAL RATE YEAR AMORTIZATION ( LINE 27+LINE 28 + LINE 36)</t>
  </si>
  <si>
    <t>TOTAL INCREASE (DECREASE) OPERATING EXPENSE (LINE 42)</t>
  </si>
  <si>
    <t>INCREASE (DECREASE) FIT @ 21% (LINE 44 X 21%)</t>
  </si>
  <si>
    <t>Puget Sound Energy</t>
  </si>
  <si>
    <t xml:space="preserve">4-Year Storm Deferrals </t>
  </si>
  <si>
    <t xml:space="preserve">6-Year Storm Deferrals </t>
  </si>
  <si>
    <t>Amortization starts Dec 19, 2017 and ends December 18, 2021 (48 months)</t>
  </si>
  <si>
    <t>Amortization starts Dec 19, 2017 and ends December 18, 2021 (72 months)</t>
  </si>
  <si>
    <t>Amortization Schedule Approved Docket NO. UE-170033</t>
  </si>
  <si>
    <t>Beginning</t>
  </si>
  <si>
    <t xml:space="preserve">Ending </t>
  </si>
  <si>
    <t>Month/Period</t>
  </si>
  <si>
    <t>Balance</t>
  </si>
  <si>
    <t>(c)</t>
  </si>
  <si>
    <t>48 months</t>
  </si>
  <si>
    <t>72 months</t>
  </si>
  <si>
    <t>SUBTOTAL RESTATING</t>
  </si>
  <si>
    <t>exclude 1/27 Storm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</si>
</sst>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\$\ #,##0"/>
  </numFmts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44" fontId="7" fillId="0" borderId="2" xfId="0" quotePrefix="1" applyNumberFormat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44" fontId="8" fillId="0" borderId="0" xfId="0" applyNumberFormat="1" applyFont="1" applyAlignment="1">
      <alignment horizontal="center"/>
    </xf>
    <xf numFmtId="0" fontId="3" fillId="0" borderId="0" xfId="0" applyFont="1" applyFill="1" applyAlignment="1"/>
    <xf numFmtId="165" fontId="0" fillId="0" borderId="0" xfId="0" applyNumberFormat="1" applyFont="1"/>
    <xf numFmtId="165" fontId="0" fillId="0" borderId="0" xfId="0" applyNumberFormat="1"/>
    <xf numFmtId="0" fontId="3" fillId="0" borderId="0" xfId="0" applyFont="1"/>
    <xf numFmtId="0" fontId="6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42" fontId="3" fillId="0" borderId="0" xfId="0" applyNumberFormat="1" applyFont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1" xfId="0" quotePrefix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vertical="center"/>
    </xf>
    <xf numFmtId="3" fontId="0" fillId="0" borderId="3" xfId="0" applyNumberFormat="1" applyBorder="1"/>
    <xf numFmtId="165" fontId="5" fillId="0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left" vertical="center" indent="6"/>
    </xf>
    <xf numFmtId="0" fontId="0" fillId="0" borderId="0" xfId="0" applyFill="1"/>
    <xf numFmtId="166" fontId="5" fillId="0" borderId="2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/>
    <xf numFmtId="165" fontId="0" fillId="0" borderId="1" xfId="0" applyNumberFormat="1" applyFont="1" applyBorder="1"/>
    <xf numFmtId="0" fontId="0" fillId="0" borderId="0" xfId="0"/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left" wrapText="1"/>
    </xf>
    <xf numFmtId="42" fontId="3" fillId="0" borderId="4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left" indent="1"/>
    </xf>
    <xf numFmtId="41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Border="1" applyAlignment="1">
      <alignment horizontal="left" indent="1"/>
    </xf>
    <xf numFmtId="0" fontId="1" fillId="0" borderId="0" xfId="0" applyFont="1" applyFill="1" applyAlignment="1">
      <alignment horizontal="left" indent="1"/>
    </xf>
    <xf numFmtId="41" fontId="3" fillId="0" borderId="5" xfId="0" applyNumberFormat="1" applyFont="1" applyFill="1" applyBorder="1" applyAlignment="1"/>
    <xf numFmtId="43" fontId="3" fillId="0" borderId="0" xfId="0" applyNumberFormat="1" applyFont="1" applyFill="1" applyBorder="1" applyAlignment="1"/>
    <xf numFmtId="41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wrapText="1"/>
    </xf>
    <xf numFmtId="41" fontId="3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6" fontId="6" fillId="0" borderId="0" xfId="0" applyNumberFormat="1" applyFont="1" applyFill="1"/>
    <xf numFmtId="165" fontId="6" fillId="0" borderId="0" xfId="0" applyNumberFormat="1" applyFont="1" applyFill="1"/>
    <xf numFmtId="17" fontId="6" fillId="0" borderId="0" xfId="0" applyNumberFormat="1" applyFont="1" applyFill="1" applyBorder="1"/>
    <xf numFmtId="17" fontId="6" fillId="0" borderId="0" xfId="0" applyNumberFormat="1" applyFont="1" applyFill="1"/>
    <xf numFmtId="1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Alignment="1">
      <alignment horizontal="center"/>
    </xf>
    <xf numFmtId="6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>
      <alignment horizontal="right"/>
    </xf>
    <xf numFmtId="41" fontId="9" fillId="0" borderId="0" xfId="0" applyNumberFormat="1" applyFont="1" applyFill="1" applyBorder="1" applyAlignment="1">
      <alignment horizontal="left" indent="1"/>
    </xf>
    <xf numFmtId="9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9" fontId="13" fillId="0" borderId="0" xfId="0" applyNumberFormat="1" applyFont="1" applyBorder="1" applyAlignment="1">
      <alignment horizontal="right"/>
    </xf>
    <xf numFmtId="41" fontId="3" fillId="0" borderId="0" xfId="0" applyNumberFormat="1" applyFont="1"/>
    <xf numFmtId="41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Border="1"/>
    <xf numFmtId="41" fontId="3" fillId="0" borderId="0" xfId="0" applyNumberFormat="1" applyFont="1" applyFill="1" applyBorder="1" applyAlignment="1"/>
    <xf numFmtId="41" fontId="3" fillId="0" borderId="5" xfId="0" applyNumberFormat="1" applyFont="1" applyBorder="1"/>
    <xf numFmtId="41" fontId="3" fillId="0" borderId="5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5" xfId="0" applyFont="1" applyFill="1" applyBorder="1" applyAlignment="1"/>
    <xf numFmtId="42" fontId="3" fillId="0" borderId="4" xfId="0" applyNumberFormat="1" applyFont="1" applyFill="1" applyBorder="1" applyAlignment="1"/>
    <xf numFmtId="165" fontId="0" fillId="0" borderId="0" xfId="0" applyNumberFormat="1" applyFont="1" applyFill="1"/>
    <xf numFmtId="0" fontId="5" fillId="0" borderId="2" xfId="0" quotePrefix="1" applyNumberFormat="1" applyFont="1" applyFill="1" applyBorder="1" applyAlignment="1">
      <alignment horizontal="left" vertical="center" indent="1"/>
    </xf>
    <xf numFmtId="0" fontId="5" fillId="0" borderId="2" xfId="0" quotePrefix="1" applyFont="1" applyFill="1" applyBorder="1" applyAlignment="1">
      <alignment horizontal="left" vertical="center" indent="2"/>
    </xf>
    <xf numFmtId="0" fontId="5" fillId="0" borderId="2" xfId="0" quotePrefix="1" applyFont="1" applyFill="1" applyBorder="1" applyAlignment="1">
      <alignment horizontal="left" vertical="center" indent="1"/>
    </xf>
    <xf numFmtId="0" fontId="5" fillId="0" borderId="2" xfId="0" quotePrefix="1" applyFont="1" applyFill="1" applyBorder="1" applyAlignment="1">
      <alignment horizontal="left" vertical="center" indent="3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3" fontId="0" fillId="0" borderId="0" xfId="0" applyNumberFormat="1" applyFill="1"/>
    <xf numFmtId="165" fontId="8" fillId="0" borderId="0" xfId="0" applyNumberFormat="1" applyFont="1" applyFill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B27" sqref="B27"/>
    </sheetView>
  </sheetViews>
  <sheetFormatPr defaultColWidth="8.85546875" defaultRowHeight="12.75" x14ac:dyDescent="0.2"/>
  <cols>
    <col min="1" max="1" width="5.42578125" style="12" bestFit="1" customWidth="1"/>
    <col min="2" max="2" width="47" style="12" customWidth="1"/>
    <col min="3" max="3" width="4.5703125" style="12" bestFit="1" customWidth="1"/>
    <col min="4" max="5" width="12.85546875" style="12" bestFit="1" customWidth="1"/>
    <col min="6" max="6" width="14.5703125" style="12" bestFit="1" customWidth="1"/>
    <col min="7" max="7" width="12.7109375" style="12" bestFit="1" customWidth="1"/>
    <col min="8" max="8" width="14.5703125" style="12" bestFit="1" customWidth="1"/>
    <col min="9" max="16384" width="8.85546875" style="12"/>
  </cols>
  <sheetData>
    <row r="1" spans="1:8" ht="13.15" x14ac:dyDescent="0.25">
      <c r="A1" s="11"/>
      <c r="B1" s="11"/>
      <c r="C1" s="11"/>
    </row>
    <row r="2" spans="1:8" ht="13.15" x14ac:dyDescent="0.25">
      <c r="A2" s="13"/>
      <c r="B2" s="13"/>
      <c r="C2" s="13"/>
    </row>
    <row r="3" spans="1:8" ht="13.15" x14ac:dyDescent="0.25">
      <c r="A3" s="14"/>
      <c r="B3" s="14"/>
      <c r="C3" s="14"/>
    </row>
    <row r="4" spans="1:8" ht="13.15" x14ac:dyDescent="0.25">
      <c r="A4" s="15" t="s">
        <v>0</v>
      </c>
      <c r="B4" s="15"/>
      <c r="C4" s="15"/>
      <c r="D4" s="15"/>
      <c r="E4" s="15"/>
      <c r="F4" s="15"/>
      <c r="G4" s="15"/>
      <c r="H4" s="15"/>
    </row>
    <row r="5" spans="1:8" ht="13.15" x14ac:dyDescent="0.25">
      <c r="A5" s="1" t="s">
        <v>88</v>
      </c>
      <c r="B5" s="16"/>
      <c r="C5" s="16"/>
      <c r="D5" s="16"/>
      <c r="E5" s="16"/>
      <c r="F5" s="16"/>
      <c r="G5" s="16"/>
      <c r="H5" s="16"/>
    </row>
    <row r="6" spans="1:8" ht="13.15" x14ac:dyDescent="0.25">
      <c r="A6" s="16" t="s">
        <v>81</v>
      </c>
      <c r="B6" s="16"/>
      <c r="C6" s="16"/>
      <c r="D6" s="16"/>
      <c r="E6" s="16"/>
      <c r="F6" s="16"/>
      <c r="G6" s="16"/>
      <c r="H6" s="16"/>
    </row>
    <row r="7" spans="1:8" ht="13.15" x14ac:dyDescent="0.25">
      <c r="A7" s="15" t="s">
        <v>50</v>
      </c>
      <c r="B7" s="15"/>
      <c r="C7" s="15"/>
      <c r="D7" s="15"/>
      <c r="E7" s="15"/>
      <c r="F7" s="15"/>
      <c r="G7" s="15"/>
      <c r="H7" s="15"/>
    </row>
    <row r="8" spans="1:8" ht="13.15" x14ac:dyDescent="0.25">
      <c r="A8" s="15"/>
      <c r="B8" s="15"/>
      <c r="C8" s="15"/>
      <c r="D8" s="15"/>
      <c r="E8" s="15"/>
      <c r="F8" s="15"/>
      <c r="G8" s="15"/>
      <c r="H8" s="15"/>
    </row>
    <row r="9" spans="1:8" ht="13.15" x14ac:dyDescent="0.25">
      <c r="A9" s="13"/>
      <c r="B9" s="17"/>
      <c r="C9" s="25"/>
      <c r="D9" s="4" t="s">
        <v>90</v>
      </c>
      <c r="E9" s="26"/>
      <c r="F9" s="2" t="s">
        <v>82</v>
      </c>
      <c r="G9" s="26"/>
      <c r="H9" s="2" t="s">
        <v>83</v>
      </c>
    </row>
    <row r="10" spans="1:8" ht="13.15" x14ac:dyDescent="0.25">
      <c r="A10" s="18" t="s">
        <v>1</v>
      </c>
      <c r="B10" s="13"/>
      <c r="C10" s="27"/>
      <c r="D10" s="2" t="s">
        <v>91</v>
      </c>
      <c r="E10" s="2" t="s">
        <v>82</v>
      </c>
      <c r="F10" s="2" t="s">
        <v>84</v>
      </c>
      <c r="G10" s="2" t="s">
        <v>83</v>
      </c>
      <c r="H10" s="2" t="s">
        <v>84</v>
      </c>
    </row>
    <row r="11" spans="1:8" ht="13.15" x14ac:dyDescent="0.25">
      <c r="A11" s="19" t="s">
        <v>2</v>
      </c>
      <c r="B11" s="20" t="s">
        <v>3</v>
      </c>
      <c r="C11" s="28" t="s">
        <v>92</v>
      </c>
      <c r="D11" s="29" t="s">
        <v>93</v>
      </c>
      <c r="E11" s="3" t="s">
        <v>94</v>
      </c>
      <c r="F11" s="29" t="s">
        <v>95</v>
      </c>
      <c r="G11" s="3" t="s">
        <v>96</v>
      </c>
      <c r="H11" s="29" t="s">
        <v>97</v>
      </c>
    </row>
    <row r="12" spans="1:8" ht="13.9" x14ac:dyDescent="0.25">
      <c r="A12" s="21"/>
      <c r="B12" s="21"/>
      <c r="C12" s="30"/>
      <c r="D12" s="31"/>
      <c r="E12" s="31"/>
      <c r="F12" s="31"/>
      <c r="G12" s="31"/>
      <c r="H12" s="31"/>
    </row>
    <row r="13" spans="1:8" ht="13.15" x14ac:dyDescent="0.25">
      <c r="A13" s="22">
        <v>1</v>
      </c>
      <c r="B13" s="21" t="s">
        <v>98</v>
      </c>
      <c r="C13" s="21"/>
      <c r="D13" s="23">
        <f>+Summary!D28</f>
        <v>9705041.1899999995</v>
      </c>
      <c r="E13" s="23">
        <f>+Summary!D25</f>
        <v>9826310.9900000002</v>
      </c>
      <c r="F13" s="24">
        <f>+E13-D13</f>
        <v>121269.80000000075</v>
      </c>
      <c r="G13" s="23">
        <f>+E13</f>
        <v>9826310.9900000002</v>
      </c>
      <c r="H13" s="23">
        <f>+G13-E13</f>
        <v>0</v>
      </c>
    </row>
    <row r="14" spans="1:8" ht="13.15" x14ac:dyDescent="0.25">
      <c r="A14" s="22">
        <v>2</v>
      </c>
      <c r="B14" s="21"/>
      <c r="C14" s="21"/>
      <c r="D14" s="11"/>
      <c r="E14" s="11"/>
      <c r="F14" s="11"/>
      <c r="G14" s="11"/>
      <c r="H14" s="11"/>
    </row>
    <row r="15" spans="1:8" ht="13.15" x14ac:dyDescent="0.25">
      <c r="A15" s="22">
        <v>3</v>
      </c>
      <c r="B15" s="21" t="s">
        <v>99</v>
      </c>
      <c r="C15" s="21"/>
      <c r="D15" s="125">
        <f>+Summary!C28</f>
        <v>588691.1</v>
      </c>
      <c r="E15" s="125">
        <f>+Summary!C25</f>
        <v>481346.42333333328</v>
      </c>
      <c r="F15" s="126">
        <f>+E15-D15</f>
        <v>-107344.6766666667</v>
      </c>
      <c r="G15" s="125">
        <f>+E15</f>
        <v>481346.42333333328</v>
      </c>
      <c r="H15" s="125">
        <f>+G15-E15</f>
        <v>0</v>
      </c>
    </row>
    <row r="16" spans="1:8" ht="13.15" x14ac:dyDescent="0.25">
      <c r="A16" s="22">
        <v>4</v>
      </c>
      <c r="B16" s="21"/>
      <c r="C16" s="21"/>
      <c r="D16" s="130"/>
      <c r="E16" s="130"/>
      <c r="F16" s="130"/>
      <c r="G16" s="130"/>
      <c r="H16" s="130"/>
    </row>
    <row r="17" spans="1:8" ht="13.15" x14ac:dyDescent="0.25">
      <c r="A17" s="22">
        <v>5</v>
      </c>
      <c r="B17" s="21" t="s">
        <v>131</v>
      </c>
      <c r="C17" s="21"/>
      <c r="D17" s="127">
        <f>SUM(D13:D15)</f>
        <v>10293732.289999999</v>
      </c>
      <c r="E17" s="127">
        <f t="shared" ref="E17:G17" si="0">SUM(E13:E15)</f>
        <v>10307657.413333334</v>
      </c>
      <c r="F17" s="127">
        <f t="shared" si="0"/>
        <v>13925.12333333405</v>
      </c>
      <c r="G17" s="127">
        <f t="shared" si="0"/>
        <v>10307657.413333334</v>
      </c>
      <c r="H17" s="127">
        <f t="shared" ref="H17" si="1">SUM(H13:H15)</f>
        <v>0</v>
      </c>
    </row>
    <row r="18" spans="1:8" x14ac:dyDescent="0.2">
      <c r="A18" s="22">
        <v>6</v>
      </c>
      <c r="B18" s="21"/>
      <c r="C18" s="21"/>
      <c r="D18" s="128"/>
      <c r="E18" s="128"/>
      <c r="F18" s="128"/>
      <c r="G18" s="128"/>
      <c r="H18" s="128"/>
    </row>
    <row r="19" spans="1:8" x14ac:dyDescent="0.2">
      <c r="A19" s="22">
        <v>9</v>
      </c>
      <c r="B19" s="8" t="s">
        <v>89</v>
      </c>
      <c r="C19" s="42"/>
      <c r="D19" s="74">
        <f>+Summary!D54</f>
        <v>25322916</v>
      </c>
      <c r="E19" s="74">
        <f>+D19</f>
        <v>25322916</v>
      </c>
      <c r="F19" s="74">
        <f>+E19-D19</f>
        <v>0</v>
      </c>
      <c r="G19" s="74">
        <f>+Summary!E52</f>
        <v>38844187.800000004</v>
      </c>
      <c r="H19" s="69">
        <f>+G19-E19</f>
        <v>13521271.800000004</v>
      </c>
    </row>
    <row r="20" spans="1:8" ht="13.15" x14ac:dyDescent="0.25">
      <c r="A20" s="22">
        <v>10</v>
      </c>
      <c r="B20" s="8"/>
      <c r="C20" s="42"/>
      <c r="D20" s="131"/>
      <c r="E20" s="131"/>
      <c r="F20" s="131"/>
      <c r="G20" s="131"/>
      <c r="H20" s="91"/>
    </row>
    <row r="21" spans="1:8" x14ac:dyDescent="0.2">
      <c r="A21" s="22">
        <v>11</v>
      </c>
      <c r="B21" s="8" t="s">
        <v>85</v>
      </c>
      <c r="C21" s="42"/>
      <c r="D21" s="74">
        <f>SUM(D17:D20)</f>
        <v>35616648.289999999</v>
      </c>
      <c r="E21" s="74">
        <f>SUM(E17:E20)</f>
        <v>35630573.413333334</v>
      </c>
      <c r="F21" s="74">
        <f>SUM(F17:F20)</f>
        <v>13925.12333333405</v>
      </c>
      <c r="G21" s="74">
        <f>SUM(G17:G20)</f>
        <v>49151845.213333338</v>
      </c>
      <c r="H21" s="74">
        <f>SUM(H17:H20)</f>
        <v>13521271.800000004</v>
      </c>
    </row>
    <row r="22" spans="1:8" x14ac:dyDescent="0.2">
      <c r="A22" s="22">
        <v>14</v>
      </c>
      <c r="B22" s="8"/>
      <c r="C22" s="123"/>
      <c r="D22" s="129"/>
      <c r="E22" s="129"/>
      <c r="F22" s="129"/>
      <c r="G22" s="129"/>
      <c r="H22" s="69"/>
    </row>
    <row r="23" spans="1:8" x14ac:dyDescent="0.2">
      <c r="A23" s="22">
        <v>15</v>
      </c>
      <c r="B23" s="8" t="s">
        <v>86</v>
      </c>
      <c r="C23" s="124">
        <v>0.21</v>
      </c>
      <c r="D23" s="74">
        <f>-D21*$C23</f>
        <v>-7479496.1409</v>
      </c>
      <c r="E23" s="74">
        <f>-E21*$C23</f>
        <v>-7482420.4167999998</v>
      </c>
      <c r="F23" s="74">
        <f>-F21*$C23</f>
        <v>-2924.2759000001502</v>
      </c>
      <c r="G23" s="74">
        <f>-G21*$C23</f>
        <v>-10321887.494800001</v>
      </c>
      <c r="H23" s="74">
        <f>-H21*$C23</f>
        <v>-2839467.0780000007</v>
      </c>
    </row>
    <row r="24" spans="1:8" x14ac:dyDescent="0.2">
      <c r="A24" s="22">
        <v>16</v>
      </c>
      <c r="B24" s="8"/>
      <c r="C24" s="42"/>
      <c r="D24" s="132"/>
      <c r="E24" s="132"/>
      <c r="F24" s="132"/>
      <c r="G24" s="132"/>
      <c r="H24" s="133"/>
    </row>
    <row r="25" spans="1:8" ht="13.5" thickBot="1" x14ac:dyDescent="0.25">
      <c r="A25" s="22">
        <v>17</v>
      </c>
      <c r="B25" s="8" t="s">
        <v>18</v>
      </c>
      <c r="C25" s="42"/>
      <c r="D25" s="134">
        <f>-SUM(D21:D24)</f>
        <v>-28137152.149099998</v>
      </c>
      <c r="E25" s="134">
        <f>-SUM(E21:E24)</f>
        <v>-28148152.996533334</v>
      </c>
      <c r="F25" s="134">
        <f>-SUM(F21:F24)</f>
        <v>-11000.8474333339</v>
      </c>
      <c r="G25" s="134">
        <f>-SUM(G21:G24)</f>
        <v>-38829957.718533337</v>
      </c>
      <c r="H25" s="134">
        <f>-SUM(H21:H24)</f>
        <v>-10681804.722000003</v>
      </c>
    </row>
    <row r="26" spans="1:8" ht="13.5" thickTop="1" x14ac:dyDescent="0.2"/>
  </sheetData>
  <pageMargins left="0.75" right="0.75" top="1" bottom="1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4"/>
  <sheetViews>
    <sheetView zoomScale="85" zoomScaleNormal="85" workbookViewId="0"/>
  </sheetViews>
  <sheetFormatPr defaultColWidth="8.85546875" defaultRowHeight="15" x14ac:dyDescent="0.25"/>
  <cols>
    <col min="1" max="1" width="5.42578125" style="45" bestFit="1" customWidth="1"/>
    <col min="2" max="2" width="69.28515625" style="45" customWidth="1"/>
    <col min="3" max="3" width="13.28515625" style="45" bestFit="1" customWidth="1"/>
    <col min="4" max="4" width="15.140625" style="45" bestFit="1" customWidth="1"/>
    <col min="5" max="5" width="13.85546875" style="45" customWidth="1"/>
    <col min="6" max="6" width="10.28515625" style="45" bestFit="1" customWidth="1"/>
    <col min="7" max="7" width="54.140625" style="45" bestFit="1" customWidth="1"/>
    <col min="8" max="9" width="16" style="45" bestFit="1" customWidth="1"/>
    <col min="10" max="10" width="17.7109375" style="45" bestFit="1" customWidth="1"/>
    <col min="11" max="11" width="16" style="45" bestFit="1" customWidth="1"/>
    <col min="12" max="12" width="11" style="45" bestFit="1" customWidth="1"/>
    <col min="13" max="252" width="8.85546875" style="45"/>
    <col min="253" max="253" width="5.42578125" style="45" bestFit="1" customWidth="1"/>
    <col min="254" max="254" width="69.42578125" style="45" customWidth="1"/>
    <col min="255" max="255" width="12.85546875" style="45" bestFit="1" customWidth="1"/>
    <col min="256" max="256" width="13.140625" style="45" customWidth="1"/>
    <col min="257" max="257" width="12.7109375" style="45" customWidth="1"/>
    <col min="258" max="258" width="13.5703125" style="45" customWidth="1"/>
    <col min="259" max="508" width="8.85546875" style="45"/>
    <col min="509" max="509" width="5.42578125" style="45" bestFit="1" customWidth="1"/>
    <col min="510" max="510" width="69.42578125" style="45" customWidth="1"/>
    <col min="511" max="511" width="12.85546875" style="45" bestFit="1" customWidth="1"/>
    <col min="512" max="512" width="13.140625" style="45" customWidth="1"/>
    <col min="513" max="513" width="12.7109375" style="45" customWidth="1"/>
    <col min="514" max="514" width="13.5703125" style="45" customWidth="1"/>
    <col min="515" max="764" width="8.85546875" style="45"/>
    <col min="765" max="765" width="5.42578125" style="45" bestFit="1" customWidth="1"/>
    <col min="766" max="766" width="69.42578125" style="45" customWidth="1"/>
    <col min="767" max="767" width="12.85546875" style="45" bestFit="1" customWidth="1"/>
    <col min="768" max="768" width="13.140625" style="45" customWidth="1"/>
    <col min="769" max="769" width="12.7109375" style="45" customWidth="1"/>
    <col min="770" max="770" width="13.5703125" style="45" customWidth="1"/>
    <col min="771" max="1020" width="8.85546875" style="45"/>
    <col min="1021" max="1021" width="5.42578125" style="45" bestFit="1" customWidth="1"/>
    <col min="1022" max="1022" width="69.42578125" style="45" customWidth="1"/>
    <col min="1023" max="1023" width="12.85546875" style="45" bestFit="1" customWidth="1"/>
    <col min="1024" max="1024" width="13.140625" style="45" customWidth="1"/>
    <col min="1025" max="1025" width="12.7109375" style="45" customWidth="1"/>
    <col min="1026" max="1026" width="13.5703125" style="45" customWidth="1"/>
    <col min="1027" max="1276" width="8.85546875" style="45"/>
    <col min="1277" max="1277" width="5.42578125" style="45" bestFit="1" customWidth="1"/>
    <col min="1278" max="1278" width="69.42578125" style="45" customWidth="1"/>
    <col min="1279" max="1279" width="12.85546875" style="45" bestFit="1" customWidth="1"/>
    <col min="1280" max="1280" width="13.140625" style="45" customWidth="1"/>
    <col min="1281" max="1281" width="12.7109375" style="45" customWidth="1"/>
    <col min="1282" max="1282" width="13.5703125" style="45" customWidth="1"/>
    <col min="1283" max="1532" width="8.85546875" style="45"/>
    <col min="1533" max="1533" width="5.42578125" style="45" bestFit="1" customWidth="1"/>
    <col min="1534" max="1534" width="69.42578125" style="45" customWidth="1"/>
    <col min="1535" max="1535" width="12.85546875" style="45" bestFit="1" customWidth="1"/>
    <col min="1536" max="1536" width="13.140625" style="45" customWidth="1"/>
    <col min="1537" max="1537" width="12.7109375" style="45" customWidth="1"/>
    <col min="1538" max="1538" width="13.5703125" style="45" customWidth="1"/>
    <col min="1539" max="1788" width="8.85546875" style="45"/>
    <col min="1789" max="1789" width="5.42578125" style="45" bestFit="1" customWidth="1"/>
    <col min="1790" max="1790" width="69.42578125" style="45" customWidth="1"/>
    <col min="1791" max="1791" width="12.85546875" style="45" bestFit="1" customWidth="1"/>
    <col min="1792" max="1792" width="13.140625" style="45" customWidth="1"/>
    <col min="1793" max="1793" width="12.7109375" style="45" customWidth="1"/>
    <col min="1794" max="1794" width="13.5703125" style="45" customWidth="1"/>
    <col min="1795" max="2044" width="8.85546875" style="45"/>
    <col min="2045" max="2045" width="5.42578125" style="45" bestFit="1" customWidth="1"/>
    <col min="2046" max="2046" width="69.42578125" style="45" customWidth="1"/>
    <col min="2047" max="2047" width="12.85546875" style="45" bestFit="1" customWidth="1"/>
    <col min="2048" max="2048" width="13.140625" style="45" customWidth="1"/>
    <col min="2049" max="2049" width="12.7109375" style="45" customWidth="1"/>
    <col min="2050" max="2050" width="13.5703125" style="45" customWidth="1"/>
    <col min="2051" max="2300" width="8.85546875" style="45"/>
    <col min="2301" max="2301" width="5.42578125" style="45" bestFit="1" customWidth="1"/>
    <col min="2302" max="2302" width="69.42578125" style="45" customWidth="1"/>
    <col min="2303" max="2303" width="12.85546875" style="45" bestFit="1" customWidth="1"/>
    <col min="2304" max="2304" width="13.140625" style="45" customWidth="1"/>
    <col min="2305" max="2305" width="12.7109375" style="45" customWidth="1"/>
    <col min="2306" max="2306" width="13.5703125" style="45" customWidth="1"/>
    <col min="2307" max="2556" width="8.85546875" style="45"/>
    <col min="2557" max="2557" width="5.42578125" style="45" bestFit="1" customWidth="1"/>
    <col min="2558" max="2558" width="69.42578125" style="45" customWidth="1"/>
    <col min="2559" max="2559" width="12.85546875" style="45" bestFit="1" customWidth="1"/>
    <col min="2560" max="2560" width="13.140625" style="45" customWidth="1"/>
    <col min="2561" max="2561" width="12.7109375" style="45" customWidth="1"/>
    <col min="2562" max="2562" width="13.5703125" style="45" customWidth="1"/>
    <col min="2563" max="2812" width="8.85546875" style="45"/>
    <col min="2813" max="2813" width="5.42578125" style="45" bestFit="1" customWidth="1"/>
    <col min="2814" max="2814" width="69.42578125" style="45" customWidth="1"/>
    <col min="2815" max="2815" width="12.85546875" style="45" bestFit="1" customWidth="1"/>
    <col min="2816" max="2816" width="13.140625" style="45" customWidth="1"/>
    <col min="2817" max="2817" width="12.7109375" style="45" customWidth="1"/>
    <col min="2818" max="2818" width="13.5703125" style="45" customWidth="1"/>
    <col min="2819" max="3068" width="8.85546875" style="45"/>
    <col min="3069" max="3069" width="5.42578125" style="45" bestFit="1" customWidth="1"/>
    <col min="3070" max="3070" width="69.42578125" style="45" customWidth="1"/>
    <col min="3071" max="3071" width="12.85546875" style="45" bestFit="1" customWidth="1"/>
    <col min="3072" max="3072" width="13.140625" style="45" customWidth="1"/>
    <col min="3073" max="3073" width="12.7109375" style="45" customWidth="1"/>
    <col min="3074" max="3074" width="13.5703125" style="45" customWidth="1"/>
    <col min="3075" max="3324" width="8.85546875" style="45"/>
    <col min="3325" max="3325" width="5.42578125" style="45" bestFit="1" customWidth="1"/>
    <col min="3326" max="3326" width="69.42578125" style="45" customWidth="1"/>
    <col min="3327" max="3327" width="12.85546875" style="45" bestFit="1" customWidth="1"/>
    <col min="3328" max="3328" width="13.140625" style="45" customWidth="1"/>
    <col min="3329" max="3329" width="12.7109375" style="45" customWidth="1"/>
    <col min="3330" max="3330" width="13.5703125" style="45" customWidth="1"/>
    <col min="3331" max="3580" width="8.85546875" style="45"/>
    <col min="3581" max="3581" width="5.42578125" style="45" bestFit="1" customWidth="1"/>
    <col min="3582" max="3582" width="69.42578125" style="45" customWidth="1"/>
    <col min="3583" max="3583" width="12.85546875" style="45" bestFit="1" customWidth="1"/>
    <col min="3584" max="3584" width="13.140625" style="45" customWidth="1"/>
    <col min="3585" max="3585" width="12.7109375" style="45" customWidth="1"/>
    <col min="3586" max="3586" width="13.5703125" style="45" customWidth="1"/>
    <col min="3587" max="3836" width="8.85546875" style="45"/>
    <col min="3837" max="3837" width="5.42578125" style="45" bestFit="1" customWidth="1"/>
    <col min="3838" max="3838" width="69.42578125" style="45" customWidth="1"/>
    <col min="3839" max="3839" width="12.85546875" style="45" bestFit="1" customWidth="1"/>
    <col min="3840" max="3840" width="13.140625" style="45" customWidth="1"/>
    <col min="3841" max="3841" width="12.7109375" style="45" customWidth="1"/>
    <col min="3842" max="3842" width="13.5703125" style="45" customWidth="1"/>
    <col min="3843" max="4092" width="8.85546875" style="45"/>
    <col min="4093" max="4093" width="5.42578125" style="45" bestFit="1" customWidth="1"/>
    <col min="4094" max="4094" width="69.42578125" style="45" customWidth="1"/>
    <col min="4095" max="4095" width="12.85546875" style="45" bestFit="1" customWidth="1"/>
    <col min="4096" max="4096" width="13.140625" style="45" customWidth="1"/>
    <col min="4097" max="4097" width="12.7109375" style="45" customWidth="1"/>
    <col min="4098" max="4098" width="13.5703125" style="45" customWidth="1"/>
    <col min="4099" max="4348" width="8.85546875" style="45"/>
    <col min="4349" max="4349" width="5.42578125" style="45" bestFit="1" customWidth="1"/>
    <col min="4350" max="4350" width="69.42578125" style="45" customWidth="1"/>
    <col min="4351" max="4351" width="12.85546875" style="45" bestFit="1" customWidth="1"/>
    <col min="4352" max="4352" width="13.140625" style="45" customWidth="1"/>
    <col min="4353" max="4353" width="12.7109375" style="45" customWidth="1"/>
    <col min="4354" max="4354" width="13.5703125" style="45" customWidth="1"/>
    <col min="4355" max="4604" width="8.85546875" style="45"/>
    <col min="4605" max="4605" width="5.42578125" style="45" bestFit="1" customWidth="1"/>
    <col min="4606" max="4606" width="69.42578125" style="45" customWidth="1"/>
    <col min="4607" max="4607" width="12.85546875" style="45" bestFit="1" customWidth="1"/>
    <col min="4608" max="4608" width="13.140625" style="45" customWidth="1"/>
    <col min="4609" max="4609" width="12.7109375" style="45" customWidth="1"/>
    <col min="4610" max="4610" width="13.5703125" style="45" customWidth="1"/>
    <col min="4611" max="4860" width="8.85546875" style="45"/>
    <col min="4861" max="4861" width="5.42578125" style="45" bestFit="1" customWidth="1"/>
    <col min="4862" max="4862" width="69.42578125" style="45" customWidth="1"/>
    <col min="4863" max="4863" width="12.85546875" style="45" bestFit="1" customWidth="1"/>
    <col min="4864" max="4864" width="13.140625" style="45" customWidth="1"/>
    <col min="4865" max="4865" width="12.7109375" style="45" customWidth="1"/>
    <col min="4866" max="4866" width="13.5703125" style="45" customWidth="1"/>
    <col min="4867" max="5116" width="8.85546875" style="45"/>
    <col min="5117" max="5117" width="5.42578125" style="45" bestFit="1" customWidth="1"/>
    <col min="5118" max="5118" width="69.42578125" style="45" customWidth="1"/>
    <col min="5119" max="5119" width="12.85546875" style="45" bestFit="1" customWidth="1"/>
    <col min="5120" max="5120" width="13.140625" style="45" customWidth="1"/>
    <col min="5121" max="5121" width="12.7109375" style="45" customWidth="1"/>
    <col min="5122" max="5122" width="13.5703125" style="45" customWidth="1"/>
    <col min="5123" max="5372" width="8.85546875" style="45"/>
    <col min="5373" max="5373" width="5.42578125" style="45" bestFit="1" customWidth="1"/>
    <col min="5374" max="5374" width="69.42578125" style="45" customWidth="1"/>
    <col min="5375" max="5375" width="12.85546875" style="45" bestFit="1" customWidth="1"/>
    <col min="5376" max="5376" width="13.140625" style="45" customWidth="1"/>
    <col min="5377" max="5377" width="12.7109375" style="45" customWidth="1"/>
    <col min="5378" max="5378" width="13.5703125" style="45" customWidth="1"/>
    <col min="5379" max="5628" width="8.85546875" style="45"/>
    <col min="5629" max="5629" width="5.42578125" style="45" bestFit="1" customWidth="1"/>
    <col min="5630" max="5630" width="69.42578125" style="45" customWidth="1"/>
    <col min="5631" max="5631" width="12.85546875" style="45" bestFit="1" customWidth="1"/>
    <col min="5632" max="5632" width="13.140625" style="45" customWidth="1"/>
    <col min="5633" max="5633" width="12.7109375" style="45" customWidth="1"/>
    <col min="5634" max="5634" width="13.5703125" style="45" customWidth="1"/>
    <col min="5635" max="5884" width="8.85546875" style="45"/>
    <col min="5885" max="5885" width="5.42578125" style="45" bestFit="1" customWidth="1"/>
    <col min="5886" max="5886" width="69.42578125" style="45" customWidth="1"/>
    <col min="5887" max="5887" width="12.85546875" style="45" bestFit="1" customWidth="1"/>
    <col min="5888" max="5888" width="13.140625" style="45" customWidth="1"/>
    <col min="5889" max="5889" width="12.7109375" style="45" customWidth="1"/>
    <col min="5890" max="5890" width="13.5703125" style="45" customWidth="1"/>
    <col min="5891" max="6140" width="8.85546875" style="45"/>
    <col min="6141" max="6141" width="5.42578125" style="45" bestFit="1" customWidth="1"/>
    <col min="6142" max="6142" width="69.42578125" style="45" customWidth="1"/>
    <col min="6143" max="6143" width="12.85546875" style="45" bestFit="1" customWidth="1"/>
    <col min="6144" max="6144" width="13.140625" style="45" customWidth="1"/>
    <col min="6145" max="6145" width="12.7109375" style="45" customWidth="1"/>
    <col min="6146" max="6146" width="13.5703125" style="45" customWidth="1"/>
    <col min="6147" max="6396" width="8.85546875" style="45"/>
    <col min="6397" max="6397" width="5.42578125" style="45" bestFit="1" customWidth="1"/>
    <col min="6398" max="6398" width="69.42578125" style="45" customWidth="1"/>
    <col min="6399" max="6399" width="12.85546875" style="45" bestFit="1" customWidth="1"/>
    <col min="6400" max="6400" width="13.140625" style="45" customWidth="1"/>
    <col min="6401" max="6401" width="12.7109375" style="45" customWidth="1"/>
    <col min="6402" max="6402" width="13.5703125" style="45" customWidth="1"/>
    <col min="6403" max="6652" width="8.85546875" style="45"/>
    <col min="6653" max="6653" width="5.42578125" style="45" bestFit="1" customWidth="1"/>
    <col min="6654" max="6654" width="69.42578125" style="45" customWidth="1"/>
    <col min="6655" max="6655" width="12.85546875" style="45" bestFit="1" customWidth="1"/>
    <col min="6656" max="6656" width="13.140625" style="45" customWidth="1"/>
    <col min="6657" max="6657" width="12.7109375" style="45" customWidth="1"/>
    <col min="6658" max="6658" width="13.5703125" style="45" customWidth="1"/>
    <col min="6659" max="6908" width="8.85546875" style="45"/>
    <col min="6909" max="6909" width="5.42578125" style="45" bestFit="1" customWidth="1"/>
    <col min="6910" max="6910" width="69.42578125" style="45" customWidth="1"/>
    <col min="6911" max="6911" width="12.85546875" style="45" bestFit="1" customWidth="1"/>
    <col min="6912" max="6912" width="13.140625" style="45" customWidth="1"/>
    <col min="6913" max="6913" width="12.7109375" style="45" customWidth="1"/>
    <col min="6914" max="6914" width="13.5703125" style="45" customWidth="1"/>
    <col min="6915" max="7164" width="8.85546875" style="45"/>
    <col min="7165" max="7165" width="5.42578125" style="45" bestFit="1" customWidth="1"/>
    <col min="7166" max="7166" width="69.42578125" style="45" customWidth="1"/>
    <col min="7167" max="7167" width="12.85546875" style="45" bestFit="1" customWidth="1"/>
    <col min="7168" max="7168" width="13.140625" style="45" customWidth="1"/>
    <col min="7169" max="7169" width="12.7109375" style="45" customWidth="1"/>
    <col min="7170" max="7170" width="13.5703125" style="45" customWidth="1"/>
    <col min="7171" max="7420" width="8.85546875" style="45"/>
    <col min="7421" max="7421" width="5.42578125" style="45" bestFit="1" customWidth="1"/>
    <col min="7422" max="7422" width="69.42578125" style="45" customWidth="1"/>
    <col min="7423" max="7423" width="12.85546875" style="45" bestFit="1" customWidth="1"/>
    <col min="7424" max="7424" width="13.140625" style="45" customWidth="1"/>
    <col min="7425" max="7425" width="12.7109375" style="45" customWidth="1"/>
    <col min="7426" max="7426" width="13.5703125" style="45" customWidth="1"/>
    <col min="7427" max="7676" width="8.85546875" style="45"/>
    <col min="7677" max="7677" width="5.42578125" style="45" bestFit="1" customWidth="1"/>
    <col min="7678" max="7678" width="69.42578125" style="45" customWidth="1"/>
    <col min="7679" max="7679" width="12.85546875" style="45" bestFit="1" customWidth="1"/>
    <col min="7680" max="7680" width="13.140625" style="45" customWidth="1"/>
    <col min="7681" max="7681" width="12.7109375" style="45" customWidth="1"/>
    <col min="7682" max="7682" width="13.5703125" style="45" customWidth="1"/>
    <col min="7683" max="7932" width="8.85546875" style="45"/>
    <col min="7933" max="7933" width="5.42578125" style="45" bestFit="1" customWidth="1"/>
    <col min="7934" max="7934" width="69.42578125" style="45" customWidth="1"/>
    <col min="7935" max="7935" width="12.85546875" style="45" bestFit="1" customWidth="1"/>
    <col min="7936" max="7936" width="13.140625" style="45" customWidth="1"/>
    <col min="7937" max="7937" width="12.7109375" style="45" customWidth="1"/>
    <col min="7938" max="7938" width="13.5703125" style="45" customWidth="1"/>
    <col min="7939" max="8188" width="8.85546875" style="45"/>
    <col min="8189" max="8189" width="5.42578125" style="45" bestFit="1" customWidth="1"/>
    <col min="8190" max="8190" width="69.42578125" style="45" customWidth="1"/>
    <col min="8191" max="8191" width="12.85546875" style="45" bestFit="1" customWidth="1"/>
    <col min="8192" max="8192" width="13.140625" style="45" customWidth="1"/>
    <col min="8193" max="8193" width="12.7109375" style="45" customWidth="1"/>
    <col min="8194" max="8194" width="13.5703125" style="45" customWidth="1"/>
    <col min="8195" max="8444" width="8.85546875" style="45"/>
    <col min="8445" max="8445" width="5.42578125" style="45" bestFit="1" customWidth="1"/>
    <col min="8446" max="8446" width="69.42578125" style="45" customWidth="1"/>
    <col min="8447" max="8447" width="12.85546875" style="45" bestFit="1" customWidth="1"/>
    <col min="8448" max="8448" width="13.140625" style="45" customWidth="1"/>
    <col min="8449" max="8449" width="12.7109375" style="45" customWidth="1"/>
    <col min="8450" max="8450" width="13.5703125" style="45" customWidth="1"/>
    <col min="8451" max="8700" width="8.85546875" style="45"/>
    <col min="8701" max="8701" width="5.42578125" style="45" bestFit="1" customWidth="1"/>
    <col min="8702" max="8702" width="69.42578125" style="45" customWidth="1"/>
    <col min="8703" max="8703" width="12.85546875" style="45" bestFit="1" customWidth="1"/>
    <col min="8704" max="8704" width="13.140625" style="45" customWidth="1"/>
    <col min="8705" max="8705" width="12.7109375" style="45" customWidth="1"/>
    <col min="8706" max="8706" width="13.5703125" style="45" customWidth="1"/>
    <col min="8707" max="8956" width="8.85546875" style="45"/>
    <col min="8957" max="8957" width="5.42578125" style="45" bestFit="1" customWidth="1"/>
    <col min="8958" max="8958" width="69.42578125" style="45" customWidth="1"/>
    <col min="8959" max="8959" width="12.85546875" style="45" bestFit="1" customWidth="1"/>
    <col min="8960" max="8960" width="13.140625" style="45" customWidth="1"/>
    <col min="8961" max="8961" width="12.7109375" style="45" customWidth="1"/>
    <col min="8962" max="8962" width="13.5703125" style="45" customWidth="1"/>
    <col min="8963" max="9212" width="8.85546875" style="45"/>
    <col min="9213" max="9213" width="5.42578125" style="45" bestFit="1" customWidth="1"/>
    <col min="9214" max="9214" width="69.42578125" style="45" customWidth="1"/>
    <col min="9215" max="9215" width="12.85546875" style="45" bestFit="1" customWidth="1"/>
    <col min="9216" max="9216" width="13.140625" style="45" customWidth="1"/>
    <col min="9217" max="9217" width="12.7109375" style="45" customWidth="1"/>
    <col min="9218" max="9218" width="13.5703125" style="45" customWidth="1"/>
    <col min="9219" max="9468" width="8.85546875" style="45"/>
    <col min="9469" max="9469" width="5.42578125" style="45" bestFit="1" customWidth="1"/>
    <col min="9470" max="9470" width="69.42578125" style="45" customWidth="1"/>
    <col min="9471" max="9471" width="12.85546875" style="45" bestFit="1" customWidth="1"/>
    <col min="9472" max="9472" width="13.140625" style="45" customWidth="1"/>
    <col min="9473" max="9473" width="12.7109375" style="45" customWidth="1"/>
    <col min="9474" max="9474" width="13.5703125" style="45" customWidth="1"/>
    <col min="9475" max="9724" width="8.85546875" style="45"/>
    <col min="9725" max="9725" width="5.42578125" style="45" bestFit="1" customWidth="1"/>
    <col min="9726" max="9726" width="69.42578125" style="45" customWidth="1"/>
    <col min="9727" max="9727" width="12.85546875" style="45" bestFit="1" customWidth="1"/>
    <col min="9728" max="9728" width="13.140625" style="45" customWidth="1"/>
    <col min="9729" max="9729" width="12.7109375" style="45" customWidth="1"/>
    <col min="9730" max="9730" width="13.5703125" style="45" customWidth="1"/>
    <col min="9731" max="9980" width="8.85546875" style="45"/>
    <col min="9981" max="9981" width="5.42578125" style="45" bestFit="1" customWidth="1"/>
    <col min="9982" max="9982" width="69.42578125" style="45" customWidth="1"/>
    <col min="9983" max="9983" width="12.85546875" style="45" bestFit="1" customWidth="1"/>
    <col min="9984" max="9984" width="13.140625" style="45" customWidth="1"/>
    <col min="9985" max="9985" width="12.7109375" style="45" customWidth="1"/>
    <col min="9986" max="9986" width="13.5703125" style="45" customWidth="1"/>
    <col min="9987" max="10236" width="8.85546875" style="45"/>
    <col min="10237" max="10237" width="5.42578125" style="45" bestFit="1" customWidth="1"/>
    <col min="10238" max="10238" width="69.42578125" style="45" customWidth="1"/>
    <col min="10239" max="10239" width="12.85546875" style="45" bestFit="1" customWidth="1"/>
    <col min="10240" max="10240" width="13.140625" style="45" customWidth="1"/>
    <col min="10241" max="10241" width="12.7109375" style="45" customWidth="1"/>
    <col min="10242" max="10242" width="13.5703125" style="45" customWidth="1"/>
    <col min="10243" max="10492" width="8.85546875" style="45"/>
    <col min="10493" max="10493" width="5.42578125" style="45" bestFit="1" customWidth="1"/>
    <col min="10494" max="10494" width="69.42578125" style="45" customWidth="1"/>
    <col min="10495" max="10495" width="12.85546875" style="45" bestFit="1" customWidth="1"/>
    <col min="10496" max="10496" width="13.140625" style="45" customWidth="1"/>
    <col min="10497" max="10497" width="12.7109375" style="45" customWidth="1"/>
    <col min="10498" max="10498" width="13.5703125" style="45" customWidth="1"/>
    <col min="10499" max="10748" width="8.85546875" style="45"/>
    <col min="10749" max="10749" width="5.42578125" style="45" bestFit="1" customWidth="1"/>
    <col min="10750" max="10750" width="69.42578125" style="45" customWidth="1"/>
    <col min="10751" max="10751" width="12.85546875" style="45" bestFit="1" customWidth="1"/>
    <col min="10752" max="10752" width="13.140625" style="45" customWidth="1"/>
    <col min="10753" max="10753" width="12.7109375" style="45" customWidth="1"/>
    <col min="10754" max="10754" width="13.5703125" style="45" customWidth="1"/>
    <col min="10755" max="11004" width="8.85546875" style="45"/>
    <col min="11005" max="11005" width="5.42578125" style="45" bestFit="1" customWidth="1"/>
    <col min="11006" max="11006" width="69.42578125" style="45" customWidth="1"/>
    <col min="11007" max="11007" width="12.85546875" style="45" bestFit="1" customWidth="1"/>
    <col min="11008" max="11008" width="13.140625" style="45" customWidth="1"/>
    <col min="11009" max="11009" width="12.7109375" style="45" customWidth="1"/>
    <col min="11010" max="11010" width="13.5703125" style="45" customWidth="1"/>
    <col min="11011" max="11260" width="8.85546875" style="45"/>
    <col min="11261" max="11261" width="5.42578125" style="45" bestFit="1" customWidth="1"/>
    <col min="11262" max="11262" width="69.42578125" style="45" customWidth="1"/>
    <col min="11263" max="11263" width="12.85546875" style="45" bestFit="1" customWidth="1"/>
    <col min="11264" max="11264" width="13.140625" style="45" customWidth="1"/>
    <col min="11265" max="11265" width="12.7109375" style="45" customWidth="1"/>
    <col min="11266" max="11266" width="13.5703125" style="45" customWidth="1"/>
    <col min="11267" max="11516" width="8.85546875" style="45"/>
    <col min="11517" max="11517" width="5.42578125" style="45" bestFit="1" customWidth="1"/>
    <col min="11518" max="11518" width="69.42578125" style="45" customWidth="1"/>
    <col min="11519" max="11519" width="12.85546875" style="45" bestFit="1" customWidth="1"/>
    <col min="11520" max="11520" width="13.140625" style="45" customWidth="1"/>
    <col min="11521" max="11521" width="12.7109375" style="45" customWidth="1"/>
    <col min="11522" max="11522" width="13.5703125" style="45" customWidth="1"/>
    <col min="11523" max="11772" width="8.85546875" style="45"/>
    <col min="11773" max="11773" width="5.42578125" style="45" bestFit="1" customWidth="1"/>
    <col min="11774" max="11774" width="69.42578125" style="45" customWidth="1"/>
    <col min="11775" max="11775" width="12.85546875" style="45" bestFit="1" customWidth="1"/>
    <col min="11776" max="11776" width="13.140625" style="45" customWidth="1"/>
    <col min="11777" max="11777" width="12.7109375" style="45" customWidth="1"/>
    <col min="11778" max="11778" width="13.5703125" style="45" customWidth="1"/>
    <col min="11779" max="12028" width="8.85546875" style="45"/>
    <col min="12029" max="12029" width="5.42578125" style="45" bestFit="1" customWidth="1"/>
    <col min="12030" max="12030" width="69.42578125" style="45" customWidth="1"/>
    <col min="12031" max="12031" width="12.85546875" style="45" bestFit="1" customWidth="1"/>
    <col min="12032" max="12032" width="13.140625" style="45" customWidth="1"/>
    <col min="12033" max="12033" width="12.7109375" style="45" customWidth="1"/>
    <col min="12034" max="12034" width="13.5703125" style="45" customWidth="1"/>
    <col min="12035" max="12284" width="8.85546875" style="45"/>
    <col min="12285" max="12285" width="5.42578125" style="45" bestFit="1" customWidth="1"/>
    <col min="12286" max="12286" width="69.42578125" style="45" customWidth="1"/>
    <col min="12287" max="12287" width="12.85546875" style="45" bestFit="1" customWidth="1"/>
    <col min="12288" max="12288" width="13.140625" style="45" customWidth="1"/>
    <col min="12289" max="12289" width="12.7109375" style="45" customWidth="1"/>
    <col min="12290" max="12290" width="13.5703125" style="45" customWidth="1"/>
    <col min="12291" max="12540" width="8.85546875" style="45"/>
    <col min="12541" max="12541" width="5.42578125" style="45" bestFit="1" customWidth="1"/>
    <col min="12542" max="12542" width="69.42578125" style="45" customWidth="1"/>
    <col min="12543" max="12543" width="12.85546875" style="45" bestFit="1" customWidth="1"/>
    <col min="12544" max="12544" width="13.140625" style="45" customWidth="1"/>
    <col min="12545" max="12545" width="12.7109375" style="45" customWidth="1"/>
    <col min="12546" max="12546" width="13.5703125" style="45" customWidth="1"/>
    <col min="12547" max="12796" width="8.85546875" style="45"/>
    <col min="12797" max="12797" width="5.42578125" style="45" bestFit="1" customWidth="1"/>
    <col min="12798" max="12798" width="69.42578125" style="45" customWidth="1"/>
    <col min="12799" max="12799" width="12.85546875" style="45" bestFit="1" customWidth="1"/>
    <col min="12800" max="12800" width="13.140625" style="45" customWidth="1"/>
    <col min="12801" max="12801" width="12.7109375" style="45" customWidth="1"/>
    <col min="12802" max="12802" width="13.5703125" style="45" customWidth="1"/>
    <col min="12803" max="13052" width="8.85546875" style="45"/>
    <col min="13053" max="13053" width="5.42578125" style="45" bestFit="1" customWidth="1"/>
    <col min="13054" max="13054" width="69.42578125" style="45" customWidth="1"/>
    <col min="13055" max="13055" width="12.85546875" style="45" bestFit="1" customWidth="1"/>
    <col min="13056" max="13056" width="13.140625" style="45" customWidth="1"/>
    <col min="13057" max="13057" width="12.7109375" style="45" customWidth="1"/>
    <col min="13058" max="13058" width="13.5703125" style="45" customWidth="1"/>
    <col min="13059" max="13308" width="8.85546875" style="45"/>
    <col min="13309" max="13309" width="5.42578125" style="45" bestFit="1" customWidth="1"/>
    <col min="13310" max="13310" width="69.42578125" style="45" customWidth="1"/>
    <col min="13311" max="13311" width="12.85546875" style="45" bestFit="1" customWidth="1"/>
    <col min="13312" max="13312" width="13.140625" style="45" customWidth="1"/>
    <col min="13313" max="13313" width="12.7109375" style="45" customWidth="1"/>
    <col min="13314" max="13314" width="13.5703125" style="45" customWidth="1"/>
    <col min="13315" max="13564" width="8.85546875" style="45"/>
    <col min="13565" max="13565" width="5.42578125" style="45" bestFit="1" customWidth="1"/>
    <col min="13566" max="13566" width="69.42578125" style="45" customWidth="1"/>
    <col min="13567" max="13567" width="12.85546875" style="45" bestFit="1" customWidth="1"/>
    <col min="13568" max="13568" width="13.140625" style="45" customWidth="1"/>
    <col min="13569" max="13569" width="12.7109375" style="45" customWidth="1"/>
    <col min="13570" max="13570" width="13.5703125" style="45" customWidth="1"/>
    <col min="13571" max="13820" width="8.85546875" style="45"/>
    <col min="13821" max="13821" width="5.42578125" style="45" bestFit="1" customWidth="1"/>
    <col min="13822" max="13822" width="69.42578125" style="45" customWidth="1"/>
    <col min="13823" max="13823" width="12.85546875" style="45" bestFit="1" customWidth="1"/>
    <col min="13824" max="13824" width="13.140625" style="45" customWidth="1"/>
    <col min="13825" max="13825" width="12.7109375" style="45" customWidth="1"/>
    <col min="13826" max="13826" width="13.5703125" style="45" customWidth="1"/>
    <col min="13827" max="14076" width="8.85546875" style="45"/>
    <col min="14077" max="14077" width="5.42578125" style="45" bestFit="1" customWidth="1"/>
    <col min="14078" max="14078" width="69.42578125" style="45" customWidth="1"/>
    <col min="14079" max="14079" width="12.85546875" style="45" bestFit="1" customWidth="1"/>
    <col min="14080" max="14080" width="13.140625" style="45" customWidth="1"/>
    <col min="14081" max="14081" width="12.7109375" style="45" customWidth="1"/>
    <col min="14082" max="14082" width="13.5703125" style="45" customWidth="1"/>
    <col min="14083" max="14332" width="8.85546875" style="45"/>
    <col min="14333" max="14333" width="5.42578125" style="45" bestFit="1" customWidth="1"/>
    <col min="14334" max="14334" width="69.42578125" style="45" customWidth="1"/>
    <col min="14335" max="14335" width="12.85546875" style="45" bestFit="1" customWidth="1"/>
    <col min="14336" max="14336" width="13.140625" style="45" customWidth="1"/>
    <col min="14337" max="14337" width="12.7109375" style="45" customWidth="1"/>
    <col min="14338" max="14338" width="13.5703125" style="45" customWidth="1"/>
    <col min="14339" max="14588" width="8.85546875" style="45"/>
    <col min="14589" max="14589" width="5.42578125" style="45" bestFit="1" customWidth="1"/>
    <col min="14590" max="14590" width="69.42578125" style="45" customWidth="1"/>
    <col min="14591" max="14591" width="12.85546875" style="45" bestFit="1" customWidth="1"/>
    <col min="14592" max="14592" width="13.140625" style="45" customWidth="1"/>
    <col min="14593" max="14593" width="12.7109375" style="45" customWidth="1"/>
    <col min="14594" max="14594" width="13.5703125" style="45" customWidth="1"/>
    <col min="14595" max="14844" width="8.85546875" style="45"/>
    <col min="14845" max="14845" width="5.42578125" style="45" bestFit="1" customWidth="1"/>
    <col min="14846" max="14846" width="69.42578125" style="45" customWidth="1"/>
    <col min="14847" max="14847" width="12.85546875" style="45" bestFit="1" customWidth="1"/>
    <col min="14848" max="14848" width="13.140625" style="45" customWidth="1"/>
    <col min="14849" max="14849" width="12.7109375" style="45" customWidth="1"/>
    <col min="14850" max="14850" width="13.5703125" style="45" customWidth="1"/>
    <col min="14851" max="15100" width="8.85546875" style="45"/>
    <col min="15101" max="15101" width="5.42578125" style="45" bestFit="1" customWidth="1"/>
    <col min="15102" max="15102" width="69.42578125" style="45" customWidth="1"/>
    <col min="15103" max="15103" width="12.85546875" style="45" bestFit="1" customWidth="1"/>
    <col min="15104" max="15104" width="13.140625" style="45" customWidth="1"/>
    <col min="15105" max="15105" width="12.7109375" style="45" customWidth="1"/>
    <col min="15106" max="15106" width="13.5703125" style="45" customWidth="1"/>
    <col min="15107" max="15356" width="8.85546875" style="45"/>
    <col min="15357" max="15357" width="5.42578125" style="45" bestFit="1" customWidth="1"/>
    <col min="15358" max="15358" width="69.42578125" style="45" customWidth="1"/>
    <col min="15359" max="15359" width="12.85546875" style="45" bestFit="1" customWidth="1"/>
    <col min="15360" max="15360" width="13.140625" style="45" customWidth="1"/>
    <col min="15361" max="15361" width="12.7109375" style="45" customWidth="1"/>
    <col min="15362" max="15362" width="13.5703125" style="45" customWidth="1"/>
    <col min="15363" max="15612" width="8.85546875" style="45"/>
    <col min="15613" max="15613" width="5.42578125" style="45" bestFit="1" customWidth="1"/>
    <col min="15614" max="15614" width="69.42578125" style="45" customWidth="1"/>
    <col min="15615" max="15615" width="12.85546875" style="45" bestFit="1" customWidth="1"/>
    <col min="15616" max="15616" width="13.140625" style="45" customWidth="1"/>
    <col min="15617" max="15617" width="12.7109375" style="45" customWidth="1"/>
    <col min="15618" max="15618" width="13.5703125" style="45" customWidth="1"/>
    <col min="15619" max="15868" width="8.85546875" style="45"/>
    <col min="15869" max="15869" width="5.42578125" style="45" bestFit="1" customWidth="1"/>
    <col min="15870" max="15870" width="69.42578125" style="45" customWidth="1"/>
    <col min="15871" max="15871" width="12.85546875" style="45" bestFit="1" customWidth="1"/>
    <col min="15872" max="15872" width="13.140625" style="45" customWidth="1"/>
    <col min="15873" max="15873" width="12.7109375" style="45" customWidth="1"/>
    <col min="15874" max="15874" width="13.5703125" style="45" customWidth="1"/>
    <col min="15875" max="16124" width="8.85546875" style="45"/>
    <col min="16125" max="16125" width="5.42578125" style="45" bestFit="1" customWidth="1"/>
    <col min="16126" max="16126" width="69.42578125" style="45" customWidth="1"/>
    <col min="16127" max="16127" width="12.85546875" style="45" bestFit="1" customWidth="1"/>
    <col min="16128" max="16128" width="13.140625" style="45" customWidth="1"/>
    <col min="16129" max="16129" width="12.7109375" style="45" customWidth="1"/>
    <col min="16130" max="16130" width="13.5703125" style="45" customWidth="1"/>
    <col min="16131" max="16384" width="8.85546875" style="45"/>
  </cols>
  <sheetData>
    <row r="2" spans="1:5" ht="14.45" x14ac:dyDescent="0.3">
      <c r="E2" s="46"/>
    </row>
    <row r="3" spans="1:5" ht="14.45" x14ac:dyDescent="0.3">
      <c r="A3" s="47"/>
      <c r="B3" s="48"/>
      <c r="C3" s="48"/>
      <c r="D3" s="48"/>
      <c r="E3" s="46"/>
    </row>
    <row r="4" spans="1:5" ht="14.45" x14ac:dyDescent="0.3">
      <c r="A4" s="49"/>
      <c r="B4" s="49"/>
      <c r="C4" s="49"/>
      <c r="D4" s="49"/>
      <c r="E4" s="80"/>
    </row>
    <row r="5" spans="1:5" ht="14.45" x14ac:dyDescent="0.3">
      <c r="A5" s="50"/>
      <c r="B5" s="50"/>
      <c r="C5" s="50"/>
      <c r="D5" s="50"/>
      <c r="E5" s="50"/>
    </row>
    <row r="6" spans="1:5" ht="14.45" x14ac:dyDescent="0.3">
      <c r="A6" s="51" t="s">
        <v>0</v>
      </c>
      <c r="B6" s="52"/>
      <c r="C6" s="52"/>
      <c r="D6" s="52"/>
      <c r="E6" s="52"/>
    </row>
    <row r="7" spans="1:5" ht="14.45" x14ac:dyDescent="0.3">
      <c r="A7" s="51" t="s">
        <v>88</v>
      </c>
      <c r="B7" s="52"/>
      <c r="C7" s="52"/>
      <c r="D7" s="52"/>
      <c r="E7" s="52"/>
    </row>
    <row r="8" spans="1:5" ht="14.45" x14ac:dyDescent="0.3">
      <c r="A8" s="51" t="s">
        <v>81</v>
      </c>
      <c r="B8" s="52"/>
      <c r="C8" s="52"/>
      <c r="D8" s="52"/>
      <c r="E8" s="52"/>
    </row>
    <row r="9" spans="1:5" ht="14.45" x14ac:dyDescent="0.3">
      <c r="A9" s="51" t="s">
        <v>50</v>
      </c>
      <c r="B9" s="52"/>
      <c r="C9" s="52"/>
      <c r="D9" s="52"/>
      <c r="E9" s="52"/>
    </row>
    <row r="10" spans="1:5" ht="14.45" x14ac:dyDescent="0.3">
      <c r="A10" s="50"/>
      <c r="B10" s="53"/>
      <c r="C10" s="53"/>
      <c r="D10" s="53"/>
      <c r="E10" s="53"/>
    </row>
    <row r="11" spans="1:5" ht="14.45" x14ac:dyDescent="0.3">
      <c r="A11" s="54" t="s">
        <v>1</v>
      </c>
      <c r="B11" s="55"/>
      <c r="C11" s="55"/>
      <c r="D11" s="55"/>
      <c r="E11" s="55"/>
    </row>
    <row r="12" spans="1:5" ht="14.45" x14ac:dyDescent="0.3">
      <c r="A12" s="56" t="s">
        <v>2</v>
      </c>
      <c r="B12" s="57" t="s">
        <v>3</v>
      </c>
      <c r="C12" s="58"/>
      <c r="D12" s="58"/>
      <c r="E12" s="57" t="s">
        <v>4</v>
      </c>
    </row>
    <row r="13" spans="1:5" ht="14.45" x14ac:dyDescent="0.3">
      <c r="A13" s="59"/>
      <c r="B13" s="59"/>
      <c r="C13" s="59"/>
      <c r="D13" s="59"/>
      <c r="E13" s="59"/>
    </row>
    <row r="14" spans="1:5" ht="14.45" x14ac:dyDescent="0.3">
      <c r="A14" s="60"/>
      <c r="B14" s="61" t="s">
        <v>5</v>
      </c>
      <c r="C14" s="61"/>
      <c r="D14" s="62"/>
      <c r="E14" s="62"/>
    </row>
    <row r="15" spans="1:5" ht="14.45" x14ac:dyDescent="0.3">
      <c r="A15" s="63">
        <v>1</v>
      </c>
      <c r="B15" s="64"/>
      <c r="C15" s="64" t="s">
        <v>6</v>
      </c>
      <c r="D15" s="64" t="s">
        <v>7</v>
      </c>
      <c r="E15" s="64" t="s">
        <v>8</v>
      </c>
    </row>
    <row r="16" spans="1:5" ht="14.45" x14ac:dyDescent="0.3">
      <c r="A16" s="63">
        <f t="shared" ref="A16:A37" si="0">A15+1</f>
        <v>2</v>
      </c>
      <c r="B16" s="65" t="s">
        <v>9</v>
      </c>
      <c r="C16" s="65"/>
      <c r="D16" s="65"/>
      <c r="E16" s="66"/>
    </row>
    <row r="17" spans="1:9" ht="14.45" x14ac:dyDescent="0.3">
      <c r="A17" s="63">
        <f t="shared" si="0"/>
        <v>3</v>
      </c>
      <c r="B17" s="67" t="s">
        <v>14</v>
      </c>
      <c r="C17" s="81">
        <f>+'Storm O&amp;M CY 2010-2018'!J6</f>
        <v>349350.51</v>
      </c>
      <c r="D17" s="81">
        <f>+'Storm O&amp;M CY 2010-2018'!K6</f>
        <v>9163881.7299999986</v>
      </c>
      <c r="E17" s="81">
        <f t="shared" ref="E17:E22" si="1">SUM(C17:D17)</f>
        <v>9513232.2399999984</v>
      </c>
      <c r="G17" s="81"/>
      <c r="H17" s="81"/>
      <c r="I17" s="81"/>
    </row>
    <row r="18" spans="1:9" ht="14.45" x14ac:dyDescent="0.3">
      <c r="A18" s="63">
        <f t="shared" si="0"/>
        <v>4</v>
      </c>
      <c r="B18" s="67" t="s">
        <v>15</v>
      </c>
      <c r="C18" s="68">
        <f>+'Storm O&amp;M CY 2010-2018'!J7</f>
        <v>505310.57</v>
      </c>
      <c r="D18" s="68">
        <f>+'Storm O&amp;M CY 2010-2018'!K7</f>
        <v>11176182.680000002</v>
      </c>
      <c r="E18" s="68">
        <f t="shared" si="1"/>
        <v>11681493.250000002</v>
      </c>
      <c r="G18" s="68"/>
      <c r="H18" s="68"/>
      <c r="I18" s="68"/>
    </row>
    <row r="19" spans="1:9" ht="14.45" x14ac:dyDescent="0.3">
      <c r="A19" s="63">
        <f t="shared" si="0"/>
        <v>5</v>
      </c>
      <c r="B19" s="67" t="s">
        <v>16</v>
      </c>
      <c r="C19" s="68">
        <f>+'Storm O&amp;M CY 2010-2018'!J8</f>
        <v>588383.06999999995</v>
      </c>
      <c r="D19" s="68">
        <f>+'Storm O&amp;M CY 2010-2018'!K8</f>
        <v>10572644.470000001</v>
      </c>
      <c r="E19" s="68">
        <f t="shared" si="1"/>
        <v>11161027.540000001</v>
      </c>
      <c r="G19" s="68"/>
      <c r="H19" s="68"/>
      <c r="I19" s="68"/>
    </row>
    <row r="20" spans="1:9" ht="14.45" x14ac:dyDescent="0.3">
      <c r="A20" s="63">
        <f t="shared" si="0"/>
        <v>6</v>
      </c>
      <c r="B20" s="67" t="s">
        <v>17</v>
      </c>
      <c r="C20" s="68">
        <f>+'Storm O&amp;M CY 2010-2018'!J9</f>
        <v>292660.62</v>
      </c>
      <c r="D20" s="68">
        <f>+'Storm O&amp;M CY 2010-2018'!K9</f>
        <v>9249534.4400000013</v>
      </c>
      <c r="E20" s="68">
        <f t="shared" si="1"/>
        <v>9542195.0600000005</v>
      </c>
      <c r="G20" s="68"/>
      <c r="H20" s="68"/>
      <c r="I20" s="68"/>
    </row>
    <row r="21" spans="1:9" ht="14.45" x14ac:dyDescent="0.3">
      <c r="A21" s="63">
        <f t="shared" si="0"/>
        <v>7</v>
      </c>
      <c r="B21" s="67" t="s">
        <v>38</v>
      </c>
      <c r="C21" s="68">
        <f>+'Storm O&amp;M CY 2010-2018'!J10</f>
        <v>560519.69999999995</v>
      </c>
      <c r="D21" s="68">
        <f>+'Storm O&amp;M CY 2010-2018'!K10</f>
        <v>8645867.5700000003</v>
      </c>
      <c r="E21" s="69">
        <f t="shared" si="1"/>
        <v>9206387.2699999996</v>
      </c>
      <c r="G21" s="68"/>
      <c r="H21" s="68"/>
      <c r="I21" s="69"/>
    </row>
    <row r="22" spans="1:9" ht="14.45" x14ac:dyDescent="0.3">
      <c r="A22" s="63">
        <f t="shared" si="0"/>
        <v>8</v>
      </c>
      <c r="B22" s="67" t="s">
        <v>40</v>
      </c>
      <c r="C22" s="84">
        <f>+'Storm O&amp;M CY 2010-2018'!J15</f>
        <v>591854.06999999995</v>
      </c>
      <c r="D22" s="84">
        <f>+'Storm O&amp;M CY 2010-2018'!K15</f>
        <v>10149755.049999999</v>
      </c>
      <c r="E22" s="70">
        <f t="shared" si="1"/>
        <v>10741609.119999999</v>
      </c>
      <c r="G22" s="68"/>
      <c r="H22" s="68"/>
      <c r="I22" s="69"/>
    </row>
    <row r="23" spans="1:9" ht="14.45" x14ac:dyDescent="0.3">
      <c r="A23" s="63">
        <f t="shared" si="0"/>
        <v>9</v>
      </c>
      <c r="B23" s="71" t="s">
        <v>10</v>
      </c>
      <c r="C23" s="72">
        <f>SUM(C17:C22)</f>
        <v>2888078.5399999996</v>
      </c>
      <c r="D23" s="72">
        <f>SUM(D17:D22)</f>
        <v>58957865.940000005</v>
      </c>
      <c r="E23" s="72">
        <f>SUM(E17:E22)</f>
        <v>61845944.479999997</v>
      </c>
      <c r="G23" s="68"/>
      <c r="H23" s="68"/>
      <c r="I23" s="69"/>
    </row>
    <row r="24" spans="1:9" ht="14.45" x14ac:dyDescent="0.3">
      <c r="A24" s="63">
        <f t="shared" si="0"/>
        <v>10</v>
      </c>
      <c r="B24" s="59"/>
      <c r="C24" s="73"/>
      <c r="D24" s="73"/>
      <c r="E24" s="73"/>
      <c r="G24" s="68"/>
      <c r="H24" s="68"/>
      <c r="I24" s="69"/>
    </row>
    <row r="25" spans="1:9" x14ac:dyDescent="0.25">
      <c r="A25" s="63">
        <f t="shared" si="0"/>
        <v>11</v>
      </c>
      <c r="B25" s="59" t="s">
        <v>11</v>
      </c>
      <c r="C25" s="74">
        <f>C23/6</f>
        <v>481346.42333333328</v>
      </c>
      <c r="D25" s="74">
        <f>D23/6</f>
        <v>9826310.9900000002</v>
      </c>
      <c r="E25" s="69">
        <f>+E23/6</f>
        <v>10307657.413333332</v>
      </c>
      <c r="G25" s="68"/>
      <c r="H25" s="68"/>
      <c r="I25" s="69"/>
    </row>
    <row r="26" spans="1:9" ht="14.45" x14ac:dyDescent="0.3">
      <c r="A26" s="63">
        <f t="shared" si="0"/>
        <v>12</v>
      </c>
      <c r="B26" s="59"/>
      <c r="C26" s="73"/>
      <c r="D26" s="73"/>
      <c r="E26" s="73"/>
      <c r="G26" s="68"/>
      <c r="H26" s="68"/>
      <c r="I26" s="69"/>
    </row>
    <row r="27" spans="1:9" ht="14.45" x14ac:dyDescent="0.3">
      <c r="A27" s="63">
        <f t="shared" si="0"/>
        <v>13</v>
      </c>
      <c r="B27" s="75" t="s">
        <v>42</v>
      </c>
      <c r="C27" s="76"/>
      <c r="D27" s="76"/>
      <c r="E27" s="73"/>
      <c r="G27" s="68"/>
      <c r="H27" s="68"/>
      <c r="I27" s="69"/>
    </row>
    <row r="28" spans="1:9" ht="14.45" x14ac:dyDescent="0.3">
      <c r="A28" s="63">
        <f t="shared" si="0"/>
        <v>14</v>
      </c>
      <c r="B28" s="77" t="s">
        <v>12</v>
      </c>
      <c r="C28" s="70">
        <f>+'Storm O&amp;M CY 2010-2018'!J11</f>
        <v>588691.1</v>
      </c>
      <c r="D28" s="70">
        <f>+'Storm O&amp;M CY 2010-2018'!K11</f>
        <v>9705041.1899999995</v>
      </c>
      <c r="E28" s="70">
        <f t="shared" ref="E28" si="2">SUM(C28:D28)</f>
        <v>10293732.289999999</v>
      </c>
      <c r="G28" s="68"/>
      <c r="H28" s="68"/>
      <c r="I28" s="69"/>
    </row>
    <row r="29" spans="1:9" ht="14.45" x14ac:dyDescent="0.3">
      <c r="A29" s="63">
        <f t="shared" si="0"/>
        <v>15</v>
      </c>
      <c r="B29" s="59"/>
      <c r="C29" s="73"/>
      <c r="D29" s="73"/>
      <c r="E29" s="73"/>
      <c r="G29" s="68"/>
      <c r="H29" s="68"/>
      <c r="I29" s="69"/>
    </row>
    <row r="30" spans="1:9" ht="14.45" customHeight="1" x14ac:dyDescent="0.3">
      <c r="A30" s="63">
        <f t="shared" si="0"/>
        <v>16</v>
      </c>
      <c r="B30" s="78" t="s">
        <v>13</v>
      </c>
      <c r="C30" s="69">
        <f>C25-C28</f>
        <v>-107344.6766666667</v>
      </c>
      <c r="D30" s="69">
        <f>D25-D28</f>
        <v>121269.80000000075</v>
      </c>
      <c r="E30" s="69">
        <f>E25-E28</f>
        <v>13925.12333333306</v>
      </c>
      <c r="G30" s="68"/>
      <c r="H30" s="68"/>
      <c r="I30" s="69"/>
    </row>
    <row r="31" spans="1:9" ht="14.45" customHeight="1" x14ac:dyDescent="0.3">
      <c r="A31" s="63">
        <f t="shared" si="0"/>
        <v>17</v>
      </c>
      <c r="B31" s="59"/>
      <c r="C31" s="73"/>
      <c r="D31" s="73"/>
      <c r="E31" s="73"/>
      <c r="G31" s="68"/>
      <c r="H31" s="68"/>
      <c r="I31" s="69"/>
    </row>
    <row r="32" spans="1:9" ht="14.45" customHeight="1" x14ac:dyDescent="0.3">
      <c r="A32" s="63">
        <f t="shared" si="0"/>
        <v>18</v>
      </c>
      <c r="B32" s="82" t="s">
        <v>41</v>
      </c>
      <c r="C32" s="73"/>
      <c r="D32" s="121">
        <v>0.21</v>
      </c>
      <c r="E32" s="70">
        <f>-E30*D32</f>
        <v>-2924.2758999999423</v>
      </c>
      <c r="G32" s="68"/>
      <c r="H32" s="68"/>
      <c r="I32" s="69"/>
    </row>
    <row r="33" spans="1:9" ht="14.45" customHeight="1" x14ac:dyDescent="0.3">
      <c r="A33" s="63">
        <f t="shared" si="0"/>
        <v>19</v>
      </c>
      <c r="B33" s="59"/>
      <c r="C33" s="73"/>
      <c r="D33" s="73"/>
      <c r="E33" s="73"/>
      <c r="G33" s="68"/>
      <c r="H33" s="68"/>
      <c r="I33" s="69"/>
    </row>
    <row r="34" spans="1:9" ht="14.45" customHeight="1" thickBot="1" x14ac:dyDescent="0.35">
      <c r="A34" s="63">
        <f t="shared" si="0"/>
        <v>20</v>
      </c>
      <c r="B34" s="82" t="s">
        <v>18</v>
      </c>
      <c r="C34" s="73"/>
      <c r="D34" s="73"/>
      <c r="E34" s="83">
        <f>-E30-E32</f>
        <v>-11000.847433333118</v>
      </c>
      <c r="G34" s="68"/>
      <c r="H34" s="68"/>
      <c r="I34" s="69"/>
    </row>
    <row r="35" spans="1:9" thickTop="1" x14ac:dyDescent="0.3">
      <c r="A35" s="63">
        <f t="shared" si="0"/>
        <v>21</v>
      </c>
      <c r="C35" s="79"/>
      <c r="G35" s="68"/>
      <c r="H35" s="68"/>
      <c r="I35" s="69"/>
    </row>
    <row r="36" spans="1:9" ht="14.45" x14ac:dyDescent="0.3">
      <c r="A36" s="63">
        <f t="shared" si="0"/>
        <v>22</v>
      </c>
      <c r="C36" s="79"/>
    </row>
    <row r="37" spans="1:9" ht="14.45" x14ac:dyDescent="0.3">
      <c r="A37" s="63">
        <f t="shared" si="0"/>
        <v>23</v>
      </c>
      <c r="B37" s="61" t="s">
        <v>43</v>
      </c>
      <c r="C37" s="61"/>
      <c r="D37" s="62"/>
      <c r="E37" s="62"/>
    </row>
    <row r="38" spans="1:9" ht="14.45" x14ac:dyDescent="0.3">
      <c r="A38" s="63">
        <v>24</v>
      </c>
      <c r="B38" s="85" t="s">
        <v>105</v>
      </c>
      <c r="D38" s="115" t="s">
        <v>106</v>
      </c>
      <c r="E38" s="118" t="s">
        <v>107</v>
      </c>
    </row>
    <row r="39" spans="1:9" x14ac:dyDescent="0.25">
      <c r="A39" s="63">
        <v>25</v>
      </c>
      <c r="B39" s="86" t="s">
        <v>108</v>
      </c>
      <c r="D39" s="116" t="s">
        <v>109</v>
      </c>
      <c r="E39" s="119" t="s">
        <v>110</v>
      </c>
    </row>
    <row r="40" spans="1:9" x14ac:dyDescent="0.25">
      <c r="A40" s="63">
        <v>26</v>
      </c>
      <c r="B40" s="87"/>
      <c r="D40" s="88"/>
      <c r="E40" s="73"/>
    </row>
    <row r="41" spans="1:9" x14ac:dyDescent="0.25">
      <c r="A41" s="63">
        <v>27</v>
      </c>
      <c r="B41" s="87" t="s">
        <v>111</v>
      </c>
      <c r="D41" s="117">
        <f>SUM('Existing Storm Amortizations'!D14:D25)</f>
        <v>16261541.159999998</v>
      </c>
      <c r="E41" s="117">
        <f>SUM('Existing Storm Amortizations'!D42:D53)</f>
        <v>16261541.159999998</v>
      </c>
    </row>
    <row r="42" spans="1:9" x14ac:dyDescent="0.25">
      <c r="A42" s="63">
        <v>28</v>
      </c>
      <c r="B42" s="87" t="s">
        <v>112</v>
      </c>
      <c r="D42" s="117">
        <f>SUM('Existing Storm Amortizations'!K14:K25)</f>
        <v>9061378.8000000026</v>
      </c>
      <c r="E42" s="117">
        <f>SUM('Existing Storm Amortizations'!K42:K53)</f>
        <v>9061378.8000000026</v>
      </c>
    </row>
    <row r="43" spans="1:9" x14ac:dyDescent="0.25">
      <c r="A43" s="63">
        <v>29</v>
      </c>
      <c r="B43" s="90"/>
      <c r="C43" s="89"/>
      <c r="D43" s="73"/>
      <c r="E43" s="73"/>
    </row>
    <row r="44" spans="1:9" x14ac:dyDescent="0.25">
      <c r="A44" s="63">
        <v>30</v>
      </c>
      <c r="B44" s="85" t="s">
        <v>113</v>
      </c>
      <c r="C44" s="89"/>
      <c r="D44" s="73"/>
      <c r="E44" s="73"/>
    </row>
    <row r="45" spans="1:9" x14ac:dyDescent="0.25">
      <c r="A45" s="63">
        <v>31</v>
      </c>
      <c r="B45" s="90" t="s">
        <v>44</v>
      </c>
      <c r="C45" s="120">
        <v>12707858.34</v>
      </c>
      <c r="D45" s="73"/>
      <c r="E45" s="73"/>
    </row>
    <row r="46" spans="1:9" x14ac:dyDescent="0.25">
      <c r="A46" s="63">
        <v>33</v>
      </c>
      <c r="B46" s="90" t="s">
        <v>51</v>
      </c>
      <c r="C46" s="120">
        <v>12865110.050000001</v>
      </c>
      <c r="D46" s="73"/>
      <c r="E46" s="73"/>
    </row>
    <row r="47" spans="1:9" x14ac:dyDescent="0.25">
      <c r="A47" s="63">
        <v>34</v>
      </c>
      <c r="B47" s="90" t="s">
        <v>101</v>
      </c>
      <c r="C47" s="120">
        <v>28512102.969999999</v>
      </c>
      <c r="D47" s="73"/>
      <c r="E47" s="73"/>
    </row>
    <row r="48" spans="1:9" x14ac:dyDescent="0.25">
      <c r="A48" s="63">
        <v>34</v>
      </c>
      <c r="B48" s="86" t="s">
        <v>114</v>
      </c>
      <c r="C48" s="91">
        <f>SUM(C45:C47)</f>
        <v>54085071.359999999</v>
      </c>
      <c r="D48" s="73"/>
      <c r="E48" s="73"/>
    </row>
    <row r="49" spans="1:7" x14ac:dyDescent="0.25">
      <c r="A49" s="63">
        <v>35</v>
      </c>
      <c r="B49" s="86"/>
    </row>
    <row r="50" spans="1:7" x14ac:dyDescent="0.25">
      <c r="A50" s="63">
        <v>36</v>
      </c>
      <c r="B50" s="86" t="s">
        <v>87</v>
      </c>
      <c r="C50" s="73"/>
      <c r="E50" s="122">
        <f>(C48/48)*12</f>
        <v>13521267.84</v>
      </c>
    </row>
    <row r="51" spans="1:7" x14ac:dyDescent="0.25">
      <c r="A51" s="63">
        <v>37</v>
      </c>
      <c r="B51" s="86"/>
      <c r="C51" s="73"/>
      <c r="D51" s="92"/>
      <c r="E51" s="69"/>
    </row>
    <row r="52" spans="1:7" x14ac:dyDescent="0.25">
      <c r="A52" s="63">
        <v>38</v>
      </c>
      <c r="B52" s="86" t="s">
        <v>115</v>
      </c>
      <c r="C52" s="69"/>
      <c r="D52" s="92"/>
      <c r="E52" s="117">
        <f>+E50+E41+E42</f>
        <v>38844187.800000004</v>
      </c>
    </row>
    <row r="53" spans="1:7" x14ac:dyDescent="0.25">
      <c r="A53" s="63">
        <v>39</v>
      </c>
    </row>
    <row r="54" spans="1:7" x14ac:dyDescent="0.25">
      <c r="A54" s="63">
        <v>40</v>
      </c>
      <c r="B54" s="86" t="s">
        <v>45</v>
      </c>
      <c r="C54" s="73"/>
      <c r="D54" s="70">
        <f>+'TY2018 Amort'!C12</f>
        <v>25322916</v>
      </c>
      <c r="E54" s="69"/>
    </row>
    <row r="55" spans="1:7" x14ac:dyDescent="0.25">
      <c r="A55" s="63">
        <v>41</v>
      </c>
      <c r="B55" s="86"/>
      <c r="C55" s="73"/>
      <c r="D55" s="73"/>
    </row>
    <row r="56" spans="1:7" x14ac:dyDescent="0.25">
      <c r="A56" s="63">
        <v>42</v>
      </c>
      <c r="B56" s="78" t="s">
        <v>46</v>
      </c>
      <c r="C56" s="93"/>
      <c r="D56" s="73"/>
      <c r="E56" s="69">
        <f>+E52-D54</f>
        <v>13521271.800000004</v>
      </c>
    </row>
    <row r="57" spans="1:7" x14ac:dyDescent="0.25">
      <c r="A57" s="63">
        <v>43</v>
      </c>
      <c r="B57" s="86"/>
      <c r="C57" s="73"/>
      <c r="D57" s="73"/>
      <c r="E57" s="69"/>
      <c r="G57" s="94"/>
    </row>
    <row r="58" spans="1:7" x14ac:dyDescent="0.25">
      <c r="A58" s="63">
        <v>44</v>
      </c>
      <c r="B58" s="94" t="s">
        <v>116</v>
      </c>
      <c r="C58" s="76"/>
      <c r="D58" s="96"/>
      <c r="E58" s="69"/>
    </row>
    <row r="59" spans="1:7" x14ac:dyDescent="0.25">
      <c r="A59" s="63">
        <v>45</v>
      </c>
      <c r="B59" s="82"/>
      <c r="C59" s="95"/>
    </row>
    <row r="60" spans="1:7" x14ac:dyDescent="0.25">
      <c r="A60" s="63">
        <v>46</v>
      </c>
      <c r="B60" s="82" t="s">
        <v>117</v>
      </c>
      <c r="C60" s="95"/>
      <c r="D60" s="121">
        <v>0.21</v>
      </c>
      <c r="E60" s="70">
        <f>-E56*D60</f>
        <v>-2839467.0780000007</v>
      </c>
    </row>
    <row r="61" spans="1:7" x14ac:dyDescent="0.25">
      <c r="A61" s="63">
        <v>47</v>
      </c>
      <c r="B61" s="82"/>
      <c r="C61" s="95"/>
      <c r="D61" s="73"/>
      <c r="E61" s="69"/>
    </row>
    <row r="62" spans="1:7" ht="15.75" thickBot="1" x14ac:dyDescent="0.3">
      <c r="A62" s="63">
        <v>48</v>
      </c>
      <c r="B62" s="82" t="s">
        <v>18</v>
      </c>
      <c r="C62" s="95"/>
      <c r="D62" s="73"/>
      <c r="E62" s="83">
        <f>-E56-E60</f>
        <v>-10681804.722000003</v>
      </c>
    </row>
    <row r="63" spans="1:7" ht="15.75" thickTop="1" x14ac:dyDescent="0.25">
      <c r="A63" s="63">
        <v>49</v>
      </c>
      <c r="C63" s="79"/>
    </row>
    <row r="64" spans="1:7" x14ac:dyDescent="0.25">
      <c r="A64" s="63">
        <v>50</v>
      </c>
      <c r="C64" s="79"/>
    </row>
    <row r="65" spans="1:3" x14ac:dyDescent="0.25">
      <c r="A65" s="63">
        <v>51</v>
      </c>
      <c r="C65" s="79"/>
    </row>
    <row r="66" spans="1:3" x14ac:dyDescent="0.25">
      <c r="A66" s="63"/>
      <c r="B66" s="86"/>
      <c r="C66" s="79"/>
    </row>
    <row r="67" spans="1:3" x14ac:dyDescent="0.25">
      <c r="B67" s="86"/>
      <c r="C67" s="79"/>
    </row>
    <row r="68" spans="1:3" x14ac:dyDescent="0.25">
      <c r="C68" s="79"/>
    </row>
    <row r="69" spans="1:3" x14ac:dyDescent="0.25">
      <c r="C69" s="79"/>
    </row>
    <row r="70" spans="1:3" x14ac:dyDescent="0.25">
      <c r="C70" s="79"/>
    </row>
    <row r="71" spans="1:3" x14ac:dyDescent="0.25">
      <c r="C71" s="79"/>
    </row>
    <row r="72" spans="1:3" x14ac:dyDescent="0.25">
      <c r="C72" s="79"/>
    </row>
    <row r="73" spans="1:3" x14ac:dyDescent="0.25">
      <c r="C73" s="79"/>
    </row>
    <row r="74" spans="1:3" x14ac:dyDescent="0.25">
      <c r="C74" s="79"/>
    </row>
    <row r="75" spans="1:3" x14ac:dyDescent="0.25">
      <c r="C75" s="79"/>
    </row>
    <row r="76" spans="1:3" x14ac:dyDescent="0.25">
      <c r="C76" s="79"/>
    </row>
    <row r="77" spans="1:3" x14ac:dyDescent="0.25">
      <c r="C77" s="79"/>
    </row>
    <row r="78" spans="1:3" x14ac:dyDescent="0.25">
      <c r="C78" s="79"/>
    </row>
    <row r="79" spans="1:3" x14ac:dyDescent="0.25">
      <c r="C79" s="79"/>
    </row>
    <row r="80" spans="1:3" x14ac:dyDescent="0.25">
      <c r="C80" s="79"/>
    </row>
    <row r="81" spans="3:3" x14ac:dyDescent="0.25">
      <c r="C81" s="79"/>
    </row>
    <row r="82" spans="3:3" x14ac:dyDescent="0.25">
      <c r="C82" s="79"/>
    </row>
    <row r="83" spans="3:3" x14ac:dyDescent="0.25">
      <c r="C83" s="79"/>
    </row>
    <row r="84" spans="3:3" x14ac:dyDescent="0.25">
      <c r="C84" s="79"/>
    </row>
    <row r="85" spans="3:3" x14ac:dyDescent="0.25">
      <c r="C85" s="79"/>
    </row>
    <row r="86" spans="3:3" x14ac:dyDescent="0.25">
      <c r="C86" s="79"/>
    </row>
    <row r="87" spans="3:3" x14ac:dyDescent="0.25">
      <c r="C87" s="79"/>
    </row>
    <row r="88" spans="3:3" x14ac:dyDescent="0.25">
      <c r="C88" s="79"/>
    </row>
    <row r="89" spans="3:3" x14ac:dyDescent="0.25">
      <c r="C89" s="79"/>
    </row>
    <row r="90" spans="3:3" x14ac:dyDescent="0.25">
      <c r="C90" s="79"/>
    </row>
    <row r="91" spans="3:3" x14ac:dyDescent="0.25">
      <c r="C91" s="79"/>
    </row>
    <row r="92" spans="3:3" x14ac:dyDescent="0.25">
      <c r="C92" s="79"/>
    </row>
    <row r="93" spans="3:3" x14ac:dyDescent="0.25">
      <c r="C93" s="79"/>
    </row>
    <row r="94" spans="3:3" x14ac:dyDescent="0.25">
      <c r="C94" s="79"/>
    </row>
    <row r="95" spans="3:3" x14ac:dyDescent="0.25">
      <c r="C95" s="79"/>
    </row>
    <row r="96" spans="3:3" x14ac:dyDescent="0.25">
      <c r="C96" s="79"/>
    </row>
    <row r="97" spans="3:3" x14ac:dyDescent="0.25">
      <c r="C97" s="79"/>
    </row>
    <row r="98" spans="3:3" x14ac:dyDescent="0.25">
      <c r="C98" s="79"/>
    </row>
    <row r="99" spans="3:3" x14ac:dyDescent="0.25">
      <c r="C99" s="79"/>
    </row>
    <row r="100" spans="3:3" x14ac:dyDescent="0.25">
      <c r="C100" s="79"/>
    </row>
    <row r="101" spans="3:3" x14ac:dyDescent="0.25">
      <c r="C101" s="79"/>
    </row>
    <row r="102" spans="3:3" x14ac:dyDescent="0.25">
      <c r="C102" s="79"/>
    </row>
    <row r="103" spans="3:3" x14ac:dyDescent="0.25">
      <c r="C103" s="79"/>
    </row>
    <row r="104" spans="3:3" x14ac:dyDescent="0.25">
      <c r="C104" s="79"/>
    </row>
    <row r="105" spans="3:3" x14ac:dyDescent="0.25">
      <c r="C105" s="79"/>
    </row>
    <row r="106" spans="3:3" x14ac:dyDescent="0.25">
      <c r="C106" s="79"/>
    </row>
    <row r="107" spans="3:3" x14ac:dyDescent="0.25">
      <c r="C107" s="79"/>
    </row>
    <row r="108" spans="3:3" x14ac:dyDescent="0.25">
      <c r="C108" s="79"/>
    </row>
    <row r="109" spans="3:3" x14ac:dyDescent="0.25">
      <c r="C109" s="79"/>
    </row>
    <row r="110" spans="3:3" x14ac:dyDescent="0.25">
      <c r="C110" s="79"/>
    </row>
    <row r="111" spans="3:3" x14ac:dyDescent="0.25">
      <c r="C111" s="79"/>
    </row>
    <row r="112" spans="3:3" x14ac:dyDescent="0.25">
      <c r="C112" s="79"/>
    </row>
    <row r="113" spans="3:3" x14ac:dyDescent="0.25">
      <c r="C113" s="79"/>
    </row>
    <row r="114" spans="3:3" x14ac:dyDescent="0.25">
      <c r="C114" s="79"/>
    </row>
    <row r="115" spans="3:3" x14ac:dyDescent="0.25">
      <c r="C115" s="79"/>
    </row>
    <row r="116" spans="3:3" x14ac:dyDescent="0.25">
      <c r="C116" s="79"/>
    </row>
    <row r="117" spans="3:3" x14ac:dyDescent="0.25">
      <c r="C117" s="79"/>
    </row>
    <row r="118" spans="3:3" x14ac:dyDescent="0.25">
      <c r="C118" s="79"/>
    </row>
    <row r="119" spans="3:3" x14ac:dyDescent="0.25">
      <c r="C119" s="79"/>
    </row>
    <row r="120" spans="3:3" x14ac:dyDescent="0.25">
      <c r="C120" s="79"/>
    </row>
    <row r="121" spans="3:3" x14ac:dyDescent="0.25">
      <c r="C121" s="79"/>
    </row>
    <row r="122" spans="3:3" x14ac:dyDescent="0.25">
      <c r="C122" s="79"/>
    </row>
    <row r="123" spans="3:3" x14ac:dyDescent="0.25">
      <c r="C123" s="79"/>
    </row>
    <row r="124" spans="3:3" x14ac:dyDescent="0.25">
      <c r="C124" s="79"/>
    </row>
  </sheetData>
  <printOptions horizontalCentered="1"/>
  <pageMargins left="0.7" right="0.7" top="0.5" bottom="0.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61" workbookViewId="0">
      <selection activeCell="B9" sqref="B9"/>
    </sheetView>
  </sheetViews>
  <sheetFormatPr defaultColWidth="8.85546875" defaultRowHeight="15" x14ac:dyDescent="0.25"/>
  <cols>
    <col min="1" max="1" width="28" style="97" customWidth="1"/>
    <col min="2" max="2" width="2.5703125" style="97" customWidth="1"/>
    <col min="3" max="3" width="13.7109375" style="97" bestFit="1" customWidth="1"/>
    <col min="4" max="4" width="12.5703125" style="97" bestFit="1" customWidth="1"/>
    <col min="5" max="5" width="13.28515625" style="38" customWidth="1"/>
    <col min="6" max="6" width="2.7109375" style="38" customWidth="1"/>
    <col min="7" max="7" width="2.28515625" style="38" customWidth="1"/>
    <col min="8" max="9" width="8.85546875" style="38"/>
    <col min="10" max="10" width="11.28515625" style="38" bestFit="1" customWidth="1"/>
    <col min="11" max="11" width="10.7109375" style="38" bestFit="1" customWidth="1"/>
    <col min="12" max="12" width="11.5703125" style="38" bestFit="1" customWidth="1"/>
    <col min="13" max="16384" width="8.85546875" style="44"/>
  </cols>
  <sheetData>
    <row r="1" spans="1:12" ht="14.45" x14ac:dyDescent="0.3">
      <c r="A1" s="113" t="s">
        <v>118</v>
      </c>
      <c r="H1" s="113" t="s">
        <v>118</v>
      </c>
      <c r="I1" s="97"/>
      <c r="J1" s="97"/>
      <c r="K1" s="97"/>
    </row>
    <row r="2" spans="1:12" ht="14.45" x14ac:dyDescent="0.3">
      <c r="A2" s="113" t="s">
        <v>119</v>
      </c>
      <c r="H2" s="113" t="s">
        <v>120</v>
      </c>
      <c r="I2" s="97"/>
      <c r="J2" s="97"/>
      <c r="K2" s="97"/>
    </row>
    <row r="3" spans="1:12" ht="14.45" x14ac:dyDescent="0.3">
      <c r="A3" s="113" t="s">
        <v>121</v>
      </c>
      <c r="H3" s="113" t="s">
        <v>122</v>
      </c>
      <c r="I3" s="97"/>
      <c r="J3" s="97"/>
      <c r="K3" s="97"/>
    </row>
    <row r="4" spans="1:12" ht="14.45" x14ac:dyDescent="0.3">
      <c r="A4" s="114" t="s">
        <v>123</v>
      </c>
      <c r="H4" s="114" t="s">
        <v>123</v>
      </c>
      <c r="I4" s="97"/>
      <c r="J4" s="97"/>
      <c r="K4" s="97"/>
    </row>
    <row r="5" spans="1:12" ht="14.45" x14ac:dyDescent="0.3">
      <c r="A5" s="113"/>
      <c r="B5" s="113"/>
      <c r="H5" s="113"/>
      <c r="I5" s="113"/>
      <c r="J5" s="97"/>
      <c r="K5" s="97"/>
    </row>
    <row r="6" spans="1:12" ht="14.45" x14ac:dyDescent="0.3">
      <c r="C6" s="112"/>
      <c r="D6" s="103"/>
      <c r="H6" s="97"/>
      <c r="I6" s="97"/>
      <c r="J6" s="112"/>
      <c r="K6" s="103"/>
    </row>
    <row r="7" spans="1:12" ht="14.45" x14ac:dyDescent="0.3">
      <c r="A7" s="111"/>
      <c r="B7" s="111"/>
      <c r="C7" s="110"/>
      <c r="D7" s="109"/>
      <c r="H7" s="111"/>
      <c r="I7" s="111"/>
      <c r="J7" s="110"/>
      <c r="K7" s="109"/>
    </row>
    <row r="8" spans="1:12" ht="14.45" x14ac:dyDescent="0.3">
      <c r="C8" s="103" t="s">
        <v>124</v>
      </c>
      <c r="D8" s="103" t="s">
        <v>47</v>
      </c>
      <c r="E8" s="108" t="s">
        <v>125</v>
      </c>
      <c r="H8" s="97"/>
      <c r="I8" s="97"/>
      <c r="J8" s="103" t="s">
        <v>124</v>
      </c>
      <c r="K8" s="103" t="s">
        <v>47</v>
      </c>
      <c r="L8" s="108" t="s">
        <v>125</v>
      </c>
    </row>
    <row r="9" spans="1:12" ht="14.45" x14ac:dyDescent="0.3">
      <c r="A9" s="106" t="s">
        <v>126</v>
      </c>
      <c r="B9" s="106"/>
      <c r="C9" s="107" t="s">
        <v>127</v>
      </c>
      <c r="D9" s="107" t="s">
        <v>48</v>
      </c>
      <c r="E9" s="107" t="s">
        <v>127</v>
      </c>
      <c r="H9" s="106" t="s">
        <v>126</v>
      </c>
      <c r="I9" s="106"/>
      <c r="J9" s="107" t="s">
        <v>127</v>
      </c>
      <c r="K9" s="107" t="s">
        <v>48</v>
      </c>
      <c r="L9" s="107" t="s">
        <v>127</v>
      </c>
    </row>
    <row r="10" spans="1:12" ht="14.45" x14ac:dyDescent="0.3">
      <c r="A10" s="106"/>
      <c r="B10" s="106"/>
      <c r="C10" s="107" t="s">
        <v>93</v>
      </c>
      <c r="D10" s="107" t="s">
        <v>94</v>
      </c>
      <c r="E10" s="107" t="s">
        <v>128</v>
      </c>
      <c r="H10" s="106"/>
      <c r="I10" s="106"/>
      <c r="J10" s="107" t="s">
        <v>93</v>
      </c>
      <c r="K10" s="107" t="s">
        <v>94</v>
      </c>
      <c r="L10" s="107" t="s">
        <v>128</v>
      </c>
    </row>
    <row r="11" spans="1:12" ht="14.45" x14ac:dyDescent="0.3">
      <c r="A11" s="105"/>
      <c r="B11" s="105"/>
      <c r="C11" s="109"/>
      <c r="D11" s="109" t="s">
        <v>129</v>
      </c>
      <c r="E11" s="109"/>
      <c r="H11" s="105"/>
      <c r="I11" s="105"/>
      <c r="J11" s="109"/>
      <c r="K11" s="109" t="s">
        <v>130</v>
      </c>
      <c r="L11" s="109"/>
    </row>
    <row r="12" spans="1:12" ht="14.45" x14ac:dyDescent="0.3">
      <c r="A12" s="104" t="s">
        <v>124</v>
      </c>
      <c r="D12" s="103"/>
      <c r="H12" s="104" t="s">
        <v>124</v>
      </c>
      <c r="I12" s="97"/>
      <c r="J12" s="97"/>
      <c r="K12" s="103"/>
    </row>
    <row r="13" spans="1:12" ht="14.45" x14ac:dyDescent="0.3">
      <c r="A13" s="101">
        <v>43100</v>
      </c>
      <c r="B13" s="101"/>
      <c r="C13" s="99">
        <v>65046164.859999999</v>
      </c>
      <c r="D13" s="98">
        <f>ROUND(+(1355128)*0.419354838709677,2)</f>
        <v>568279.48</v>
      </c>
      <c r="E13" s="135">
        <f t="shared" ref="E13:E61" si="0">+C13-D13</f>
        <v>64477885.380000003</v>
      </c>
      <c r="H13" s="101">
        <v>43100</v>
      </c>
      <c r="I13" s="101"/>
      <c r="J13" s="99">
        <f>54909150</f>
        <v>54909150</v>
      </c>
      <c r="K13" s="98">
        <f>+(755115)*0.419354838709677</f>
        <v>316661.12903225777</v>
      </c>
      <c r="L13" s="135">
        <f t="shared" ref="L13:L76" si="1">+J13-K13</f>
        <v>54592488.870967746</v>
      </c>
    </row>
    <row r="14" spans="1:12" ht="14.45" x14ac:dyDescent="0.3">
      <c r="A14" s="101">
        <v>43131</v>
      </c>
      <c r="B14" s="101"/>
      <c r="C14" s="99">
        <f t="shared" ref="C14:C61" si="2">+E13</f>
        <v>64477885.380000003</v>
      </c>
      <c r="D14" s="98">
        <v>1355128.43</v>
      </c>
      <c r="E14" s="135">
        <f t="shared" si="0"/>
        <v>63122756.950000003</v>
      </c>
      <c r="H14" s="101">
        <v>43131</v>
      </c>
      <c r="I14" s="101"/>
      <c r="J14" s="99">
        <f t="shared" ref="J14:J77" si="3">+L13</f>
        <v>54592488.870967746</v>
      </c>
      <c r="K14" s="98">
        <v>755114.9</v>
      </c>
      <c r="L14" s="135">
        <f t="shared" si="1"/>
        <v>53837373.970967747</v>
      </c>
    </row>
    <row r="15" spans="1:12" ht="14.45" x14ac:dyDescent="0.3">
      <c r="A15" s="101">
        <v>43159</v>
      </c>
      <c r="B15" s="101"/>
      <c r="C15" s="99">
        <f t="shared" si="2"/>
        <v>63122756.950000003</v>
      </c>
      <c r="D15" s="98">
        <v>1355128.43</v>
      </c>
      <c r="E15" s="135">
        <f t="shared" si="0"/>
        <v>61767628.520000003</v>
      </c>
      <c r="H15" s="101">
        <v>43159</v>
      </c>
      <c r="I15" s="101"/>
      <c r="J15" s="99">
        <f t="shared" si="3"/>
        <v>53837373.970967747</v>
      </c>
      <c r="K15" s="98">
        <v>755114.9</v>
      </c>
      <c r="L15" s="135">
        <f t="shared" si="1"/>
        <v>53082259.070967749</v>
      </c>
    </row>
    <row r="16" spans="1:12" ht="14.45" x14ac:dyDescent="0.3">
      <c r="A16" s="101">
        <v>43190</v>
      </c>
      <c r="B16" s="101"/>
      <c r="C16" s="99">
        <f t="shared" si="2"/>
        <v>61767628.520000003</v>
      </c>
      <c r="D16" s="98">
        <v>1355128.43</v>
      </c>
      <c r="E16" s="135">
        <f t="shared" si="0"/>
        <v>60412500.090000004</v>
      </c>
      <c r="H16" s="101">
        <v>43190</v>
      </c>
      <c r="I16" s="101"/>
      <c r="J16" s="99">
        <f t="shared" si="3"/>
        <v>53082259.070967749</v>
      </c>
      <c r="K16" s="98">
        <v>755114.9</v>
      </c>
      <c r="L16" s="135">
        <f t="shared" si="1"/>
        <v>52327144.17096775</v>
      </c>
    </row>
    <row r="17" spans="1:12" ht="14.45" x14ac:dyDescent="0.3">
      <c r="A17" s="101">
        <v>43220</v>
      </c>
      <c r="B17" s="102"/>
      <c r="C17" s="99">
        <f t="shared" si="2"/>
        <v>60412500.090000004</v>
      </c>
      <c r="D17" s="98">
        <v>1355128.43</v>
      </c>
      <c r="E17" s="135">
        <f t="shared" si="0"/>
        <v>59057371.660000004</v>
      </c>
      <c r="H17" s="101">
        <v>43220</v>
      </c>
      <c r="I17" s="102"/>
      <c r="J17" s="99">
        <f t="shared" si="3"/>
        <v>52327144.17096775</v>
      </c>
      <c r="K17" s="98">
        <v>755114.9</v>
      </c>
      <c r="L17" s="135">
        <f t="shared" si="1"/>
        <v>51572029.270967752</v>
      </c>
    </row>
    <row r="18" spans="1:12" ht="14.45" x14ac:dyDescent="0.3">
      <c r="A18" s="101">
        <v>43251</v>
      </c>
      <c r="B18" s="101"/>
      <c r="C18" s="99">
        <f t="shared" si="2"/>
        <v>59057371.660000004</v>
      </c>
      <c r="D18" s="98">
        <v>1355128.43</v>
      </c>
      <c r="E18" s="135">
        <f t="shared" si="0"/>
        <v>57702243.230000004</v>
      </c>
      <c r="H18" s="101">
        <v>43251</v>
      </c>
      <c r="I18" s="101"/>
      <c r="J18" s="99">
        <f t="shared" si="3"/>
        <v>51572029.270967752</v>
      </c>
      <c r="K18" s="98">
        <v>755114.9</v>
      </c>
      <c r="L18" s="135">
        <f t="shared" si="1"/>
        <v>50816914.370967753</v>
      </c>
    </row>
    <row r="19" spans="1:12" ht="14.45" x14ac:dyDescent="0.3">
      <c r="A19" s="101">
        <v>43281</v>
      </c>
      <c r="B19" s="101"/>
      <c r="C19" s="99">
        <f t="shared" si="2"/>
        <v>57702243.230000004</v>
      </c>
      <c r="D19" s="98">
        <v>1355128.43</v>
      </c>
      <c r="E19" s="135">
        <f t="shared" si="0"/>
        <v>56347114.800000004</v>
      </c>
      <c r="H19" s="101">
        <v>43281</v>
      </c>
      <c r="I19" s="101"/>
      <c r="J19" s="99">
        <f t="shared" si="3"/>
        <v>50816914.370967753</v>
      </c>
      <c r="K19" s="98">
        <v>755114.9</v>
      </c>
      <c r="L19" s="135">
        <f t="shared" si="1"/>
        <v>50061799.470967755</v>
      </c>
    </row>
    <row r="20" spans="1:12" ht="14.45" x14ac:dyDescent="0.3">
      <c r="A20" s="101">
        <v>43312</v>
      </c>
      <c r="B20" s="101"/>
      <c r="C20" s="99">
        <f t="shared" si="2"/>
        <v>56347114.800000004</v>
      </c>
      <c r="D20" s="98">
        <v>1355128.43</v>
      </c>
      <c r="E20" s="135">
        <f t="shared" si="0"/>
        <v>54991986.370000005</v>
      </c>
      <c r="H20" s="101">
        <v>43312</v>
      </c>
      <c r="I20" s="101"/>
      <c r="J20" s="99">
        <f t="shared" si="3"/>
        <v>50061799.470967755</v>
      </c>
      <c r="K20" s="98">
        <v>755114.9</v>
      </c>
      <c r="L20" s="135">
        <f t="shared" si="1"/>
        <v>49306684.570967756</v>
      </c>
    </row>
    <row r="21" spans="1:12" ht="14.45" x14ac:dyDescent="0.3">
      <c r="A21" s="101">
        <v>43343</v>
      </c>
      <c r="B21" s="101"/>
      <c r="C21" s="99">
        <f t="shared" si="2"/>
        <v>54991986.370000005</v>
      </c>
      <c r="D21" s="98">
        <v>1355128.43</v>
      </c>
      <c r="E21" s="135">
        <f t="shared" si="0"/>
        <v>53636857.940000005</v>
      </c>
      <c r="H21" s="101">
        <v>43343</v>
      </c>
      <c r="I21" s="101"/>
      <c r="J21" s="99">
        <f t="shared" si="3"/>
        <v>49306684.570967756</v>
      </c>
      <c r="K21" s="98">
        <v>755114.9</v>
      </c>
      <c r="L21" s="135">
        <f t="shared" si="1"/>
        <v>48551569.670967758</v>
      </c>
    </row>
    <row r="22" spans="1:12" ht="14.45" x14ac:dyDescent="0.3">
      <c r="A22" s="101">
        <v>43373</v>
      </c>
      <c r="B22" s="101"/>
      <c r="C22" s="99">
        <f t="shared" si="2"/>
        <v>53636857.940000005</v>
      </c>
      <c r="D22" s="98">
        <v>1355128.43</v>
      </c>
      <c r="E22" s="135">
        <f t="shared" si="0"/>
        <v>52281729.510000005</v>
      </c>
      <c r="H22" s="101">
        <v>43373</v>
      </c>
      <c r="I22" s="101"/>
      <c r="J22" s="99">
        <f t="shared" si="3"/>
        <v>48551569.670967758</v>
      </c>
      <c r="K22" s="98">
        <v>755114.9</v>
      </c>
      <c r="L22" s="135">
        <f t="shared" si="1"/>
        <v>47796454.770967759</v>
      </c>
    </row>
    <row r="23" spans="1:12" ht="14.45" x14ac:dyDescent="0.3">
      <c r="A23" s="101">
        <v>43404</v>
      </c>
      <c r="B23" s="101"/>
      <c r="C23" s="99">
        <f t="shared" si="2"/>
        <v>52281729.510000005</v>
      </c>
      <c r="D23" s="98">
        <v>1355128.43</v>
      </c>
      <c r="E23" s="135">
        <f t="shared" si="0"/>
        <v>50926601.080000006</v>
      </c>
      <c r="H23" s="101">
        <v>43404</v>
      </c>
      <c r="I23" s="101"/>
      <c r="J23" s="99">
        <f t="shared" si="3"/>
        <v>47796454.770967759</v>
      </c>
      <c r="K23" s="98">
        <v>755114.9</v>
      </c>
      <c r="L23" s="135">
        <f t="shared" si="1"/>
        <v>47041339.870967761</v>
      </c>
    </row>
    <row r="24" spans="1:12" ht="14.45" x14ac:dyDescent="0.3">
      <c r="A24" s="101">
        <v>43434</v>
      </c>
      <c r="B24" s="101"/>
      <c r="C24" s="99">
        <f t="shared" si="2"/>
        <v>50926601.080000006</v>
      </c>
      <c r="D24" s="98">
        <v>1355128.43</v>
      </c>
      <c r="E24" s="135">
        <f t="shared" si="0"/>
        <v>49571472.650000006</v>
      </c>
      <c r="H24" s="101">
        <v>43434</v>
      </c>
      <c r="I24" s="101"/>
      <c r="J24" s="99">
        <f t="shared" si="3"/>
        <v>47041339.870967761</v>
      </c>
      <c r="K24" s="98">
        <v>755114.9</v>
      </c>
      <c r="L24" s="135">
        <f t="shared" si="1"/>
        <v>46286224.970967762</v>
      </c>
    </row>
    <row r="25" spans="1:12" ht="14.45" x14ac:dyDescent="0.3">
      <c r="A25" s="101">
        <v>43465</v>
      </c>
      <c r="B25" s="101"/>
      <c r="C25" s="99">
        <f t="shared" si="2"/>
        <v>49571472.650000006</v>
      </c>
      <c r="D25" s="98">
        <v>1355128.43</v>
      </c>
      <c r="E25" s="135">
        <f t="shared" si="0"/>
        <v>48216344.220000006</v>
      </c>
      <c r="H25" s="101">
        <v>43465</v>
      </c>
      <c r="I25" s="101"/>
      <c r="J25" s="99">
        <f t="shared" si="3"/>
        <v>46286224.970967762</v>
      </c>
      <c r="K25" s="98">
        <v>755114.9</v>
      </c>
      <c r="L25" s="135">
        <f t="shared" si="1"/>
        <v>45531110.070967764</v>
      </c>
    </row>
    <row r="26" spans="1:12" ht="14.45" x14ac:dyDescent="0.3">
      <c r="A26" s="101">
        <v>43496</v>
      </c>
      <c r="B26" s="101"/>
      <c r="C26" s="99">
        <f t="shared" si="2"/>
        <v>48216344.220000006</v>
      </c>
      <c r="D26" s="98">
        <v>1355128.43</v>
      </c>
      <c r="E26" s="135">
        <f t="shared" si="0"/>
        <v>46861215.790000007</v>
      </c>
      <c r="H26" s="101">
        <v>43496</v>
      </c>
      <c r="I26" s="101"/>
      <c r="J26" s="99">
        <f t="shared" si="3"/>
        <v>45531110.070967764</v>
      </c>
      <c r="K26" s="98">
        <v>755114.9</v>
      </c>
      <c r="L26" s="135">
        <f t="shared" si="1"/>
        <v>44775995.170967765</v>
      </c>
    </row>
    <row r="27" spans="1:12" ht="14.45" x14ac:dyDescent="0.3">
      <c r="A27" s="101">
        <v>43524</v>
      </c>
      <c r="B27" s="101"/>
      <c r="C27" s="99">
        <f t="shared" si="2"/>
        <v>46861215.790000007</v>
      </c>
      <c r="D27" s="98">
        <v>1355128.43</v>
      </c>
      <c r="E27" s="135">
        <f t="shared" si="0"/>
        <v>45506087.360000007</v>
      </c>
      <c r="H27" s="101">
        <v>43524</v>
      </c>
      <c r="I27" s="101"/>
      <c r="J27" s="99">
        <f t="shared" si="3"/>
        <v>44775995.170967765</v>
      </c>
      <c r="K27" s="98">
        <v>755114.9</v>
      </c>
      <c r="L27" s="135">
        <f t="shared" si="1"/>
        <v>44020880.270967767</v>
      </c>
    </row>
    <row r="28" spans="1:12" ht="14.45" x14ac:dyDescent="0.3">
      <c r="A28" s="101">
        <v>43555</v>
      </c>
      <c r="B28" s="101"/>
      <c r="C28" s="99">
        <f t="shared" si="2"/>
        <v>45506087.360000007</v>
      </c>
      <c r="D28" s="98">
        <v>1355128.43</v>
      </c>
      <c r="E28" s="135">
        <f t="shared" si="0"/>
        <v>44150958.930000007</v>
      </c>
      <c r="H28" s="101">
        <v>43555</v>
      </c>
      <c r="I28" s="101"/>
      <c r="J28" s="99">
        <f t="shared" si="3"/>
        <v>44020880.270967767</v>
      </c>
      <c r="K28" s="98">
        <v>755114.9</v>
      </c>
      <c r="L28" s="135">
        <f t="shared" si="1"/>
        <v>43265765.370967768</v>
      </c>
    </row>
    <row r="29" spans="1:12" ht="14.45" x14ac:dyDescent="0.3">
      <c r="A29" s="101">
        <v>43585</v>
      </c>
      <c r="B29" s="101"/>
      <c r="C29" s="99">
        <f t="shared" si="2"/>
        <v>44150958.930000007</v>
      </c>
      <c r="D29" s="98">
        <v>1355128.43</v>
      </c>
      <c r="E29" s="135">
        <f t="shared" si="0"/>
        <v>42795830.500000007</v>
      </c>
      <c r="H29" s="101">
        <v>43585</v>
      </c>
      <c r="I29" s="101"/>
      <c r="J29" s="99">
        <f t="shared" si="3"/>
        <v>43265765.370967768</v>
      </c>
      <c r="K29" s="98">
        <v>755114.9</v>
      </c>
      <c r="L29" s="135">
        <f t="shared" si="1"/>
        <v>42510650.47096777</v>
      </c>
    </row>
    <row r="30" spans="1:12" ht="14.45" x14ac:dyDescent="0.3">
      <c r="A30" s="101">
        <v>43616</v>
      </c>
      <c r="B30" s="101"/>
      <c r="C30" s="99">
        <f t="shared" si="2"/>
        <v>42795830.500000007</v>
      </c>
      <c r="D30" s="98">
        <v>1355128.43</v>
      </c>
      <c r="E30" s="135">
        <f t="shared" si="0"/>
        <v>41440702.070000008</v>
      </c>
      <c r="H30" s="101">
        <v>43616</v>
      </c>
      <c r="I30" s="101"/>
      <c r="J30" s="99">
        <f t="shared" si="3"/>
        <v>42510650.47096777</v>
      </c>
      <c r="K30" s="98">
        <v>755114.9</v>
      </c>
      <c r="L30" s="135">
        <f t="shared" si="1"/>
        <v>41755535.570967771</v>
      </c>
    </row>
    <row r="31" spans="1:12" ht="14.45" x14ac:dyDescent="0.3">
      <c r="A31" s="101">
        <v>43646</v>
      </c>
      <c r="B31" s="101"/>
      <c r="C31" s="99">
        <f t="shared" si="2"/>
        <v>41440702.070000008</v>
      </c>
      <c r="D31" s="98">
        <v>1355128.43</v>
      </c>
      <c r="E31" s="135">
        <f t="shared" si="0"/>
        <v>40085573.640000008</v>
      </c>
      <c r="H31" s="101">
        <v>43646</v>
      </c>
      <c r="I31" s="101"/>
      <c r="J31" s="99">
        <f t="shared" si="3"/>
        <v>41755535.570967771</v>
      </c>
      <c r="K31" s="98">
        <v>755114.9</v>
      </c>
      <c r="L31" s="135">
        <f t="shared" si="1"/>
        <v>41000420.670967773</v>
      </c>
    </row>
    <row r="32" spans="1:12" ht="14.45" x14ac:dyDescent="0.3">
      <c r="A32" s="101">
        <v>43677</v>
      </c>
      <c r="B32" s="101"/>
      <c r="C32" s="99">
        <f t="shared" si="2"/>
        <v>40085573.640000008</v>
      </c>
      <c r="D32" s="98">
        <v>1355128.43</v>
      </c>
      <c r="E32" s="135">
        <f t="shared" si="0"/>
        <v>38730445.210000008</v>
      </c>
      <c r="H32" s="101">
        <v>43677</v>
      </c>
      <c r="I32" s="101"/>
      <c r="J32" s="99">
        <f t="shared" si="3"/>
        <v>41000420.670967773</v>
      </c>
      <c r="K32" s="98">
        <v>755114.9</v>
      </c>
      <c r="L32" s="135">
        <f t="shared" si="1"/>
        <v>40245305.770967774</v>
      </c>
    </row>
    <row r="33" spans="1:12" ht="14.45" x14ac:dyDescent="0.3">
      <c r="A33" s="101">
        <v>43708</v>
      </c>
      <c r="B33" s="101"/>
      <c r="C33" s="99">
        <f t="shared" si="2"/>
        <v>38730445.210000008</v>
      </c>
      <c r="D33" s="98">
        <v>1355128.43</v>
      </c>
      <c r="E33" s="135">
        <f t="shared" si="0"/>
        <v>37375316.780000009</v>
      </c>
      <c r="H33" s="101">
        <v>43708</v>
      </c>
      <c r="I33" s="101"/>
      <c r="J33" s="99">
        <f t="shared" si="3"/>
        <v>40245305.770967774</v>
      </c>
      <c r="K33" s="98">
        <v>755114.9</v>
      </c>
      <c r="L33" s="135">
        <f t="shared" si="1"/>
        <v>39490190.870967776</v>
      </c>
    </row>
    <row r="34" spans="1:12" ht="14.45" x14ac:dyDescent="0.3">
      <c r="A34" s="101">
        <v>43738</v>
      </c>
      <c r="B34" s="101"/>
      <c r="C34" s="99">
        <f t="shared" si="2"/>
        <v>37375316.780000009</v>
      </c>
      <c r="D34" s="98">
        <v>1355128.43</v>
      </c>
      <c r="E34" s="135">
        <f t="shared" si="0"/>
        <v>36020188.350000009</v>
      </c>
      <c r="H34" s="101">
        <v>43738</v>
      </c>
      <c r="I34" s="101"/>
      <c r="J34" s="99">
        <f t="shared" si="3"/>
        <v>39490190.870967776</v>
      </c>
      <c r="K34" s="98">
        <v>755114.9</v>
      </c>
      <c r="L34" s="135">
        <f t="shared" si="1"/>
        <v>38735075.970967777</v>
      </c>
    </row>
    <row r="35" spans="1:12" ht="14.45" x14ac:dyDescent="0.3">
      <c r="A35" s="101">
        <v>43769</v>
      </c>
      <c r="B35" s="101"/>
      <c r="C35" s="99">
        <f t="shared" si="2"/>
        <v>36020188.350000009</v>
      </c>
      <c r="D35" s="98">
        <v>1355128.43</v>
      </c>
      <c r="E35" s="135">
        <f t="shared" si="0"/>
        <v>34665059.920000009</v>
      </c>
      <c r="H35" s="101">
        <v>43769</v>
      </c>
      <c r="I35" s="101"/>
      <c r="J35" s="99">
        <f t="shared" si="3"/>
        <v>38735075.970967777</v>
      </c>
      <c r="K35" s="98">
        <v>755114.9</v>
      </c>
      <c r="L35" s="135">
        <f t="shared" si="1"/>
        <v>37979961.070967779</v>
      </c>
    </row>
    <row r="36" spans="1:12" ht="14.45" x14ac:dyDescent="0.3">
      <c r="A36" s="101">
        <v>43799</v>
      </c>
      <c r="B36" s="101"/>
      <c r="C36" s="99">
        <f t="shared" si="2"/>
        <v>34665059.920000009</v>
      </c>
      <c r="D36" s="98">
        <v>1355128.43</v>
      </c>
      <c r="E36" s="135">
        <f t="shared" si="0"/>
        <v>33309931.49000001</v>
      </c>
      <c r="H36" s="101">
        <v>43799</v>
      </c>
      <c r="I36" s="101"/>
      <c r="J36" s="99">
        <f t="shared" si="3"/>
        <v>37979961.070967779</v>
      </c>
      <c r="K36" s="98">
        <v>755114.9</v>
      </c>
      <c r="L36" s="135">
        <f t="shared" si="1"/>
        <v>37224846.17096778</v>
      </c>
    </row>
    <row r="37" spans="1:12" ht="14.45" x14ac:dyDescent="0.3">
      <c r="A37" s="101">
        <v>43830</v>
      </c>
      <c r="B37" s="101"/>
      <c r="C37" s="99">
        <f t="shared" si="2"/>
        <v>33309931.49000001</v>
      </c>
      <c r="D37" s="98">
        <v>1355128.43</v>
      </c>
      <c r="E37" s="135">
        <f t="shared" si="0"/>
        <v>31954803.06000001</v>
      </c>
      <c r="H37" s="101">
        <v>43830</v>
      </c>
      <c r="I37" s="101"/>
      <c r="J37" s="99">
        <f t="shared" si="3"/>
        <v>37224846.17096778</v>
      </c>
      <c r="K37" s="98">
        <v>755114.9</v>
      </c>
      <c r="L37" s="135">
        <f t="shared" si="1"/>
        <v>36469731.270967782</v>
      </c>
    </row>
    <row r="38" spans="1:12" ht="14.45" x14ac:dyDescent="0.3">
      <c r="A38" s="101">
        <v>43861</v>
      </c>
      <c r="B38" s="101"/>
      <c r="C38" s="99">
        <f t="shared" si="2"/>
        <v>31954803.06000001</v>
      </c>
      <c r="D38" s="98">
        <v>1355128.43</v>
      </c>
      <c r="E38" s="135">
        <f t="shared" si="0"/>
        <v>30599674.63000001</v>
      </c>
      <c r="H38" s="101">
        <v>43861</v>
      </c>
      <c r="I38" s="101"/>
      <c r="J38" s="99">
        <f t="shared" si="3"/>
        <v>36469731.270967782</v>
      </c>
      <c r="K38" s="98">
        <v>755114.9</v>
      </c>
      <c r="L38" s="135">
        <f t="shared" si="1"/>
        <v>35714616.370967783</v>
      </c>
    </row>
    <row r="39" spans="1:12" ht="14.45" x14ac:dyDescent="0.3">
      <c r="A39" s="101">
        <v>43890</v>
      </c>
      <c r="B39" s="101"/>
      <c r="C39" s="99">
        <f t="shared" si="2"/>
        <v>30599674.63000001</v>
      </c>
      <c r="D39" s="98">
        <v>1355128.43</v>
      </c>
      <c r="E39" s="135">
        <f t="shared" si="0"/>
        <v>29244546.20000001</v>
      </c>
      <c r="H39" s="101">
        <v>43890</v>
      </c>
      <c r="I39" s="101"/>
      <c r="J39" s="99">
        <f t="shared" si="3"/>
        <v>35714616.370967783</v>
      </c>
      <c r="K39" s="98">
        <v>755114.9</v>
      </c>
      <c r="L39" s="135">
        <f t="shared" si="1"/>
        <v>34959501.470967785</v>
      </c>
    </row>
    <row r="40" spans="1:12" ht="14.45" x14ac:dyDescent="0.3">
      <c r="A40" s="101">
        <v>43921</v>
      </c>
      <c r="B40" s="101"/>
      <c r="C40" s="99">
        <f t="shared" si="2"/>
        <v>29244546.20000001</v>
      </c>
      <c r="D40" s="98">
        <v>1355128.43</v>
      </c>
      <c r="E40" s="135">
        <f t="shared" si="0"/>
        <v>27889417.770000011</v>
      </c>
      <c r="H40" s="101">
        <v>43921</v>
      </c>
      <c r="I40" s="101"/>
      <c r="J40" s="99">
        <f t="shared" si="3"/>
        <v>34959501.470967785</v>
      </c>
      <c r="K40" s="98">
        <v>755114.9</v>
      </c>
      <c r="L40" s="135">
        <f t="shared" si="1"/>
        <v>34204386.570967786</v>
      </c>
    </row>
    <row r="41" spans="1:12" ht="14.45" x14ac:dyDescent="0.3">
      <c r="A41" s="101">
        <v>43951</v>
      </c>
      <c r="B41" s="101"/>
      <c r="C41" s="99">
        <f t="shared" si="2"/>
        <v>27889417.770000011</v>
      </c>
      <c r="D41" s="98">
        <v>1355128.43</v>
      </c>
      <c r="E41" s="135">
        <f t="shared" si="0"/>
        <v>26534289.340000011</v>
      </c>
      <c r="H41" s="101">
        <v>43951</v>
      </c>
      <c r="I41" s="101"/>
      <c r="J41" s="99">
        <f t="shared" si="3"/>
        <v>34204386.570967786</v>
      </c>
      <c r="K41" s="98">
        <v>755114.9</v>
      </c>
      <c r="L41" s="135">
        <f t="shared" si="1"/>
        <v>33449271.670967788</v>
      </c>
    </row>
    <row r="42" spans="1:12" ht="14.45" x14ac:dyDescent="0.3">
      <c r="A42" s="101">
        <v>43982</v>
      </c>
      <c r="B42" s="101"/>
      <c r="C42" s="99">
        <f t="shared" si="2"/>
        <v>26534289.340000011</v>
      </c>
      <c r="D42" s="98">
        <v>1355128.43</v>
      </c>
      <c r="E42" s="135">
        <f t="shared" si="0"/>
        <v>25179160.910000011</v>
      </c>
      <c r="H42" s="101">
        <v>43982</v>
      </c>
      <c r="I42" s="101"/>
      <c r="J42" s="99">
        <f t="shared" si="3"/>
        <v>33449271.670967788</v>
      </c>
      <c r="K42" s="98">
        <v>755114.9</v>
      </c>
      <c r="L42" s="135">
        <f t="shared" si="1"/>
        <v>32694156.770967789</v>
      </c>
    </row>
    <row r="43" spans="1:12" ht="14.45" x14ac:dyDescent="0.3">
      <c r="A43" s="101">
        <v>44012</v>
      </c>
      <c r="B43" s="101"/>
      <c r="C43" s="99">
        <f t="shared" si="2"/>
        <v>25179160.910000011</v>
      </c>
      <c r="D43" s="98">
        <v>1355128.43</v>
      </c>
      <c r="E43" s="135">
        <f t="shared" si="0"/>
        <v>23824032.480000012</v>
      </c>
      <c r="H43" s="101">
        <v>44012</v>
      </c>
      <c r="I43" s="101"/>
      <c r="J43" s="99">
        <f t="shared" si="3"/>
        <v>32694156.770967789</v>
      </c>
      <c r="K43" s="98">
        <v>755114.9</v>
      </c>
      <c r="L43" s="135">
        <f t="shared" si="1"/>
        <v>31939041.87096779</v>
      </c>
    </row>
    <row r="44" spans="1:12" ht="14.45" x14ac:dyDescent="0.3">
      <c r="A44" s="101">
        <v>44043</v>
      </c>
      <c r="B44" s="101"/>
      <c r="C44" s="99">
        <f t="shared" si="2"/>
        <v>23824032.480000012</v>
      </c>
      <c r="D44" s="98">
        <v>1355128.43</v>
      </c>
      <c r="E44" s="135">
        <f t="shared" si="0"/>
        <v>22468904.050000012</v>
      </c>
      <c r="H44" s="101">
        <v>44043</v>
      </c>
      <c r="I44" s="101"/>
      <c r="J44" s="99">
        <f t="shared" si="3"/>
        <v>31939041.87096779</v>
      </c>
      <c r="K44" s="98">
        <v>755114.9</v>
      </c>
      <c r="L44" s="135">
        <f t="shared" si="1"/>
        <v>31183926.970967792</v>
      </c>
    </row>
    <row r="45" spans="1:12" ht="14.45" x14ac:dyDescent="0.3">
      <c r="A45" s="101">
        <v>44074</v>
      </c>
      <c r="B45" s="100"/>
      <c r="C45" s="99">
        <f t="shared" si="2"/>
        <v>22468904.050000012</v>
      </c>
      <c r="D45" s="98">
        <v>1355128.43</v>
      </c>
      <c r="E45" s="135">
        <f t="shared" si="0"/>
        <v>21113775.620000012</v>
      </c>
      <c r="H45" s="101">
        <v>44074</v>
      </c>
      <c r="I45" s="100"/>
      <c r="J45" s="99">
        <f t="shared" si="3"/>
        <v>31183926.970967792</v>
      </c>
      <c r="K45" s="98">
        <v>755114.9</v>
      </c>
      <c r="L45" s="135">
        <f t="shared" si="1"/>
        <v>30428812.070967793</v>
      </c>
    </row>
    <row r="46" spans="1:12" ht="14.45" x14ac:dyDescent="0.3">
      <c r="A46" s="101">
        <v>44104</v>
      </c>
      <c r="B46" s="100"/>
      <c r="C46" s="99">
        <f t="shared" si="2"/>
        <v>21113775.620000012</v>
      </c>
      <c r="D46" s="98">
        <v>1355128.43</v>
      </c>
      <c r="E46" s="135">
        <f t="shared" si="0"/>
        <v>19758647.190000013</v>
      </c>
      <c r="H46" s="101">
        <v>44104</v>
      </c>
      <c r="I46" s="100"/>
      <c r="J46" s="99">
        <f t="shared" si="3"/>
        <v>30428812.070967793</v>
      </c>
      <c r="K46" s="98">
        <v>755114.9</v>
      </c>
      <c r="L46" s="135">
        <f t="shared" si="1"/>
        <v>29673697.170967795</v>
      </c>
    </row>
    <row r="47" spans="1:12" ht="14.45" x14ac:dyDescent="0.3">
      <c r="A47" s="101">
        <v>44135</v>
      </c>
      <c r="B47" s="100"/>
      <c r="C47" s="99">
        <f t="shared" si="2"/>
        <v>19758647.190000013</v>
      </c>
      <c r="D47" s="98">
        <v>1355128.43</v>
      </c>
      <c r="E47" s="135">
        <f t="shared" si="0"/>
        <v>18403518.760000013</v>
      </c>
      <c r="H47" s="101">
        <v>44135</v>
      </c>
      <c r="I47" s="100"/>
      <c r="J47" s="99">
        <f t="shared" si="3"/>
        <v>29673697.170967795</v>
      </c>
      <c r="K47" s="98">
        <v>755114.9</v>
      </c>
      <c r="L47" s="135">
        <f t="shared" si="1"/>
        <v>28918582.270967796</v>
      </c>
    </row>
    <row r="48" spans="1:12" ht="14.45" x14ac:dyDescent="0.3">
      <c r="A48" s="101">
        <v>44165</v>
      </c>
      <c r="B48" s="100"/>
      <c r="C48" s="99">
        <f t="shared" si="2"/>
        <v>18403518.760000013</v>
      </c>
      <c r="D48" s="98">
        <v>1355128.43</v>
      </c>
      <c r="E48" s="135">
        <f t="shared" si="0"/>
        <v>17048390.330000013</v>
      </c>
      <c r="H48" s="101">
        <v>44165</v>
      </c>
      <c r="I48" s="100"/>
      <c r="J48" s="99">
        <f t="shared" si="3"/>
        <v>28918582.270967796</v>
      </c>
      <c r="K48" s="98">
        <v>755114.9</v>
      </c>
      <c r="L48" s="135">
        <f t="shared" si="1"/>
        <v>28163467.370967798</v>
      </c>
    </row>
    <row r="49" spans="1:12" ht="14.45" x14ac:dyDescent="0.3">
      <c r="A49" s="101">
        <v>44196</v>
      </c>
      <c r="B49" s="100"/>
      <c r="C49" s="99">
        <f t="shared" si="2"/>
        <v>17048390.330000013</v>
      </c>
      <c r="D49" s="98">
        <v>1355128.43</v>
      </c>
      <c r="E49" s="135">
        <f t="shared" si="0"/>
        <v>15693261.900000013</v>
      </c>
      <c r="H49" s="101">
        <v>44196</v>
      </c>
      <c r="I49" s="100"/>
      <c r="J49" s="99">
        <f t="shared" si="3"/>
        <v>28163467.370967798</v>
      </c>
      <c r="K49" s="98">
        <v>755114.9</v>
      </c>
      <c r="L49" s="135">
        <f t="shared" si="1"/>
        <v>27408352.470967799</v>
      </c>
    </row>
    <row r="50" spans="1:12" ht="14.45" x14ac:dyDescent="0.3">
      <c r="A50" s="101">
        <v>44227</v>
      </c>
      <c r="B50" s="100"/>
      <c r="C50" s="99">
        <f t="shared" si="2"/>
        <v>15693261.900000013</v>
      </c>
      <c r="D50" s="98">
        <v>1355128.43</v>
      </c>
      <c r="E50" s="135">
        <f t="shared" si="0"/>
        <v>14338133.470000014</v>
      </c>
      <c r="H50" s="101">
        <v>44227</v>
      </c>
      <c r="I50" s="100"/>
      <c r="J50" s="99">
        <f t="shared" si="3"/>
        <v>27408352.470967799</v>
      </c>
      <c r="K50" s="98">
        <v>755114.9</v>
      </c>
      <c r="L50" s="135">
        <f t="shared" si="1"/>
        <v>26653237.570967801</v>
      </c>
    </row>
    <row r="51" spans="1:12" ht="14.45" x14ac:dyDescent="0.3">
      <c r="A51" s="101">
        <v>44255</v>
      </c>
      <c r="B51" s="100"/>
      <c r="C51" s="99">
        <f t="shared" si="2"/>
        <v>14338133.470000014</v>
      </c>
      <c r="D51" s="98">
        <v>1355128.43</v>
      </c>
      <c r="E51" s="135">
        <f t="shared" si="0"/>
        <v>12983005.040000014</v>
      </c>
      <c r="H51" s="101">
        <v>44255</v>
      </c>
      <c r="I51" s="100"/>
      <c r="J51" s="99">
        <f t="shared" si="3"/>
        <v>26653237.570967801</v>
      </c>
      <c r="K51" s="98">
        <v>755114.9</v>
      </c>
      <c r="L51" s="135">
        <f t="shared" si="1"/>
        <v>25898122.670967802</v>
      </c>
    </row>
    <row r="52" spans="1:12" ht="14.45" x14ac:dyDescent="0.3">
      <c r="A52" s="101">
        <v>44286</v>
      </c>
      <c r="B52" s="100"/>
      <c r="C52" s="99">
        <f t="shared" si="2"/>
        <v>12983005.040000014</v>
      </c>
      <c r="D52" s="98">
        <v>1355128.43</v>
      </c>
      <c r="E52" s="135">
        <f t="shared" si="0"/>
        <v>11627876.610000014</v>
      </c>
      <c r="H52" s="101">
        <v>44286</v>
      </c>
      <c r="I52" s="100"/>
      <c r="J52" s="99">
        <f t="shared" si="3"/>
        <v>25898122.670967802</v>
      </c>
      <c r="K52" s="98">
        <v>755114.9</v>
      </c>
      <c r="L52" s="135">
        <f t="shared" si="1"/>
        <v>25143007.770967804</v>
      </c>
    </row>
    <row r="53" spans="1:12" ht="14.45" x14ac:dyDescent="0.3">
      <c r="A53" s="101">
        <v>44316</v>
      </c>
      <c r="B53" s="100"/>
      <c r="C53" s="99">
        <f t="shared" si="2"/>
        <v>11627876.610000014</v>
      </c>
      <c r="D53" s="98">
        <v>1355128.43</v>
      </c>
      <c r="E53" s="135">
        <f t="shared" si="0"/>
        <v>10272748.180000015</v>
      </c>
      <c r="H53" s="101">
        <v>44316</v>
      </c>
      <c r="I53" s="100"/>
      <c r="J53" s="99">
        <f t="shared" si="3"/>
        <v>25143007.770967804</v>
      </c>
      <c r="K53" s="98">
        <v>755114.9</v>
      </c>
      <c r="L53" s="135">
        <f t="shared" si="1"/>
        <v>24387892.870967805</v>
      </c>
    </row>
    <row r="54" spans="1:12" ht="14.45" x14ac:dyDescent="0.3">
      <c r="A54" s="101">
        <v>44347</v>
      </c>
      <c r="B54" s="100"/>
      <c r="C54" s="99">
        <f t="shared" si="2"/>
        <v>10272748.180000015</v>
      </c>
      <c r="D54" s="98">
        <v>1355128.43</v>
      </c>
      <c r="E54" s="135">
        <f t="shared" si="0"/>
        <v>8917619.7500000149</v>
      </c>
      <c r="H54" s="101">
        <v>44347</v>
      </c>
      <c r="I54" s="100"/>
      <c r="J54" s="99">
        <f t="shared" si="3"/>
        <v>24387892.870967805</v>
      </c>
      <c r="K54" s="98">
        <v>755114.9</v>
      </c>
      <c r="L54" s="135">
        <f t="shared" si="1"/>
        <v>23632777.970967807</v>
      </c>
    </row>
    <row r="55" spans="1:12" ht="14.45" x14ac:dyDescent="0.3">
      <c r="A55" s="101">
        <v>44377</v>
      </c>
      <c r="B55" s="100"/>
      <c r="C55" s="99">
        <f t="shared" si="2"/>
        <v>8917619.7500000149</v>
      </c>
      <c r="D55" s="98">
        <v>1355128.43</v>
      </c>
      <c r="E55" s="135">
        <f t="shared" si="0"/>
        <v>7562491.3200000152</v>
      </c>
      <c r="H55" s="101">
        <v>44377</v>
      </c>
      <c r="I55" s="100"/>
      <c r="J55" s="99">
        <f t="shared" si="3"/>
        <v>23632777.970967807</v>
      </c>
      <c r="K55" s="98">
        <v>755114.9</v>
      </c>
      <c r="L55" s="135">
        <f t="shared" si="1"/>
        <v>22877663.070967808</v>
      </c>
    </row>
    <row r="56" spans="1:12" ht="14.45" x14ac:dyDescent="0.3">
      <c r="A56" s="101">
        <v>44408</v>
      </c>
      <c r="B56" s="100"/>
      <c r="C56" s="99">
        <f t="shared" si="2"/>
        <v>7562491.3200000152</v>
      </c>
      <c r="D56" s="98">
        <v>1355128.43</v>
      </c>
      <c r="E56" s="135">
        <f t="shared" si="0"/>
        <v>6207362.8900000155</v>
      </c>
      <c r="H56" s="101">
        <v>44408</v>
      </c>
      <c r="I56" s="100"/>
      <c r="J56" s="99">
        <f t="shared" si="3"/>
        <v>22877663.070967808</v>
      </c>
      <c r="K56" s="98">
        <v>755114.9</v>
      </c>
      <c r="L56" s="135">
        <f t="shared" si="1"/>
        <v>22122548.17096781</v>
      </c>
    </row>
    <row r="57" spans="1:12" ht="14.45" x14ac:dyDescent="0.3">
      <c r="A57" s="101">
        <v>44439</v>
      </c>
      <c r="B57" s="100"/>
      <c r="C57" s="99">
        <f t="shared" si="2"/>
        <v>6207362.8900000155</v>
      </c>
      <c r="D57" s="98">
        <v>1355128.43</v>
      </c>
      <c r="E57" s="135">
        <f t="shared" si="0"/>
        <v>4852234.4600000158</v>
      </c>
      <c r="H57" s="101">
        <v>44439</v>
      </c>
      <c r="I57" s="100"/>
      <c r="J57" s="99">
        <f t="shared" si="3"/>
        <v>22122548.17096781</v>
      </c>
      <c r="K57" s="98">
        <v>755114.9</v>
      </c>
      <c r="L57" s="135">
        <f t="shared" si="1"/>
        <v>21367433.270967811</v>
      </c>
    </row>
    <row r="58" spans="1:12" ht="14.45" x14ac:dyDescent="0.3">
      <c r="A58" s="101">
        <v>44469</v>
      </c>
      <c r="B58" s="100"/>
      <c r="C58" s="99">
        <f t="shared" si="2"/>
        <v>4852234.4600000158</v>
      </c>
      <c r="D58" s="98">
        <v>1355128.43</v>
      </c>
      <c r="E58" s="135">
        <f t="shared" si="0"/>
        <v>3497106.0300000161</v>
      </c>
      <c r="H58" s="101">
        <v>44469</v>
      </c>
      <c r="I58" s="100"/>
      <c r="J58" s="99">
        <f t="shared" si="3"/>
        <v>21367433.270967811</v>
      </c>
      <c r="K58" s="98">
        <v>755114.9</v>
      </c>
      <c r="L58" s="135">
        <f t="shared" si="1"/>
        <v>20612318.370967813</v>
      </c>
    </row>
    <row r="59" spans="1:12" ht="14.45" x14ac:dyDescent="0.3">
      <c r="A59" s="101">
        <v>44500</v>
      </c>
      <c r="B59" s="100"/>
      <c r="C59" s="99">
        <f t="shared" si="2"/>
        <v>3497106.0300000161</v>
      </c>
      <c r="D59" s="98">
        <v>1355128.43</v>
      </c>
      <c r="E59" s="135">
        <f t="shared" si="0"/>
        <v>2141977.6000000164</v>
      </c>
      <c r="H59" s="101">
        <v>44500</v>
      </c>
      <c r="I59" s="100"/>
      <c r="J59" s="99">
        <f t="shared" si="3"/>
        <v>20612318.370967813</v>
      </c>
      <c r="K59" s="98">
        <v>755114.9</v>
      </c>
      <c r="L59" s="135">
        <f t="shared" si="1"/>
        <v>19857203.470967814</v>
      </c>
    </row>
    <row r="60" spans="1:12" ht="14.45" x14ac:dyDescent="0.3">
      <c r="A60" s="101">
        <v>44530</v>
      </c>
      <c r="B60" s="100"/>
      <c r="C60" s="99">
        <f t="shared" si="2"/>
        <v>2141977.6000000164</v>
      </c>
      <c r="D60" s="98">
        <v>1355128.43</v>
      </c>
      <c r="E60" s="135">
        <f t="shared" si="0"/>
        <v>786849.17000001646</v>
      </c>
      <c r="H60" s="101">
        <v>44530</v>
      </c>
      <c r="I60" s="100"/>
      <c r="J60" s="99">
        <f t="shared" si="3"/>
        <v>19857203.470967814</v>
      </c>
      <c r="K60" s="98">
        <v>755114.9</v>
      </c>
      <c r="L60" s="135">
        <f t="shared" si="1"/>
        <v>19102088.570967816</v>
      </c>
    </row>
    <row r="61" spans="1:12" ht="14.45" x14ac:dyDescent="0.3">
      <c r="A61" s="101">
        <v>44561</v>
      </c>
      <c r="B61" s="100"/>
      <c r="C61" s="99">
        <f t="shared" si="2"/>
        <v>786849.17000001646</v>
      </c>
      <c r="D61" s="99">
        <f>+C61</f>
        <v>786849.17000001646</v>
      </c>
      <c r="E61" s="135">
        <f t="shared" si="0"/>
        <v>0</v>
      </c>
      <c r="H61" s="101">
        <v>44561</v>
      </c>
      <c r="I61" s="100"/>
      <c r="J61" s="99">
        <f t="shared" si="3"/>
        <v>19102088.570967816</v>
      </c>
      <c r="K61" s="98">
        <v>755114.9</v>
      </c>
      <c r="L61" s="135">
        <f t="shared" si="1"/>
        <v>18346973.670967817</v>
      </c>
    </row>
    <row r="62" spans="1:12" ht="14.45" x14ac:dyDescent="0.3">
      <c r="A62" s="101"/>
      <c r="B62" s="100"/>
      <c r="C62" s="99"/>
      <c r="D62" s="99"/>
      <c r="H62" s="101">
        <v>44592</v>
      </c>
      <c r="J62" s="99">
        <f t="shared" si="3"/>
        <v>18346973.670967817</v>
      </c>
      <c r="K62" s="98">
        <v>755114.9</v>
      </c>
      <c r="L62" s="135">
        <f t="shared" si="1"/>
        <v>17591858.770967819</v>
      </c>
    </row>
    <row r="63" spans="1:12" ht="14.45" x14ac:dyDescent="0.3">
      <c r="A63" s="101"/>
      <c r="B63" s="100"/>
      <c r="C63" s="99"/>
      <c r="D63" s="99"/>
      <c r="H63" s="101">
        <v>44620</v>
      </c>
      <c r="J63" s="99">
        <f t="shared" si="3"/>
        <v>17591858.770967819</v>
      </c>
      <c r="K63" s="98">
        <v>755114.9</v>
      </c>
      <c r="L63" s="135">
        <f t="shared" si="1"/>
        <v>16836743.87096782</v>
      </c>
    </row>
    <row r="64" spans="1:12" x14ac:dyDescent="0.25">
      <c r="A64" s="101"/>
      <c r="B64" s="100"/>
      <c r="C64" s="99"/>
      <c r="D64" s="99"/>
      <c r="H64" s="101">
        <v>44651</v>
      </c>
      <c r="J64" s="99">
        <f t="shared" si="3"/>
        <v>16836743.87096782</v>
      </c>
      <c r="K64" s="98">
        <v>755114.9</v>
      </c>
      <c r="L64" s="135">
        <f t="shared" si="1"/>
        <v>16081628.97096782</v>
      </c>
    </row>
    <row r="65" spans="1:12" x14ac:dyDescent="0.25">
      <c r="A65" s="101"/>
      <c r="B65" s="100"/>
      <c r="C65" s="99"/>
      <c r="D65" s="99"/>
      <c r="H65" s="101">
        <v>44681</v>
      </c>
      <c r="J65" s="99">
        <f t="shared" si="3"/>
        <v>16081628.97096782</v>
      </c>
      <c r="K65" s="98">
        <v>755114.9</v>
      </c>
      <c r="L65" s="135">
        <f t="shared" si="1"/>
        <v>15326514.07096782</v>
      </c>
    </row>
    <row r="66" spans="1:12" x14ac:dyDescent="0.25">
      <c r="A66" s="101"/>
      <c r="B66" s="100"/>
      <c r="C66" s="99"/>
      <c r="D66" s="99"/>
      <c r="H66" s="101">
        <v>44712</v>
      </c>
      <c r="J66" s="99">
        <f t="shared" si="3"/>
        <v>15326514.07096782</v>
      </c>
      <c r="K66" s="98">
        <v>755114.9</v>
      </c>
      <c r="L66" s="135">
        <f t="shared" si="1"/>
        <v>14571399.170967819</v>
      </c>
    </row>
    <row r="67" spans="1:12" x14ac:dyDescent="0.25">
      <c r="A67" s="101"/>
      <c r="B67" s="100"/>
      <c r="C67" s="99"/>
      <c r="D67" s="99"/>
      <c r="H67" s="101">
        <v>44742</v>
      </c>
      <c r="J67" s="99">
        <f t="shared" si="3"/>
        <v>14571399.170967819</v>
      </c>
      <c r="K67" s="98">
        <v>755114.9</v>
      </c>
      <c r="L67" s="135">
        <f t="shared" si="1"/>
        <v>13816284.270967819</v>
      </c>
    </row>
    <row r="68" spans="1:12" x14ac:dyDescent="0.25">
      <c r="A68" s="101"/>
      <c r="B68" s="100"/>
      <c r="C68" s="99"/>
      <c r="D68" s="99"/>
      <c r="H68" s="101">
        <v>44773</v>
      </c>
      <c r="J68" s="99">
        <f t="shared" si="3"/>
        <v>13816284.270967819</v>
      </c>
      <c r="K68" s="98">
        <v>755114.9</v>
      </c>
      <c r="L68" s="135">
        <f t="shared" si="1"/>
        <v>13061169.370967818</v>
      </c>
    </row>
    <row r="69" spans="1:12" x14ac:dyDescent="0.25">
      <c r="A69" s="101"/>
      <c r="B69" s="100"/>
      <c r="C69" s="99"/>
      <c r="D69" s="99"/>
      <c r="H69" s="101">
        <v>44804</v>
      </c>
      <c r="J69" s="99">
        <f t="shared" si="3"/>
        <v>13061169.370967818</v>
      </c>
      <c r="K69" s="98">
        <v>755114.9</v>
      </c>
      <c r="L69" s="135">
        <f t="shared" si="1"/>
        <v>12306054.470967818</v>
      </c>
    </row>
    <row r="70" spans="1:12" x14ac:dyDescent="0.25">
      <c r="A70" s="101"/>
      <c r="B70" s="100"/>
      <c r="C70" s="99"/>
      <c r="D70" s="99"/>
      <c r="H70" s="101">
        <v>44834</v>
      </c>
      <c r="J70" s="99">
        <f t="shared" si="3"/>
        <v>12306054.470967818</v>
      </c>
      <c r="K70" s="98">
        <v>755114.9</v>
      </c>
      <c r="L70" s="135">
        <f t="shared" si="1"/>
        <v>11550939.570967818</v>
      </c>
    </row>
    <row r="71" spans="1:12" x14ac:dyDescent="0.25">
      <c r="A71" s="101"/>
      <c r="B71" s="100"/>
      <c r="C71" s="99"/>
      <c r="D71" s="99"/>
      <c r="H71" s="101">
        <v>44865</v>
      </c>
      <c r="J71" s="99">
        <f t="shared" si="3"/>
        <v>11550939.570967818</v>
      </c>
      <c r="K71" s="98">
        <v>755114.9</v>
      </c>
      <c r="L71" s="135">
        <f t="shared" si="1"/>
        <v>10795824.670967817</v>
      </c>
    </row>
    <row r="72" spans="1:12" x14ac:dyDescent="0.25">
      <c r="A72" s="101"/>
      <c r="B72" s="100"/>
      <c r="C72" s="99"/>
      <c r="D72" s="99"/>
      <c r="H72" s="101">
        <v>44895</v>
      </c>
      <c r="J72" s="99">
        <f t="shared" si="3"/>
        <v>10795824.670967817</v>
      </c>
      <c r="K72" s="98">
        <v>755114.9</v>
      </c>
      <c r="L72" s="135">
        <f t="shared" si="1"/>
        <v>10040709.770967817</v>
      </c>
    </row>
    <row r="73" spans="1:12" x14ac:dyDescent="0.25">
      <c r="A73" s="101"/>
      <c r="B73" s="100"/>
      <c r="C73" s="99"/>
      <c r="D73" s="99"/>
      <c r="H73" s="101">
        <v>44926</v>
      </c>
      <c r="J73" s="99">
        <f t="shared" si="3"/>
        <v>10040709.770967817</v>
      </c>
      <c r="K73" s="98">
        <v>755114.9</v>
      </c>
      <c r="L73" s="135">
        <f t="shared" si="1"/>
        <v>9285594.8709678166</v>
      </c>
    </row>
    <row r="74" spans="1:12" x14ac:dyDescent="0.25">
      <c r="A74" s="101"/>
      <c r="B74" s="100"/>
      <c r="C74" s="99"/>
      <c r="D74" s="99"/>
      <c r="H74" s="101">
        <v>44957</v>
      </c>
      <c r="J74" s="99">
        <f t="shared" si="3"/>
        <v>9285594.8709678166</v>
      </c>
      <c r="K74" s="98">
        <v>755114.9</v>
      </c>
      <c r="L74" s="135">
        <f t="shared" si="1"/>
        <v>8530479.9709678162</v>
      </c>
    </row>
    <row r="75" spans="1:12" x14ac:dyDescent="0.25">
      <c r="A75" s="101"/>
      <c r="B75" s="100"/>
      <c r="C75" s="99"/>
      <c r="D75" s="99"/>
      <c r="H75" s="101">
        <v>44985</v>
      </c>
      <c r="J75" s="99">
        <f t="shared" si="3"/>
        <v>8530479.9709678162</v>
      </c>
      <c r="K75" s="98">
        <v>755114.9</v>
      </c>
      <c r="L75" s="135">
        <f t="shared" si="1"/>
        <v>7775365.0709678158</v>
      </c>
    </row>
    <row r="76" spans="1:12" x14ac:dyDescent="0.25">
      <c r="A76" s="101"/>
      <c r="B76" s="100"/>
      <c r="C76" s="99"/>
      <c r="D76" s="99"/>
      <c r="H76" s="101">
        <v>45016</v>
      </c>
      <c r="J76" s="99">
        <f t="shared" si="3"/>
        <v>7775365.0709678158</v>
      </c>
      <c r="K76" s="98">
        <v>755114.9</v>
      </c>
      <c r="L76" s="135">
        <f t="shared" si="1"/>
        <v>7020250.1709678154</v>
      </c>
    </row>
    <row r="77" spans="1:12" x14ac:dyDescent="0.25">
      <c r="A77" s="101"/>
      <c r="B77" s="100"/>
      <c r="C77" s="99"/>
      <c r="D77" s="99"/>
      <c r="H77" s="101">
        <v>45046</v>
      </c>
      <c r="J77" s="99">
        <f t="shared" si="3"/>
        <v>7020250.1709678154</v>
      </c>
      <c r="K77" s="98">
        <v>755114.9</v>
      </c>
      <c r="L77" s="135">
        <f t="shared" ref="L77:L85" si="4">+J77-K77</f>
        <v>6265135.2709678151</v>
      </c>
    </row>
    <row r="78" spans="1:12" x14ac:dyDescent="0.25">
      <c r="A78" s="101"/>
      <c r="B78" s="100"/>
      <c r="C78" s="99"/>
      <c r="D78" s="99"/>
      <c r="H78" s="101">
        <v>45077</v>
      </c>
      <c r="J78" s="99">
        <f t="shared" ref="J78:J85" si="5">+L77</f>
        <v>6265135.2709678151</v>
      </c>
      <c r="K78" s="98">
        <v>755114.9</v>
      </c>
      <c r="L78" s="135">
        <f t="shared" si="4"/>
        <v>5510020.3709678147</v>
      </c>
    </row>
    <row r="79" spans="1:12" x14ac:dyDescent="0.25">
      <c r="A79" s="101"/>
      <c r="B79" s="100"/>
      <c r="C79" s="99"/>
      <c r="D79" s="99"/>
      <c r="H79" s="101">
        <v>45107</v>
      </c>
      <c r="J79" s="99">
        <f t="shared" si="5"/>
        <v>5510020.3709678147</v>
      </c>
      <c r="K79" s="98">
        <v>755114.9</v>
      </c>
      <c r="L79" s="135">
        <f t="shared" si="4"/>
        <v>4754905.4709678143</v>
      </c>
    </row>
    <row r="80" spans="1:12" x14ac:dyDescent="0.25">
      <c r="A80" s="101"/>
      <c r="B80" s="100"/>
      <c r="C80" s="99"/>
      <c r="D80" s="99"/>
      <c r="H80" s="101">
        <v>45138</v>
      </c>
      <c r="J80" s="99">
        <f t="shared" si="5"/>
        <v>4754905.4709678143</v>
      </c>
      <c r="K80" s="98">
        <v>755114.9</v>
      </c>
      <c r="L80" s="135">
        <f t="shared" si="4"/>
        <v>3999790.5709678144</v>
      </c>
    </row>
    <row r="81" spans="8:12" x14ac:dyDescent="0.25">
      <c r="H81" s="101">
        <v>45169</v>
      </c>
      <c r="J81" s="99">
        <f t="shared" si="5"/>
        <v>3999790.5709678144</v>
      </c>
      <c r="K81" s="98">
        <v>755114.9</v>
      </c>
      <c r="L81" s="135">
        <f t="shared" si="4"/>
        <v>3244675.6709678145</v>
      </c>
    </row>
    <row r="82" spans="8:12" x14ac:dyDescent="0.25">
      <c r="H82" s="101">
        <v>45199</v>
      </c>
      <c r="J82" s="99">
        <f t="shared" si="5"/>
        <v>3244675.6709678145</v>
      </c>
      <c r="K82" s="98">
        <v>755114.9</v>
      </c>
      <c r="L82" s="135">
        <f t="shared" si="4"/>
        <v>2489560.7709678146</v>
      </c>
    </row>
    <row r="83" spans="8:12" x14ac:dyDescent="0.25">
      <c r="H83" s="101">
        <v>45230</v>
      </c>
      <c r="J83" s="99">
        <f t="shared" si="5"/>
        <v>2489560.7709678146</v>
      </c>
      <c r="K83" s="98">
        <v>755114.9</v>
      </c>
      <c r="L83" s="135">
        <f t="shared" si="4"/>
        <v>1734445.8709678147</v>
      </c>
    </row>
    <row r="84" spans="8:12" x14ac:dyDescent="0.25">
      <c r="H84" s="101">
        <v>45260</v>
      </c>
      <c r="J84" s="99">
        <f t="shared" si="5"/>
        <v>1734445.8709678147</v>
      </c>
      <c r="K84" s="98">
        <v>755114.9</v>
      </c>
      <c r="L84" s="135">
        <f t="shared" si="4"/>
        <v>979330.97096781468</v>
      </c>
    </row>
    <row r="85" spans="8:12" x14ac:dyDescent="0.25">
      <c r="H85" s="101">
        <v>45291</v>
      </c>
      <c r="J85" s="99">
        <f t="shared" si="5"/>
        <v>979330.97096781468</v>
      </c>
      <c r="K85" s="99">
        <f>+J85</f>
        <v>979330.97096781468</v>
      </c>
      <c r="L85" s="135">
        <f t="shared" si="4"/>
        <v>0</v>
      </c>
    </row>
    <row r="86" spans="8:12" x14ac:dyDescent="0.25">
      <c r="K86" s="98"/>
    </row>
    <row r="87" spans="8:12" x14ac:dyDescent="0.25">
      <c r="K87" s="98"/>
    </row>
    <row r="88" spans="8:12" x14ac:dyDescent="0.25">
      <c r="K88" s="98"/>
    </row>
    <row r="89" spans="8:12" x14ac:dyDescent="0.25">
      <c r="K89" s="98"/>
    </row>
    <row r="90" spans="8:12" x14ac:dyDescent="0.25">
      <c r="K90" s="98"/>
    </row>
    <row r="91" spans="8:12" x14ac:dyDescent="0.25">
      <c r="K91" s="98"/>
    </row>
    <row r="92" spans="8:12" x14ac:dyDescent="0.25">
      <c r="K92" s="98"/>
    </row>
    <row r="93" spans="8:12" x14ac:dyDescent="0.25">
      <c r="K93" s="98"/>
    </row>
    <row r="94" spans="8:12" x14ac:dyDescent="0.25">
      <c r="K94" s="98"/>
    </row>
    <row r="95" spans="8:12" x14ac:dyDescent="0.25">
      <c r="K95" s="98"/>
    </row>
    <row r="96" spans="8:12" x14ac:dyDescent="0.25">
      <c r="K96" s="98"/>
    </row>
    <row r="97" spans="11:11" x14ac:dyDescent="0.25">
      <c r="K97" s="98"/>
    </row>
    <row r="98" spans="11:11" x14ac:dyDescent="0.25">
      <c r="K98" s="98"/>
    </row>
    <row r="99" spans="11:11" x14ac:dyDescent="0.25">
      <c r="K99" s="9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25" sqref="C25"/>
    </sheetView>
  </sheetViews>
  <sheetFormatPr defaultRowHeight="15" x14ac:dyDescent="0.25"/>
  <cols>
    <col min="1" max="1" width="20.28515625" bestFit="1" customWidth="1"/>
    <col min="2" max="2" width="10" bestFit="1" customWidth="1"/>
    <col min="3" max="3" width="11.140625" bestFit="1" customWidth="1"/>
    <col min="4" max="5" width="10.140625" bestFit="1" customWidth="1"/>
    <col min="6" max="6" width="9.140625" bestFit="1" customWidth="1"/>
    <col min="7" max="7" width="13" bestFit="1" customWidth="1"/>
    <col min="8" max="8" width="9.140625" bestFit="1" customWidth="1"/>
    <col min="9" max="9" width="13" bestFit="1" customWidth="1"/>
    <col min="10" max="10" width="12.7109375" bestFit="1" customWidth="1"/>
    <col min="11" max="11" width="15.42578125" bestFit="1" customWidth="1"/>
  </cols>
  <sheetData>
    <row r="1" spans="1:11" x14ac:dyDescent="0.3">
      <c r="B1" s="6" t="s">
        <v>36</v>
      </c>
      <c r="C1" s="6" t="s">
        <v>36</v>
      </c>
      <c r="D1" s="6" t="s">
        <v>37</v>
      </c>
      <c r="E1" s="6" t="s">
        <v>37</v>
      </c>
      <c r="F1" s="6" t="s">
        <v>37</v>
      </c>
      <c r="G1" s="6" t="s">
        <v>37</v>
      </c>
      <c r="H1" s="6" t="s">
        <v>37</v>
      </c>
    </row>
    <row r="2" spans="1:11" x14ac:dyDescent="0.3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7" t="s">
        <v>6</v>
      </c>
      <c r="K2" s="7" t="s">
        <v>7</v>
      </c>
    </row>
    <row r="3" spans="1:11" x14ac:dyDescent="0.3">
      <c r="A3" s="5" t="s">
        <v>28</v>
      </c>
      <c r="B3" s="35"/>
      <c r="C3" s="35">
        <v>152546.21</v>
      </c>
      <c r="D3" s="35">
        <v>71521.119999999995</v>
      </c>
      <c r="E3" s="35">
        <v>6798.58</v>
      </c>
      <c r="F3" s="35">
        <v>3400.85</v>
      </c>
      <c r="G3" s="35">
        <v>9252625.4700000007</v>
      </c>
      <c r="H3" s="35">
        <v>4338.05</v>
      </c>
      <c r="I3" s="36">
        <v>9491230.2799999993</v>
      </c>
      <c r="J3" s="36">
        <f>SUM(B3:C3)</f>
        <v>152546.21</v>
      </c>
      <c r="K3" s="36">
        <f>SUM(D3:H3)</f>
        <v>9338684.0700000022</v>
      </c>
    </row>
    <row r="4" spans="1:11" x14ac:dyDescent="0.3">
      <c r="A4" s="5" t="s">
        <v>29</v>
      </c>
      <c r="B4" s="35"/>
      <c r="C4" s="35">
        <v>52073.77</v>
      </c>
      <c r="D4" s="35">
        <v>40039.72</v>
      </c>
      <c r="E4" s="35">
        <v>4479.07</v>
      </c>
      <c r="F4" s="35">
        <v>3015.68</v>
      </c>
      <c r="G4" s="35">
        <v>4529263.3</v>
      </c>
      <c r="H4" s="35">
        <v>1865.6</v>
      </c>
      <c r="I4" s="36">
        <v>4630737.1399999997</v>
      </c>
      <c r="J4" s="36">
        <f t="shared" ref="J4:J11" si="0">SUM(B4:C4)</f>
        <v>52073.77</v>
      </c>
      <c r="K4" s="36">
        <f t="shared" ref="K4:K11" si="1">SUM(D4:H4)</f>
        <v>4578663.3699999992</v>
      </c>
    </row>
    <row r="5" spans="1:11" x14ac:dyDescent="0.3">
      <c r="A5" s="5" t="s">
        <v>30</v>
      </c>
      <c r="B5" s="35">
        <v>776.62</v>
      </c>
      <c r="C5" s="35">
        <v>318485.8</v>
      </c>
      <c r="D5" s="35">
        <v>26166.99</v>
      </c>
      <c r="E5" s="35">
        <v>461.32</v>
      </c>
      <c r="F5" s="35">
        <v>3226.55</v>
      </c>
      <c r="G5" s="35">
        <v>10724014.060000001</v>
      </c>
      <c r="H5" s="35">
        <v>488.7</v>
      </c>
      <c r="I5" s="36">
        <v>11073620.039999999</v>
      </c>
      <c r="J5" s="36">
        <f t="shared" si="0"/>
        <v>319262.42</v>
      </c>
      <c r="K5" s="36">
        <f t="shared" si="1"/>
        <v>10754357.619999999</v>
      </c>
    </row>
    <row r="6" spans="1:11" x14ac:dyDescent="0.3">
      <c r="A6" s="5" t="s">
        <v>31</v>
      </c>
      <c r="B6" s="35">
        <v>0</v>
      </c>
      <c r="C6" s="35">
        <v>349350.51</v>
      </c>
      <c r="D6" s="35">
        <v>95756.76</v>
      </c>
      <c r="E6" s="35">
        <v>21281.19</v>
      </c>
      <c r="F6" s="35"/>
      <c r="G6" s="35">
        <v>9041333.7799999993</v>
      </c>
      <c r="H6" s="35">
        <v>5510</v>
      </c>
      <c r="I6" s="36">
        <v>9513232.2400000002</v>
      </c>
      <c r="J6" s="36">
        <f t="shared" si="0"/>
        <v>349350.51</v>
      </c>
      <c r="K6" s="36">
        <f t="shared" si="1"/>
        <v>9163881.7299999986</v>
      </c>
    </row>
    <row r="7" spans="1:11" x14ac:dyDescent="0.3">
      <c r="A7" s="5" t="s">
        <v>32</v>
      </c>
      <c r="B7" s="35">
        <v>22092.76</v>
      </c>
      <c r="C7" s="35">
        <v>483217.81</v>
      </c>
      <c r="D7" s="35">
        <v>79590.03</v>
      </c>
      <c r="E7" s="35">
        <v>13922.15</v>
      </c>
      <c r="F7" s="35">
        <v>2206.4499999999998</v>
      </c>
      <c r="G7" s="35">
        <v>11080464.050000001</v>
      </c>
      <c r="H7" s="35"/>
      <c r="I7" s="36">
        <v>11681493.25</v>
      </c>
      <c r="J7" s="36">
        <f t="shared" si="0"/>
        <v>505310.57</v>
      </c>
      <c r="K7" s="36">
        <f t="shared" si="1"/>
        <v>11176182.680000002</v>
      </c>
    </row>
    <row r="8" spans="1:11" x14ac:dyDescent="0.3">
      <c r="A8" s="5" t="s">
        <v>33</v>
      </c>
      <c r="B8" s="35">
        <v>0</v>
      </c>
      <c r="C8" s="35">
        <v>588383.06999999995</v>
      </c>
      <c r="D8" s="35">
        <v>18284.37</v>
      </c>
      <c r="E8" s="35">
        <v>11258.88</v>
      </c>
      <c r="F8" s="35">
        <v>5667.13</v>
      </c>
      <c r="G8" s="35">
        <v>10537434.09</v>
      </c>
      <c r="H8" s="35"/>
      <c r="I8" s="36">
        <v>11161027.539999999</v>
      </c>
      <c r="J8" s="36">
        <f t="shared" si="0"/>
        <v>588383.06999999995</v>
      </c>
      <c r="K8" s="36">
        <f t="shared" si="1"/>
        <v>10572644.470000001</v>
      </c>
    </row>
    <row r="9" spans="1:11" x14ac:dyDescent="0.3">
      <c r="A9" s="5" t="s">
        <v>34</v>
      </c>
      <c r="B9" s="35">
        <v>341.7</v>
      </c>
      <c r="C9" s="35">
        <v>292318.92</v>
      </c>
      <c r="D9" s="35">
        <v>22740.19</v>
      </c>
      <c r="E9" s="35">
        <v>2637.56</v>
      </c>
      <c r="F9" s="35"/>
      <c r="G9" s="35">
        <v>9223736.2200000007</v>
      </c>
      <c r="H9" s="35">
        <v>420.47</v>
      </c>
      <c r="I9" s="36">
        <v>9542195.0600000005</v>
      </c>
      <c r="J9" s="36">
        <f t="shared" si="0"/>
        <v>292660.62</v>
      </c>
      <c r="K9" s="36">
        <f t="shared" si="1"/>
        <v>9249534.4400000013</v>
      </c>
    </row>
    <row r="10" spans="1:11" x14ac:dyDescent="0.3">
      <c r="A10" s="5" t="s">
        <v>35</v>
      </c>
      <c r="B10" s="35">
        <v>0</v>
      </c>
      <c r="C10" s="35">
        <v>560519.69999999995</v>
      </c>
      <c r="D10" s="35">
        <v>39655.43</v>
      </c>
      <c r="E10" s="35">
        <v>5266.06</v>
      </c>
      <c r="F10" s="35"/>
      <c r="G10" s="35">
        <v>8600946.0800000001</v>
      </c>
      <c r="H10" s="35"/>
      <c r="I10" s="36">
        <v>9206387.2699999996</v>
      </c>
      <c r="J10" s="36">
        <f t="shared" ref="J10" si="2">SUM(B10:C10)</f>
        <v>560519.69999999995</v>
      </c>
      <c r="K10" s="36">
        <f t="shared" ref="K10" si="3">SUM(D10:H10)</f>
        <v>8645867.5700000003</v>
      </c>
    </row>
    <row r="11" spans="1:11" x14ac:dyDescent="0.3">
      <c r="A11" s="5" t="s">
        <v>39</v>
      </c>
      <c r="B11" s="35"/>
      <c r="C11" s="35">
        <v>588691.1</v>
      </c>
      <c r="D11" s="35">
        <v>39529.74</v>
      </c>
      <c r="E11" s="35">
        <v>8018.94</v>
      </c>
      <c r="F11" s="35"/>
      <c r="G11" s="35">
        <v>9657492.5099999998</v>
      </c>
      <c r="H11" s="35"/>
      <c r="I11" s="36">
        <f>SUM(B11:H11)</f>
        <v>10293732.289999999</v>
      </c>
      <c r="J11" s="36">
        <f t="shared" si="0"/>
        <v>588691.1</v>
      </c>
      <c r="K11" s="36">
        <f t="shared" si="1"/>
        <v>9705041.1899999995</v>
      </c>
    </row>
    <row r="13" spans="1:11" x14ac:dyDescent="0.3">
      <c r="A13" s="41" t="s">
        <v>52</v>
      </c>
      <c r="B13" s="5" t="s">
        <v>20</v>
      </c>
      <c r="C13" s="5" t="s">
        <v>21</v>
      </c>
      <c r="D13" s="5" t="s">
        <v>22</v>
      </c>
      <c r="E13" s="5" t="s">
        <v>23</v>
      </c>
      <c r="F13" s="5" t="s">
        <v>24</v>
      </c>
      <c r="G13" s="5" t="s">
        <v>25</v>
      </c>
      <c r="H13" s="5" t="s">
        <v>26</v>
      </c>
      <c r="I13" s="5" t="s">
        <v>27</v>
      </c>
    </row>
    <row r="14" spans="1:11" x14ac:dyDescent="0.3">
      <c r="A14" s="37" t="s">
        <v>100</v>
      </c>
      <c r="B14" s="38"/>
      <c r="C14" s="39">
        <v>3162.97</v>
      </c>
      <c r="D14" s="39">
        <v>2493</v>
      </c>
      <c r="E14" s="39">
        <v>1246.49</v>
      </c>
      <c r="F14" s="38"/>
      <c r="G14" s="39">
        <v>440974.37</v>
      </c>
      <c r="H14" s="38"/>
      <c r="I14" s="40">
        <v>447876.83</v>
      </c>
      <c r="K14" s="144" t="s">
        <v>132</v>
      </c>
    </row>
    <row r="15" spans="1:11" x14ac:dyDescent="0.3">
      <c r="A15" s="5" t="s">
        <v>39</v>
      </c>
      <c r="B15" s="32">
        <v>0</v>
      </c>
      <c r="C15" s="32">
        <f>+C14+C11</f>
        <v>591854.06999999995</v>
      </c>
      <c r="D15" s="32">
        <f t="shared" ref="D15:G15" si="4">+D14+D11</f>
        <v>42022.74</v>
      </c>
      <c r="E15" s="32">
        <f t="shared" si="4"/>
        <v>9265.43</v>
      </c>
      <c r="F15" s="32"/>
      <c r="G15" s="32">
        <f t="shared" si="4"/>
        <v>10098466.879999999</v>
      </c>
      <c r="H15" s="32"/>
      <c r="I15" s="33">
        <f>SUM(B15:H15)</f>
        <v>10741609.119999999</v>
      </c>
      <c r="J15" s="33">
        <f t="shared" ref="J15" si="5">SUM(B15:C15)</f>
        <v>591854.06999999995</v>
      </c>
      <c r="K15" s="33">
        <f t="shared" ref="K15" si="6">SUM(D15:H15)</f>
        <v>10149755.049999999</v>
      </c>
    </row>
    <row r="17" spans="1:11" x14ac:dyDescent="0.3">
      <c r="I17" s="34">
        <f>+I15+I10+I9+I8+I7+I6</f>
        <v>61845944.480000004</v>
      </c>
    </row>
    <row r="18" spans="1:11" x14ac:dyDescent="0.3">
      <c r="B18" s="5" t="s">
        <v>20</v>
      </c>
      <c r="C18" s="5" t="s">
        <v>21</v>
      </c>
      <c r="D18" s="5" t="s">
        <v>22</v>
      </c>
      <c r="E18" s="5" t="s">
        <v>23</v>
      </c>
      <c r="F18" s="5" t="s">
        <v>24</v>
      </c>
      <c r="G18" s="5" t="s">
        <v>25</v>
      </c>
      <c r="H18" s="5" t="s">
        <v>26</v>
      </c>
    </row>
    <row r="19" spans="1:11" x14ac:dyDescent="0.3">
      <c r="A19" t="s">
        <v>102</v>
      </c>
      <c r="B19" s="10">
        <f>SUM(B6:B10,B15)</f>
        <v>22434.46</v>
      </c>
      <c r="C19" s="10">
        <f t="shared" ref="C19:H19" si="7">SUM(C6:C10,C15)</f>
        <v>2865644.0799999996</v>
      </c>
      <c r="D19" s="10">
        <f t="shared" si="7"/>
        <v>298049.51999999996</v>
      </c>
      <c r="E19" s="10">
        <f t="shared" si="7"/>
        <v>63631.26999999999</v>
      </c>
      <c r="F19" s="10">
        <f t="shared" si="7"/>
        <v>7873.58</v>
      </c>
      <c r="G19" s="10">
        <f t="shared" si="7"/>
        <v>58582381.099999994</v>
      </c>
      <c r="H19" s="10">
        <f t="shared" si="7"/>
        <v>5930.47</v>
      </c>
      <c r="I19" s="10"/>
      <c r="J19" s="10"/>
      <c r="K19" s="10"/>
    </row>
    <row r="20" spans="1:11" s="9" customFormat="1" x14ac:dyDescent="0.3">
      <c r="A20" s="9" t="s">
        <v>103</v>
      </c>
      <c r="B20" s="43">
        <f t="shared" ref="B20:H20" si="8">+B19/6</f>
        <v>3739.0766666666664</v>
      </c>
      <c r="C20" s="43">
        <f t="shared" si="8"/>
        <v>477607.34666666662</v>
      </c>
      <c r="D20" s="43">
        <f t="shared" si="8"/>
        <v>49674.919999999991</v>
      </c>
      <c r="E20" s="43">
        <f t="shared" si="8"/>
        <v>10605.211666666664</v>
      </c>
      <c r="F20" s="43">
        <f t="shared" si="8"/>
        <v>1312.2633333333333</v>
      </c>
      <c r="G20" s="43">
        <f t="shared" si="8"/>
        <v>9763730.1833333317</v>
      </c>
      <c r="H20" s="43">
        <f t="shared" si="8"/>
        <v>988.41166666666675</v>
      </c>
    </row>
    <row r="21" spans="1:11" x14ac:dyDescent="0.3">
      <c r="A21" t="s">
        <v>104</v>
      </c>
      <c r="B21" s="10">
        <f>-B11+B20</f>
        <v>3739.0766666666664</v>
      </c>
      <c r="C21" s="10">
        <f t="shared" ref="C21:H21" si="9">-C11+C20</f>
        <v>-111083.75333333336</v>
      </c>
      <c r="D21" s="10">
        <f t="shared" si="9"/>
        <v>10145.179999999993</v>
      </c>
      <c r="E21" s="10">
        <f t="shared" si="9"/>
        <v>2586.2716666666647</v>
      </c>
      <c r="F21" s="10">
        <f t="shared" si="9"/>
        <v>1312.2633333333333</v>
      </c>
      <c r="G21" s="10">
        <f t="shared" si="9"/>
        <v>106237.67333333194</v>
      </c>
      <c r="H21" s="10">
        <f t="shared" si="9"/>
        <v>988.41166666666675</v>
      </c>
      <c r="I21" s="10">
        <f>SUM(B21:H21)</f>
        <v>13925.123333331911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19" sqref="B19"/>
    </sheetView>
  </sheetViews>
  <sheetFormatPr defaultColWidth="8.85546875" defaultRowHeight="15" x14ac:dyDescent="0.25"/>
  <cols>
    <col min="1" max="1" width="13.42578125" style="38" customWidth="1"/>
    <col min="2" max="2" width="37.28515625" style="38" bestFit="1" customWidth="1"/>
    <col min="3" max="3" width="11.7109375" style="38" bestFit="1" customWidth="1"/>
    <col min="4" max="4" width="13.7109375" style="38" bestFit="1" customWidth="1"/>
    <col min="5" max="13" width="11.7109375" style="38" bestFit="1" customWidth="1"/>
    <col min="14" max="16384" width="8.85546875" style="38"/>
  </cols>
  <sheetData>
    <row r="1" spans="1:15" x14ac:dyDescent="0.3">
      <c r="A1" s="113" t="s">
        <v>80</v>
      </c>
      <c r="B1" s="113"/>
    </row>
    <row r="2" spans="1:15" x14ac:dyDescent="0.3">
      <c r="A2" s="136" t="s">
        <v>66</v>
      </c>
      <c r="B2" s="136" t="s">
        <v>66</v>
      </c>
    </row>
    <row r="3" spans="1:15" x14ac:dyDescent="0.3">
      <c r="A3" s="136" t="s">
        <v>52</v>
      </c>
      <c r="B3" s="136" t="s">
        <v>53</v>
      </c>
    </row>
    <row r="4" spans="1:15" x14ac:dyDescent="0.3">
      <c r="A4" s="137" t="s">
        <v>71</v>
      </c>
      <c r="B4" s="138" t="s">
        <v>49</v>
      </c>
    </row>
    <row r="5" spans="1:15" x14ac:dyDescent="0.3">
      <c r="A5" s="136" t="s">
        <v>52</v>
      </c>
      <c r="B5" s="136" t="s">
        <v>53</v>
      </c>
      <c r="C5" s="136" t="s">
        <v>8</v>
      </c>
      <c r="D5" s="136" t="s">
        <v>65</v>
      </c>
      <c r="E5" s="136" t="s">
        <v>64</v>
      </c>
      <c r="F5" s="136" t="s">
        <v>63</v>
      </c>
      <c r="G5" s="136" t="s">
        <v>62</v>
      </c>
      <c r="H5" s="136" t="s">
        <v>61</v>
      </c>
      <c r="I5" s="136" t="s">
        <v>60</v>
      </c>
      <c r="J5" s="136" t="s">
        <v>59</v>
      </c>
      <c r="K5" s="136" t="s">
        <v>58</v>
      </c>
      <c r="L5" s="136" t="s">
        <v>57</v>
      </c>
      <c r="M5" s="136" t="s">
        <v>56</v>
      </c>
      <c r="N5" s="136" t="s">
        <v>55</v>
      </c>
      <c r="O5" s="136" t="s">
        <v>54</v>
      </c>
    </row>
    <row r="6" spans="1:15" x14ac:dyDescent="0.3">
      <c r="A6" s="139" t="s">
        <v>72</v>
      </c>
      <c r="B6" s="138" t="s">
        <v>73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x14ac:dyDescent="0.3">
      <c r="A7" s="139" t="s">
        <v>74</v>
      </c>
      <c r="B7" s="138" t="s">
        <v>75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x14ac:dyDescent="0.3">
      <c r="A8" s="139" t="s">
        <v>76</v>
      </c>
      <c r="B8" s="138" t="s">
        <v>77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3">
      <c r="A9" s="139" t="s">
        <v>78</v>
      </c>
      <c r="B9" s="138" t="s">
        <v>79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x14ac:dyDescent="0.3">
      <c r="A10" s="139" t="s">
        <v>67</v>
      </c>
      <c r="B10" s="138" t="s">
        <v>68</v>
      </c>
      <c r="C10" s="39">
        <f>SUM(D10:O10)</f>
        <v>9061380</v>
      </c>
      <c r="D10" s="39">
        <v>755115</v>
      </c>
      <c r="E10" s="39">
        <v>755115</v>
      </c>
      <c r="F10" s="39">
        <v>755115</v>
      </c>
      <c r="G10" s="39">
        <v>755115</v>
      </c>
      <c r="H10" s="39">
        <v>755115</v>
      </c>
      <c r="I10" s="39">
        <v>755115</v>
      </c>
      <c r="J10" s="39">
        <v>755115</v>
      </c>
      <c r="K10" s="39">
        <v>755115</v>
      </c>
      <c r="L10" s="39">
        <v>755115</v>
      </c>
      <c r="M10" s="39">
        <v>755115</v>
      </c>
      <c r="N10" s="39">
        <v>755115</v>
      </c>
      <c r="O10" s="39">
        <v>755115</v>
      </c>
    </row>
    <row r="11" spans="1:15" x14ac:dyDescent="0.3">
      <c r="A11" s="139" t="s">
        <v>69</v>
      </c>
      <c r="B11" s="138" t="s">
        <v>70</v>
      </c>
      <c r="C11" s="39">
        <f>SUM(D11:O11)</f>
        <v>16261536</v>
      </c>
      <c r="D11" s="39">
        <v>1355128</v>
      </c>
      <c r="E11" s="39">
        <v>1355128</v>
      </c>
      <c r="F11" s="39">
        <v>1355128</v>
      </c>
      <c r="G11" s="39">
        <v>1355128</v>
      </c>
      <c r="H11" s="39">
        <v>1355128</v>
      </c>
      <c r="I11" s="39">
        <v>1355128</v>
      </c>
      <c r="J11" s="39">
        <v>1355128</v>
      </c>
      <c r="K11" s="39">
        <v>1355128</v>
      </c>
      <c r="L11" s="39">
        <v>1355128</v>
      </c>
      <c r="M11" s="39">
        <v>1355128</v>
      </c>
      <c r="N11" s="39">
        <v>1355128</v>
      </c>
      <c r="O11" s="39">
        <v>1355128</v>
      </c>
    </row>
    <row r="12" spans="1:15" x14ac:dyDescent="0.3">
      <c r="C12" s="141">
        <f t="shared" ref="C12:O12" si="0">SUM(C6:C11)</f>
        <v>25322916</v>
      </c>
      <c r="D12" s="142">
        <f t="shared" si="0"/>
        <v>2110243</v>
      </c>
      <c r="E12" s="142">
        <f t="shared" si="0"/>
        <v>2110243</v>
      </c>
      <c r="F12" s="142">
        <f t="shared" si="0"/>
        <v>2110243</v>
      </c>
      <c r="G12" s="142">
        <f t="shared" si="0"/>
        <v>2110243</v>
      </c>
      <c r="H12" s="142">
        <f t="shared" si="0"/>
        <v>2110243</v>
      </c>
      <c r="I12" s="142">
        <f t="shared" si="0"/>
        <v>2110243</v>
      </c>
      <c r="J12" s="142">
        <f t="shared" si="0"/>
        <v>2110243</v>
      </c>
      <c r="K12" s="142">
        <f t="shared" si="0"/>
        <v>2110243</v>
      </c>
      <c r="L12" s="142">
        <f t="shared" si="0"/>
        <v>2110243</v>
      </c>
      <c r="M12" s="142">
        <f t="shared" si="0"/>
        <v>2110243</v>
      </c>
      <c r="N12" s="142">
        <f t="shared" si="0"/>
        <v>2110243</v>
      </c>
      <c r="O12" s="142">
        <f t="shared" si="0"/>
        <v>2110243</v>
      </c>
    </row>
    <row r="13" spans="1:15" x14ac:dyDescent="0.3">
      <c r="D13" s="143"/>
    </row>
  </sheetData>
  <pageMargins left="0.2" right="0.2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890F48-26C6-475B-AC01-CCFF1CC8D198}"/>
</file>

<file path=customXml/itemProps2.xml><?xml version="1.0" encoding="utf-8"?>
<ds:datastoreItem xmlns:ds="http://schemas.openxmlformats.org/officeDocument/2006/customXml" ds:itemID="{E42EF5B7-3132-4BD2-B7F4-0A0F31667FAE}"/>
</file>

<file path=customXml/itemProps3.xml><?xml version="1.0" encoding="utf-8"?>
<ds:datastoreItem xmlns:ds="http://schemas.openxmlformats.org/officeDocument/2006/customXml" ds:itemID="{4D5B0C44-FA5C-4AD1-BADF-ED6F2773BB00}"/>
</file>

<file path=customXml/itemProps4.xml><?xml version="1.0" encoding="utf-8"?>
<ds:datastoreItem xmlns:ds="http://schemas.openxmlformats.org/officeDocument/2006/customXml" ds:itemID="{24721EA0-9436-4FAC-A923-062A8F5D71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</vt:lpstr>
      <vt:lpstr>Summary</vt:lpstr>
      <vt:lpstr>Existing Storm Amortizations</vt:lpstr>
      <vt:lpstr>Storm O&amp;M CY 2010-2018</vt:lpstr>
      <vt:lpstr>TY2018 Amort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MarvelousMarina</cp:lastModifiedBy>
  <cp:lastPrinted>2019-06-11T21:35:56Z</cp:lastPrinted>
  <dcterms:created xsi:type="dcterms:W3CDTF">2018-02-22T21:25:37Z</dcterms:created>
  <dcterms:modified xsi:type="dcterms:W3CDTF">2019-06-21T21:37:34Z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3.16E Storm Normalization Dec 2018 GRC.xlsx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