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02 Property Tax\"/>
    </mc:Choice>
  </mc:AlternateContent>
  <xr:revisionPtr revIDLastSave="0" documentId="13_ncr:1_{EF118EB9-12A2-4FA8-A1CF-705300BFEE2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-RPT" sheetId="12" r:id="rId1"/>
    <sheet name="Sheet1" sheetId="19" r:id="rId2"/>
    <sheet name="G-RPT" sheetId="13" r:id="rId3"/>
    <sheet name="GL Export" sheetId="16" r:id="rId4"/>
    <sheet name="2018 Cost" sheetId="17" r:id="rId5"/>
    <sheet name="2019 costs recorded in 2020" sheetId="18" r:id="rId6"/>
    <sheet name="Macro1" sheetId="9" state="veryHidden" r:id="rId7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'E-RPT'!$A$1:$K$39</definedName>
    <definedName name="_xlnm.Print_Area" localSheetId="2">'G-RPT'!$A$1:$L$38</definedName>
    <definedName name="Recover">Macro1!$A$97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3" l="1"/>
  <c r="F78" i="13"/>
  <c r="F75" i="13"/>
  <c r="F80" i="13" s="1"/>
  <c r="E75" i="13"/>
  <c r="D75" i="13"/>
  <c r="C75" i="13"/>
  <c r="F70" i="13"/>
  <c r="C68" i="13"/>
  <c r="E68" i="13"/>
  <c r="E66" i="12"/>
  <c r="E41" i="12"/>
  <c r="G66" i="12"/>
  <c r="E70" i="13" l="1"/>
  <c r="K68" i="13"/>
  <c r="J68" i="13"/>
  <c r="C70" i="13"/>
  <c r="L25" i="16"/>
  <c r="L34" i="16" s="1"/>
  <c r="L23" i="16"/>
  <c r="G24" i="16"/>
  <c r="G23" i="16"/>
  <c r="G22" i="16"/>
  <c r="G31" i="16" s="1"/>
  <c r="K34" i="16"/>
  <c r="J34" i="16"/>
  <c r="L33" i="16"/>
  <c r="K33" i="16"/>
  <c r="J33" i="16"/>
  <c r="L32" i="16"/>
  <c r="K32" i="16"/>
  <c r="J32" i="16"/>
  <c r="L31" i="16"/>
  <c r="K31" i="16"/>
  <c r="J31" i="16"/>
  <c r="D31" i="16"/>
  <c r="E31" i="16"/>
  <c r="F31" i="16"/>
  <c r="D32" i="16"/>
  <c r="E32" i="16"/>
  <c r="F32" i="16"/>
  <c r="G32" i="16"/>
  <c r="D33" i="16"/>
  <c r="E33" i="16"/>
  <c r="F33" i="16"/>
  <c r="G33" i="16"/>
  <c r="D34" i="16"/>
  <c r="E34" i="16"/>
  <c r="F34" i="16"/>
  <c r="G34" i="16"/>
  <c r="C32" i="16"/>
  <c r="C33" i="16"/>
  <c r="C34" i="16"/>
  <c r="C31" i="16"/>
  <c r="M25" i="16" l="1"/>
  <c r="M24" i="16"/>
  <c r="M23" i="16"/>
  <c r="M22" i="16"/>
  <c r="H25" i="16"/>
  <c r="H24" i="16"/>
  <c r="H23" i="16"/>
  <c r="H22" i="16"/>
  <c r="M14" i="16"/>
  <c r="M15" i="16"/>
  <c r="M16" i="16"/>
  <c r="M13" i="16"/>
  <c r="H14" i="16"/>
  <c r="O14" i="16" s="1"/>
  <c r="H15" i="16"/>
  <c r="O15" i="16" s="1"/>
  <c r="H16" i="16"/>
  <c r="O16" i="16" s="1"/>
  <c r="H13" i="16"/>
  <c r="L26" i="16"/>
  <c r="K26" i="16"/>
  <c r="J26" i="16"/>
  <c r="G26" i="16"/>
  <c r="F26" i="16"/>
  <c r="E26" i="16"/>
  <c r="D26" i="16"/>
  <c r="C26" i="16"/>
  <c r="K17" i="16"/>
  <c r="L17" i="16"/>
  <c r="M17" i="16"/>
  <c r="J17" i="16"/>
  <c r="D17" i="16"/>
  <c r="E17" i="16"/>
  <c r="F17" i="16"/>
  <c r="G17" i="16"/>
  <c r="C17" i="16"/>
  <c r="H17" i="16" l="1"/>
  <c r="M26" i="16"/>
  <c r="O13" i="16"/>
  <c r="O17" i="16" s="1"/>
  <c r="O25" i="16"/>
  <c r="O24" i="16"/>
  <c r="H26" i="16"/>
  <c r="O23" i="16"/>
  <c r="O22" i="16"/>
  <c r="O26" i="16" l="1"/>
  <c r="J2" i="12" l="1"/>
  <c r="K16" i="13"/>
  <c r="J16" i="13"/>
  <c r="I16" i="13"/>
  <c r="E24" i="13"/>
  <c r="C24" i="13"/>
  <c r="B24" i="13"/>
  <c r="B21" i="13"/>
  <c r="E10" i="13"/>
  <c r="C10" i="13"/>
  <c r="B10" i="13"/>
  <c r="B7" i="13"/>
  <c r="D24" i="12"/>
  <c r="C24" i="12"/>
  <c r="J24" i="12" s="1"/>
  <c r="B24" i="12"/>
  <c r="E20" i="12"/>
  <c r="E21" i="12" s="1"/>
  <c r="D20" i="12"/>
  <c r="C20" i="12"/>
  <c r="B20" i="12"/>
  <c r="F19" i="12"/>
  <c r="F21" i="12" s="1"/>
  <c r="E19" i="12"/>
  <c r="D19" i="12"/>
  <c r="C19" i="12"/>
  <c r="C21" i="12" s="1"/>
  <c r="B19" i="12"/>
  <c r="D21" i="12"/>
  <c r="D11" i="12"/>
  <c r="C11" i="12"/>
  <c r="B11" i="12"/>
  <c r="E7" i="12"/>
  <c r="D7" i="12"/>
  <c r="C7" i="12"/>
  <c r="B7" i="12"/>
  <c r="F6" i="12"/>
  <c r="E6" i="12"/>
  <c r="D6" i="12"/>
  <c r="C6" i="12"/>
  <c r="B6" i="12"/>
  <c r="F13" i="17"/>
  <c r="E13" i="17"/>
  <c r="D13" i="17"/>
  <c r="C13" i="17"/>
  <c r="L35" i="16"/>
  <c r="K35" i="16"/>
  <c r="J35" i="16"/>
  <c r="G35" i="16"/>
  <c r="F35" i="16"/>
  <c r="E35" i="16"/>
  <c r="D35" i="16"/>
  <c r="C35" i="16"/>
  <c r="H34" i="16"/>
  <c r="H33" i="16"/>
  <c r="H32" i="16"/>
  <c r="H31" i="16"/>
  <c r="L8" i="16"/>
  <c r="K8" i="16"/>
  <c r="J8" i="16"/>
  <c r="G8" i="16"/>
  <c r="F8" i="16"/>
  <c r="E8" i="16"/>
  <c r="D8" i="16"/>
  <c r="C8" i="16"/>
  <c r="M7" i="16"/>
  <c r="M34" i="16" s="1"/>
  <c r="H7" i="16"/>
  <c r="M6" i="16"/>
  <c r="M33" i="16" s="1"/>
  <c r="H6" i="16"/>
  <c r="M5" i="16"/>
  <c r="M32" i="16" s="1"/>
  <c r="H5" i="16"/>
  <c r="O5" i="16" s="1"/>
  <c r="M4" i="16"/>
  <c r="M31" i="16" s="1"/>
  <c r="H4" i="16"/>
  <c r="B21" i="12" l="1"/>
  <c r="B31" i="12"/>
  <c r="O4" i="16"/>
  <c r="O6" i="16"/>
  <c r="C8" i="12"/>
  <c r="D8" i="12"/>
  <c r="F8" i="12"/>
  <c r="E8" i="12"/>
  <c r="O31" i="16"/>
  <c r="O34" i="16"/>
  <c r="O32" i="16"/>
  <c r="H8" i="16"/>
  <c r="H35" i="16"/>
  <c r="M35" i="16"/>
  <c r="O33" i="16"/>
  <c r="B8" i="12"/>
  <c r="M8" i="16"/>
  <c r="O7" i="16"/>
  <c r="O8" i="16" s="1"/>
  <c r="O35" i="16" l="1"/>
  <c r="F56" i="13" l="1"/>
  <c r="F62" i="13" s="1"/>
  <c r="E46" i="13"/>
  <c r="E78" i="13" s="1"/>
  <c r="C46" i="13"/>
  <c r="C78" i="13" s="1"/>
  <c r="K78" i="13" l="1"/>
  <c r="E80" i="13"/>
  <c r="J78" i="13"/>
  <c r="C80" i="13"/>
  <c r="E56" i="13"/>
  <c r="K56" i="13" s="1"/>
  <c r="C56" i="13"/>
  <c r="J56" i="13" s="1"/>
  <c r="F53" i="13"/>
  <c r="F58" i="13" s="1"/>
  <c r="E53" i="13"/>
  <c r="D53" i="13"/>
  <c r="C53" i="13"/>
  <c r="F48" i="13"/>
  <c r="G24" i="12"/>
  <c r="G20" i="12"/>
  <c r="G19" i="12" l="1"/>
  <c r="G21" i="12" s="1"/>
  <c r="G41" i="12" l="1"/>
  <c r="F13" i="12" l="1"/>
  <c r="D36" i="12"/>
  <c r="F34" i="13"/>
  <c r="F40" i="13" s="1"/>
  <c r="F31" i="13"/>
  <c r="F36" i="13" s="1"/>
  <c r="E31" i="13"/>
  <c r="D31" i="13"/>
  <c r="C31" i="13"/>
  <c r="F26" i="13"/>
  <c r="F18" i="13" s="1"/>
  <c r="F12" i="13"/>
  <c r="D12" i="13"/>
  <c r="F36" i="12"/>
  <c r="E36" i="12"/>
  <c r="F32" i="12"/>
  <c r="H8" i="12"/>
  <c r="H13" i="12" s="1"/>
  <c r="F45" i="12" l="1"/>
  <c r="F70" i="12"/>
  <c r="F82" i="12" s="1"/>
  <c r="F49" i="12"/>
  <c r="F61" i="12" s="1"/>
  <c r="F74" i="12"/>
  <c r="F86" i="12" s="1"/>
  <c r="F69" i="12"/>
  <c r="F44" i="12"/>
  <c r="F56" i="12" s="1"/>
  <c r="F57" i="12"/>
  <c r="K10" i="13"/>
  <c r="J10" i="13"/>
  <c r="J11" i="12"/>
  <c r="D13" i="12"/>
  <c r="F81" i="12" l="1"/>
  <c r="D69" i="12"/>
  <c r="D45" i="12"/>
  <c r="D44" i="12"/>
  <c r="D74" i="12"/>
  <c r="D49" i="12"/>
  <c r="D70" i="12"/>
  <c r="F71" i="12"/>
  <c r="F76" i="12" s="1"/>
  <c r="F83" i="12"/>
  <c r="F88" i="12" s="1"/>
  <c r="D61" i="12"/>
  <c r="D57" i="12"/>
  <c r="D56" i="12"/>
  <c r="F46" i="12"/>
  <c r="F51" i="12" s="1"/>
  <c r="F31" i="12"/>
  <c r="F33" i="12" s="1"/>
  <c r="F26" i="12"/>
  <c r="F16" i="12" s="1"/>
  <c r="D31" i="12"/>
  <c r="E12" i="13"/>
  <c r="C12" i="13"/>
  <c r="G7" i="13"/>
  <c r="C13" i="12"/>
  <c r="I11" i="12"/>
  <c r="K11" i="12" s="1"/>
  <c r="E13" i="12"/>
  <c r="G7" i="12"/>
  <c r="D86" i="12" l="1"/>
  <c r="D82" i="12"/>
  <c r="D81" i="12"/>
  <c r="E49" i="12"/>
  <c r="E61" i="12" s="1"/>
  <c r="E74" i="12"/>
  <c r="E69" i="12"/>
  <c r="E70" i="12"/>
  <c r="E44" i="12"/>
  <c r="E81" i="12" s="1"/>
  <c r="E45" i="12"/>
  <c r="D71" i="12"/>
  <c r="D76" i="12" s="1"/>
  <c r="D83" i="12"/>
  <c r="D88" i="12" s="1"/>
  <c r="C74" i="12"/>
  <c r="J74" i="12" s="1"/>
  <c r="C69" i="12"/>
  <c r="C49" i="12"/>
  <c r="J49" i="12" s="1"/>
  <c r="C44" i="12"/>
  <c r="C81" i="12" s="1"/>
  <c r="C70" i="12"/>
  <c r="C45" i="12"/>
  <c r="E57" i="12"/>
  <c r="E32" i="12"/>
  <c r="D32" i="12"/>
  <c r="C32" i="12"/>
  <c r="F38" i="12"/>
  <c r="F58" i="12"/>
  <c r="F63" i="12" s="1"/>
  <c r="D34" i="13"/>
  <c r="C34" i="13"/>
  <c r="E26" i="13"/>
  <c r="E18" i="13" s="1"/>
  <c r="D26" i="13"/>
  <c r="D18" i="13" s="1"/>
  <c r="E34" i="13"/>
  <c r="K7" i="13"/>
  <c r="K12" i="13" s="1"/>
  <c r="J7" i="13"/>
  <c r="J12" i="13" s="1"/>
  <c r="I7" i="13"/>
  <c r="G11" i="12"/>
  <c r="D26" i="12"/>
  <c r="D16" i="12" s="1"/>
  <c r="E31" i="12"/>
  <c r="J7" i="12"/>
  <c r="I7" i="12"/>
  <c r="B13" i="12"/>
  <c r="G6" i="12"/>
  <c r="C56" i="12" l="1"/>
  <c r="E56" i="12"/>
  <c r="E82" i="12"/>
  <c r="E86" i="12"/>
  <c r="C57" i="12"/>
  <c r="C82" i="12"/>
  <c r="C61" i="12"/>
  <c r="J61" i="12" s="1"/>
  <c r="C86" i="12"/>
  <c r="J86" i="12" s="1"/>
  <c r="E71" i="12"/>
  <c r="E76" i="12" s="1"/>
  <c r="C83" i="12"/>
  <c r="C71" i="12"/>
  <c r="C76" i="12" s="1"/>
  <c r="B70" i="12"/>
  <c r="B44" i="12"/>
  <c r="B49" i="12"/>
  <c r="B74" i="12"/>
  <c r="B45" i="12"/>
  <c r="B82" i="12" s="1"/>
  <c r="B69" i="12"/>
  <c r="D36" i="13"/>
  <c r="D40" i="13"/>
  <c r="D46" i="13" s="1"/>
  <c r="D56" i="13" s="1"/>
  <c r="D62" i="13" s="1"/>
  <c r="E36" i="13"/>
  <c r="C36" i="13"/>
  <c r="K24" i="13"/>
  <c r="K34" i="13" s="1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I6" i="12"/>
  <c r="I8" i="12" s="1"/>
  <c r="I13" i="12" s="1"/>
  <c r="J6" i="12"/>
  <c r="C31" i="12"/>
  <c r="C33" i="12" s="1"/>
  <c r="C26" i="12"/>
  <c r="C16" i="12" s="1"/>
  <c r="K7" i="12"/>
  <c r="G8" i="12"/>
  <c r="G13" i="12" s="1"/>
  <c r="C36" i="12"/>
  <c r="J36" i="12" s="1"/>
  <c r="B86" i="12" l="1"/>
  <c r="D68" i="13"/>
  <c r="G62" i="13"/>
  <c r="B81" i="12"/>
  <c r="B56" i="12"/>
  <c r="G82" i="12"/>
  <c r="G70" i="12"/>
  <c r="I74" i="12"/>
  <c r="K74" i="12" s="1"/>
  <c r="G74" i="12"/>
  <c r="C88" i="12"/>
  <c r="E83" i="12"/>
  <c r="E88" i="12" s="1"/>
  <c r="G69" i="12"/>
  <c r="B71" i="12"/>
  <c r="B76" i="12" s="1"/>
  <c r="B57" i="12"/>
  <c r="G45" i="12"/>
  <c r="G49" i="12"/>
  <c r="B61" i="12"/>
  <c r="G44" i="12"/>
  <c r="E48" i="13"/>
  <c r="K46" i="13"/>
  <c r="E58" i="13"/>
  <c r="C58" i="13"/>
  <c r="C48" i="13"/>
  <c r="J46" i="13"/>
  <c r="D58" i="13"/>
  <c r="D48" i="13"/>
  <c r="C46" i="12"/>
  <c r="C51" i="12" s="1"/>
  <c r="E38" i="12"/>
  <c r="C58" i="12"/>
  <c r="C63" i="12" s="1"/>
  <c r="D38" i="12"/>
  <c r="I49" i="12"/>
  <c r="K49" i="12" s="1"/>
  <c r="L10" i="13"/>
  <c r="L12" i="13" s="1"/>
  <c r="I12" i="13"/>
  <c r="C38" i="12"/>
  <c r="K6" i="12"/>
  <c r="K8" i="12" s="1"/>
  <c r="K13" i="12" s="1"/>
  <c r="B32" i="12"/>
  <c r="B36" i="12"/>
  <c r="I24" i="12"/>
  <c r="K24" i="12" s="1"/>
  <c r="G31" i="12"/>
  <c r="J19" i="12"/>
  <c r="B26" i="12"/>
  <c r="B16" i="12" s="1"/>
  <c r="G16" i="12" s="1"/>
  <c r="J8" i="12"/>
  <c r="J13" i="12" s="1"/>
  <c r="J82" i="12" l="1"/>
  <c r="I82" i="12"/>
  <c r="D78" i="13"/>
  <c r="D80" i="13" s="1"/>
  <c r="D70" i="13"/>
  <c r="I86" i="12"/>
  <c r="K86" i="12" s="1"/>
  <c r="G86" i="12"/>
  <c r="B83" i="12"/>
  <c r="B88" i="12" s="1"/>
  <c r="G81" i="12"/>
  <c r="I70" i="12"/>
  <c r="J70" i="12"/>
  <c r="J44" i="12"/>
  <c r="I44" i="12"/>
  <c r="J45" i="12"/>
  <c r="I45" i="12"/>
  <c r="J69" i="12"/>
  <c r="I69" i="12"/>
  <c r="G71" i="12"/>
  <c r="G76" i="12" s="1"/>
  <c r="K82" i="12"/>
  <c r="G61" i="12"/>
  <c r="I61" i="12"/>
  <c r="K61" i="12" s="1"/>
  <c r="D58" i="12"/>
  <c r="D63" i="12" s="1"/>
  <c r="D46" i="12"/>
  <c r="D51" i="12" s="1"/>
  <c r="E58" i="12"/>
  <c r="E63" i="12" s="1"/>
  <c r="E46" i="12"/>
  <c r="E51" i="12" s="1"/>
  <c r="G21" i="13"/>
  <c r="B31" i="13"/>
  <c r="B26" i="13"/>
  <c r="I24" i="13"/>
  <c r="B34" i="13"/>
  <c r="G24" i="13"/>
  <c r="J20" i="12"/>
  <c r="J32" i="12" s="1"/>
  <c r="I20" i="12"/>
  <c r="B33" i="12"/>
  <c r="G32" i="12"/>
  <c r="G33" i="12" s="1"/>
  <c r="G26" i="12"/>
  <c r="I19" i="12"/>
  <c r="I36" i="12"/>
  <c r="K36" i="12" s="1"/>
  <c r="G36" i="12"/>
  <c r="B43" i="13" l="1"/>
  <c r="B65" i="13"/>
  <c r="I81" i="12"/>
  <c r="J81" i="12"/>
  <c r="K70" i="12"/>
  <c r="K69" i="12"/>
  <c r="K71" i="12" s="1"/>
  <c r="K76" i="12" s="1"/>
  <c r="I71" i="12"/>
  <c r="I76" i="12" s="1"/>
  <c r="J83" i="12"/>
  <c r="J88" i="12" s="1"/>
  <c r="G83" i="12"/>
  <c r="G88" i="12" s="1"/>
  <c r="J71" i="12"/>
  <c r="J76" i="12" s="1"/>
  <c r="B18" i="13"/>
  <c r="G18" i="13" s="1"/>
  <c r="G34" i="13"/>
  <c r="G56" i="12"/>
  <c r="B38" i="12"/>
  <c r="I34" i="13"/>
  <c r="L34" i="13" s="1"/>
  <c r="L24" i="13"/>
  <c r="G31" i="13"/>
  <c r="B36" i="13"/>
  <c r="K21" i="13"/>
  <c r="J21" i="13"/>
  <c r="G26" i="13"/>
  <c r="I21" i="13"/>
  <c r="K20" i="12"/>
  <c r="I32" i="12"/>
  <c r="K32" i="12" s="1"/>
  <c r="J31" i="12"/>
  <c r="J33" i="12" s="1"/>
  <c r="J38" i="12" s="1"/>
  <c r="J21" i="12"/>
  <c r="J26" i="12" s="1"/>
  <c r="G38" i="12"/>
  <c r="K19" i="12"/>
  <c r="I21" i="12"/>
  <c r="I26" i="12" s="1"/>
  <c r="I31" i="12"/>
  <c r="B68" i="13" l="1"/>
  <c r="B75" i="13"/>
  <c r="G75" i="13" s="1"/>
  <c r="B70" i="13"/>
  <c r="G65" i="13"/>
  <c r="G36" i="13"/>
  <c r="I83" i="12"/>
  <c r="I88" i="12" s="1"/>
  <c r="K81" i="12"/>
  <c r="K83" i="12" s="1"/>
  <c r="K88" i="12" s="1"/>
  <c r="B46" i="13"/>
  <c r="B53" i="13"/>
  <c r="G53" i="13" s="1"/>
  <c r="G43" i="13"/>
  <c r="I43" i="13" s="1"/>
  <c r="J56" i="12"/>
  <c r="I56" i="12"/>
  <c r="G40" i="13"/>
  <c r="G46" i="12"/>
  <c r="G51" i="12" s="1"/>
  <c r="B46" i="12"/>
  <c r="B51" i="12" s="1"/>
  <c r="K44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K21" i="12"/>
  <c r="K26" i="12" s="1"/>
  <c r="K31" i="12"/>
  <c r="K33" i="12" s="1"/>
  <c r="K38" i="12" s="1"/>
  <c r="I33" i="12"/>
  <c r="I38" i="12" s="1"/>
  <c r="J65" i="13" l="1"/>
  <c r="J70" i="13" s="1"/>
  <c r="K65" i="13"/>
  <c r="K70" i="13" s="1"/>
  <c r="I65" i="13"/>
  <c r="K75" i="13"/>
  <c r="I75" i="13"/>
  <c r="J75" i="13"/>
  <c r="J80" i="13" s="1"/>
  <c r="G68" i="13"/>
  <c r="G70" i="13" s="1"/>
  <c r="I68" i="13"/>
  <c r="L68" i="13" s="1"/>
  <c r="B56" i="13"/>
  <c r="I56" i="13" s="1"/>
  <c r="B78" i="13"/>
  <c r="K80" i="13"/>
  <c r="K43" i="13"/>
  <c r="K48" i="13" s="1"/>
  <c r="J43" i="13"/>
  <c r="J48" i="13" s="1"/>
  <c r="I53" i="13"/>
  <c r="K53" i="13"/>
  <c r="K58" i="13" s="1"/>
  <c r="J53" i="13"/>
  <c r="J58" i="13" s="1"/>
  <c r="G46" i="13"/>
  <c r="G48" i="13" s="1"/>
  <c r="B48" i="13"/>
  <c r="I46" i="13"/>
  <c r="K56" i="12"/>
  <c r="I46" i="12"/>
  <c r="I51" i="12" s="1"/>
  <c r="G57" i="12"/>
  <c r="B58" i="12"/>
  <c r="B63" i="12" s="1"/>
  <c r="L31" i="13"/>
  <c r="L36" i="13" s="1"/>
  <c r="I70" i="13" l="1"/>
  <c r="L65" i="13"/>
  <c r="L70" i="13" s="1"/>
  <c r="I78" i="13"/>
  <c r="L78" i="13" s="1"/>
  <c r="G78" i="13"/>
  <c r="G80" i="13" s="1"/>
  <c r="B80" i="13"/>
  <c r="L75" i="13"/>
  <c r="I80" i="13"/>
  <c r="L53" i="13"/>
  <c r="L43" i="13"/>
  <c r="G58" i="12"/>
  <c r="G63" i="12" s="1"/>
  <c r="J57" i="12"/>
  <c r="J58" i="12" s="1"/>
  <c r="J63" i="12" s="1"/>
  <c r="I57" i="12"/>
  <c r="J46" i="12"/>
  <c r="J51" i="12" s="1"/>
  <c r="L46" i="13"/>
  <c r="L48" i="13" s="1"/>
  <c r="I48" i="13"/>
  <c r="B58" i="13"/>
  <c r="G56" i="13"/>
  <c r="G58" i="13" s="1"/>
  <c r="K45" i="12"/>
  <c r="K46" i="12" s="1"/>
  <c r="K51" i="12" s="1"/>
  <c r="L80" i="13" l="1"/>
  <c r="K57" i="12"/>
  <c r="K58" i="12" s="1"/>
  <c r="K63" i="12" s="1"/>
  <c r="I58" i="12"/>
  <c r="I63" i="12" s="1"/>
  <c r="L56" i="13"/>
  <c r="L58" i="13" s="1"/>
  <c r="I5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  <author>gzhkw6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
true-ups plus 2019 true-ups recorded in 2020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Pluth, Jeanne</author>
  </authors>
  <commentList>
    <comment ref="A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E4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2020 and 6 month of 2021
</t>
        </r>
      </text>
    </comment>
    <comment ref="E6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2019 and 6 month of 2020
</t>
        </r>
      </text>
    </comment>
  </commentList>
</comments>
</file>

<file path=xl/sharedStrings.xml><?xml version="1.0" encoding="utf-8"?>
<sst xmlns="http://schemas.openxmlformats.org/spreadsheetml/2006/main" count="313" uniqueCount="150">
  <si>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</si>
  <si>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</si>
  <si>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</si>
  <si>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</si>
  <si>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</si>
  <si>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</si>
  <si>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</si>
  <si>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</si>
  <si>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</si>
  <si>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</si>
  <si>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</si>
  <si>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</si>
  <si>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</si>
  <si>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</si>
  <si>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</si>
  <si>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</si>
  <si>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</si>
  <si>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</si>
  <si>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</si>
  <si>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</si>
  <si>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</si>
  <si>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</si>
  <si>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</si>
  <si>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</si>
  <si>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</si>
  <si>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</si>
  <si>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</si>
  <si>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</si>
  <si>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</si>
  <si>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</si>
  <si>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</si>
  <si>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</si>
  <si>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</si>
  <si>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</si>
  <si>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</si>
  <si>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</si>
  <si>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</si>
  <si>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</si>
  <si>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</si>
  <si>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</si>
  <si>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</si>
  <si>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</si>
  <si>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</si>
  <si>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</si>
  <si>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</si>
  <si>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</si>
  <si>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</si>
  <si>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</si>
  <si>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</si>
  <si>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</si>
  <si>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</si>
  <si>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</si>
  <si>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</si>
  <si>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</si>
  <si>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</si>
  <si>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</si>
  <si>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</si>
  <si>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</si>
  <si>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</si>
  <si>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</si>
  <si>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</si>
  <si>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</si>
  <si>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</si>
  <si>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</si>
  <si>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</si>
  <si>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</si>
  <si>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</si>
  <si>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</si>
  <si>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</si>
  <si>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</si>
  <si>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</si>
  <si>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</si>
  <si>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</si>
  <si>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</si>
  <si>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</si>
  <si>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</si>
  <si>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</si>
  <si>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</si>
  <si>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</si>
  <si>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</si>
  <si>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</si>
  <si>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</si>
  <si>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</si>
  <si>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</si>
  <si>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</si>
  <si>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</si>
  <si>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</si>
  <si>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</si>
  <si>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</si>
  <si>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</si>
  <si>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</si>
  <si>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</si>
  <si>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</si>
  <si>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</si>
  <si>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</si>
  <si>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</si>
  <si>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</si>
  <si>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</si>
  <si>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</si>
  <si>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</si>
  <si>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</si>
  <si>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</si>
  <si>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</si>
  <si>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AN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</si>
  <si>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</si>
  <si>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</si>
  <si>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</si>
  <si>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</si>
  <si>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</si>
  <si>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</si>
  <si>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</si>
  <si>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</si>
  <si>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PF Adjustment</t>
  </si>
  <si>
    <t>This is a summary.  See file with detail from GL and pivot table.</t>
  </si>
  <si>
    <t>Sum of Transaction Amount</t>
  </si>
  <si>
    <t>ID 2018 Thermal Property Tax Close Out</t>
  </si>
  <si>
    <t>Idaho  Property Tax rebate 2018</t>
  </si>
  <si>
    <t>WA ED 2018 Hydro Property Tax</t>
  </si>
  <si>
    <t>WA ED 2018 Other Property Tax</t>
  </si>
  <si>
    <t>WA ED 2018 Thermal Property Tax</t>
  </si>
  <si>
    <t>Wa ED 2018 Distribution Property Tax</t>
  </si>
  <si>
    <t>WA Gas 2018 Property Tax</t>
  </si>
  <si>
    <t>WA ED 2018 Transmission Property Tax</t>
  </si>
  <si>
    <t>WA Gas 2018 Property Tax - Storage</t>
  </si>
  <si>
    <t>These costs were recorded in 2019 but were for 2018.</t>
  </si>
  <si>
    <t>Service</t>
  </si>
  <si>
    <t>Jurisdiction</t>
  </si>
  <si>
    <t>Accounting Year</t>
  </si>
  <si>
    <t>2020</t>
  </si>
  <si>
    <t>WA 2019 Hydro Property Tax</t>
  </si>
  <si>
    <t>WA 2019 Other Property Tax</t>
  </si>
  <si>
    <t>WA 2019 Thermal Property Tax</t>
  </si>
  <si>
    <t>408150 Total</t>
  </si>
  <si>
    <t>Wa 2019 Distribution Property Tax</t>
  </si>
  <si>
    <t>WA 2019 Property Tax</t>
  </si>
  <si>
    <t>408170 Total</t>
  </si>
  <si>
    <t>WA 2019 Forest Assessment</t>
  </si>
  <si>
    <t>WA 2019 Transmission Property Tax</t>
  </si>
  <si>
    <t>408180 Total</t>
  </si>
  <si>
    <t>WA 2019 Property Tax - Storage</t>
  </si>
  <si>
    <t>408190 Total</t>
  </si>
  <si>
    <t>2020 Total</t>
  </si>
  <si>
    <t>These costs were recorded in 2020 but were for 2019.</t>
  </si>
  <si>
    <t>Costs for prior-period recorded in 2019-need to remove</t>
  </si>
  <si>
    <t>Costs for 2019 recorded in 2020-need to add</t>
  </si>
  <si>
    <t>Sum of Transaction Amount - 2019 Actual in GL</t>
  </si>
  <si>
    <t>Revised 2019 Costs</t>
  </si>
  <si>
    <t>Pro Forma Period Expense - 2021</t>
  </si>
  <si>
    <t>Pro Forma Period Expense - 9/2021-8/2022</t>
  </si>
  <si>
    <t>Pro Forma Period Expense - 8/2021-9/2022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</si>
</sst>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8" fillId="0" borderId="0" xfId="6" applyAlignment="1">
      <alignment horizontal="left"/>
    </xf>
    <xf numFmtId="0" fontId="8" fillId="0" borderId="0" xfId="6"/>
    <xf numFmtId="0" fontId="7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9" fillId="0" borderId="0" xfId="6" applyFont="1" applyAlignment="1">
      <alignment horizontal="center" wrapText="1"/>
    </xf>
    <xf numFmtId="0" fontId="7" fillId="0" borderId="0" xfId="6" applyFont="1" applyAlignment="1">
      <alignment horizontal="left"/>
    </xf>
    <xf numFmtId="164" fontId="0" fillId="0" borderId="0" xfId="2" applyNumberFormat="1" applyFont="1"/>
    <xf numFmtId="164" fontId="8" fillId="0" borderId="0" xfId="6" applyNumberFormat="1"/>
    <xf numFmtId="164" fontId="0" fillId="0" borderId="1" xfId="2" applyNumberFormat="1" applyFont="1" applyBorder="1"/>
    <xf numFmtId="164" fontId="8" fillId="0" borderId="1" xfId="6" applyNumberFormat="1" applyBorder="1"/>
    <xf numFmtId="164" fontId="0" fillId="0" borderId="5" xfId="2" applyNumberFormat="1" applyFont="1" applyBorder="1"/>
    <xf numFmtId="0" fontId="9" fillId="2" borderId="6" xfId="6" applyFont="1" applyFill="1" applyBorder="1" applyAlignment="1">
      <alignment horizontal="center" wrapText="1"/>
    </xf>
    <xf numFmtId="164" fontId="3" fillId="2" borderId="3" xfId="2" applyNumberFormat="1" applyFont="1" applyFill="1" applyBorder="1"/>
    <xf numFmtId="0" fontId="8" fillId="2" borderId="7" xfId="6" applyFill="1" applyBorder="1"/>
    <xf numFmtId="0" fontId="8" fillId="2" borderId="8" xfId="6" applyFill="1" applyBorder="1"/>
    <xf numFmtId="0" fontId="8" fillId="2" borderId="9" xfId="6" applyFill="1" applyBorder="1" applyAlignment="1">
      <alignment horizontal="left"/>
    </xf>
    <xf numFmtId="0" fontId="8" fillId="2" borderId="0" xfId="6" applyFill="1" applyBorder="1"/>
    <xf numFmtId="0" fontId="8" fillId="2" borderId="10" xfId="6" applyFill="1" applyBorder="1"/>
    <xf numFmtId="164" fontId="3" fillId="2" borderId="0" xfId="2" applyNumberFormat="1" applyFont="1" applyFill="1" applyBorder="1"/>
    <xf numFmtId="164" fontId="8" fillId="2" borderId="0" xfId="6" applyNumberFormat="1" applyFill="1" applyBorder="1"/>
    <xf numFmtId="164" fontId="8" fillId="2" borderId="10" xfId="6" applyNumberFormat="1" applyFill="1" applyBorder="1"/>
    <xf numFmtId="164" fontId="8" fillId="2" borderId="1" xfId="6" applyNumberFormat="1" applyFill="1" applyBorder="1"/>
    <xf numFmtId="164" fontId="8" fillId="2" borderId="11" xfId="6" applyNumberFormat="1" applyFill="1" applyBorder="1"/>
    <xf numFmtId="164" fontId="3" fillId="2" borderId="5" xfId="2" applyNumberFormat="1" applyFont="1" applyFill="1" applyBorder="1"/>
    <xf numFmtId="0" fontId="8" fillId="2" borderId="12" xfId="6" applyFill="1" applyBorder="1" applyAlignment="1">
      <alignment horizontal="left"/>
    </xf>
    <xf numFmtId="0" fontId="8" fillId="2" borderId="5" xfId="6" applyFill="1" applyBorder="1"/>
    <xf numFmtId="0" fontId="8" fillId="2" borderId="13" xfId="6" applyFill="1" applyBorder="1"/>
    <xf numFmtId="0" fontId="9" fillId="0" borderId="6" xfId="6" applyFont="1" applyBorder="1" applyAlignment="1">
      <alignment horizontal="left"/>
    </xf>
    <xf numFmtId="0" fontId="8" fillId="0" borderId="7" xfId="6" applyBorder="1"/>
    <xf numFmtId="0" fontId="8" fillId="0" borderId="8" xfId="6" applyBorder="1"/>
    <xf numFmtId="0" fontId="8" fillId="0" borderId="9" xfId="6" applyBorder="1" applyAlignment="1">
      <alignment horizontal="left"/>
    </xf>
    <xf numFmtId="0" fontId="8" fillId="0" borderId="0" xfId="6" applyBorder="1"/>
    <xf numFmtId="0" fontId="8" fillId="0" borderId="10" xfId="6" applyBorder="1"/>
    <xf numFmtId="164" fontId="0" fillId="0" borderId="0" xfId="2" applyNumberFormat="1" applyFont="1" applyBorder="1"/>
    <xf numFmtId="164" fontId="8" fillId="0" borderId="10" xfId="6" applyNumberFormat="1" applyBorder="1"/>
    <xf numFmtId="164" fontId="8" fillId="0" borderId="11" xfId="6" applyNumberFormat="1" applyBorder="1"/>
    <xf numFmtId="164" fontId="3" fillId="0" borderId="16" xfId="2" applyNumberFormat="1" applyFont="1" applyBorder="1"/>
    <xf numFmtId="0" fontId="8" fillId="0" borderId="12" xfId="6" applyBorder="1" applyAlignment="1">
      <alignment horizontal="left"/>
    </xf>
    <xf numFmtId="0" fontId="8" fillId="0" borderId="5" xfId="6" applyBorder="1"/>
    <xf numFmtId="0" fontId="8" fillId="0" borderId="13" xfId="6" applyBorder="1"/>
    <xf numFmtId="164" fontId="0" fillId="0" borderId="0" xfId="2" applyNumberFormat="1" applyFont="1" applyFill="1"/>
    <xf numFmtId="164" fontId="0" fillId="0" borderId="14" xfId="2" applyNumberFormat="1" applyFont="1" applyBorder="1"/>
    <xf numFmtId="164" fontId="3" fillId="2" borderId="14" xfId="2" applyNumberFormat="1" applyFont="1" applyFill="1" applyBorder="1"/>
    <xf numFmtId="164" fontId="3" fillId="2" borderId="15" xfId="2" applyNumberFormat="1" applyFont="1" applyFill="1" applyBorder="1"/>
    <xf numFmtId="165" fontId="3" fillId="2" borderId="0" xfId="11" applyNumberFormat="1" applyFont="1" applyFill="1" applyBorder="1"/>
    <xf numFmtId="164" fontId="3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8" fillId="0" borderId="0" xfId="6" applyFont="1" applyAlignment="1">
      <alignment horizontal="left"/>
    </xf>
    <xf numFmtId="0" fontId="8" fillId="0" borderId="0" xfId="6" applyFont="1"/>
    <xf numFmtId="164" fontId="8" fillId="0" borderId="0" xfId="6" applyNumberFormat="1" applyFont="1"/>
    <xf numFmtId="164" fontId="8" fillId="0" borderId="1" xfId="6" applyNumberFormat="1" applyFont="1" applyBorder="1"/>
    <xf numFmtId="0" fontId="8" fillId="0" borderId="0" xfId="6" quotePrefix="1" applyFont="1"/>
    <xf numFmtId="0" fontId="8" fillId="2" borderId="7" xfId="6" applyFont="1" applyFill="1" applyBorder="1"/>
    <xf numFmtId="0" fontId="8" fillId="2" borderId="8" xfId="6" applyFont="1" applyFill="1" applyBorder="1"/>
    <xf numFmtId="0" fontId="8" fillId="2" borderId="9" xfId="6" applyFont="1" applyFill="1" applyBorder="1" applyAlignment="1">
      <alignment horizontal="left"/>
    </xf>
    <xf numFmtId="0" fontId="8" fillId="2" borderId="0" xfId="6" applyFont="1" applyFill="1" applyBorder="1"/>
    <xf numFmtId="0" fontId="8" fillId="2" borderId="10" xfId="6" applyFont="1" applyFill="1" applyBorder="1"/>
    <xf numFmtId="164" fontId="8" fillId="2" borderId="0" xfId="6" applyNumberFormat="1" applyFont="1" applyFill="1" applyBorder="1"/>
    <xf numFmtId="164" fontId="8" fillId="2" borderId="10" xfId="6" applyNumberFormat="1" applyFont="1" applyFill="1" applyBorder="1"/>
    <xf numFmtId="164" fontId="8" fillId="2" borderId="1" xfId="6" applyNumberFormat="1" applyFont="1" applyFill="1" applyBorder="1"/>
    <xf numFmtId="164" fontId="8" fillId="2" borderId="11" xfId="6" applyNumberFormat="1" applyFont="1" applyFill="1" applyBorder="1"/>
    <xf numFmtId="0" fontId="8" fillId="2" borderId="12" xfId="6" applyFont="1" applyFill="1" applyBorder="1" applyAlignment="1">
      <alignment horizontal="left"/>
    </xf>
    <xf numFmtId="0" fontId="8" fillId="2" borderId="5" xfId="6" applyFont="1" applyFill="1" applyBorder="1"/>
    <xf numFmtId="0" fontId="8" fillId="2" borderId="13" xfId="6" applyFont="1" applyFill="1" applyBorder="1"/>
    <xf numFmtId="0" fontId="8" fillId="0" borderId="7" xfId="6" applyFont="1" applyBorder="1"/>
    <xf numFmtId="0" fontId="8" fillId="0" borderId="8" xfId="6" applyFont="1" applyBorder="1"/>
    <xf numFmtId="0" fontId="8" fillId="0" borderId="9" xfId="6" applyFont="1" applyBorder="1" applyAlignment="1">
      <alignment horizontal="left"/>
    </xf>
    <xf numFmtId="0" fontId="8" fillId="0" borderId="0" xfId="6" applyFont="1" applyBorder="1"/>
    <xf numFmtId="0" fontId="8" fillId="0" borderId="10" xfId="6" applyFont="1" applyBorder="1"/>
    <xf numFmtId="164" fontId="8" fillId="0" borderId="10" xfId="6" applyNumberFormat="1" applyFont="1" applyBorder="1"/>
    <xf numFmtId="164" fontId="8" fillId="0" borderId="11" xfId="6" applyNumberFormat="1" applyFont="1" applyBorder="1"/>
    <xf numFmtId="0" fontId="8" fillId="0" borderId="12" xfId="6" applyFont="1" applyBorder="1" applyAlignment="1">
      <alignment horizontal="left"/>
    </xf>
    <xf numFmtId="0" fontId="8" fillId="0" borderId="5" xfId="6" applyFont="1" applyBorder="1"/>
    <xf numFmtId="0" fontId="8" fillId="0" borderId="13" xfId="6" applyFont="1" applyBorder="1"/>
    <xf numFmtId="164" fontId="10" fillId="0" borderId="5" xfId="2" applyNumberFormat="1" applyFont="1" applyBorder="1"/>
    <xf numFmtId="10" fontId="10" fillId="0" borderId="0" xfId="11" applyNumberFormat="1" applyFont="1" applyAlignment="1">
      <alignment horizontal="center"/>
    </xf>
    <xf numFmtId="164" fontId="10" fillId="0" borderId="0" xfId="2" applyNumberFormat="1" applyFont="1"/>
    <xf numFmtId="164" fontId="10" fillId="0" borderId="1" xfId="2" applyNumberFormat="1" applyFont="1" applyBorder="1"/>
    <xf numFmtId="164" fontId="10" fillId="2" borderId="3" xfId="2" applyNumberFormat="1" applyFont="1" applyFill="1" applyBorder="1"/>
    <xf numFmtId="164" fontId="10" fillId="2" borderId="0" xfId="2" applyNumberFormat="1" applyFont="1" applyFill="1" applyBorder="1"/>
    <xf numFmtId="164" fontId="10" fillId="2" borderId="1" xfId="2" applyNumberFormat="1" applyFont="1" applyFill="1" applyBorder="1"/>
    <xf numFmtId="164" fontId="10" fillId="2" borderId="5" xfId="2" applyNumberFormat="1" applyFont="1" applyFill="1" applyBorder="1"/>
    <xf numFmtId="164" fontId="10" fillId="2" borderId="13" xfId="2" applyNumberFormat="1" applyFont="1" applyFill="1" applyBorder="1"/>
    <xf numFmtId="164" fontId="10" fillId="0" borderId="0" xfId="2" applyNumberFormat="1" applyFont="1" applyBorder="1"/>
    <xf numFmtId="164" fontId="10" fillId="0" borderId="13" xfId="2" applyNumberFormat="1" applyFont="1" applyBorder="1"/>
    <xf numFmtId="0" fontId="8" fillId="0" borderId="0" xfId="8" applyFont="1"/>
    <xf numFmtId="43" fontId="0" fillId="0" borderId="0" xfId="1" applyFont="1" applyBorder="1"/>
    <xf numFmtId="10" fontId="10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1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8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8" fillId="2" borderId="0" xfId="6" applyFill="1"/>
    <xf numFmtId="164" fontId="3" fillId="2" borderId="0" xfId="1" applyNumberFormat="1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 applyBorder="1"/>
    <xf numFmtId="0" fontId="11" fillId="0" borderId="0" xfId="0" applyFont="1"/>
    <xf numFmtId="0" fontId="1" fillId="0" borderId="0" xfId="6" applyFont="1" applyBorder="1" applyAlignment="1">
      <alignment horizontal="left"/>
    </xf>
    <xf numFmtId="164" fontId="8" fillId="0" borderId="1" xfId="1" applyNumberFormat="1" applyFont="1" applyBorder="1"/>
    <xf numFmtId="0" fontId="0" fillId="0" borderId="0" xfId="0" applyBorder="1"/>
    <xf numFmtId="0" fontId="11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0" fontId="11" fillId="0" borderId="0" xfId="0" applyFont="1" applyBorder="1"/>
    <xf numFmtId="164" fontId="0" fillId="0" borderId="18" xfId="1" applyNumberFormat="1" applyFont="1" applyBorder="1"/>
    <xf numFmtId="164" fontId="0" fillId="0" borderId="5" xfId="1" applyNumberFormat="1" applyFont="1" applyBorder="1"/>
    <xf numFmtId="0" fontId="8" fillId="0" borderId="14" xfId="6" applyFont="1" applyBorder="1"/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 4" xfId="9" xr:uid="{00000000-0005-0000-0000-000009000000}"/>
    <cellStyle name="Normal 3" xfId="10" xr:uid="{00000000-0005-0000-0000-00000A000000}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 xr9:uid="{00000000-0011-0000-FFFF-FFFF00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 xr9:uid="{00000000-0011-0000-FFFF-FFFF01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 xr9:uid="{00000000-0011-0000-FFFF-FFFF02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 xr9:uid="{00000000-0011-0000-FFFF-FFFF03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 xr9:uid="{00000000-0011-0000-FFFF-FFFF04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 xr9:uid="{00000000-0011-0000-FFFF-FFFF05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 xr9:uid="{00000000-0011-0000-FFFF-FFFF06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28" sqref="U28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9.7109375" style="2" bestFit="1" customWidth="1"/>
    <col min="7" max="7" width="14.140625" style="2" bestFit="1" customWidth="1"/>
    <col min="8" max="8" width="1.7109375" style="2" customWidth="1"/>
    <col min="9" max="9" width="15.5703125" style="2" customWidth="1"/>
    <col min="10" max="10" width="14" style="2" bestFit="1" customWidth="1"/>
    <col min="11" max="11" width="14.28515625" style="2" bestFit="1" customWidth="1"/>
    <col min="12" max="16384" width="9.140625" style="2"/>
  </cols>
  <sheetData>
    <row r="1" spans="1:11" ht="15.75" thickBot="1">
      <c r="B1" s="114" t="s">
        <v>78</v>
      </c>
      <c r="C1" s="115"/>
      <c r="D1" s="115"/>
      <c r="E1" s="115"/>
      <c r="F1" s="115"/>
      <c r="G1" s="116"/>
      <c r="I1" s="114" t="s">
        <v>79</v>
      </c>
      <c r="J1" s="115"/>
      <c r="K1" s="116"/>
    </row>
    <row r="2" spans="1:11">
      <c r="B2" s="3"/>
      <c r="C2" s="3"/>
      <c r="D2" s="3"/>
      <c r="E2" s="3"/>
      <c r="F2" s="3"/>
      <c r="G2" s="3"/>
      <c r="I2" s="4">
        <v>0.65639999999999998</v>
      </c>
      <c r="J2" s="4">
        <f>1-I2</f>
        <v>0.34360000000000002</v>
      </c>
    </row>
    <row r="3" spans="1:11" s="5" customFormat="1">
      <c r="B3" s="5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I3" s="5" t="s">
        <v>80</v>
      </c>
      <c r="J3" s="5" t="s">
        <v>81</v>
      </c>
      <c r="K3" s="5" t="s">
        <v>85</v>
      </c>
    </row>
    <row r="4" spans="1:11" s="5" customFormat="1">
      <c r="A4" s="5" t="s">
        <v>86</v>
      </c>
    </row>
    <row r="5" spans="1:11">
      <c r="A5" s="6" t="s">
        <v>87</v>
      </c>
    </row>
    <row r="6" spans="1:11">
      <c r="A6" s="1">
        <v>408150</v>
      </c>
      <c r="B6" s="7">
        <f>'GL Export'!G4</f>
        <v>3171430.96</v>
      </c>
      <c r="C6" s="7">
        <f>'GL Export'!D4</f>
        <v>1307486.08</v>
      </c>
      <c r="D6" s="7">
        <f>'GL Export'!E4</f>
        <v>9749570.3800000008</v>
      </c>
      <c r="E6" s="7">
        <f>'GL Export'!F4</f>
        <v>3380089.5500000003</v>
      </c>
      <c r="F6" s="41">
        <f>'GL Export'!C4</f>
        <v>2863.34</v>
      </c>
      <c r="G6" s="8">
        <f>SUM(B6:F6)</f>
        <v>17611440.310000002</v>
      </c>
      <c r="I6" s="8">
        <f>ROUND($G$6*I2,0)</f>
        <v>11560149</v>
      </c>
      <c r="J6" s="8">
        <f>ROUND($G$6*J2,0)</f>
        <v>6051291</v>
      </c>
      <c r="K6" s="8">
        <f>SUM(I6:J6)</f>
        <v>17611440</v>
      </c>
    </row>
    <row r="7" spans="1:11">
      <c r="A7" s="1">
        <v>408180</v>
      </c>
      <c r="B7" s="9">
        <f>'GL Export'!G6</f>
        <v>2692480.76</v>
      </c>
      <c r="C7" s="9">
        <f>'GL Export'!D6</f>
        <v>1566547.3199999998</v>
      </c>
      <c r="D7" s="9">
        <f>'GL Export'!E6</f>
        <v>1776805</v>
      </c>
      <c r="E7" s="9">
        <f>'GL Export'!F6</f>
        <v>12905.94</v>
      </c>
      <c r="F7" s="9">
        <v>0</v>
      </c>
      <c r="G7" s="10">
        <f>SUM(B7:F7)</f>
        <v>6048739.0200000005</v>
      </c>
      <c r="H7" s="32"/>
      <c r="I7" s="8">
        <f>ROUND($G$7*I2,0)</f>
        <v>3970392</v>
      </c>
      <c r="J7" s="8">
        <f>ROUND($G$7*J2,0)</f>
        <v>2078347</v>
      </c>
      <c r="K7" s="8">
        <f>SUM(I7:J7)</f>
        <v>6048739</v>
      </c>
    </row>
    <row r="8" spans="1:11">
      <c r="A8" s="1" t="s">
        <v>88</v>
      </c>
      <c r="B8" s="7">
        <f>SUM(B6:B7)</f>
        <v>5863911.7199999997</v>
      </c>
      <c r="C8" s="7">
        <f t="shared" ref="C8:F8" si="0">SUM(C6:C7)</f>
        <v>2874033.4</v>
      </c>
      <c r="D8" s="7">
        <f t="shared" si="0"/>
        <v>11526375.380000001</v>
      </c>
      <c r="E8" s="7">
        <f t="shared" si="0"/>
        <v>3392995.49</v>
      </c>
      <c r="F8" s="7">
        <f t="shared" si="0"/>
        <v>2863.34</v>
      </c>
      <c r="G8" s="42">
        <f t="shared" ref="G8:K8" si="1">SUM(G6:G7)</f>
        <v>23660179.330000002</v>
      </c>
      <c r="H8" s="34">
        <f t="shared" si="1"/>
        <v>0</v>
      </c>
      <c r="I8" s="42">
        <f t="shared" si="1"/>
        <v>15530541</v>
      </c>
      <c r="J8" s="42">
        <f t="shared" si="1"/>
        <v>8129638</v>
      </c>
      <c r="K8" s="42">
        <f t="shared" si="1"/>
        <v>23660179</v>
      </c>
    </row>
    <row r="9" spans="1:11">
      <c r="B9" s="7"/>
      <c r="C9" s="7"/>
      <c r="D9" s="7"/>
      <c r="E9" s="7"/>
      <c r="F9" s="7"/>
      <c r="H9" s="32"/>
    </row>
    <row r="10" spans="1:11">
      <c r="A10" s="6" t="s">
        <v>89</v>
      </c>
      <c r="B10" s="7"/>
      <c r="C10" s="7"/>
      <c r="D10" s="7"/>
      <c r="E10" s="7"/>
      <c r="F10" s="7"/>
      <c r="H10" s="32"/>
    </row>
    <row r="11" spans="1:11">
      <c r="A11" s="1">
        <v>408170</v>
      </c>
      <c r="B11" s="9">
        <f>'GL Export'!G5</f>
        <v>7080705.4499999993</v>
      </c>
      <c r="C11" s="9">
        <f>'GL Export'!D5</f>
        <v>3115158.29</v>
      </c>
      <c r="D11" s="9">
        <f>'GL Export'!E5</f>
        <v>11534</v>
      </c>
      <c r="E11" s="9">
        <v>0</v>
      </c>
      <c r="F11" s="9">
        <v>0</v>
      </c>
      <c r="G11" s="10">
        <f>SUM(B11:F11)</f>
        <v>10207397.739999998</v>
      </c>
      <c r="H11" s="32"/>
      <c r="I11" s="10">
        <f>B11</f>
        <v>7080705.4499999993</v>
      </c>
      <c r="J11" s="10">
        <f>C11</f>
        <v>3115158.29</v>
      </c>
      <c r="K11" s="10">
        <f>SUM(I11:J11)</f>
        <v>10195863.739999998</v>
      </c>
    </row>
    <row r="12" spans="1:11">
      <c r="B12" s="7"/>
      <c r="C12" s="7"/>
      <c r="D12" s="7"/>
      <c r="E12" s="7"/>
      <c r="F12" s="7"/>
      <c r="H12" s="32"/>
    </row>
    <row r="13" spans="1:11" ht="15.75" thickBot="1">
      <c r="A13" s="6" t="s">
        <v>86</v>
      </c>
      <c r="B13" s="11">
        <f>SUM(B8:B11)</f>
        <v>12944617.169999998</v>
      </c>
      <c r="C13" s="11">
        <f t="shared" ref="C13:K13" si="2">SUM(C8:C11)</f>
        <v>5989191.6899999995</v>
      </c>
      <c r="D13" s="11">
        <f t="shared" si="2"/>
        <v>11537909.380000001</v>
      </c>
      <c r="E13" s="11">
        <f t="shared" si="2"/>
        <v>3392995.49</v>
      </c>
      <c r="F13" s="11">
        <f t="shared" si="2"/>
        <v>2863.34</v>
      </c>
      <c r="G13" s="11">
        <f t="shared" si="2"/>
        <v>33867577.07</v>
      </c>
      <c r="H13" s="34">
        <f t="shared" si="2"/>
        <v>0</v>
      </c>
      <c r="I13" s="11">
        <f t="shared" si="2"/>
        <v>22611246.449999999</v>
      </c>
      <c r="J13" s="11">
        <f t="shared" si="2"/>
        <v>11244796.289999999</v>
      </c>
      <c r="K13" s="11">
        <f t="shared" si="2"/>
        <v>33856042.739999995</v>
      </c>
    </row>
    <row r="15" spans="1:11" ht="15.75" thickBot="1"/>
    <row r="16" spans="1:11" ht="30.75" thickBot="1">
      <c r="A16" s="12" t="s">
        <v>90</v>
      </c>
      <c r="B16" s="13">
        <f>B26</f>
        <v>14134431.24</v>
      </c>
      <c r="C16" s="13">
        <f t="shared" ref="C16:F16" si="3">C26</f>
        <v>5983771.7400000002</v>
      </c>
      <c r="D16" s="13">
        <f t="shared" si="3"/>
        <v>11537909.380000001</v>
      </c>
      <c r="E16" s="13">
        <f t="shared" si="3"/>
        <v>3392995.49</v>
      </c>
      <c r="F16" s="13">
        <f t="shared" si="3"/>
        <v>2863.34</v>
      </c>
      <c r="G16" s="13">
        <f>SUM(B16:F16)</f>
        <v>35051971.190000005</v>
      </c>
      <c r="H16" s="14"/>
      <c r="I16" s="14"/>
      <c r="J16" s="14"/>
      <c r="K16" s="15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3">
      <c r="A18" s="16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3">
      <c r="A19" s="16">
        <v>408150</v>
      </c>
      <c r="B19" s="95">
        <f>'GL Export'!G31</f>
        <v>3462774.89</v>
      </c>
      <c r="C19" s="95">
        <f>'GL Export'!D31</f>
        <v>1302066.1299999999</v>
      </c>
      <c r="D19" s="95">
        <f>'GL Export'!E31</f>
        <v>9749570.3800000008</v>
      </c>
      <c r="E19" s="95">
        <f>'GL Export'!F31</f>
        <v>3380089.5500000003</v>
      </c>
      <c r="F19" s="95">
        <f>'GL Export'!C31</f>
        <v>2863.34</v>
      </c>
      <c r="G19" s="96">
        <f>SUM(B19:F19)</f>
        <v>17897364.289999999</v>
      </c>
      <c r="H19" s="17"/>
      <c r="I19" s="20">
        <f>ROUND(G19*I2,0)</f>
        <v>11747830</v>
      </c>
      <c r="J19" s="20">
        <f>ROUND(G19*J2,0)</f>
        <v>6149534</v>
      </c>
      <c r="K19" s="21">
        <f>SUM(I19:J19)</f>
        <v>17897364</v>
      </c>
    </row>
    <row r="20" spans="1:13">
      <c r="A20" s="16">
        <v>408180</v>
      </c>
      <c r="B20" s="97">
        <f>'GL Export'!G33</f>
        <v>2940481.02</v>
      </c>
      <c r="C20" s="97">
        <f>'GL Export'!D33</f>
        <v>1566547.3199999998</v>
      </c>
      <c r="D20" s="97">
        <f>'GL Export'!E33</f>
        <v>1776805</v>
      </c>
      <c r="E20" s="97">
        <f>'GL Export'!F33</f>
        <v>12905.94</v>
      </c>
      <c r="F20" s="97">
        <v>0</v>
      </c>
      <c r="G20" s="22">
        <f>SUM(B20:F20)</f>
        <v>6296739.2800000003</v>
      </c>
      <c r="H20" s="17"/>
      <c r="I20" s="20">
        <f>ROUND(G20*I2,0)</f>
        <v>4133180</v>
      </c>
      <c r="J20" s="20">
        <f>ROUND(G20*J2,0)</f>
        <v>2163560</v>
      </c>
      <c r="K20" s="21">
        <f>SUM(I20:J20)</f>
        <v>6296740</v>
      </c>
    </row>
    <row r="21" spans="1:13">
      <c r="A21" s="16" t="s">
        <v>91</v>
      </c>
      <c r="B21" s="95">
        <f>SUM(B19:B20)</f>
        <v>6403255.9100000001</v>
      </c>
      <c r="C21" s="95">
        <f t="shared" ref="C21:F21" si="4">SUM(C19:C20)</f>
        <v>2868613.4499999997</v>
      </c>
      <c r="D21" s="95">
        <f t="shared" si="4"/>
        <v>11526375.380000001</v>
      </c>
      <c r="E21" s="95">
        <f t="shared" si="4"/>
        <v>3392995.49</v>
      </c>
      <c r="F21" s="95">
        <f t="shared" si="4"/>
        <v>2863.34</v>
      </c>
      <c r="G21" s="98">
        <f t="shared" ref="G21" si="5">SUM(G19:G20)</f>
        <v>24194103.57</v>
      </c>
      <c r="H21" s="17"/>
      <c r="I21" s="43">
        <f>SUM(I19:I20)</f>
        <v>15881010</v>
      </c>
      <c r="J21" s="43">
        <f>SUM(J19:J20)</f>
        <v>8313094</v>
      </c>
      <c r="K21" s="44">
        <f>SUM(K19:K20)</f>
        <v>24194104</v>
      </c>
    </row>
    <row r="22" spans="1:13">
      <c r="A22" s="16"/>
      <c r="B22" s="95"/>
      <c r="C22" s="95"/>
      <c r="D22" s="95"/>
      <c r="E22" s="95"/>
      <c r="F22" s="95"/>
      <c r="G22" s="99"/>
      <c r="H22" s="17"/>
      <c r="I22" s="17"/>
      <c r="J22" s="17"/>
      <c r="K22" s="18"/>
    </row>
    <row r="23" spans="1:13">
      <c r="A23" s="16" t="s">
        <v>89</v>
      </c>
      <c r="B23" s="95"/>
      <c r="C23" s="95"/>
      <c r="D23" s="95"/>
      <c r="E23" s="95"/>
      <c r="F23" s="95"/>
      <c r="G23" s="99"/>
      <c r="H23" s="17"/>
      <c r="I23" s="17"/>
      <c r="J23" s="17"/>
      <c r="K23" s="18"/>
    </row>
    <row r="24" spans="1:13">
      <c r="A24" s="16">
        <v>408170</v>
      </c>
      <c r="B24" s="97">
        <f>'GL Export'!G32</f>
        <v>7731175.3300000001</v>
      </c>
      <c r="C24" s="97">
        <f>'GL Export'!D32</f>
        <v>3115158.29</v>
      </c>
      <c r="D24" s="97">
        <f>'GL Export'!E32</f>
        <v>11534</v>
      </c>
      <c r="E24" s="97">
        <v>0</v>
      </c>
      <c r="F24" s="97">
        <v>0</v>
      </c>
      <c r="G24" s="22">
        <f>SUM(B24:F24)</f>
        <v>10857867.620000001</v>
      </c>
      <c r="H24" s="17"/>
      <c r="I24" s="22">
        <f>B24</f>
        <v>7731175.3300000001</v>
      </c>
      <c r="J24" s="22">
        <f>C24+D24</f>
        <v>3126692.29</v>
      </c>
      <c r="K24" s="23">
        <f>SUM(I24:J24)</f>
        <v>10857867.620000001</v>
      </c>
    </row>
    <row r="25" spans="1:13">
      <c r="A25" s="16"/>
      <c r="B25" s="19"/>
      <c r="C25" s="19"/>
      <c r="D25" s="19"/>
      <c r="E25" s="19"/>
      <c r="F25" s="19"/>
      <c r="G25" s="19"/>
      <c r="H25" s="17"/>
      <c r="I25" s="17"/>
      <c r="J25" s="17"/>
      <c r="K25" s="18"/>
    </row>
    <row r="26" spans="1:13" ht="15.75" thickBot="1">
      <c r="A26" s="16"/>
      <c r="B26" s="24">
        <f t="shared" ref="B26:G26" si="6">SUM(B21:B24)</f>
        <v>14134431.24</v>
      </c>
      <c r="C26" s="24">
        <f t="shared" si="6"/>
        <v>5983771.7400000002</v>
      </c>
      <c r="D26" s="24">
        <f t="shared" si="6"/>
        <v>11537909.380000001</v>
      </c>
      <c r="E26" s="24">
        <f t="shared" si="6"/>
        <v>3392995.49</v>
      </c>
      <c r="F26" s="24">
        <f t="shared" si="6"/>
        <v>2863.34</v>
      </c>
      <c r="G26" s="24">
        <f t="shared" si="6"/>
        <v>35051971.189999998</v>
      </c>
      <c r="H26" s="45"/>
      <c r="I26" s="24">
        <f>SUM(I21:I24)</f>
        <v>23612185.329999998</v>
      </c>
      <c r="J26" s="24">
        <f>SUM(J21:J24)</f>
        <v>11439786.289999999</v>
      </c>
      <c r="K26" s="46">
        <f>SUM(K21:K24)</f>
        <v>35051971.620000005</v>
      </c>
      <c r="M26" s="8"/>
    </row>
    <row r="27" spans="1:13" ht="15.7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.75" thickBot="1"/>
    <row r="29" spans="1:13">
      <c r="A29" s="28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>B19-B6</f>
        <v>291343.93000000017</v>
      </c>
      <c r="C31" s="34">
        <f t="shared" ref="B31:F32" si="7">C19-C6</f>
        <v>-5419.9500000001863</v>
      </c>
      <c r="D31" s="34">
        <f t="shared" si="7"/>
        <v>0</v>
      </c>
      <c r="E31" s="34">
        <f t="shared" si="7"/>
        <v>0</v>
      </c>
      <c r="F31" s="89">
        <f t="shared" si="7"/>
        <v>0</v>
      </c>
      <c r="G31" s="34">
        <f>SUM(B31:F31)</f>
        <v>285923.98</v>
      </c>
      <c r="H31" s="32"/>
      <c r="I31" s="34">
        <f>I19-I6</f>
        <v>187681</v>
      </c>
      <c r="J31" s="34">
        <f>J19-J6</f>
        <v>98243</v>
      </c>
      <c r="K31" s="35">
        <f>SUM(I31:J31)</f>
        <v>285924</v>
      </c>
    </row>
    <row r="32" spans="1:13">
      <c r="A32" s="31">
        <v>408180</v>
      </c>
      <c r="B32" s="9">
        <f t="shared" si="7"/>
        <v>248000.26000000024</v>
      </c>
      <c r="C32" s="9">
        <f t="shared" si="7"/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>SUM(B32:F32)</f>
        <v>248000.26000000024</v>
      </c>
      <c r="H32" s="32"/>
      <c r="I32" s="34">
        <f>I20-I7</f>
        <v>162788</v>
      </c>
      <c r="J32" s="34">
        <f>J20-J7</f>
        <v>85213</v>
      </c>
      <c r="K32" s="35">
        <f>SUM(I32:J32)</f>
        <v>248001</v>
      </c>
    </row>
    <row r="33" spans="1:11">
      <c r="A33" s="31" t="s">
        <v>91</v>
      </c>
      <c r="B33" s="34">
        <f t="shared" ref="B33:G33" si="8">SUM(B31:B32)</f>
        <v>539344.19000000041</v>
      </c>
      <c r="C33" s="34">
        <f t="shared" si="8"/>
        <v>-5419.9500000001863</v>
      </c>
      <c r="D33" s="34">
        <f t="shared" si="8"/>
        <v>0</v>
      </c>
      <c r="E33" s="34">
        <f t="shared" si="8"/>
        <v>0</v>
      </c>
      <c r="F33" s="34">
        <f t="shared" si="8"/>
        <v>0</v>
      </c>
      <c r="G33" s="34">
        <f t="shared" si="8"/>
        <v>533924.24000000022</v>
      </c>
      <c r="H33" s="32"/>
      <c r="I33" s="42">
        <f>SUM(I31:I32)</f>
        <v>350469</v>
      </c>
      <c r="J33" s="42">
        <f>SUM(J31:J32)</f>
        <v>183456</v>
      </c>
      <c r="K33" s="47">
        <f>SUM(K31:K32)</f>
        <v>533925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89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9">
        <f>B24-B11</f>
        <v>650469.88000000082</v>
      </c>
      <c r="C36" s="9">
        <f>C24-C11</f>
        <v>0</v>
      </c>
      <c r="D36" s="9">
        <f>D24-D11</f>
        <v>0</v>
      </c>
      <c r="E36" s="9">
        <f>E24-E11</f>
        <v>0</v>
      </c>
      <c r="F36" s="9">
        <f>F24-F11</f>
        <v>0</v>
      </c>
      <c r="G36" s="9">
        <f>SUM(B36:F36)</f>
        <v>650469.88000000082</v>
      </c>
      <c r="H36" s="32"/>
      <c r="I36" s="10">
        <f>B36</f>
        <v>650469.88000000082</v>
      </c>
      <c r="J36" s="10">
        <f>C36</f>
        <v>0</v>
      </c>
      <c r="K36" s="36">
        <f>SUM(I36:J36)</f>
        <v>650469.88000000082</v>
      </c>
    </row>
    <row r="37" spans="1:11" ht="15.75" thickBot="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6.5" thickTop="1" thickBot="1">
      <c r="A38" s="31"/>
      <c r="B38" s="11">
        <f t="shared" ref="B38:G38" si="9">SUM(B33:B36)</f>
        <v>1189814.0700000012</v>
      </c>
      <c r="C38" s="11">
        <f t="shared" si="9"/>
        <v>-5419.9500000001863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1184394.120000001</v>
      </c>
      <c r="H38" s="48"/>
      <c r="I38" s="37">
        <f>SUM(I33:I36)</f>
        <v>1000938.8800000008</v>
      </c>
      <c r="J38" s="11">
        <f>SUM(J33:J36)</f>
        <v>183456</v>
      </c>
      <c r="K38" s="49">
        <f>SUM(K33:K36)</f>
        <v>1184394.8800000008</v>
      </c>
    </row>
    <row r="39" spans="1:11" ht="15.75" thickBo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15.75" thickBot="1"/>
    <row r="41" spans="1:11" ht="30.75" thickBot="1">
      <c r="A41" s="12" t="s">
        <v>147</v>
      </c>
      <c r="B41" s="13">
        <v>14072284</v>
      </c>
      <c r="C41" s="13">
        <v>7221382</v>
      </c>
      <c r="D41" s="13">
        <v>12104804</v>
      </c>
      <c r="E41" s="13">
        <f>12636+3578524</f>
        <v>3591160</v>
      </c>
      <c r="F41" s="13">
        <v>3294</v>
      </c>
      <c r="G41" s="13">
        <f>SUM(B41:F41)</f>
        <v>36992924</v>
      </c>
      <c r="H41" s="14"/>
      <c r="I41" s="14"/>
      <c r="J41" s="14"/>
      <c r="K41" s="15"/>
    </row>
    <row r="42" spans="1:1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>
      <c r="A43" s="16" t="s">
        <v>87</v>
      </c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>
      <c r="A44" s="16">
        <v>408150</v>
      </c>
      <c r="B44" s="100">
        <f>($B$6/$B$13)*B41</f>
        <v>3447709.3118631523</v>
      </c>
      <c r="C44" s="100">
        <f>($C$6/$C$13)*C41</f>
        <v>1576482.5926555977</v>
      </c>
      <c r="D44" s="100">
        <f>($D$6/$D$13)*D41</f>
        <v>10228598.149564035</v>
      </c>
      <c r="E44" s="100">
        <f>($E$6/$E$13)*E41</f>
        <v>3577500.3014749074</v>
      </c>
      <c r="F44" s="100">
        <f>($F$6/$F$13)*F41</f>
        <v>3294</v>
      </c>
      <c r="G44" s="100">
        <f>SUM(B44:F44)</f>
        <v>18833584.355557691</v>
      </c>
      <c r="H44" s="17"/>
      <c r="I44" s="20">
        <f>ROUND(G44*$I$2,0)</f>
        <v>12362365</v>
      </c>
      <c r="J44" s="20">
        <f>ROUND(G44*$J$2,0)</f>
        <v>6471220</v>
      </c>
      <c r="K44" s="21">
        <f>SUM(I44:J44)</f>
        <v>18833585</v>
      </c>
    </row>
    <row r="45" spans="1:11">
      <c r="A45" s="16">
        <v>408180</v>
      </c>
      <c r="B45" s="101">
        <f>($B$7/$B$13)*B41</f>
        <v>2927035.4944962687</v>
      </c>
      <c r="C45" s="101">
        <f>($C$7/$C$13)*C41</f>
        <v>1888841.9680546639</v>
      </c>
      <c r="D45" s="101">
        <f>($D$7/$D$13)*D41</f>
        <v>1864105.147896386</v>
      </c>
      <c r="E45" s="101">
        <f>($E$7/$E$13)*E41</f>
        <v>13659.698525092941</v>
      </c>
      <c r="F45" s="101">
        <f>($F$7/$F$13)*F41</f>
        <v>0</v>
      </c>
      <c r="G45" s="101">
        <f>SUM(B45:F45)</f>
        <v>6693642.3089724109</v>
      </c>
      <c r="H45" s="17"/>
      <c r="I45" s="20">
        <f>ROUND(G45*$I$2,0)</f>
        <v>4393707</v>
      </c>
      <c r="J45" s="20">
        <f>ROUND(G45*$J$2,0)</f>
        <v>2299935</v>
      </c>
      <c r="K45" s="21">
        <f>SUM(I45:J45)</f>
        <v>6693642</v>
      </c>
    </row>
    <row r="46" spans="1:11">
      <c r="A46" s="16" t="s">
        <v>91</v>
      </c>
      <c r="B46" s="100">
        <f t="shared" ref="B46:G46" si="10">SUM(B44:B45)</f>
        <v>6374744.8063594215</v>
      </c>
      <c r="C46" s="100">
        <f t="shared" si="10"/>
        <v>3465324.5607102616</v>
      </c>
      <c r="D46" s="100">
        <f t="shared" si="10"/>
        <v>12092703.297460422</v>
      </c>
      <c r="E46" s="100">
        <f t="shared" si="10"/>
        <v>3591160.0000000005</v>
      </c>
      <c r="F46" s="100">
        <f t="shared" si="10"/>
        <v>3294</v>
      </c>
      <c r="G46" s="100">
        <f t="shared" si="10"/>
        <v>25527226.664530102</v>
      </c>
      <c r="H46" s="17"/>
      <c r="I46" s="43">
        <f>SUM(I44:I45)</f>
        <v>16756072</v>
      </c>
      <c r="J46" s="43">
        <f>SUM(J44:J45)</f>
        <v>8771155</v>
      </c>
      <c r="K46" s="44">
        <f>SUM(K44:K45)</f>
        <v>25527227</v>
      </c>
    </row>
    <row r="47" spans="1:11">
      <c r="A47" s="16"/>
      <c r="B47" s="100"/>
      <c r="C47" s="100"/>
      <c r="D47" s="100"/>
      <c r="E47" s="100"/>
      <c r="F47" s="100"/>
      <c r="G47" s="100"/>
      <c r="H47" s="17"/>
      <c r="I47" s="17"/>
      <c r="J47" s="17"/>
      <c r="K47" s="18"/>
    </row>
    <row r="48" spans="1:11">
      <c r="A48" s="16" t="s">
        <v>89</v>
      </c>
      <c r="B48" s="100"/>
      <c r="C48" s="100"/>
      <c r="D48" s="100"/>
      <c r="E48" s="100"/>
      <c r="F48" s="100"/>
      <c r="G48" s="100"/>
      <c r="H48" s="17"/>
      <c r="I48" s="17"/>
      <c r="J48" s="17"/>
      <c r="K48" s="18"/>
    </row>
    <row r="49" spans="1:13">
      <c r="A49" s="16">
        <v>408170</v>
      </c>
      <c r="B49" s="101">
        <f>($B$11/$B$13)*B41</f>
        <v>7697539.1936405795</v>
      </c>
      <c r="C49" s="101">
        <f>($C$11/$C$13)*C41</f>
        <v>3756057.4392897384</v>
      </c>
      <c r="D49" s="101">
        <f>($D$11/$D$13)*D41</f>
        <v>12100.702539579139</v>
      </c>
      <c r="E49" s="101">
        <f>($E$11/$E$13)*E41</f>
        <v>0</v>
      </c>
      <c r="F49" s="101">
        <f>($F$11/$F$13)*F41</f>
        <v>0</v>
      </c>
      <c r="G49" s="101">
        <f>SUM(B49:F49)</f>
        <v>11465697.335469898</v>
      </c>
      <c r="H49" s="17"/>
      <c r="I49" s="22">
        <f>B49</f>
        <v>7697539.1936405795</v>
      </c>
      <c r="J49" s="22">
        <f>C49+D49</f>
        <v>3768158.1418293174</v>
      </c>
      <c r="K49" s="23">
        <f>SUM(I49:J49)</f>
        <v>11465697.335469898</v>
      </c>
    </row>
    <row r="50" spans="1:13">
      <c r="A50" s="16"/>
      <c r="B50" s="19"/>
      <c r="C50" s="19"/>
      <c r="D50" s="19"/>
      <c r="E50" s="19"/>
      <c r="F50" s="19"/>
      <c r="G50" s="19"/>
      <c r="H50" s="17"/>
      <c r="I50" s="17"/>
      <c r="J50" s="17"/>
      <c r="K50" s="18"/>
    </row>
    <row r="51" spans="1:13" ht="15.75" thickBot="1">
      <c r="A51" s="16"/>
      <c r="B51" s="24">
        <f t="shared" ref="B51:G51" si="11">SUM(B46:B49)</f>
        <v>14072284</v>
      </c>
      <c r="C51" s="24">
        <f t="shared" si="11"/>
        <v>7221382</v>
      </c>
      <c r="D51" s="24">
        <f t="shared" si="11"/>
        <v>12104804.000000002</v>
      </c>
      <c r="E51" s="24">
        <f t="shared" si="11"/>
        <v>3591160.0000000005</v>
      </c>
      <c r="F51" s="24">
        <f t="shared" si="11"/>
        <v>3294</v>
      </c>
      <c r="G51" s="24">
        <f t="shared" si="11"/>
        <v>36992924</v>
      </c>
      <c r="H51" s="45"/>
      <c r="I51" s="24">
        <f>SUM(I46:I49)</f>
        <v>24453611.193640579</v>
      </c>
      <c r="J51" s="24">
        <f>SUM(J46:J49)</f>
        <v>12539313.141829317</v>
      </c>
      <c r="K51" s="46">
        <f>SUM(K46:K49)</f>
        <v>36992924.335469902</v>
      </c>
      <c r="M51" s="8"/>
    </row>
    <row r="52" spans="1:13" ht="15.75" thickBo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</row>
    <row r="53" spans="1:13" ht="15.75" thickBot="1"/>
    <row r="54" spans="1:13">
      <c r="A54" s="28" t="s">
        <v>112</v>
      </c>
      <c r="B54" s="29"/>
      <c r="C54" s="29"/>
      <c r="D54" s="29"/>
      <c r="E54" s="29"/>
      <c r="F54" s="29"/>
      <c r="G54" s="29"/>
      <c r="H54" s="29"/>
      <c r="I54" s="29"/>
      <c r="J54" s="29"/>
      <c r="K54" s="30"/>
    </row>
    <row r="55" spans="1:13">
      <c r="A55" s="31" t="s">
        <v>87</v>
      </c>
      <c r="B55" s="32"/>
      <c r="C55" s="32"/>
      <c r="D55" s="32"/>
      <c r="E55" s="32"/>
      <c r="F55" s="32"/>
      <c r="G55" s="32"/>
      <c r="H55" s="32"/>
      <c r="I55" s="32"/>
      <c r="J55" s="32"/>
      <c r="K55" s="33"/>
    </row>
    <row r="56" spans="1:13">
      <c r="A56" s="31">
        <v>408150</v>
      </c>
      <c r="B56" s="34">
        <f t="shared" ref="B56:F57" si="12">B44-B19</f>
        <v>-15065.57813684782</v>
      </c>
      <c r="C56" s="34">
        <f t="shared" si="12"/>
        <v>274416.46265559783</v>
      </c>
      <c r="D56" s="34">
        <f t="shared" si="12"/>
        <v>479027.76956403442</v>
      </c>
      <c r="E56" s="34">
        <f t="shared" si="12"/>
        <v>197410.75147490716</v>
      </c>
      <c r="F56" s="102">
        <f t="shared" si="12"/>
        <v>430.65999999999985</v>
      </c>
      <c r="G56" s="34">
        <f>SUM(B56:F56)</f>
        <v>936220.06555769162</v>
      </c>
      <c r="H56" s="32"/>
      <c r="I56" s="34">
        <f>G56*I2</f>
        <v>614534.85103206872</v>
      </c>
      <c r="J56" s="34">
        <f>G56*J2</f>
        <v>321685.21452562284</v>
      </c>
      <c r="K56" s="35">
        <f>SUM(I56:J56)</f>
        <v>936220.0655576915</v>
      </c>
    </row>
    <row r="57" spans="1:13">
      <c r="A57" s="31">
        <v>408180</v>
      </c>
      <c r="B57" s="9">
        <f t="shared" si="12"/>
        <v>-13445.525503731333</v>
      </c>
      <c r="C57" s="9">
        <f t="shared" si="12"/>
        <v>322294.64805466402</v>
      </c>
      <c r="D57" s="9">
        <f t="shared" si="12"/>
        <v>87300.147896385984</v>
      </c>
      <c r="E57" s="9">
        <f t="shared" si="12"/>
        <v>753.75852509294054</v>
      </c>
      <c r="F57" s="9">
        <f t="shared" si="12"/>
        <v>0</v>
      </c>
      <c r="G57" s="9">
        <f>SUM(B57:F57)</f>
        <v>396903.02897241164</v>
      </c>
      <c r="H57" s="32"/>
      <c r="I57" s="34">
        <f>G57*I2</f>
        <v>260527.14821749099</v>
      </c>
      <c r="J57" s="34">
        <f>G57*J2</f>
        <v>136375.88075492065</v>
      </c>
      <c r="K57" s="35">
        <f>SUM(I57:J57)</f>
        <v>396903.02897241164</v>
      </c>
    </row>
    <row r="58" spans="1:13">
      <c r="A58" s="31" t="s">
        <v>91</v>
      </c>
      <c r="B58" s="34">
        <f t="shared" ref="B58:G58" si="13">SUM(B56:B57)</f>
        <v>-28511.103640579153</v>
      </c>
      <c r="C58" s="34">
        <f t="shared" si="13"/>
        <v>596711.11071026186</v>
      </c>
      <c r="D58" s="34">
        <f t="shared" si="13"/>
        <v>566327.9174604204</v>
      </c>
      <c r="E58" s="34">
        <f t="shared" si="13"/>
        <v>198164.5100000001</v>
      </c>
      <c r="F58" s="34">
        <f t="shared" si="13"/>
        <v>430.65999999999985</v>
      </c>
      <c r="G58" s="34">
        <f t="shared" si="13"/>
        <v>1333123.0945301033</v>
      </c>
      <c r="H58" s="32"/>
      <c r="I58" s="42">
        <f>SUM(I56:I57)</f>
        <v>875061.99924955971</v>
      </c>
      <c r="J58" s="42">
        <f>SUM(J56:J57)</f>
        <v>458061.09528054349</v>
      </c>
      <c r="K58" s="47">
        <f>SUM(K56:K57)</f>
        <v>1333123.0945301033</v>
      </c>
    </row>
    <row r="59" spans="1:13">
      <c r="A59" s="31"/>
      <c r="B59" s="34"/>
      <c r="C59" s="34"/>
      <c r="D59" s="34"/>
      <c r="E59" s="34"/>
      <c r="F59" s="34"/>
      <c r="G59" s="34"/>
      <c r="H59" s="32"/>
      <c r="I59" s="32"/>
      <c r="J59" s="32"/>
      <c r="K59" s="33"/>
    </row>
    <row r="60" spans="1:13">
      <c r="A60" s="31" t="s">
        <v>89</v>
      </c>
      <c r="B60" s="34"/>
      <c r="C60" s="34"/>
      <c r="D60" s="34"/>
      <c r="E60" s="34"/>
      <c r="F60" s="34"/>
      <c r="G60" s="34"/>
      <c r="H60" s="32"/>
      <c r="I60" s="32"/>
      <c r="J60" s="32"/>
      <c r="K60" s="33"/>
    </row>
    <row r="61" spans="1:13">
      <c r="A61" s="31">
        <v>408170</v>
      </c>
      <c r="B61" s="9">
        <f>B49-B24</f>
        <v>-33636.136359420605</v>
      </c>
      <c r="C61" s="9">
        <f>C49-C24</f>
        <v>640899.14928973839</v>
      </c>
      <c r="D61" s="9">
        <f>D49-D24</f>
        <v>566.70253957913883</v>
      </c>
      <c r="E61" s="9">
        <f>E49-E24</f>
        <v>0</v>
      </c>
      <c r="F61" s="9">
        <f>F49-F24</f>
        <v>0</v>
      </c>
      <c r="G61" s="9">
        <f>SUM(B61:F61)</f>
        <v>607829.71546989691</v>
      </c>
      <c r="H61" s="32"/>
      <c r="I61" s="10">
        <f>B61</f>
        <v>-33636.136359420605</v>
      </c>
      <c r="J61" s="10">
        <f>C61+D61</f>
        <v>641465.85182931751</v>
      </c>
      <c r="K61" s="36">
        <f>SUM(I61:J61)</f>
        <v>607829.71546989691</v>
      </c>
    </row>
    <row r="62" spans="1:13" ht="15.75" thickBot="1">
      <c r="A62" s="31"/>
      <c r="B62" s="34"/>
      <c r="C62" s="34"/>
      <c r="D62" s="34"/>
      <c r="E62" s="34"/>
      <c r="F62" s="34"/>
      <c r="G62" s="34"/>
      <c r="H62" s="32"/>
      <c r="I62" s="32"/>
      <c r="J62" s="32"/>
      <c r="K62" s="33"/>
    </row>
    <row r="63" spans="1:13" ht="16.5" thickTop="1" thickBot="1">
      <c r="A63" s="31"/>
      <c r="B63" s="11">
        <f t="shared" ref="B63:G63" si="14">SUM(B58:B61)</f>
        <v>-62147.239999999758</v>
      </c>
      <c r="C63" s="11">
        <f t="shared" si="14"/>
        <v>1237610.2600000002</v>
      </c>
      <c r="D63" s="11">
        <f t="shared" si="14"/>
        <v>566894.61999999953</v>
      </c>
      <c r="E63" s="11">
        <f t="shared" si="14"/>
        <v>198164.5100000001</v>
      </c>
      <c r="F63" s="11">
        <f t="shared" si="14"/>
        <v>430.65999999999985</v>
      </c>
      <c r="G63" s="11">
        <f t="shared" si="14"/>
        <v>1940952.81</v>
      </c>
      <c r="H63" s="48"/>
      <c r="I63" s="37">
        <f>SUM(I58:I61)</f>
        <v>841425.86289013911</v>
      </c>
      <c r="J63" s="11">
        <f>SUM(J58:J61)</f>
        <v>1099526.9471098611</v>
      </c>
      <c r="K63" s="49">
        <f>SUM(K58:K61)</f>
        <v>1940952.81</v>
      </c>
    </row>
    <row r="64" spans="1:13" ht="15.75" thickBot="1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40"/>
    </row>
    <row r="65" spans="1:13" ht="15.75" thickBot="1">
      <c r="A65" s="104"/>
      <c r="B65" s="32"/>
      <c r="C65" s="32"/>
      <c r="D65" s="32"/>
      <c r="E65" s="32"/>
      <c r="F65" s="32"/>
      <c r="G65" s="32"/>
      <c r="H65" s="32"/>
      <c r="I65" s="105"/>
      <c r="J65" s="105"/>
      <c r="K65" s="105"/>
    </row>
    <row r="66" spans="1:13" ht="45.75" thickBot="1">
      <c r="A66" s="12" t="s">
        <v>148</v>
      </c>
      <c r="B66" s="13">
        <v>14778374</v>
      </c>
      <c r="C66" s="13">
        <v>7526297</v>
      </c>
      <c r="D66" s="13">
        <v>12498968</v>
      </c>
      <c r="E66" s="13">
        <f>12636+3578524</f>
        <v>3591160</v>
      </c>
      <c r="F66" s="13">
        <v>3294</v>
      </c>
      <c r="G66" s="13">
        <f>SUM(B66:F66)</f>
        <v>38398093</v>
      </c>
      <c r="H66" s="14"/>
      <c r="I66" s="14"/>
      <c r="J66" s="14"/>
      <c r="K66" s="15"/>
    </row>
    <row r="67" spans="1:13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8"/>
    </row>
    <row r="68" spans="1:13">
      <c r="A68" s="16" t="s">
        <v>87</v>
      </c>
      <c r="B68" s="17"/>
      <c r="C68" s="17"/>
      <c r="D68" s="17"/>
      <c r="E68" s="17"/>
      <c r="F68" s="17"/>
      <c r="G68" s="17"/>
      <c r="H68" s="17"/>
      <c r="I68" s="17"/>
      <c r="J68" s="17"/>
      <c r="K68" s="18"/>
    </row>
    <row r="69" spans="1:13">
      <c r="A69" s="16">
        <v>408150</v>
      </c>
      <c r="B69" s="100">
        <f>($B$6/$B$13)*B66</f>
        <v>3620701.3484091354</v>
      </c>
      <c r="C69" s="100">
        <f>($C$6/$C$13)*C66</f>
        <v>1643047.8553351765</v>
      </c>
      <c r="D69" s="100">
        <f>($D$6/$D$13)*D66</f>
        <v>10561667.992002191</v>
      </c>
      <c r="E69" s="100">
        <f>($E$6/$E$13)*E66</f>
        <v>3577500.3014749074</v>
      </c>
      <c r="F69" s="100">
        <f>($F$6/$F$13)*F66</f>
        <v>3294</v>
      </c>
      <c r="G69" s="100">
        <f>SUM(B69:F69)</f>
        <v>19406211.49722141</v>
      </c>
      <c r="H69" s="17"/>
      <c r="I69" s="20">
        <f>ROUND(G69*$I$2,0)</f>
        <v>12738237</v>
      </c>
      <c r="J69" s="20">
        <f>ROUND(G69*$J$2,0)</f>
        <v>6667974</v>
      </c>
      <c r="K69" s="21">
        <f>SUM(I69:J69)</f>
        <v>19406211</v>
      </c>
    </row>
    <row r="70" spans="1:13">
      <c r="A70" s="16">
        <v>408180</v>
      </c>
      <c r="B70" s="101">
        <f>($B$7/$B$13)*B66</f>
        <v>3073902.2356954138</v>
      </c>
      <c r="C70" s="101">
        <f>($C$7/$C$13)*C66</f>
        <v>1968596.2655962408</v>
      </c>
      <c r="D70" s="101">
        <f>($D$7/$D$13)*D66</f>
        <v>1924805.2750124822</v>
      </c>
      <c r="E70" s="101">
        <f>($E$7/$E$13)*E66</f>
        <v>13659.698525092941</v>
      </c>
      <c r="F70" s="101">
        <f>($F$7/$F$13)*F66</f>
        <v>0</v>
      </c>
      <c r="G70" s="101">
        <f>SUM(B70:F70)</f>
        <v>6980963.4748292295</v>
      </c>
      <c r="H70" s="17"/>
      <c r="I70" s="20">
        <f>ROUND(G70*$I$2,0)</f>
        <v>4582304</v>
      </c>
      <c r="J70" s="20">
        <f>ROUND(G70*$J$2,0)</f>
        <v>2398659</v>
      </c>
      <c r="K70" s="21">
        <f>SUM(I70:J70)</f>
        <v>6980963</v>
      </c>
    </row>
    <row r="71" spans="1:13">
      <c r="A71" s="16" t="s">
        <v>91</v>
      </c>
      <c r="B71" s="100">
        <f t="shared" ref="B71:G71" si="15">SUM(B69:B70)</f>
        <v>6694603.5841045491</v>
      </c>
      <c r="C71" s="100">
        <f t="shared" si="15"/>
        <v>3611644.1209314172</v>
      </c>
      <c r="D71" s="100">
        <f t="shared" si="15"/>
        <v>12486473.267014673</v>
      </c>
      <c r="E71" s="100">
        <f t="shared" si="15"/>
        <v>3591160.0000000005</v>
      </c>
      <c r="F71" s="100">
        <f t="shared" si="15"/>
        <v>3294</v>
      </c>
      <c r="G71" s="100">
        <f t="shared" si="15"/>
        <v>26387174.972050641</v>
      </c>
      <c r="H71" s="17"/>
      <c r="I71" s="43">
        <f>SUM(I69:I70)</f>
        <v>17320541</v>
      </c>
      <c r="J71" s="43">
        <f>SUM(J69:J70)</f>
        <v>9066633</v>
      </c>
      <c r="K71" s="44">
        <f>SUM(K69:K70)</f>
        <v>26387174</v>
      </c>
    </row>
    <row r="72" spans="1:13">
      <c r="A72" s="16"/>
      <c r="B72" s="100"/>
      <c r="C72" s="100"/>
      <c r="D72" s="100"/>
      <c r="E72" s="100"/>
      <c r="F72" s="100"/>
      <c r="G72" s="100"/>
      <c r="H72" s="17"/>
      <c r="I72" s="17"/>
      <c r="J72" s="17"/>
      <c r="K72" s="18"/>
    </row>
    <row r="73" spans="1:13">
      <c r="A73" s="16" t="s">
        <v>89</v>
      </c>
      <c r="B73" s="100"/>
      <c r="C73" s="100"/>
      <c r="D73" s="100"/>
      <c r="E73" s="100"/>
      <c r="F73" s="100"/>
      <c r="G73" s="100"/>
      <c r="H73" s="17"/>
      <c r="I73" s="17"/>
      <c r="J73" s="17"/>
      <c r="K73" s="18"/>
    </row>
    <row r="74" spans="1:13">
      <c r="A74" s="16">
        <v>408170</v>
      </c>
      <c r="B74" s="101">
        <f>($B$11/$B$13)*B66</f>
        <v>8083770.4158954509</v>
      </c>
      <c r="C74" s="101">
        <f>($C$11/$C$13)*C66</f>
        <v>3914652.8790685828</v>
      </c>
      <c r="D74" s="101">
        <f>($D$11/$D$13)*D66</f>
        <v>12494.732985327015</v>
      </c>
      <c r="E74" s="101">
        <f>($E$11/$E$13)*E66</f>
        <v>0</v>
      </c>
      <c r="F74" s="101">
        <f>($F$11/$F$13)*F66</f>
        <v>0</v>
      </c>
      <c r="G74" s="101">
        <f>SUM(B74:F74)</f>
        <v>12010918.027949361</v>
      </c>
      <c r="H74" s="17"/>
      <c r="I74" s="22">
        <f>B74</f>
        <v>8083770.4158954509</v>
      </c>
      <c r="J74" s="22">
        <f>C74+D74</f>
        <v>3927147.6120539098</v>
      </c>
      <c r="K74" s="23">
        <f>SUM(I74:J74)</f>
        <v>12010918.027949361</v>
      </c>
    </row>
    <row r="75" spans="1:13">
      <c r="A75" s="16"/>
      <c r="B75" s="19"/>
      <c r="C75" s="19"/>
      <c r="D75" s="19"/>
      <c r="E75" s="19"/>
      <c r="F75" s="19"/>
      <c r="G75" s="19"/>
      <c r="H75" s="17"/>
      <c r="I75" s="17"/>
      <c r="J75" s="17"/>
      <c r="K75" s="18"/>
    </row>
    <row r="76" spans="1:13" ht="15.75" thickBot="1">
      <c r="A76" s="16"/>
      <c r="B76" s="24">
        <f t="shared" ref="B76:G76" si="16">SUM(B71:B74)</f>
        <v>14778374</v>
      </c>
      <c r="C76" s="24">
        <f t="shared" si="16"/>
        <v>7526297</v>
      </c>
      <c r="D76" s="24">
        <f t="shared" si="16"/>
        <v>12498968</v>
      </c>
      <c r="E76" s="24">
        <f t="shared" si="16"/>
        <v>3591160.0000000005</v>
      </c>
      <c r="F76" s="24">
        <f t="shared" si="16"/>
        <v>3294</v>
      </c>
      <c r="G76" s="24">
        <f t="shared" si="16"/>
        <v>38398093</v>
      </c>
      <c r="H76" s="45"/>
      <c r="I76" s="24">
        <f>SUM(I71:I74)</f>
        <v>25404311.415895451</v>
      </c>
      <c r="J76" s="24">
        <f>SUM(J71:J74)</f>
        <v>12993780.61205391</v>
      </c>
      <c r="K76" s="46">
        <f>SUM(K71:K74)</f>
        <v>38398092.027949363</v>
      </c>
      <c r="M76" s="8"/>
    </row>
    <row r="77" spans="1:13" ht="15.75" thickBot="1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7"/>
    </row>
    <row r="78" spans="1:13" ht="15.75" thickBot="1"/>
    <row r="79" spans="1:13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3">
      <c r="A80" s="31" t="s">
        <v>87</v>
      </c>
      <c r="B80" s="32"/>
      <c r="C80" s="32"/>
      <c r="D80" s="32"/>
      <c r="E80" s="32"/>
      <c r="F80" s="32"/>
      <c r="G80" s="32"/>
      <c r="H80" s="32"/>
      <c r="I80" s="32"/>
      <c r="J80" s="32"/>
      <c r="K80" s="33"/>
    </row>
    <row r="81" spans="1:11">
      <c r="A81" s="31">
        <v>408150</v>
      </c>
      <c r="B81" s="34">
        <f>B69-B44</f>
        <v>172992.03654598305</v>
      </c>
      <c r="C81" s="34">
        <f t="shared" ref="C81:F81" si="17">C69-C44</f>
        <v>66565.262679578736</v>
      </c>
      <c r="D81" s="34">
        <f t="shared" si="17"/>
        <v>333069.84243815579</v>
      </c>
      <c r="E81" s="34">
        <f t="shared" si="17"/>
        <v>0</v>
      </c>
      <c r="F81" s="34">
        <f t="shared" si="17"/>
        <v>0</v>
      </c>
      <c r="G81" s="34">
        <f>SUM(B81:F81)</f>
        <v>572627.14166371757</v>
      </c>
      <c r="H81" s="32"/>
      <c r="I81" s="34">
        <f>G81*I2</f>
        <v>375872.45578806422</v>
      </c>
      <c r="J81" s="34">
        <f>G81*J2</f>
        <v>196754.68587565338</v>
      </c>
      <c r="K81" s="35">
        <f>SUM(I81:J81)</f>
        <v>572627.14166371757</v>
      </c>
    </row>
    <row r="82" spans="1:11">
      <c r="A82" s="31">
        <v>408180</v>
      </c>
      <c r="B82" s="9">
        <f>B70-B45</f>
        <v>146866.74119914509</v>
      </c>
      <c r="C82" s="9">
        <f t="shared" ref="C82:F82" si="18">C70-C45</f>
        <v>79754.297541576903</v>
      </c>
      <c r="D82" s="9">
        <f t="shared" si="18"/>
        <v>60700.127116096206</v>
      </c>
      <c r="E82" s="9">
        <f t="shared" si="18"/>
        <v>0</v>
      </c>
      <c r="F82" s="9">
        <f t="shared" si="18"/>
        <v>0</v>
      </c>
      <c r="G82" s="9">
        <f>SUM(B82:F82)</f>
        <v>287321.1658568182</v>
      </c>
      <c r="H82" s="32"/>
      <c r="I82" s="34">
        <f>G82*I2</f>
        <v>188597.61326841547</v>
      </c>
      <c r="J82" s="34">
        <f>G82*J2</f>
        <v>98723.552588402745</v>
      </c>
      <c r="K82" s="35">
        <f>SUM(I82:J82)</f>
        <v>287321.1658568182</v>
      </c>
    </row>
    <row r="83" spans="1:11">
      <c r="A83" s="31" t="s">
        <v>91</v>
      </c>
      <c r="B83" s="34">
        <f t="shared" ref="B83:G83" si="19">SUM(B81:B82)</f>
        <v>319858.77774512814</v>
      </c>
      <c r="C83" s="34">
        <f t="shared" si="19"/>
        <v>146319.56022115564</v>
      </c>
      <c r="D83" s="34">
        <f t="shared" si="19"/>
        <v>393769.96955425199</v>
      </c>
      <c r="E83" s="34">
        <f t="shared" si="19"/>
        <v>0</v>
      </c>
      <c r="F83" s="34">
        <f t="shared" si="19"/>
        <v>0</v>
      </c>
      <c r="G83" s="34">
        <f t="shared" si="19"/>
        <v>859948.30752053577</v>
      </c>
      <c r="H83" s="32"/>
      <c r="I83" s="42">
        <f>SUM(I81:I82)</f>
        <v>564470.06905647973</v>
      </c>
      <c r="J83" s="42">
        <f>SUM(J81:J82)</f>
        <v>295478.23846405611</v>
      </c>
      <c r="K83" s="47">
        <f>SUM(K81:K82)</f>
        <v>859948.30752053577</v>
      </c>
    </row>
    <row r="84" spans="1:11">
      <c r="A84" s="31"/>
      <c r="B84" s="34"/>
      <c r="C84" s="34"/>
      <c r="D84" s="34"/>
      <c r="E84" s="34"/>
      <c r="F84" s="34"/>
      <c r="G84" s="34"/>
      <c r="H84" s="32"/>
      <c r="I84" s="32"/>
      <c r="J84" s="32"/>
      <c r="K84" s="33"/>
    </row>
    <row r="85" spans="1:11">
      <c r="A85" s="31" t="s">
        <v>89</v>
      </c>
      <c r="B85" s="34"/>
      <c r="C85" s="34"/>
      <c r="D85" s="34"/>
      <c r="E85" s="34"/>
      <c r="F85" s="34"/>
      <c r="G85" s="34"/>
      <c r="H85" s="32"/>
      <c r="I85" s="32"/>
      <c r="J85" s="32"/>
      <c r="K85" s="33"/>
    </row>
    <row r="86" spans="1:11">
      <c r="A86" s="31">
        <v>408170</v>
      </c>
      <c r="B86" s="9">
        <f>B74-B49</f>
        <v>386231.22225487139</v>
      </c>
      <c r="C86" s="9">
        <f t="shared" ref="C86:E86" si="20">C74-C49</f>
        <v>158595.43977884436</v>
      </c>
      <c r="D86" s="9">
        <f t="shared" si="20"/>
        <v>394.030445747876</v>
      </c>
      <c r="E86" s="9">
        <f t="shared" si="20"/>
        <v>0</v>
      </c>
      <c r="F86" s="9">
        <f t="shared" ref="F86" si="21">F74-F48</f>
        <v>0</v>
      </c>
      <c r="G86" s="9">
        <f>SUM(B86:F86)</f>
        <v>545220.69247946364</v>
      </c>
      <c r="H86" s="32"/>
      <c r="I86" s="10">
        <f>B86</f>
        <v>386231.22225487139</v>
      </c>
      <c r="J86" s="10">
        <f>C86+D86</f>
        <v>158989.47022459222</v>
      </c>
      <c r="K86" s="36">
        <f>SUM(I86:J86)</f>
        <v>545220.69247946364</v>
      </c>
    </row>
    <row r="87" spans="1:11" ht="15.75" thickBot="1">
      <c r="A87" s="31"/>
      <c r="B87" s="34"/>
      <c r="C87" s="34"/>
      <c r="D87" s="34"/>
      <c r="E87" s="34"/>
      <c r="F87" s="34"/>
      <c r="G87" s="34"/>
      <c r="H87" s="32"/>
      <c r="I87" s="32"/>
      <c r="J87" s="32"/>
      <c r="K87" s="33"/>
    </row>
    <row r="88" spans="1:11" ht="16.5" thickTop="1" thickBot="1">
      <c r="A88" s="31"/>
      <c r="B88" s="11">
        <f t="shared" ref="B88:G88" si="22">SUM(B83:B86)</f>
        <v>706089.99999999953</v>
      </c>
      <c r="C88" s="11">
        <f t="shared" si="22"/>
        <v>304915</v>
      </c>
      <c r="D88" s="11">
        <f t="shared" si="22"/>
        <v>394163.99999999988</v>
      </c>
      <c r="E88" s="11">
        <f t="shared" si="22"/>
        <v>0</v>
      </c>
      <c r="F88" s="11">
        <f t="shared" si="22"/>
        <v>0</v>
      </c>
      <c r="G88" s="11">
        <f t="shared" si="22"/>
        <v>1405168.9999999995</v>
      </c>
      <c r="H88" s="48"/>
      <c r="I88" s="37">
        <f>SUM(I83:I86)</f>
        <v>950701.29131135112</v>
      </c>
      <c r="J88" s="11">
        <f>SUM(J83:J86)</f>
        <v>454467.7086886483</v>
      </c>
      <c r="K88" s="49">
        <f>SUM(K83:K86)</f>
        <v>1405168.9999999995</v>
      </c>
    </row>
    <row r="89" spans="1:11" ht="15.75" thickBot="1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40"/>
    </row>
  </sheetData>
  <mergeCells count="2">
    <mergeCell ref="B1:G1"/>
    <mergeCell ref="I1:K1"/>
  </mergeCells>
  <pageMargins left="0.7" right="0.7" top="0.75" bottom="0.75" header="0.3" footer="0.3"/>
  <pageSetup scale="84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16A4-7ED3-490D-903F-809EA9D4915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1"/>
  <sheetViews>
    <sheetView view="pageBreakPreview" zoomScale="85" zoomScaleNormal="100" zoomScaleSheetLayoutView="85" workbookViewId="0">
      <pane xSplit="1" ySplit="4" topLeftCell="B5" activePane="bottomRight" state="frozen"/>
      <selection activeCell="U28" sqref="U28"/>
      <selection pane="topRight" activeCell="U28" sqref="U28"/>
      <selection pane="bottomLeft" activeCell="U28" sqref="U28"/>
      <selection pane="bottomRight" activeCell="U28" sqref="U28"/>
    </sheetView>
  </sheetViews>
  <sheetFormatPr defaultColWidth="9.140625" defaultRowHeight="15"/>
  <cols>
    <col min="1" max="1" width="17.140625" style="50" customWidth="1"/>
    <col min="2" max="2" width="13.28515625" style="51" bestFit="1" customWidth="1"/>
    <col min="3" max="3" width="10.5703125" style="51" bestFit="1" customWidth="1"/>
    <col min="4" max="4" width="8.7109375" style="51" bestFit="1" customWidth="1"/>
    <col min="5" max="5" width="10.5703125" style="51" bestFit="1" customWidth="1"/>
    <col min="6" max="6" width="9.5703125" style="51" bestFit="1" customWidth="1"/>
    <col min="7" max="7" width="12.28515625" style="51" customWidth="1"/>
    <col min="8" max="8" width="1.7109375" style="51" customWidth="1"/>
    <col min="9" max="9" width="13.7109375" style="51" customWidth="1"/>
    <col min="10" max="10" width="10.5703125" style="51" bestFit="1" customWidth="1"/>
    <col min="11" max="11" width="12.7109375" style="51" bestFit="1" customWidth="1"/>
    <col min="12" max="12" width="11.5703125" style="51" bestFit="1" customWidth="1"/>
    <col min="13" max="16384" width="9.140625" style="51"/>
  </cols>
  <sheetData>
    <row r="1" spans="1:12" ht="15.75" thickBot="1"/>
    <row r="2" spans="1:12" ht="15.75" thickBot="1">
      <c r="B2" s="114" t="s">
        <v>92</v>
      </c>
      <c r="C2" s="115"/>
      <c r="D2" s="115"/>
      <c r="E2" s="115"/>
      <c r="F2" s="115"/>
      <c r="G2" s="116"/>
      <c r="I2" s="114" t="s">
        <v>79</v>
      </c>
      <c r="J2" s="115"/>
      <c r="K2" s="115"/>
      <c r="L2" s="116"/>
    </row>
    <row r="3" spans="1:12">
      <c r="B3" s="3"/>
      <c r="C3" s="3"/>
      <c r="D3" s="3"/>
      <c r="E3" s="3"/>
      <c r="F3" s="3"/>
      <c r="G3" s="3"/>
      <c r="I3" s="78"/>
      <c r="J3" s="78"/>
      <c r="K3" s="78"/>
    </row>
    <row r="4" spans="1:12" s="5" customFormat="1" ht="30">
      <c r="B4" s="5" t="s">
        <v>80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I4" s="5" t="s">
        <v>80</v>
      </c>
      <c r="J4" s="5" t="s">
        <v>81</v>
      </c>
      <c r="K4" s="5" t="s">
        <v>83</v>
      </c>
      <c r="L4" s="5" t="s">
        <v>85</v>
      </c>
    </row>
    <row r="5" spans="1:12" s="5" customFormat="1">
      <c r="A5" s="5" t="s">
        <v>86</v>
      </c>
    </row>
    <row r="6" spans="1:12">
      <c r="A6" s="6" t="s">
        <v>93</v>
      </c>
    </row>
    <row r="7" spans="1:12">
      <c r="A7" s="50">
        <v>408190</v>
      </c>
      <c r="B7" s="79">
        <f>'GL Export'!L7</f>
        <v>520576.29000000004</v>
      </c>
      <c r="C7" s="79"/>
      <c r="D7" s="79"/>
      <c r="E7" s="79"/>
      <c r="F7" s="79"/>
      <c r="G7" s="52">
        <f>SUM(B7:F7)</f>
        <v>520576.29000000004</v>
      </c>
      <c r="H7" s="54"/>
      <c r="I7" s="52">
        <f>ROUND($G$7*I16,0)</f>
        <v>323030</v>
      </c>
      <c r="J7" s="52">
        <f>ROUND($G$7*J16,0)</f>
        <v>147311</v>
      </c>
      <c r="K7" s="52">
        <f>ROUND($G$7*K16,0)</f>
        <v>50236</v>
      </c>
      <c r="L7" s="52">
        <f>SUM(I7:K7)</f>
        <v>520577</v>
      </c>
    </row>
    <row r="8" spans="1:12">
      <c r="B8" s="79"/>
      <c r="C8" s="79"/>
      <c r="D8" s="79"/>
      <c r="E8" s="79"/>
      <c r="F8" s="79"/>
    </row>
    <row r="9" spans="1:12">
      <c r="A9" s="6" t="s">
        <v>89</v>
      </c>
      <c r="B9" s="79"/>
      <c r="C9" s="79"/>
      <c r="D9" s="79"/>
      <c r="E9" s="79"/>
      <c r="F9" s="79"/>
    </row>
    <row r="10" spans="1:12">
      <c r="A10" s="50">
        <v>408170</v>
      </c>
      <c r="B10" s="80">
        <f>'GL Export'!L5</f>
        <v>2844900.58</v>
      </c>
      <c r="C10" s="80">
        <f>'GL Export'!J5</f>
        <v>1655639</v>
      </c>
      <c r="D10" s="80"/>
      <c r="E10" s="80">
        <f>'GL Export'!K5</f>
        <v>4318909.7</v>
      </c>
      <c r="F10" s="80"/>
      <c r="G10" s="53">
        <f>SUM(B10:F10)</f>
        <v>8819449.2800000012</v>
      </c>
      <c r="H10" s="70"/>
      <c r="I10" s="53">
        <f>B10</f>
        <v>2844900.58</v>
      </c>
      <c r="J10" s="53">
        <f>C10</f>
        <v>1655639</v>
      </c>
      <c r="K10" s="53">
        <f>E10</f>
        <v>4318909.7</v>
      </c>
      <c r="L10" s="53">
        <f>SUM(I10:K10)</f>
        <v>8819449.2800000012</v>
      </c>
    </row>
    <row r="11" spans="1:12">
      <c r="B11" s="79"/>
      <c r="C11" s="79"/>
      <c r="D11" s="79"/>
      <c r="E11" s="79"/>
      <c r="F11" s="79"/>
      <c r="H11" s="70"/>
    </row>
    <row r="12" spans="1:12" ht="15.75" thickBot="1">
      <c r="A12" s="6" t="s">
        <v>86</v>
      </c>
      <c r="B12" s="77">
        <f>SUM(B7:B10)</f>
        <v>3365476.87</v>
      </c>
      <c r="C12" s="77">
        <f t="shared" ref="C12:L12" si="0">SUM(C7:C10)</f>
        <v>1655639</v>
      </c>
      <c r="D12" s="77">
        <f t="shared" si="0"/>
        <v>0</v>
      </c>
      <c r="E12" s="77">
        <f t="shared" si="0"/>
        <v>4318909.7</v>
      </c>
      <c r="F12" s="77">
        <f t="shared" si="0"/>
        <v>0</v>
      </c>
      <c r="G12" s="77">
        <f t="shared" si="0"/>
        <v>9340025.5700000003</v>
      </c>
      <c r="H12" s="86"/>
      <c r="I12" s="77">
        <f t="shared" si="0"/>
        <v>3167930.58</v>
      </c>
      <c r="J12" s="77">
        <f t="shared" si="0"/>
        <v>1802950</v>
      </c>
      <c r="K12" s="77">
        <f t="shared" si="0"/>
        <v>4369145.7</v>
      </c>
      <c r="L12" s="77">
        <f t="shared" si="0"/>
        <v>9340026.2800000012</v>
      </c>
    </row>
    <row r="13" spans="1:12">
      <c r="H13" s="70"/>
    </row>
    <row r="14" spans="1:12">
      <c r="H14" s="54"/>
      <c r="I14" s="88" t="s">
        <v>94</v>
      </c>
    </row>
    <row r="15" spans="1:12">
      <c r="I15" s="5" t="s">
        <v>80</v>
      </c>
      <c r="J15" s="5" t="s">
        <v>81</v>
      </c>
      <c r="K15" s="5" t="s">
        <v>83</v>
      </c>
    </row>
    <row r="16" spans="1:12">
      <c r="I16" s="90">
        <f>68.68%*0.9035</f>
        <v>0.62052380000000007</v>
      </c>
      <c r="J16" s="90">
        <f>31.32%*0.9035</f>
        <v>0.28297619999999996</v>
      </c>
      <c r="K16" s="90">
        <f>0.0965</f>
        <v>9.6500000000000002E-2</v>
      </c>
    </row>
    <row r="17" spans="1:12" ht="15.75" thickBot="1">
      <c r="I17" s="78"/>
      <c r="J17" s="78"/>
      <c r="K17" s="78"/>
    </row>
    <row r="18" spans="1:12" ht="30.75" thickBot="1">
      <c r="A18" s="12" t="s">
        <v>90</v>
      </c>
      <c r="B18" s="81">
        <f>B26</f>
        <v>3563960</v>
      </c>
      <c r="C18" s="81">
        <f t="shared" ref="C18:F18" si="1">C26</f>
        <v>1655639</v>
      </c>
      <c r="D18" s="81">
        <f t="shared" si="1"/>
        <v>0</v>
      </c>
      <c r="E18" s="81">
        <f t="shared" si="1"/>
        <v>4318909.7</v>
      </c>
      <c r="F18" s="81">
        <f t="shared" si="1"/>
        <v>0</v>
      </c>
      <c r="G18" s="81">
        <f>SUM(B18:F18)</f>
        <v>9538508.6999999993</v>
      </c>
      <c r="H18" s="55"/>
      <c r="I18" s="55"/>
      <c r="J18" s="55"/>
      <c r="K18" s="55"/>
      <c r="L18" s="56"/>
    </row>
    <row r="19" spans="1:12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9"/>
    </row>
    <row r="20" spans="1:12">
      <c r="A20" s="57" t="s">
        <v>95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9"/>
    </row>
    <row r="21" spans="1:12">
      <c r="A21" s="57">
        <v>408190</v>
      </c>
      <c r="B21" s="82">
        <f>'GL Export'!L34</f>
        <v>413783</v>
      </c>
      <c r="C21" s="82"/>
      <c r="D21" s="82"/>
      <c r="E21" s="82"/>
      <c r="F21" s="82"/>
      <c r="G21" s="82">
        <f>SUM(B21:F21)</f>
        <v>413783</v>
      </c>
      <c r="H21" s="58"/>
      <c r="I21" s="60">
        <f>ROUND($G$21*I16,0)</f>
        <v>256762</v>
      </c>
      <c r="J21" s="60">
        <f>ROUND($G$21*J16,0)</f>
        <v>117091</v>
      </c>
      <c r="K21" s="60">
        <f>ROUND($G$21*K16,0)</f>
        <v>39930</v>
      </c>
      <c r="L21" s="61">
        <f>SUM(I21:K21)</f>
        <v>413783</v>
      </c>
    </row>
    <row r="22" spans="1:12">
      <c r="A22" s="57"/>
      <c r="B22" s="82"/>
      <c r="C22" s="82"/>
      <c r="D22" s="82"/>
      <c r="E22" s="82"/>
      <c r="F22" s="82"/>
      <c r="G22" s="82"/>
      <c r="H22" s="58"/>
      <c r="I22" s="58"/>
      <c r="J22" s="58"/>
      <c r="K22" s="58"/>
      <c r="L22" s="59"/>
    </row>
    <row r="23" spans="1:12">
      <c r="A23" s="57" t="s">
        <v>89</v>
      </c>
      <c r="B23" s="82"/>
      <c r="C23" s="82"/>
      <c r="D23" s="82"/>
      <c r="E23" s="82"/>
      <c r="F23" s="82"/>
      <c r="G23" s="82"/>
      <c r="H23" s="58"/>
      <c r="I23" s="58"/>
      <c r="J23" s="58"/>
      <c r="K23" s="58"/>
      <c r="L23" s="59"/>
    </row>
    <row r="24" spans="1:12">
      <c r="A24" s="57">
        <v>408170</v>
      </c>
      <c r="B24" s="83">
        <f>'GL Export'!L32</f>
        <v>3150177</v>
      </c>
      <c r="C24" s="83">
        <f>'GL Export'!J32</f>
        <v>1655639</v>
      </c>
      <c r="D24" s="83"/>
      <c r="E24" s="83">
        <f>'GL Export'!K32</f>
        <v>4318909.7</v>
      </c>
      <c r="F24" s="83"/>
      <c r="G24" s="83">
        <f>SUM(B24:F24)</f>
        <v>9124725.6999999993</v>
      </c>
      <c r="H24" s="58"/>
      <c r="I24" s="62">
        <f>B24</f>
        <v>3150177</v>
      </c>
      <c r="J24" s="62">
        <f>C24</f>
        <v>1655639</v>
      </c>
      <c r="K24" s="62">
        <f>E24</f>
        <v>4318909.7</v>
      </c>
      <c r="L24" s="63">
        <f>SUM(I24:K24)</f>
        <v>9124725.6999999993</v>
      </c>
    </row>
    <row r="25" spans="1:12">
      <c r="A25" s="57"/>
      <c r="B25" s="82"/>
      <c r="C25" s="82"/>
      <c r="D25" s="82"/>
      <c r="E25" s="82"/>
      <c r="F25" s="82"/>
      <c r="G25" s="82"/>
      <c r="H25" s="58"/>
      <c r="I25" s="58"/>
      <c r="J25" s="58"/>
      <c r="K25" s="58"/>
      <c r="L25" s="59"/>
    </row>
    <row r="26" spans="1:12" ht="15.75" thickBot="1">
      <c r="A26" s="64"/>
      <c r="B26" s="84">
        <f>SUM(B21:B24)</f>
        <v>3563960</v>
      </c>
      <c r="C26" s="84">
        <f t="shared" ref="C26:L26" si="2">SUM(C21:C24)</f>
        <v>1655639</v>
      </c>
      <c r="D26" s="84">
        <f t="shared" si="2"/>
        <v>0</v>
      </c>
      <c r="E26" s="84">
        <f t="shared" si="2"/>
        <v>4318909.7</v>
      </c>
      <c r="F26" s="84">
        <f t="shared" si="2"/>
        <v>0</v>
      </c>
      <c r="G26" s="84">
        <f t="shared" si="2"/>
        <v>9538508.6999999993</v>
      </c>
      <c r="H26" s="82"/>
      <c r="I26" s="84">
        <f t="shared" si="2"/>
        <v>3406939</v>
      </c>
      <c r="J26" s="84">
        <f t="shared" si="2"/>
        <v>1772730</v>
      </c>
      <c r="K26" s="84">
        <f t="shared" si="2"/>
        <v>4358839.7</v>
      </c>
      <c r="L26" s="85">
        <f t="shared" si="2"/>
        <v>9538508.6999999993</v>
      </c>
    </row>
    <row r="27" spans="1:12" ht="15.75" thickBot="1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6"/>
    </row>
    <row r="28" spans="1:12" ht="15.75" thickBot="1"/>
    <row r="29" spans="1:12">
      <c r="A29" s="28" t="s">
        <v>111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</row>
    <row r="30" spans="1:12">
      <c r="A30" s="69" t="s">
        <v>95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>
      <c r="A31" s="69">
        <v>408190</v>
      </c>
      <c r="B31" s="86">
        <f>B21-B7</f>
        <v>-106793.29000000004</v>
      </c>
      <c r="C31" s="86">
        <f>C21-C7</f>
        <v>0</v>
      </c>
      <c r="D31" s="86">
        <f>D21-D7</f>
        <v>0</v>
      </c>
      <c r="E31" s="86">
        <f>E21-E7</f>
        <v>0</v>
      </c>
      <c r="F31" s="86">
        <f>F21-F7</f>
        <v>0</v>
      </c>
      <c r="G31" s="86">
        <f>SUM(B31:F31)</f>
        <v>-106793.29000000004</v>
      </c>
      <c r="H31" s="70"/>
      <c r="I31" s="86">
        <f>I21-I7</f>
        <v>-66268</v>
      </c>
      <c r="J31" s="86">
        <f>J21-J7</f>
        <v>-30220</v>
      </c>
      <c r="K31" s="86">
        <f>K21-K7</f>
        <v>-10306</v>
      </c>
      <c r="L31" s="72">
        <f>SUM(I31:K31)</f>
        <v>-106794</v>
      </c>
    </row>
    <row r="32" spans="1:12">
      <c r="A32" s="69"/>
      <c r="B32" s="86"/>
      <c r="C32" s="86"/>
      <c r="D32" s="86"/>
      <c r="E32" s="86"/>
      <c r="F32" s="86"/>
      <c r="G32" s="86"/>
      <c r="H32" s="70"/>
      <c r="I32" s="70"/>
      <c r="J32" s="70"/>
      <c r="K32" s="70"/>
      <c r="L32" s="71"/>
    </row>
    <row r="33" spans="1:12">
      <c r="A33" s="69" t="s">
        <v>89</v>
      </c>
      <c r="B33" s="86"/>
      <c r="C33" s="86"/>
      <c r="D33" s="86"/>
      <c r="E33" s="86"/>
      <c r="F33" s="86"/>
      <c r="G33" s="86"/>
      <c r="H33" s="70"/>
      <c r="I33" s="70"/>
      <c r="J33" s="70"/>
      <c r="K33" s="70"/>
      <c r="L33" s="71"/>
    </row>
    <row r="34" spans="1:12">
      <c r="A34" s="69">
        <v>408170</v>
      </c>
      <c r="B34" s="80">
        <f>B24-B10</f>
        <v>305276.41999999993</v>
      </c>
      <c r="C34" s="80">
        <f>C24-C10</f>
        <v>0</v>
      </c>
      <c r="D34" s="80">
        <f>D24-D10</f>
        <v>0</v>
      </c>
      <c r="E34" s="80">
        <f>E24-E10</f>
        <v>0</v>
      </c>
      <c r="F34" s="80">
        <f>F24-F10</f>
        <v>0</v>
      </c>
      <c r="G34" s="80">
        <f>SUM(B34:F34)</f>
        <v>305276.41999999993</v>
      </c>
      <c r="H34" s="70"/>
      <c r="I34" s="53">
        <f>I24-I10</f>
        <v>305276.41999999993</v>
      </c>
      <c r="J34" s="53">
        <f>J24-J10</f>
        <v>0</v>
      </c>
      <c r="K34" s="53">
        <f>K24-K10</f>
        <v>0</v>
      </c>
      <c r="L34" s="73">
        <f>SUM(I34:K34)</f>
        <v>305276.41999999993</v>
      </c>
    </row>
    <row r="35" spans="1:12" ht="15.75" thickBot="1">
      <c r="A35" s="69"/>
      <c r="B35" s="86"/>
      <c r="C35" s="86"/>
      <c r="D35" s="86"/>
      <c r="E35" s="86"/>
      <c r="F35" s="86"/>
      <c r="G35" s="86"/>
      <c r="H35" s="70"/>
      <c r="I35" s="113"/>
      <c r="J35" s="70"/>
      <c r="K35" s="70"/>
      <c r="L35" s="71"/>
    </row>
    <row r="36" spans="1:12" ht="16.5" thickTop="1" thickBot="1">
      <c r="A36" s="69"/>
      <c r="B36" s="77">
        <f>SUM(B31:B34)</f>
        <v>198483.12999999989</v>
      </c>
      <c r="C36" s="77">
        <f t="shared" ref="C36:K36" si="3">SUM(C31:C34)</f>
        <v>0</v>
      </c>
      <c r="D36" s="77">
        <f t="shared" si="3"/>
        <v>0</v>
      </c>
      <c r="E36" s="77">
        <f t="shared" si="3"/>
        <v>0</v>
      </c>
      <c r="F36" s="77">
        <f t="shared" si="3"/>
        <v>0</v>
      </c>
      <c r="G36" s="77">
        <f t="shared" si="3"/>
        <v>198483.12999999989</v>
      </c>
      <c r="H36" s="86"/>
      <c r="I36" s="37">
        <f>SUM(I31:I34)</f>
        <v>239008.41999999993</v>
      </c>
      <c r="J36" s="77">
        <f t="shared" si="3"/>
        <v>-30220</v>
      </c>
      <c r="K36" s="77">
        <f t="shared" si="3"/>
        <v>-10306</v>
      </c>
      <c r="L36" s="87">
        <f>SUM(L31:L34)</f>
        <v>198482.41999999993</v>
      </c>
    </row>
    <row r="37" spans="1:12" ht="15.75" thickBo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6"/>
    </row>
    <row r="39" spans="1:12" ht="15.75" thickBot="1"/>
    <row r="40" spans="1:12" ht="30.75" thickBot="1">
      <c r="A40" s="12" t="s">
        <v>147</v>
      </c>
      <c r="B40" s="81">
        <v>4366473</v>
      </c>
      <c r="C40" s="81">
        <v>2079494</v>
      </c>
      <c r="D40" s="81">
        <f t="shared" ref="D40:F40" si="4">D34</f>
        <v>0</v>
      </c>
      <c r="E40" s="81">
        <f>(4663991+4957794)/2</f>
        <v>4810892.5</v>
      </c>
      <c r="F40" s="81">
        <f t="shared" si="4"/>
        <v>0</v>
      </c>
      <c r="G40" s="81">
        <f>SUM(B40:F40)</f>
        <v>11256859.5</v>
      </c>
      <c r="H40" s="55"/>
      <c r="I40" s="55"/>
      <c r="J40" s="55"/>
      <c r="K40" s="55"/>
      <c r="L40" s="56"/>
    </row>
    <row r="41" spans="1:12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>
      <c r="A42" s="57" t="s">
        <v>95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>
      <c r="A43" s="57">
        <v>408190</v>
      </c>
      <c r="B43" s="82">
        <f>B40*$B$21/$B$26</f>
        <v>506956.39046425885</v>
      </c>
      <c r="C43" s="82"/>
      <c r="D43" s="82"/>
      <c r="E43" s="82"/>
      <c r="F43" s="82"/>
      <c r="G43" s="82">
        <f>SUM(B43:F43)</f>
        <v>506956.39046425885</v>
      </c>
      <c r="H43" s="58"/>
      <c r="I43" s="60">
        <f>ROUND(G43*I16,0)</f>
        <v>314579</v>
      </c>
      <c r="J43" s="60">
        <f>ROUND(G43*J16,0)</f>
        <v>143457</v>
      </c>
      <c r="K43" s="60">
        <f>ROUND(G43*K16,0)</f>
        <v>48921</v>
      </c>
      <c r="L43" s="61">
        <f>SUM(I43:K43)</f>
        <v>506957</v>
      </c>
    </row>
    <row r="44" spans="1:12">
      <c r="A44" s="57"/>
      <c r="B44" s="82"/>
      <c r="C44" s="82"/>
      <c r="D44" s="82"/>
      <c r="E44" s="82"/>
      <c r="F44" s="82"/>
      <c r="G44" s="82"/>
      <c r="H44" s="58"/>
      <c r="I44" s="58"/>
      <c r="J44" s="58"/>
      <c r="K44" s="58"/>
      <c r="L44" s="59"/>
    </row>
    <row r="45" spans="1:12">
      <c r="A45" s="57" t="s">
        <v>89</v>
      </c>
      <c r="B45" s="82"/>
      <c r="C45" s="82"/>
      <c r="D45" s="82"/>
      <c r="E45" s="82"/>
      <c r="F45" s="82"/>
      <c r="G45" s="82"/>
      <c r="H45" s="58"/>
      <c r="I45" s="58"/>
      <c r="J45" s="58"/>
      <c r="K45" s="58"/>
      <c r="L45" s="59"/>
    </row>
    <row r="46" spans="1:12">
      <c r="A46" s="57">
        <v>408170</v>
      </c>
      <c r="B46" s="83">
        <f>B40-B43</f>
        <v>3859516.6095357412</v>
      </c>
      <c r="C46" s="83">
        <f>C40</f>
        <v>2079494</v>
      </c>
      <c r="D46" s="83">
        <f>(D32/$C$12)*D40</f>
        <v>0</v>
      </c>
      <c r="E46" s="83">
        <f>E40</f>
        <v>4810892.5</v>
      </c>
      <c r="F46" s="83"/>
      <c r="G46" s="83">
        <f>SUM(B46:F46)</f>
        <v>10749903.109535741</v>
      </c>
      <c r="H46" s="58"/>
      <c r="I46" s="62">
        <f>B46</f>
        <v>3859516.6095357412</v>
      </c>
      <c r="J46" s="62">
        <f>C46</f>
        <v>2079494</v>
      </c>
      <c r="K46" s="62">
        <f>E46</f>
        <v>4810892.5</v>
      </c>
      <c r="L46" s="63">
        <f>SUM(I46:K46)</f>
        <v>10749903.109535741</v>
      </c>
    </row>
    <row r="47" spans="1:12">
      <c r="A47" s="57"/>
      <c r="B47" s="82"/>
      <c r="C47" s="82"/>
      <c r="D47" s="82"/>
      <c r="E47" s="82"/>
      <c r="F47" s="82"/>
      <c r="G47" s="82"/>
      <c r="H47" s="58"/>
      <c r="I47" s="58"/>
      <c r="J47" s="58"/>
      <c r="K47" s="58"/>
      <c r="L47" s="59"/>
    </row>
    <row r="48" spans="1:12" ht="15.75" thickBot="1">
      <c r="A48" s="64"/>
      <c r="B48" s="84">
        <f>SUM(B43:B46)</f>
        <v>4366473</v>
      </c>
      <c r="C48" s="84">
        <f t="shared" ref="C48:G48" si="5">SUM(C43:C46)</f>
        <v>2079494</v>
      </c>
      <c r="D48" s="84">
        <f t="shared" si="5"/>
        <v>0</v>
      </c>
      <c r="E48" s="84">
        <f t="shared" si="5"/>
        <v>4810892.5</v>
      </c>
      <c r="F48" s="84">
        <f t="shared" si="5"/>
        <v>0</v>
      </c>
      <c r="G48" s="84">
        <f t="shared" si="5"/>
        <v>11256859.5</v>
      </c>
      <c r="H48" s="82"/>
      <c r="I48" s="84">
        <f t="shared" ref="I48:L48" si="6">SUM(I43:I46)</f>
        <v>4174095.6095357412</v>
      </c>
      <c r="J48" s="84">
        <f t="shared" si="6"/>
        <v>2222951</v>
      </c>
      <c r="K48" s="84">
        <f t="shared" si="6"/>
        <v>4859813.5</v>
      </c>
      <c r="L48" s="85">
        <f t="shared" si="6"/>
        <v>11256860.109535741</v>
      </c>
    </row>
    <row r="49" spans="1:12" ht="15.75" thickBot="1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6"/>
    </row>
    <row r="50" spans="1:12" ht="15.75" thickBot="1"/>
    <row r="51" spans="1:12">
      <c r="A51" s="28" t="s">
        <v>112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8"/>
    </row>
    <row r="52" spans="1:12">
      <c r="A52" s="69" t="s">
        <v>95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1"/>
    </row>
    <row r="53" spans="1:12">
      <c r="A53" s="69">
        <v>408190</v>
      </c>
      <c r="B53" s="86">
        <f>B43-B21</f>
        <v>93173.390464258846</v>
      </c>
      <c r="C53" s="86">
        <f>C43-C29</f>
        <v>0</v>
      </c>
      <c r="D53" s="86">
        <f>D43-D29</f>
        <v>0</v>
      </c>
      <c r="E53" s="86">
        <f>E43-E29</f>
        <v>0</v>
      </c>
      <c r="F53" s="86">
        <f>F43-F29</f>
        <v>0</v>
      </c>
      <c r="G53" s="86">
        <f>SUM(B53:F53)</f>
        <v>93173.390464258846</v>
      </c>
      <c r="H53" s="70"/>
      <c r="I53" s="86">
        <f>$G$53*I16</f>
        <v>57816.30630976567</v>
      </c>
      <c r="J53" s="86">
        <f t="shared" ref="J53:K53" si="7">$G$53*J16</f>
        <v>26365.851974692199</v>
      </c>
      <c r="K53" s="86">
        <f t="shared" si="7"/>
        <v>8991.232179800978</v>
      </c>
      <c r="L53" s="72">
        <f>SUM(I53:K53)</f>
        <v>93173.390464258846</v>
      </c>
    </row>
    <row r="54" spans="1:12">
      <c r="A54" s="69"/>
      <c r="B54" s="86"/>
      <c r="C54" s="86"/>
      <c r="D54" s="86"/>
      <c r="E54" s="86"/>
      <c r="F54" s="86"/>
      <c r="G54" s="86"/>
      <c r="H54" s="70"/>
      <c r="I54" s="70"/>
      <c r="J54" s="70"/>
      <c r="K54" s="70"/>
      <c r="L54" s="71"/>
    </row>
    <row r="55" spans="1:12">
      <c r="A55" s="69" t="s">
        <v>89</v>
      </c>
      <c r="B55" s="86"/>
      <c r="C55" s="86"/>
      <c r="D55" s="86"/>
      <c r="E55" s="86"/>
      <c r="F55" s="86"/>
      <c r="G55" s="86"/>
      <c r="H55" s="70"/>
      <c r="I55" s="70"/>
      <c r="J55" s="70"/>
      <c r="K55" s="70"/>
      <c r="L55" s="71"/>
    </row>
    <row r="56" spans="1:12">
      <c r="A56" s="69">
        <v>408170</v>
      </c>
      <c r="B56" s="80">
        <f>B46-B24</f>
        <v>709339.60953574115</v>
      </c>
      <c r="C56" s="80">
        <f t="shared" ref="C56:F56" si="8">C46-C24</f>
        <v>423855</v>
      </c>
      <c r="D56" s="80">
        <f t="shared" si="8"/>
        <v>0</v>
      </c>
      <c r="E56" s="80">
        <f t="shared" si="8"/>
        <v>491982.79999999981</v>
      </c>
      <c r="F56" s="80">
        <f t="shared" si="8"/>
        <v>0</v>
      </c>
      <c r="G56" s="80">
        <f>SUM(B56:F56)</f>
        <v>1625177.409535741</v>
      </c>
      <c r="H56" s="70"/>
      <c r="I56" s="53">
        <f>B56</f>
        <v>709339.60953574115</v>
      </c>
      <c r="J56" s="53">
        <f>C56</f>
        <v>423855</v>
      </c>
      <c r="K56" s="53">
        <f>E56</f>
        <v>491982.79999999981</v>
      </c>
      <c r="L56" s="73">
        <f>SUM(I56:K56)</f>
        <v>1625177.409535741</v>
      </c>
    </row>
    <row r="57" spans="1:12" ht="15.75" thickBot="1">
      <c r="A57" s="69"/>
      <c r="B57" s="86"/>
      <c r="C57" s="86"/>
      <c r="D57" s="86"/>
      <c r="E57" s="86"/>
      <c r="F57" s="86"/>
      <c r="G57" s="86"/>
      <c r="H57" s="70"/>
      <c r="I57" s="70"/>
      <c r="J57" s="70"/>
      <c r="K57" s="70"/>
      <c r="L57" s="71"/>
    </row>
    <row r="58" spans="1:12" ht="16.5" thickTop="1" thickBot="1">
      <c r="A58" s="69"/>
      <c r="B58" s="77">
        <f>SUM(B53:B56)</f>
        <v>802513</v>
      </c>
      <c r="C58" s="77">
        <f t="shared" ref="C58:G58" si="9">SUM(C53:C56)</f>
        <v>423855</v>
      </c>
      <c r="D58" s="77">
        <f t="shared" si="9"/>
        <v>0</v>
      </c>
      <c r="E58" s="77">
        <f t="shared" si="9"/>
        <v>491982.79999999981</v>
      </c>
      <c r="F58" s="77">
        <f t="shared" si="9"/>
        <v>0</v>
      </c>
      <c r="G58" s="77">
        <f t="shared" si="9"/>
        <v>1718350.7999999998</v>
      </c>
      <c r="H58" s="86"/>
      <c r="I58" s="37">
        <f>SUM(I53:I56)</f>
        <v>767155.91584550682</v>
      </c>
      <c r="J58" s="77">
        <f t="shared" ref="J58:K58" si="10">SUM(J53:J56)</f>
        <v>450220.8519746922</v>
      </c>
      <c r="K58" s="77">
        <f t="shared" si="10"/>
        <v>500974.03217980079</v>
      </c>
      <c r="L58" s="87">
        <f>SUM(L53:L56)</f>
        <v>1718350.7999999998</v>
      </c>
    </row>
    <row r="59" spans="1:12" ht="15.75" thickBot="1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6"/>
    </row>
    <row r="61" spans="1:12" ht="15.75" thickBot="1"/>
    <row r="62" spans="1:12" ht="45.75" thickBot="1">
      <c r="A62" s="12" t="s">
        <v>149</v>
      </c>
      <c r="B62" s="81">
        <v>4581383</v>
      </c>
      <c r="C62" s="81">
        <v>2173780</v>
      </c>
      <c r="D62" s="81">
        <f t="shared" ref="D62" si="11">D56</f>
        <v>0</v>
      </c>
      <c r="E62" s="81">
        <v>5128867</v>
      </c>
      <c r="F62" s="81">
        <f t="shared" ref="F62" si="12">F56</f>
        <v>0</v>
      </c>
      <c r="G62" s="81">
        <f>SUM(B62:F62)</f>
        <v>11884030</v>
      </c>
      <c r="H62" s="55"/>
      <c r="I62" s="55"/>
      <c r="J62" s="55"/>
      <c r="K62" s="55"/>
      <c r="L62" s="56"/>
    </row>
    <row r="63" spans="1:12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9"/>
    </row>
    <row r="64" spans="1:12">
      <c r="A64" s="57" t="s">
        <v>95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9"/>
    </row>
    <row r="65" spans="1:12">
      <c r="A65" s="57">
        <v>408190</v>
      </c>
      <c r="B65" s="82">
        <f>B62*$B$21/$B$26</f>
        <v>531907.87828398752</v>
      </c>
      <c r="C65" s="82"/>
      <c r="D65" s="82"/>
      <c r="E65" s="82"/>
      <c r="F65" s="82"/>
      <c r="G65" s="82">
        <f>SUM(B65:F65)</f>
        <v>531907.87828398752</v>
      </c>
      <c r="H65" s="58"/>
      <c r="I65" s="60">
        <f>ROUND(G65*I16,0)</f>
        <v>330061</v>
      </c>
      <c r="J65" s="60">
        <f>ROUND(G65*J16,0)</f>
        <v>150517</v>
      </c>
      <c r="K65" s="60">
        <f>ROUND(G65*K16,0)</f>
        <v>51329</v>
      </c>
      <c r="L65" s="61">
        <f>SUM(I65:K65)</f>
        <v>531907</v>
      </c>
    </row>
    <row r="66" spans="1:12">
      <c r="A66" s="57"/>
      <c r="B66" s="82"/>
      <c r="C66" s="82"/>
      <c r="D66" s="82"/>
      <c r="E66" s="82"/>
      <c r="F66" s="82"/>
      <c r="G66" s="82"/>
      <c r="H66" s="58"/>
      <c r="I66" s="58"/>
      <c r="J66" s="58"/>
      <c r="K66" s="58"/>
      <c r="L66" s="59"/>
    </row>
    <row r="67" spans="1:12">
      <c r="A67" s="57" t="s">
        <v>89</v>
      </c>
      <c r="B67" s="82"/>
      <c r="C67" s="82"/>
      <c r="D67" s="82"/>
      <c r="E67" s="82"/>
      <c r="F67" s="82"/>
      <c r="G67" s="82"/>
      <c r="H67" s="58"/>
      <c r="I67" s="58"/>
      <c r="J67" s="58"/>
      <c r="K67" s="58"/>
      <c r="L67" s="59"/>
    </row>
    <row r="68" spans="1:12">
      <c r="A68" s="57">
        <v>408170</v>
      </c>
      <c r="B68" s="83">
        <f>B62-B65</f>
        <v>4049475.1217160122</v>
      </c>
      <c r="C68" s="83">
        <f>C62</f>
        <v>2173780</v>
      </c>
      <c r="D68" s="83">
        <f>(D54/$C$12)*D62</f>
        <v>0</v>
      </c>
      <c r="E68" s="83">
        <f>E62</f>
        <v>5128867</v>
      </c>
      <c r="F68" s="83"/>
      <c r="G68" s="83">
        <f>SUM(B68:F68)</f>
        <v>11352122.121716011</v>
      </c>
      <c r="H68" s="58"/>
      <c r="I68" s="62">
        <f>B68</f>
        <v>4049475.1217160122</v>
      </c>
      <c r="J68" s="62">
        <f>C68</f>
        <v>2173780</v>
      </c>
      <c r="K68" s="62">
        <f>E68</f>
        <v>5128867</v>
      </c>
      <c r="L68" s="63">
        <f>SUM(I68:K68)</f>
        <v>11352122.121716011</v>
      </c>
    </row>
    <row r="69" spans="1:12">
      <c r="A69" s="57"/>
      <c r="B69" s="82"/>
      <c r="C69" s="82"/>
      <c r="D69" s="82"/>
      <c r="E69" s="82"/>
      <c r="F69" s="82"/>
      <c r="G69" s="82"/>
      <c r="H69" s="58"/>
      <c r="I69" s="58"/>
      <c r="J69" s="58"/>
      <c r="K69" s="58"/>
      <c r="L69" s="59"/>
    </row>
    <row r="70" spans="1:12" ht="15.75" thickBot="1">
      <c r="A70" s="64"/>
      <c r="B70" s="84">
        <f>SUM(B65:B68)</f>
        <v>4581383</v>
      </c>
      <c r="C70" s="84">
        <f t="shared" ref="C70:G70" si="13">SUM(C65:C68)</f>
        <v>2173780</v>
      </c>
      <c r="D70" s="84">
        <f t="shared" si="13"/>
        <v>0</v>
      </c>
      <c r="E70" s="84">
        <f t="shared" si="13"/>
        <v>5128867</v>
      </c>
      <c r="F70" s="84">
        <f t="shared" si="13"/>
        <v>0</v>
      </c>
      <c r="G70" s="84">
        <f t="shared" si="13"/>
        <v>11884029.999999998</v>
      </c>
      <c r="H70" s="82"/>
      <c r="I70" s="84">
        <f t="shared" ref="I70:L70" si="14">SUM(I65:I68)</f>
        <v>4379536.1217160122</v>
      </c>
      <c r="J70" s="84">
        <f t="shared" si="14"/>
        <v>2324297</v>
      </c>
      <c r="K70" s="84">
        <f t="shared" si="14"/>
        <v>5180196</v>
      </c>
      <c r="L70" s="85">
        <f t="shared" si="14"/>
        <v>11884029.121716011</v>
      </c>
    </row>
    <row r="71" spans="1:12" ht="15.75" thickBot="1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6"/>
    </row>
    <row r="72" spans="1:12" ht="15.75" thickBot="1"/>
    <row r="73" spans="1:12">
      <c r="A73" s="28" t="s">
        <v>112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</row>
    <row r="74" spans="1:12">
      <c r="A74" s="69" t="s">
        <v>95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1"/>
    </row>
    <row r="75" spans="1:12">
      <c r="A75" s="69">
        <v>408190</v>
      </c>
      <c r="B75" s="86">
        <f>B65-B43</f>
        <v>24951.487819728674</v>
      </c>
      <c r="C75" s="86">
        <f>C65-C51</f>
        <v>0</v>
      </c>
      <c r="D75" s="86">
        <f>D65-D51</f>
        <v>0</v>
      </c>
      <c r="E75" s="86">
        <f>E65-E51</f>
        <v>0</v>
      </c>
      <c r="F75" s="86">
        <f>F65-F51</f>
        <v>0</v>
      </c>
      <c r="G75" s="86">
        <f>SUM(B75:F75)</f>
        <v>24951.487819728674</v>
      </c>
      <c r="H75" s="70"/>
      <c r="I75" s="86">
        <f>G75*I16</f>
        <v>15482.992037551754</v>
      </c>
      <c r="J75" s="86">
        <f>G75*J16</f>
        <v>7060.6772075731042</v>
      </c>
      <c r="K75" s="86">
        <f>G75*K16</f>
        <v>2407.8185746038171</v>
      </c>
      <c r="L75" s="72">
        <f>SUM(I75:K75)</f>
        <v>24951.487819728678</v>
      </c>
    </row>
    <row r="76" spans="1:12">
      <c r="A76" s="69"/>
      <c r="B76" s="86"/>
      <c r="C76" s="86"/>
      <c r="D76" s="86"/>
      <c r="E76" s="86"/>
      <c r="F76" s="86"/>
      <c r="G76" s="86"/>
      <c r="H76" s="70"/>
      <c r="I76" s="70"/>
      <c r="J76" s="70"/>
      <c r="K76" s="70"/>
      <c r="L76" s="71"/>
    </row>
    <row r="77" spans="1:12">
      <c r="A77" s="69" t="s">
        <v>89</v>
      </c>
      <c r="B77" s="86"/>
      <c r="C77" s="86"/>
      <c r="D77" s="86"/>
      <c r="E77" s="86"/>
      <c r="F77" s="86"/>
      <c r="G77" s="86"/>
      <c r="H77" s="70"/>
      <c r="I77" s="70"/>
      <c r="J77" s="70"/>
      <c r="K77" s="70"/>
      <c r="L77" s="71"/>
    </row>
    <row r="78" spans="1:12">
      <c r="A78" s="69">
        <v>408170</v>
      </c>
      <c r="B78" s="80">
        <f>B68-B46</f>
        <v>189958.51218027109</v>
      </c>
      <c r="C78" s="80">
        <f t="shared" ref="C78:F78" si="15">C68-C46</f>
        <v>94286</v>
      </c>
      <c r="D78" s="80">
        <f t="shared" si="15"/>
        <v>0</v>
      </c>
      <c r="E78" s="80">
        <f t="shared" si="15"/>
        <v>317974.5</v>
      </c>
      <c r="F78" s="80">
        <f t="shared" si="15"/>
        <v>0</v>
      </c>
      <c r="G78" s="80">
        <f>SUM(B78:F78)</f>
        <v>602219.01218027109</v>
      </c>
      <c r="H78" s="70"/>
      <c r="I78" s="53">
        <f>B78</f>
        <v>189958.51218027109</v>
      </c>
      <c r="J78" s="53">
        <f>C78</f>
        <v>94286</v>
      </c>
      <c r="K78" s="53">
        <f>E78</f>
        <v>317974.5</v>
      </c>
      <c r="L78" s="73">
        <f>SUM(I78:K78)</f>
        <v>602219.01218027109</v>
      </c>
    </row>
    <row r="79" spans="1:12" ht="15.75" thickBot="1">
      <c r="A79" s="69"/>
      <c r="B79" s="86"/>
      <c r="C79" s="86"/>
      <c r="D79" s="86"/>
      <c r="E79" s="86"/>
      <c r="F79" s="86"/>
      <c r="G79" s="86"/>
      <c r="H79" s="70"/>
      <c r="I79" s="70"/>
      <c r="J79" s="70"/>
      <c r="K79" s="70"/>
      <c r="L79" s="71"/>
    </row>
    <row r="80" spans="1:12" ht="16.5" thickTop="1" thickBot="1">
      <c r="A80" s="69"/>
      <c r="B80" s="77">
        <f>SUM(B75:B78)</f>
        <v>214909.99999999977</v>
      </c>
      <c r="C80" s="77">
        <f t="shared" ref="C80:G80" si="16">SUM(C75:C78)</f>
        <v>94286</v>
      </c>
      <c r="D80" s="77">
        <f t="shared" si="16"/>
        <v>0</v>
      </c>
      <c r="E80" s="77">
        <f t="shared" si="16"/>
        <v>317974.5</v>
      </c>
      <c r="F80" s="77">
        <f t="shared" si="16"/>
        <v>0</v>
      </c>
      <c r="G80" s="77">
        <f t="shared" si="16"/>
        <v>627170.49999999977</v>
      </c>
      <c r="H80" s="86"/>
      <c r="I80" s="37">
        <f>SUM(I75:I78)</f>
        <v>205441.50421782286</v>
      </c>
      <c r="J80" s="77">
        <f t="shared" ref="J80:K80" si="17">SUM(J75:J78)</f>
        <v>101346.6772075731</v>
      </c>
      <c r="K80" s="77">
        <f t="shared" si="17"/>
        <v>320382.31857460382</v>
      </c>
      <c r="L80" s="87">
        <f>SUM(L75:L78)</f>
        <v>627170.49999999977</v>
      </c>
    </row>
    <row r="81" spans="1:12" ht="15.75" thickBot="1">
      <c r="A81" s="74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6"/>
    </row>
  </sheetData>
  <mergeCells count="2">
    <mergeCell ref="B2:G2"/>
    <mergeCell ref="I2:L2"/>
  </mergeCells>
  <pageMargins left="0.7" right="0.7" top="0.75" bottom="0.75" header="0.3" footer="0.3"/>
  <pageSetup scale="84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view="pageBreakPreview" zoomScaleNormal="100" zoomScaleSheetLayoutView="100" workbookViewId="0">
      <selection activeCell="U28" sqref="U28"/>
    </sheetView>
  </sheetViews>
  <sheetFormatPr defaultRowHeight="12.75"/>
  <cols>
    <col min="1" max="1" width="16.85546875" customWidth="1"/>
    <col min="2" max="2" width="34.28515625" bestFit="1" customWidth="1"/>
    <col min="3" max="3" width="7.140625" bestFit="1" customWidth="1"/>
    <col min="4" max="4" width="10.42578125" bestFit="1" customWidth="1"/>
    <col min="5" max="5" width="11.42578125" bestFit="1" customWidth="1"/>
    <col min="6" max="6" width="10.42578125" bestFit="1" customWidth="1"/>
    <col min="7" max="7" width="11.42578125" bestFit="1" customWidth="1"/>
    <col min="8" max="8" width="11.42578125" customWidth="1"/>
    <col min="9" max="9" width="2.28515625" customWidth="1"/>
    <col min="10" max="12" width="10.42578125" bestFit="1" customWidth="1"/>
    <col min="13" max="13" width="10.42578125" customWidth="1"/>
    <col min="14" max="14" width="1.85546875" customWidth="1"/>
    <col min="15" max="15" width="11.42578125" bestFit="1" customWidth="1"/>
  </cols>
  <sheetData>
    <row r="1" spans="1:15" ht="13.5" thickBot="1">
      <c r="A1" s="103" t="s">
        <v>145</v>
      </c>
      <c r="I1" s="106"/>
      <c r="N1" s="106"/>
    </row>
    <row r="2" spans="1:15" ht="13.5" thickBot="1">
      <c r="C2" s="117" t="s">
        <v>99</v>
      </c>
      <c r="D2" s="118"/>
      <c r="E2" s="118"/>
      <c r="F2" s="118"/>
      <c r="G2" s="118"/>
      <c r="H2" s="119"/>
      <c r="I2" s="107"/>
      <c r="J2" s="117" t="s">
        <v>97</v>
      </c>
      <c r="K2" s="118"/>
      <c r="L2" s="118"/>
      <c r="M2" s="119"/>
      <c r="N2" s="107"/>
      <c r="O2" s="92" t="s">
        <v>96</v>
      </c>
    </row>
    <row r="3" spans="1:15">
      <c r="A3" t="s">
        <v>101</v>
      </c>
      <c r="B3" t="s">
        <v>105</v>
      </c>
      <c r="C3" s="92" t="s">
        <v>103</v>
      </c>
      <c r="D3" s="92" t="s">
        <v>102</v>
      </c>
      <c r="E3" s="92" t="s">
        <v>104</v>
      </c>
      <c r="F3" s="92" t="s">
        <v>98</v>
      </c>
      <c r="G3" s="92" t="s">
        <v>100</v>
      </c>
      <c r="H3" s="92" t="s">
        <v>85</v>
      </c>
      <c r="I3" s="107"/>
      <c r="J3" s="92" t="s">
        <v>102</v>
      </c>
      <c r="K3" s="92" t="s">
        <v>98</v>
      </c>
      <c r="L3" s="92" t="s">
        <v>100</v>
      </c>
      <c r="M3" s="92" t="s">
        <v>85</v>
      </c>
      <c r="N3" s="107"/>
      <c r="O3" s="92"/>
    </row>
    <row r="4" spans="1:15">
      <c r="A4" t="s">
        <v>0</v>
      </c>
      <c r="B4" t="s">
        <v>106</v>
      </c>
      <c r="C4" s="94">
        <v>2863.34</v>
      </c>
      <c r="D4" s="94">
        <v>1307486.08</v>
      </c>
      <c r="E4" s="94">
        <v>9749570.3800000008</v>
      </c>
      <c r="F4" s="94">
        <v>3380089.5500000003</v>
      </c>
      <c r="G4" s="94">
        <v>3171430.96</v>
      </c>
      <c r="H4" s="94">
        <f>SUM(C4:G4)</f>
        <v>17611440.310000002</v>
      </c>
      <c r="I4" s="108"/>
      <c r="J4" s="94"/>
      <c r="K4" s="94"/>
      <c r="L4" s="94"/>
      <c r="M4" s="94">
        <f>SUM(J4:L4)</f>
        <v>0</v>
      </c>
      <c r="N4" s="108"/>
      <c r="O4" s="91">
        <f>SUM(H4,M4)</f>
        <v>17611440.310000002</v>
      </c>
    </row>
    <row r="5" spans="1:15">
      <c r="A5" t="s">
        <v>1</v>
      </c>
      <c r="B5" t="s">
        <v>107</v>
      </c>
      <c r="C5" s="94"/>
      <c r="D5" s="94">
        <v>3115158.29</v>
      </c>
      <c r="E5" s="94">
        <v>11534</v>
      </c>
      <c r="F5" s="94"/>
      <c r="G5" s="94">
        <v>7080705.4499999993</v>
      </c>
      <c r="H5" s="94">
        <f t="shared" ref="H5:H7" si="0">SUM(C5:G5)</f>
        <v>10207397.739999998</v>
      </c>
      <c r="I5" s="108"/>
      <c r="J5" s="94">
        <v>1655639</v>
      </c>
      <c r="K5" s="94">
        <v>4318909.7</v>
      </c>
      <c r="L5" s="94">
        <v>2844900.58</v>
      </c>
      <c r="M5" s="94">
        <f t="shared" ref="M5:M7" si="1">SUM(J5:L5)</f>
        <v>8819449.2800000012</v>
      </c>
      <c r="N5" s="108"/>
      <c r="O5" s="91">
        <f t="shared" ref="O5:O7" si="2">SUM(H5,M5)</f>
        <v>19026847.02</v>
      </c>
    </row>
    <row r="6" spans="1:15">
      <c r="A6" t="s">
        <v>2</v>
      </c>
      <c r="B6" t="s">
        <v>108</v>
      </c>
      <c r="C6" s="94"/>
      <c r="D6" s="94">
        <v>1566547.3199999998</v>
      </c>
      <c r="E6" s="94">
        <v>1776805</v>
      </c>
      <c r="F6" s="94">
        <v>12905.94</v>
      </c>
      <c r="G6" s="94">
        <v>2692480.76</v>
      </c>
      <c r="H6" s="94">
        <f t="shared" si="0"/>
        <v>6048739.0199999996</v>
      </c>
      <c r="I6" s="108"/>
      <c r="J6" s="94"/>
      <c r="K6" s="94"/>
      <c r="L6" s="94"/>
      <c r="M6" s="94">
        <f t="shared" si="1"/>
        <v>0</v>
      </c>
      <c r="N6" s="108"/>
      <c r="O6" s="91">
        <f t="shared" si="2"/>
        <v>6048739.0199999996</v>
      </c>
    </row>
    <row r="7" spans="1:15">
      <c r="A7" t="s">
        <v>13</v>
      </c>
      <c r="B7" t="s">
        <v>109</v>
      </c>
      <c r="C7" s="94"/>
      <c r="D7" s="94"/>
      <c r="E7" s="94"/>
      <c r="F7" s="94"/>
      <c r="G7" s="94"/>
      <c r="H7" s="94">
        <f t="shared" si="0"/>
        <v>0</v>
      </c>
      <c r="I7" s="108"/>
      <c r="J7" s="94"/>
      <c r="K7" s="94"/>
      <c r="L7" s="94">
        <v>520576.29000000004</v>
      </c>
      <c r="M7" s="94">
        <f t="shared" si="1"/>
        <v>520576.29000000004</v>
      </c>
      <c r="N7" s="108"/>
      <c r="O7" s="91">
        <f t="shared" si="2"/>
        <v>520576.29000000004</v>
      </c>
    </row>
    <row r="8" spans="1:15" ht="13.5" thickBot="1">
      <c r="A8" t="s">
        <v>96</v>
      </c>
      <c r="C8" s="93">
        <f>SUM(C4:C7)</f>
        <v>2863.34</v>
      </c>
      <c r="D8" s="93">
        <f t="shared" ref="D8:O8" si="3">SUM(D4:D7)</f>
        <v>5989191.6899999995</v>
      </c>
      <c r="E8" s="93">
        <f t="shared" si="3"/>
        <v>11537909.380000001</v>
      </c>
      <c r="F8" s="93">
        <f t="shared" si="3"/>
        <v>3392995.49</v>
      </c>
      <c r="G8" s="93">
        <f t="shared" si="3"/>
        <v>12944617.17</v>
      </c>
      <c r="H8" s="109">
        <f t="shared" si="3"/>
        <v>33867577.07</v>
      </c>
      <c r="I8" s="102"/>
      <c r="J8" s="93">
        <f t="shared" si="3"/>
        <v>1655639</v>
      </c>
      <c r="K8" s="93">
        <f t="shared" si="3"/>
        <v>4318909.7</v>
      </c>
      <c r="L8" s="93">
        <f t="shared" si="3"/>
        <v>3365476.87</v>
      </c>
      <c r="M8" s="109">
        <f t="shared" si="3"/>
        <v>9340025.5700000003</v>
      </c>
      <c r="N8" s="102"/>
      <c r="O8" s="93">
        <f t="shared" si="3"/>
        <v>43207602.639999993</v>
      </c>
    </row>
    <row r="9" spans="1:15">
      <c r="I9" s="106"/>
      <c r="N9" s="106"/>
    </row>
    <row r="10" spans="1:15" ht="13.5" thickBot="1">
      <c r="A10" s="103" t="s">
        <v>143</v>
      </c>
      <c r="I10" s="106"/>
      <c r="N10" s="106"/>
    </row>
    <row r="11" spans="1:15" ht="13.5" thickBot="1">
      <c r="C11" s="117" t="s">
        <v>99</v>
      </c>
      <c r="D11" s="118"/>
      <c r="E11" s="118"/>
      <c r="F11" s="118"/>
      <c r="G11" s="118"/>
      <c r="H11" s="119"/>
      <c r="I11" s="107"/>
      <c r="J11" s="117" t="s">
        <v>97</v>
      </c>
      <c r="K11" s="118"/>
      <c r="L11" s="118"/>
      <c r="M11" s="119"/>
      <c r="N11" s="107"/>
      <c r="O11" s="92" t="s">
        <v>96</v>
      </c>
    </row>
    <row r="12" spans="1:15">
      <c r="A12" t="s">
        <v>101</v>
      </c>
      <c r="B12" t="s">
        <v>105</v>
      </c>
      <c r="C12" s="92" t="s">
        <v>103</v>
      </c>
      <c r="D12" s="92" t="s">
        <v>102</v>
      </c>
      <c r="E12" s="92" t="s">
        <v>104</v>
      </c>
      <c r="F12" s="92" t="s">
        <v>98</v>
      </c>
      <c r="G12" s="92" t="s">
        <v>100</v>
      </c>
      <c r="H12" s="92" t="s">
        <v>85</v>
      </c>
      <c r="I12" s="107"/>
      <c r="J12" s="92" t="s">
        <v>102</v>
      </c>
      <c r="K12" s="92" t="s">
        <v>98</v>
      </c>
      <c r="L12" s="92" t="s">
        <v>100</v>
      </c>
      <c r="M12" s="92" t="s">
        <v>85</v>
      </c>
      <c r="N12" s="107"/>
      <c r="O12" s="92"/>
    </row>
    <row r="13" spans="1:15">
      <c r="A13" t="s">
        <v>0</v>
      </c>
      <c r="B13" t="s">
        <v>106</v>
      </c>
      <c r="C13" s="91">
        <v>0</v>
      </c>
      <c r="D13" s="91">
        <v>5419.9500000001863</v>
      </c>
      <c r="E13" s="91">
        <v>0</v>
      </c>
      <c r="F13" s="91">
        <v>0</v>
      </c>
      <c r="G13" s="91">
        <v>-456641.99000000022</v>
      </c>
      <c r="H13" s="91">
        <f>SUM(C13:G13)</f>
        <v>-451222.04000000004</v>
      </c>
      <c r="I13" s="102"/>
      <c r="J13" s="91">
        <v>0</v>
      </c>
      <c r="K13" s="91">
        <v>0</v>
      </c>
      <c r="L13" s="91">
        <v>0</v>
      </c>
      <c r="M13" s="91">
        <f>SUM(J13:L13)</f>
        <v>0</v>
      </c>
      <c r="N13" s="102"/>
      <c r="O13" s="91">
        <f>SUM(H13,M13)</f>
        <v>-451222.04000000004</v>
      </c>
    </row>
    <row r="14" spans="1:15">
      <c r="A14" t="s">
        <v>1</v>
      </c>
      <c r="B14" t="s">
        <v>107</v>
      </c>
      <c r="C14" s="91">
        <v>0</v>
      </c>
      <c r="D14" s="91">
        <v>0</v>
      </c>
      <c r="E14" s="91">
        <v>0</v>
      </c>
      <c r="F14" s="91">
        <v>0</v>
      </c>
      <c r="G14" s="91">
        <v>-1019523.120000001</v>
      </c>
      <c r="H14" s="91">
        <f t="shared" ref="H14:H16" si="4">SUM(C14:G14)</f>
        <v>-1019523.120000001</v>
      </c>
      <c r="I14" s="102"/>
      <c r="J14" s="91">
        <v>0</v>
      </c>
      <c r="K14" s="91">
        <v>0</v>
      </c>
      <c r="L14" s="91">
        <v>-517210.41999999993</v>
      </c>
      <c r="M14" s="91">
        <f t="shared" ref="M14:M16" si="5">SUM(J14:L14)</f>
        <v>-517210.41999999993</v>
      </c>
      <c r="N14" s="102"/>
      <c r="O14" s="91">
        <f t="shared" ref="O14:O16" si="6">SUM(H14,M14)</f>
        <v>-1536733.540000001</v>
      </c>
    </row>
    <row r="15" spans="1:15">
      <c r="A15" t="s">
        <v>2</v>
      </c>
      <c r="B15" t="s">
        <v>108</v>
      </c>
      <c r="C15" s="91">
        <v>0</v>
      </c>
      <c r="D15" s="91">
        <v>0</v>
      </c>
      <c r="E15" s="91">
        <v>0</v>
      </c>
      <c r="F15" s="91">
        <v>0</v>
      </c>
      <c r="G15" s="91">
        <v>-387679.7200000002</v>
      </c>
      <c r="H15" s="91">
        <f t="shared" si="4"/>
        <v>-387679.7200000002</v>
      </c>
      <c r="I15" s="102"/>
      <c r="J15" s="91">
        <v>0</v>
      </c>
      <c r="K15" s="91">
        <v>0</v>
      </c>
      <c r="L15" s="91">
        <v>0</v>
      </c>
      <c r="M15" s="91">
        <f t="shared" si="5"/>
        <v>0</v>
      </c>
      <c r="N15" s="102"/>
      <c r="O15" s="91">
        <f t="shared" si="6"/>
        <v>-387679.7200000002</v>
      </c>
    </row>
    <row r="16" spans="1:15">
      <c r="A16" t="s">
        <v>13</v>
      </c>
      <c r="B16" t="s">
        <v>109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f t="shared" si="4"/>
        <v>0</v>
      </c>
      <c r="I16" s="102"/>
      <c r="J16" s="91">
        <v>0</v>
      </c>
      <c r="K16" s="91">
        <v>0</v>
      </c>
      <c r="L16" s="91">
        <v>38691.290000000037</v>
      </c>
      <c r="M16" s="91">
        <f t="shared" si="5"/>
        <v>38691.290000000037</v>
      </c>
      <c r="N16" s="102"/>
      <c r="O16" s="91">
        <f t="shared" si="6"/>
        <v>38691.290000000037</v>
      </c>
    </row>
    <row r="17" spans="1:15" ht="13.5" thickBot="1">
      <c r="A17" t="s">
        <v>96</v>
      </c>
      <c r="C17" s="93">
        <f>SUM(C13:C16)</f>
        <v>0</v>
      </c>
      <c r="D17" s="93">
        <f t="shared" ref="D17:H17" si="7">SUM(D13:D16)</f>
        <v>5419.9500000001863</v>
      </c>
      <c r="E17" s="93">
        <f t="shared" si="7"/>
        <v>0</v>
      </c>
      <c r="F17" s="93">
        <f t="shared" si="7"/>
        <v>0</v>
      </c>
      <c r="G17" s="93">
        <f t="shared" si="7"/>
        <v>-1863844.8300000015</v>
      </c>
      <c r="H17" s="93">
        <f t="shared" si="7"/>
        <v>-1858424.8800000013</v>
      </c>
      <c r="I17" s="102"/>
      <c r="J17" s="93">
        <f>SUM(J13:J16)</f>
        <v>0</v>
      </c>
      <c r="K17" s="93">
        <f t="shared" ref="K17:M17" si="8">SUM(K13:K16)</f>
        <v>0</v>
      </c>
      <c r="L17" s="93">
        <f t="shared" si="8"/>
        <v>-478519.12999999989</v>
      </c>
      <c r="M17" s="93">
        <f t="shared" si="8"/>
        <v>-478519.12999999989</v>
      </c>
      <c r="N17" s="102"/>
      <c r="O17" s="93">
        <f>SUM(O13:O16)</f>
        <v>-2336944.0100000012</v>
      </c>
    </row>
    <row r="18" spans="1:15">
      <c r="I18" s="106"/>
      <c r="N18" s="106"/>
    </row>
    <row r="19" spans="1:15" ht="13.5" thickBot="1">
      <c r="A19" s="103" t="s">
        <v>144</v>
      </c>
      <c r="I19" s="106"/>
      <c r="N19" s="106"/>
    </row>
    <row r="20" spans="1:15" ht="13.5" thickBot="1">
      <c r="C20" s="117" t="s">
        <v>99</v>
      </c>
      <c r="D20" s="118"/>
      <c r="E20" s="118"/>
      <c r="F20" s="118"/>
      <c r="G20" s="118"/>
      <c r="H20" s="119"/>
      <c r="I20" s="107"/>
      <c r="J20" s="117" t="s">
        <v>97</v>
      </c>
      <c r="K20" s="118"/>
      <c r="L20" s="118"/>
      <c r="M20" s="119"/>
      <c r="N20" s="107"/>
      <c r="O20" s="92" t="s">
        <v>96</v>
      </c>
    </row>
    <row r="21" spans="1:15">
      <c r="A21" t="s">
        <v>101</v>
      </c>
      <c r="B21" t="s">
        <v>105</v>
      </c>
      <c r="C21" s="92" t="s">
        <v>103</v>
      </c>
      <c r="D21" s="92" t="s">
        <v>102</v>
      </c>
      <c r="E21" s="92" t="s">
        <v>104</v>
      </c>
      <c r="F21" s="92" t="s">
        <v>98</v>
      </c>
      <c r="G21" s="92" t="s">
        <v>100</v>
      </c>
      <c r="H21" s="92" t="s">
        <v>85</v>
      </c>
      <c r="I21" s="107"/>
      <c r="J21" s="92" t="s">
        <v>102</v>
      </c>
      <c r="K21" s="92" t="s">
        <v>98</v>
      </c>
      <c r="L21" s="92" t="s">
        <v>100</v>
      </c>
      <c r="M21" s="92" t="s">
        <v>85</v>
      </c>
      <c r="N21" s="107"/>
      <c r="O21" s="92"/>
    </row>
    <row r="22" spans="1:15">
      <c r="A22" t="s">
        <v>0</v>
      </c>
      <c r="B22" t="s">
        <v>106</v>
      </c>
      <c r="C22" s="91">
        <v>0</v>
      </c>
      <c r="D22" s="91">
        <v>0</v>
      </c>
      <c r="E22" s="91">
        <v>0</v>
      </c>
      <c r="F22" s="91">
        <v>0</v>
      </c>
      <c r="G22" s="91">
        <f>'2019 costs recorded in 2020'!D9</f>
        <v>-165298.06</v>
      </c>
      <c r="H22" s="91">
        <f>SUM(C22:G22)</f>
        <v>-165298.06</v>
      </c>
      <c r="I22" s="102"/>
      <c r="J22" s="91">
        <v>0</v>
      </c>
      <c r="K22" s="91">
        <v>0</v>
      </c>
      <c r="L22" s="91">
        <v>0</v>
      </c>
      <c r="M22" s="91">
        <f>SUM(J22:L22)</f>
        <v>0</v>
      </c>
      <c r="N22" s="102"/>
      <c r="O22" s="91">
        <f>SUM(H22,M22)</f>
        <v>-165298.06</v>
      </c>
    </row>
    <row r="23" spans="1:15">
      <c r="A23" t="s">
        <v>1</v>
      </c>
      <c r="B23" t="s">
        <v>107</v>
      </c>
      <c r="C23" s="91">
        <v>0</v>
      </c>
      <c r="D23" s="91">
        <v>0</v>
      </c>
      <c r="E23" s="91">
        <v>0</v>
      </c>
      <c r="F23" s="91">
        <v>0</v>
      </c>
      <c r="G23" s="91">
        <f>'2019 costs recorded in 2020'!D12</f>
        <v>-369053.24</v>
      </c>
      <c r="H23" s="91">
        <f t="shared" ref="H23:H25" si="9">SUM(C23:G23)</f>
        <v>-369053.24</v>
      </c>
      <c r="I23" s="102"/>
      <c r="J23" s="91">
        <v>0</v>
      </c>
      <c r="K23" s="91">
        <v>0</v>
      </c>
      <c r="L23" s="91">
        <f>'2019 costs recorded in 2020'!E12</f>
        <v>-211934</v>
      </c>
      <c r="M23" s="91">
        <f t="shared" ref="M23:M25" si="10">SUM(J23:L23)</f>
        <v>-211934</v>
      </c>
      <c r="N23" s="102"/>
      <c r="O23" s="91">
        <f t="shared" ref="O23:O25" si="11">SUM(H23,M23)</f>
        <v>-580987.24</v>
      </c>
    </row>
    <row r="24" spans="1:15">
      <c r="A24" t="s">
        <v>2</v>
      </c>
      <c r="B24" t="s">
        <v>108</v>
      </c>
      <c r="C24" s="91">
        <v>0</v>
      </c>
      <c r="D24" s="91">
        <v>0</v>
      </c>
      <c r="E24" s="91">
        <v>0</v>
      </c>
      <c r="F24" s="91">
        <v>0</v>
      </c>
      <c r="G24" s="91">
        <f>'2019 costs recorded in 2020'!D15</f>
        <v>-139679.46000000002</v>
      </c>
      <c r="H24" s="91">
        <f t="shared" si="9"/>
        <v>-139679.46000000002</v>
      </c>
      <c r="I24" s="102"/>
      <c r="J24" s="91">
        <v>0</v>
      </c>
      <c r="K24" s="91">
        <v>0</v>
      </c>
      <c r="L24" s="91">
        <v>0</v>
      </c>
      <c r="M24" s="91">
        <f t="shared" si="10"/>
        <v>0</v>
      </c>
      <c r="N24" s="102"/>
      <c r="O24" s="91">
        <f t="shared" si="11"/>
        <v>-139679.46000000002</v>
      </c>
    </row>
    <row r="25" spans="1:15">
      <c r="A25" t="s">
        <v>13</v>
      </c>
      <c r="B25" t="s">
        <v>109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f t="shared" si="9"/>
        <v>0</v>
      </c>
      <c r="I25" s="102"/>
      <c r="J25" s="91">
        <v>0</v>
      </c>
      <c r="K25" s="91">
        <v>0</v>
      </c>
      <c r="L25" s="91">
        <f>'2019 costs recorded in 2020'!E17</f>
        <v>-68102</v>
      </c>
      <c r="M25" s="91">
        <f t="shared" si="10"/>
        <v>-68102</v>
      </c>
      <c r="N25" s="102"/>
      <c r="O25" s="91">
        <f t="shared" si="11"/>
        <v>-68102</v>
      </c>
    </row>
    <row r="26" spans="1:15" ht="13.5" thickBot="1">
      <c r="A26" t="s">
        <v>96</v>
      </c>
      <c r="C26" s="93">
        <f>SUM(C22:C25)</f>
        <v>0</v>
      </c>
      <c r="D26" s="93">
        <f t="shared" ref="D26" si="12">SUM(D22:D25)</f>
        <v>0</v>
      </c>
      <c r="E26" s="93">
        <f t="shared" ref="E26" si="13">SUM(E22:E25)</f>
        <v>0</v>
      </c>
      <c r="F26" s="93">
        <f t="shared" ref="F26" si="14">SUM(F22:F25)</f>
        <v>0</v>
      </c>
      <c r="G26" s="93">
        <f t="shared" ref="G26" si="15">SUM(G22:G25)</f>
        <v>-674030.76</v>
      </c>
      <c r="H26" s="93">
        <f t="shared" ref="H26" si="16">SUM(H22:H25)</f>
        <v>-674030.76</v>
      </c>
      <c r="I26" s="102"/>
      <c r="J26" s="93">
        <f>SUM(J22:J25)</f>
        <v>0</v>
      </c>
      <c r="K26" s="93">
        <f t="shared" ref="K26" si="17">SUM(K22:K25)</f>
        <v>0</v>
      </c>
      <c r="L26" s="93">
        <f t="shared" ref="L26" si="18">SUM(L22:L25)</f>
        <v>-280036</v>
      </c>
      <c r="M26" s="93">
        <f t="shared" ref="M26" si="19">SUM(M22:M25)</f>
        <v>-280036</v>
      </c>
      <c r="N26" s="102"/>
      <c r="O26" s="93">
        <f>SUM(O22:O25)</f>
        <v>-954066.76</v>
      </c>
    </row>
    <row r="27" spans="1:15">
      <c r="I27" s="106"/>
      <c r="N27" s="106"/>
    </row>
    <row r="28" spans="1:15" ht="13.5" thickBot="1">
      <c r="A28" s="103" t="s">
        <v>146</v>
      </c>
      <c r="I28" s="106"/>
      <c r="N28" s="106"/>
    </row>
    <row r="29" spans="1:15" ht="13.5" thickBot="1">
      <c r="C29" s="117" t="s">
        <v>99</v>
      </c>
      <c r="D29" s="118"/>
      <c r="E29" s="118"/>
      <c r="F29" s="118"/>
      <c r="G29" s="118"/>
      <c r="H29" s="119"/>
      <c r="I29" s="107"/>
      <c r="J29" s="117" t="s">
        <v>97</v>
      </c>
      <c r="K29" s="118"/>
      <c r="L29" s="118"/>
      <c r="M29" s="119"/>
      <c r="N29" s="107"/>
      <c r="O29" s="92" t="s">
        <v>96</v>
      </c>
    </row>
    <row r="30" spans="1:15">
      <c r="A30" t="s">
        <v>101</v>
      </c>
      <c r="B30" t="s">
        <v>105</v>
      </c>
      <c r="C30" s="92" t="s">
        <v>103</v>
      </c>
      <c r="D30" s="92" t="s">
        <v>102</v>
      </c>
      <c r="E30" s="92" t="s">
        <v>104</v>
      </c>
      <c r="F30" s="92" t="s">
        <v>98</v>
      </c>
      <c r="G30" s="92" t="s">
        <v>100</v>
      </c>
      <c r="H30" s="92" t="s">
        <v>85</v>
      </c>
      <c r="I30" s="107"/>
      <c r="J30" s="92" t="s">
        <v>102</v>
      </c>
      <c r="K30" s="92" t="s">
        <v>98</v>
      </c>
      <c r="L30" s="92" t="s">
        <v>100</v>
      </c>
      <c r="M30" s="92" t="s">
        <v>85</v>
      </c>
      <c r="N30" s="107"/>
      <c r="O30" s="92"/>
    </row>
    <row r="31" spans="1:15">
      <c r="A31" t="s">
        <v>0</v>
      </c>
      <c r="B31" t="s">
        <v>106</v>
      </c>
      <c r="C31" s="94">
        <f>SUM(C4,-C13,C22)</f>
        <v>2863.34</v>
      </c>
      <c r="D31" s="94">
        <f t="shared" ref="D31:G31" si="20">SUM(D4,-D13,D22)</f>
        <v>1302066.1299999999</v>
      </c>
      <c r="E31" s="94">
        <f t="shared" si="20"/>
        <v>9749570.3800000008</v>
      </c>
      <c r="F31" s="94">
        <f t="shared" si="20"/>
        <v>3380089.5500000003</v>
      </c>
      <c r="G31" s="94">
        <f t="shared" si="20"/>
        <v>3462774.89</v>
      </c>
      <c r="H31" s="94">
        <f>SUM(C31:G31)</f>
        <v>17897364.290000003</v>
      </c>
      <c r="I31" s="108"/>
      <c r="J31" s="94">
        <f t="shared" ref="J31:M31" si="21">SUM(J4,-J13,J22)</f>
        <v>0</v>
      </c>
      <c r="K31" s="94">
        <f t="shared" si="21"/>
        <v>0</v>
      </c>
      <c r="L31" s="94">
        <f t="shared" si="21"/>
        <v>0</v>
      </c>
      <c r="M31" s="94">
        <f t="shared" si="21"/>
        <v>0</v>
      </c>
      <c r="N31" s="108"/>
      <c r="O31" s="91">
        <f t="shared" ref="O31:O34" si="22">SUM(H31,M31)</f>
        <v>17897364.290000003</v>
      </c>
    </row>
    <row r="32" spans="1:15">
      <c r="A32" t="s">
        <v>1</v>
      </c>
      <c r="B32" t="s">
        <v>107</v>
      </c>
      <c r="C32" s="94">
        <f t="shared" ref="C32:G34" si="23">SUM(C5,-C14,C23)</f>
        <v>0</v>
      </c>
      <c r="D32" s="94">
        <f t="shared" si="23"/>
        <v>3115158.29</v>
      </c>
      <c r="E32" s="94">
        <f t="shared" si="23"/>
        <v>11534</v>
      </c>
      <c r="F32" s="94">
        <f t="shared" si="23"/>
        <v>0</v>
      </c>
      <c r="G32" s="94">
        <f t="shared" si="23"/>
        <v>7731175.3300000001</v>
      </c>
      <c r="H32" s="94">
        <f t="shared" ref="H32:H34" si="24">SUM(C32:G32)</f>
        <v>10857867.620000001</v>
      </c>
      <c r="I32" s="108"/>
      <c r="J32" s="94">
        <f t="shared" ref="J32:M32" si="25">SUM(J5,-J14,J23)</f>
        <v>1655639</v>
      </c>
      <c r="K32" s="94">
        <f t="shared" si="25"/>
        <v>4318909.7</v>
      </c>
      <c r="L32" s="94">
        <f t="shared" si="25"/>
        <v>3150177</v>
      </c>
      <c r="M32" s="94">
        <f t="shared" si="25"/>
        <v>9124725.7000000011</v>
      </c>
      <c r="N32" s="108"/>
      <c r="O32" s="91">
        <f t="shared" si="22"/>
        <v>19982593.32</v>
      </c>
    </row>
    <row r="33" spans="1:15">
      <c r="A33" t="s">
        <v>2</v>
      </c>
      <c r="B33" t="s">
        <v>108</v>
      </c>
      <c r="C33" s="94">
        <f t="shared" si="23"/>
        <v>0</v>
      </c>
      <c r="D33" s="94">
        <f t="shared" si="23"/>
        <v>1566547.3199999998</v>
      </c>
      <c r="E33" s="94">
        <f t="shared" si="23"/>
        <v>1776805</v>
      </c>
      <c r="F33" s="94">
        <f t="shared" si="23"/>
        <v>12905.94</v>
      </c>
      <c r="G33" s="94">
        <f t="shared" si="23"/>
        <v>2940481.02</v>
      </c>
      <c r="H33" s="94">
        <f t="shared" si="24"/>
        <v>6296739.2799999993</v>
      </c>
      <c r="I33" s="108"/>
      <c r="J33" s="94">
        <f t="shared" ref="J33:M33" si="26">SUM(J6,-J15,J24)</f>
        <v>0</v>
      </c>
      <c r="K33" s="94">
        <f t="shared" si="26"/>
        <v>0</v>
      </c>
      <c r="L33" s="94">
        <f t="shared" si="26"/>
        <v>0</v>
      </c>
      <c r="M33" s="94">
        <f t="shared" si="26"/>
        <v>0</v>
      </c>
      <c r="N33" s="108"/>
      <c r="O33" s="91">
        <f t="shared" si="22"/>
        <v>6296739.2799999993</v>
      </c>
    </row>
    <row r="34" spans="1:15">
      <c r="A34" t="s">
        <v>13</v>
      </c>
      <c r="B34" t="s">
        <v>109</v>
      </c>
      <c r="C34" s="94">
        <f t="shared" si="23"/>
        <v>0</v>
      </c>
      <c r="D34" s="94">
        <f t="shared" si="23"/>
        <v>0</v>
      </c>
      <c r="E34" s="94">
        <f t="shared" si="23"/>
        <v>0</v>
      </c>
      <c r="F34" s="94">
        <f t="shared" si="23"/>
        <v>0</v>
      </c>
      <c r="G34" s="94">
        <f t="shared" si="23"/>
        <v>0</v>
      </c>
      <c r="H34" s="94">
        <f t="shared" si="24"/>
        <v>0</v>
      </c>
      <c r="I34" s="108"/>
      <c r="J34" s="94">
        <f t="shared" ref="J34:M34" si="27">SUM(J7,-J16,J25)</f>
        <v>0</v>
      </c>
      <c r="K34" s="94">
        <f t="shared" si="27"/>
        <v>0</v>
      </c>
      <c r="L34" s="94">
        <f t="shared" si="27"/>
        <v>413783</v>
      </c>
      <c r="M34" s="94">
        <f t="shared" si="27"/>
        <v>413783</v>
      </c>
      <c r="N34" s="108"/>
      <c r="O34" s="91">
        <f t="shared" si="22"/>
        <v>413783</v>
      </c>
    </row>
    <row r="35" spans="1:15" ht="13.5" thickBot="1">
      <c r="A35" t="s">
        <v>96</v>
      </c>
      <c r="C35" s="93">
        <f>SUM(C31:C34)</f>
        <v>2863.34</v>
      </c>
      <c r="D35" s="93">
        <f t="shared" ref="D35:O35" si="28">SUM(D31:D34)</f>
        <v>5983771.7400000002</v>
      </c>
      <c r="E35" s="93">
        <f t="shared" si="28"/>
        <v>11537909.380000001</v>
      </c>
      <c r="F35" s="93">
        <f t="shared" si="28"/>
        <v>3392995.49</v>
      </c>
      <c r="G35" s="93">
        <f t="shared" si="28"/>
        <v>14134431.24</v>
      </c>
      <c r="H35" s="109">
        <f t="shared" si="28"/>
        <v>35051971.190000005</v>
      </c>
      <c r="I35" s="102"/>
      <c r="J35" s="93">
        <f t="shared" si="28"/>
        <v>1655639</v>
      </c>
      <c r="K35" s="93">
        <f t="shared" si="28"/>
        <v>4318909.7</v>
      </c>
      <c r="L35" s="93">
        <f t="shared" si="28"/>
        <v>3563960</v>
      </c>
      <c r="M35" s="109">
        <f t="shared" si="28"/>
        <v>9538508.7000000011</v>
      </c>
      <c r="N35" s="102"/>
      <c r="O35" s="93">
        <f t="shared" si="28"/>
        <v>44590479.890000001</v>
      </c>
    </row>
    <row r="36" spans="1:15">
      <c r="I36" s="106"/>
      <c r="N36" s="106"/>
    </row>
    <row r="37" spans="1:15">
      <c r="I37" s="106"/>
      <c r="N37" s="106"/>
    </row>
    <row r="38" spans="1:15">
      <c r="I38" s="106"/>
      <c r="N38" s="106"/>
    </row>
    <row r="40" spans="1:15">
      <c r="A40" t="s">
        <v>113</v>
      </c>
    </row>
  </sheetData>
  <mergeCells count="8">
    <mergeCell ref="C2:H2"/>
    <mergeCell ref="J2:M2"/>
    <mergeCell ref="C29:H29"/>
    <mergeCell ref="J29:M29"/>
    <mergeCell ref="C11:H11"/>
    <mergeCell ref="J11:M11"/>
    <mergeCell ref="C20:H20"/>
    <mergeCell ref="J20:M20"/>
  </mergeCells>
  <printOptions gridLines="1"/>
  <pageMargins left="0.7" right="0.7" top="0.75" bottom="0.75" header="0.3" footer="0.3"/>
  <pageSetup scale="72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view="pageBreakPreview" zoomScale="115" zoomScaleNormal="100" zoomScaleSheetLayoutView="115" workbookViewId="0">
      <selection activeCell="U28" sqref="U28"/>
    </sheetView>
  </sheetViews>
  <sheetFormatPr defaultRowHeight="12.75"/>
  <cols>
    <col min="1" max="1" width="23.7109375" bestFit="1" customWidth="1"/>
    <col min="2" max="2" width="45.7109375" bestFit="1" customWidth="1"/>
    <col min="3" max="3" width="9.42578125" bestFit="1" customWidth="1"/>
    <col min="4" max="4" width="13.7109375" bestFit="1" customWidth="1"/>
    <col min="5" max="5" width="12.140625" bestFit="1" customWidth="1"/>
    <col min="6" max="6" width="13.7109375" bestFit="1" customWidth="1"/>
    <col min="7" max="7" width="4" bestFit="1" customWidth="1"/>
    <col min="8" max="8" width="4.140625" bestFit="1" customWidth="1"/>
    <col min="9" max="9" width="38.28515625" bestFit="1" customWidth="1"/>
    <col min="10" max="10" width="17.28515625" bestFit="1" customWidth="1"/>
    <col min="11" max="11" width="14.7109375" bestFit="1" customWidth="1"/>
  </cols>
  <sheetData>
    <row r="1" spans="1:11" s="103" customForma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06"/>
      <c r="B2" s="106"/>
      <c r="C2" s="107" t="s">
        <v>99</v>
      </c>
      <c r="D2" s="107" t="s">
        <v>99</v>
      </c>
      <c r="E2" s="107" t="s">
        <v>97</v>
      </c>
      <c r="F2" s="107" t="s">
        <v>96</v>
      </c>
      <c r="G2" s="106"/>
      <c r="H2" s="106"/>
      <c r="I2" s="106"/>
      <c r="J2" s="102"/>
      <c r="K2" s="106"/>
    </row>
    <row r="3" spans="1:11">
      <c r="A3" s="106" t="s">
        <v>101</v>
      </c>
      <c r="B3" s="106" t="s">
        <v>110</v>
      </c>
      <c r="C3" s="107" t="s">
        <v>102</v>
      </c>
      <c r="D3" s="107" t="s">
        <v>100</v>
      </c>
      <c r="E3" s="107" t="s">
        <v>100</v>
      </c>
      <c r="F3" s="107"/>
      <c r="G3" s="106"/>
      <c r="H3" s="106"/>
      <c r="I3" s="106"/>
      <c r="J3" s="102"/>
      <c r="K3" s="106"/>
    </row>
    <row r="4" spans="1:11">
      <c r="A4" s="106" t="s">
        <v>0</v>
      </c>
      <c r="B4" s="106" t="s">
        <v>115</v>
      </c>
      <c r="C4" s="102">
        <v>49.94</v>
      </c>
      <c r="D4" s="102"/>
      <c r="E4" s="102"/>
      <c r="F4" s="102">
        <v>49.94</v>
      </c>
      <c r="G4" s="106"/>
      <c r="H4" s="106"/>
      <c r="I4" s="106"/>
      <c r="J4" s="102"/>
      <c r="K4" s="106"/>
    </row>
    <row r="5" spans="1:11">
      <c r="A5" s="106"/>
      <c r="B5" s="106" t="s">
        <v>116</v>
      </c>
      <c r="C5" s="102">
        <v>5370.01</v>
      </c>
      <c r="D5" s="102"/>
      <c r="E5" s="102"/>
      <c r="F5" s="102">
        <v>5370.01</v>
      </c>
      <c r="G5" s="106"/>
      <c r="H5" s="106"/>
      <c r="I5" s="106"/>
      <c r="J5" s="102"/>
      <c r="K5" s="106"/>
    </row>
    <row r="6" spans="1:11">
      <c r="A6" s="106"/>
      <c r="B6" s="106" t="s">
        <v>117</v>
      </c>
      <c r="C6" s="102"/>
      <c r="D6" s="102">
        <v>-324309</v>
      </c>
      <c r="E6" s="102"/>
      <c r="F6" s="102">
        <v>-324309</v>
      </c>
      <c r="G6" s="106"/>
      <c r="H6" s="106"/>
      <c r="I6" s="106"/>
      <c r="J6" s="102"/>
      <c r="K6" s="106"/>
    </row>
    <row r="7" spans="1:11">
      <c r="A7" s="106"/>
      <c r="B7" s="106" t="s">
        <v>118</v>
      </c>
      <c r="C7" s="102"/>
      <c r="D7" s="102">
        <v>-44732.28</v>
      </c>
      <c r="E7" s="102"/>
      <c r="F7" s="102">
        <v>-44732.28</v>
      </c>
      <c r="G7" s="106"/>
      <c r="H7" s="106"/>
      <c r="I7" s="106"/>
      <c r="J7" s="102"/>
      <c r="K7" s="106"/>
    </row>
    <row r="8" spans="1:11">
      <c r="A8" s="106"/>
      <c r="B8" s="106" t="s">
        <v>119</v>
      </c>
      <c r="C8" s="102"/>
      <c r="D8" s="102">
        <v>-87600.71</v>
      </c>
      <c r="E8" s="102"/>
      <c r="F8" s="102">
        <v>-87600.71</v>
      </c>
      <c r="G8" s="106"/>
      <c r="H8" s="106"/>
      <c r="I8" s="106"/>
      <c r="J8" s="102"/>
      <c r="K8" s="106"/>
    </row>
    <row r="9" spans="1:11">
      <c r="A9" s="106" t="s">
        <v>1</v>
      </c>
      <c r="B9" s="106" t="s">
        <v>120</v>
      </c>
      <c r="C9" s="102"/>
      <c r="D9" s="102">
        <v>-1019523.12</v>
      </c>
      <c r="E9" s="102"/>
      <c r="F9" s="102">
        <v>-1019523.12</v>
      </c>
      <c r="G9" s="106"/>
      <c r="H9" s="106"/>
      <c r="I9" s="106"/>
      <c r="J9" s="102"/>
      <c r="K9" s="106"/>
    </row>
    <row r="10" spans="1:11">
      <c r="A10" s="106"/>
      <c r="B10" s="106" t="s">
        <v>121</v>
      </c>
      <c r="C10" s="102"/>
      <c r="D10" s="102"/>
      <c r="E10" s="102">
        <v>-517210.42</v>
      </c>
      <c r="F10" s="102">
        <v>-517210.42</v>
      </c>
      <c r="G10" s="106"/>
      <c r="H10" s="106"/>
      <c r="I10" s="106"/>
      <c r="J10" s="102"/>
      <c r="K10" s="106"/>
    </row>
    <row r="11" spans="1:11">
      <c r="A11" s="106" t="s">
        <v>2</v>
      </c>
      <c r="B11" s="106" t="s">
        <v>122</v>
      </c>
      <c r="C11" s="102"/>
      <c r="D11" s="102">
        <v>-387679.72</v>
      </c>
      <c r="E11" s="102"/>
      <c r="F11" s="102">
        <v>-387679.72</v>
      </c>
      <c r="G11" s="106"/>
      <c r="H11" s="106"/>
      <c r="I11" s="106"/>
      <c r="J11" s="102"/>
      <c r="K11" s="106"/>
    </row>
    <row r="12" spans="1:11">
      <c r="A12" s="106" t="s">
        <v>13</v>
      </c>
      <c r="B12" s="106" t="s">
        <v>123</v>
      </c>
      <c r="C12" s="102"/>
      <c r="D12" s="102"/>
      <c r="E12" s="102">
        <v>38691.29</v>
      </c>
      <c r="F12" s="102">
        <v>38691.29</v>
      </c>
      <c r="G12" s="106"/>
      <c r="H12" s="106"/>
      <c r="I12" s="106"/>
      <c r="J12" s="102"/>
      <c r="K12" s="106"/>
    </row>
    <row r="13" spans="1:11" ht="13.5" thickBot="1">
      <c r="A13" s="106" t="s">
        <v>96</v>
      </c>
      <c r="B13" s="106"/>
      <c r="C13" s="93">
        <f>SUM(C4:C12)</f>
        <v>5419.95</v>
      </c>
      <c r="D13" s="93">
        <f t="shared" ref="D13:F13" si="0">SUM(D4:D12)</f>
        <v>-1863844.83</v>
      </c>
      <c r="E13" s="93">
        <f t="shared" si="0"/>
        <v>-478519.13</v>
      </c>
      <c r="F13" s="93">
        <f t="shared" si="0"/>
        <v>-2336944.0099999998</v>
      </c>
      <c r="G13" s="106"/>
      <c r="H13" s="106"/>
      <c r="I13" s="106"/>
      <c r="J13" s="102"/>
      <c r="K13" s="106"/>
    </row>
    <row r="14" spans="1:11">
      <c r="A14" s="106"/>
      <c r="B14" s="106"/>
      <c r="C14" s="102"/>
      <c r="D14" s="102"/>
      <c r="E14" s="102"/>
      <c r="F14" s="102"/>
      <c r="G14" s="106"/>
      <c r="H14" s="106"/>
      <c r="I14" s="106"/>
      <c r="J14" s="102"/>
      <c r="K14" s="106"/>
    </row>
    <row r="15" spans="1:11">
      <c r="A15" s="106"/>
      <c r="B15" s="106"/>
      <c r="C15" s="102"/>
      <c r="D15" s="102"/>
      <c r="E15" s="102"/>
      <c r="F15" s="102"/>
      <c r="G15" s="106"/>
      <c r="H15" s="106"/>
      <c r="I15" s="106"/>
      <c r="J15" s="102"/>
      <c r="K15" s="106"/>
    </row>
    <row r="16" spans="1:11">
      <c r="A16" s="106"/>
      <c r="B16" s="106"/>
      <c r="C16" s="102"/>
      <c r="D16" s="102"/>
      <c r="E16" s="102"/>
      <c r="F16" s="102"/>
      <c r="G16" s="106"/>
      <c r="H16" s="106"/>
      <c r="I16" s="106"/>
      <c r="J16" s="102"/>
      <c r="K16" s="106"/>
    </row>
    <row r="17" spans="1:11">
      <c r="A17" s="106"/>
      <c r="B17" s="106"/>
      <c r="C17" s="102"/>
      <c r="D17" s="102"/>
      <c r="E17" s="102"/>
      <c r="F17" s="102"/>
      <c r="G17" s="106"/>
      <c r="H17" s="106"/>
      <c r="I17" s="106"/>
      <c r="J17" s="102"/>
      <c r="K17" s="106"/>
    </row>
    <row r="18" spans="1:11">
      <c r="A18" s="106"/>
      <c r="B18" s="106"/>
      <c r="C18" s="102"/>
      <c r="D18" s="102"/>
      <c r="E18" s="102"/>
      <c r="F18" s="102"/>
      <c r="G18" s="106"/>
      <c r="H18" s="106"/>
      <c r="I18" s="106"/>
      <c r="J18" s="102"/>
      <c r="K18" s="106"/>
    </row>
    <row r="19" spans="1:11">
      <c r="A19" s="106"/>
      <c r="B19" s="106"/>
      <c r="C19" s="102"/>
      <c r="D19" s="102"/>
      <c r="E19" s="102"/>
      <c r="F19" s="102"/>
      <c r="G19" s="106"/>
      <c r="H19" s="106"/>
      <c r="I19" s="106"/>
      <c r="J19" s="102"/>
      <c r="K19" s="106"/>
    </row>
    <row r="20" spans="1:11">
      <c r="A20" s="106"/>
      <c r="B20" s="106"/>
      <c r="C20" s="102"/>
      <c r="D20" s="102"/>
      <c r="E20" s="102"/>
      <c r="F20" s="102"/>
      <c r="G20" s="106"/>
      <c r="H20" s="106"/>
      <c r="I20" s="106"/>
      <c r="J20" s="102"/>
      <c r="K20" s="106"/>
    </row>
    <row r="21" spans="1:11">
      <c r="A21" s="106"/>
      <c r="B21" s="106"/>
      <c r="C21" s="102"/>
      <c r="D21" s="102"/>
      <c r="E21" s="102"/>
      <c r="F21" s="102"/>
      <c r="G21" s="106"/>
      <c r="H21" s="106"/>
      <c r="I21" s="106"/>
      <c r="J21" s="102"/>
      <c r="K21" s="106"/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06"/>
      <c r="J22" s="102"/>
      <c r="K22" s="106"/>
    </row>
    <row r="23" spans="1:11">
      <c r="A23" s="106"/>
      <c r="B23" s="106"/>
      <c r="C23" s="106"/>
      <c r="D23" s="106"/>
      <c r="E23" s="106"/>
      <c r="F23" s="106"/>
      <c r="G23" s="106"/>
      <c r="H23" s="106"/>
      <c r="I23" s="106"/>
      <c r="J23" s="102"/>
      <c r="K23" s="106"/>
    </row>
    <row r="25" spans="1:11">
      <c r="B25" t="s">
        <v>124</v>
      </c>
    </row>
  </sheetData>
  <pageMargins left="0.7" right="0.7" top="0.75" bottom="0.75" header="0.3" footer="0.3"/>
  <pageSetup orientation="landscape" r:id="rId1"/>
  <headerFooter>
    <oddFooter>&amp;L&amp;F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25"/>
  <sheetViews>
    <sheetView view="pageBreakPreview" zoomScale="115" zoomScaleNormal="100" zoomScaleSheetLayoutView="115" workbookViewId="0">
      <selection activeCell="U28" sqref="U28"/>
    </sheetView>
  </sheetViews>
  <sheetFormatPr defaultRowHeight="12.75"/>
  <cols>
    <col min="1" max="1" width="16.85546875" customWidth="1"/>
    <col min="2" max="2" width="13.28515625" bestFit="1" customWidth="1"/>
    <col min="3" max="3" width="31.28515625" bestFit="1" customWidth="1"/>
    <col min="4" max="5" width="12.140625" bestFit="1" customWidth="1"/>
    <col min="6" max="6" width="8" bestFit="1" customWidth="1"/>
    <col min="7" max="7" width="10.7109375" bestFit="1" customWidth="1"/>
  </cols>
  <sheetData>
    <row r="3" spans="1:5">
      <c r="A3" t="s">
        <v>114</v>
      </c>
      <c r="D3" t="s">
        <v>125</v>
      </c>
      <c r="E3" t="s">
        <v>126</v>
      </c>
    </row>
    <row r="4" spans="1:5">
      <c r="D4" t="s">
        <v>99</v>
      </c>
      <c r="E4" t="s">
        <v>97</v>
      </c>
    </row>
    <row r="5" spans="1:5">
      <c r="A5" t="s">
        <v>127</v>
      </c>
      <c r="B5" t="s">
        <v>101</v>
      </c>
      <c r="C5" t="s">
        <v>110</v>
      </c>
      <c r="E5" t="s">
        <v>100</v>
      </c>
    </row>
    <row r="6" spans="1:5">
      <c r="A6" t="s">
        <v>128</v>
      </c>
      <c r="B6" t="s">
        <v>0</v>
      </c>
      <c r="C6" t="s">
        <v>129</v>
      </c>
      <c r="D6" s="91">
        <v>-117395.36</v>
      </c>
      <c r="E6" s="91"/>
    </row>
    <row r="7" spans="1:5">
      <c r="C7" t="s">
        <v>130</v>
      </c>
      <c r="D7" s="91">
        <v>-16192.46</v>
      </c>
      <c r="E7" s="91"/>
    </row>
    <row r="8" spans="1:5">
      <c r="C8" t="s">
        <v>131</v>
      </c>
      <c r="D8" s="91">
        <v>-31710.240000000002</v>
      </c>
      <c r="E8" s="91"/>
    </row>
    <row r="9" spans="1:5">
      <c r="B9" t="s">
        <v>132</v>
      </c>
      <c r="D9" s="111">
        <v>-165298.06</v>
      </c>
      <c r="E9" s="91"/>
    </row>
    <row r="10" spans="1:5">
      <c r="B10" t="s">
        <v>1</v>
      </c>
      <c r="C10" t="s">
        <v>133</v>
      </c>
      <c r="D10" s="91">
        <v>-369053.24</v>
      </c>
      <c r="E10" s="91"/>
    </row>
    <row r="11" spans="1:5">
      <c r="C11" t="s">
        <v>134</v>
      </c>
      <c r="D11" s="91"/>
      <c r="E11" s="91">
        <v>-211934</v>
      </c>
    </row>
    <row r="12" spans="1:5">
      <c r="B12" t="s">
        <v>135</v>
      </c>
      <c r="D12" s="111">
        <v>-369053.24</v>
      </c>
      <c r="E12" s="111">
        <v>-211934</v>
      </c>
    </row>
    <row r="13" spans="1:5">
      <c r="B13" t="s">
        <v>2</v>
      </c>
      <c r="C13" t="s">
        <v>136</v>
      </c>
      <c r="D13" s="91">
        <v>655.24</v>
      </c>
      <c r="E13" s="91"/>
    </row>
    <row r="14" spans="1:5">
      <c r="C14" t="s">
        <v>137</v>
      </c>
      <c r="D14" s="91">
        <v>-140334.70000000001</v>
      </c>
      <c r="E14" s="91"/>
    </row>
    <row r="15" spans="1:5">
      <c r="B15" t="s">
        <v>138</v>
      </c>
      <c r="D15" s="111">
        <v>-139679.46000000002</v>
      </c>
      <c r="E15" s="91"/>
    </row>
    <row r="16" spans="1:5">
      <c r="B16" t="s">
        <v>13</v>
      </c>
      <c r="C16" t="s">
        <v>139</v>
      </c>
      <c r="D16" s="91"/>
      <c r="E16" s="91">
        <v>-68102</v>
      </c>
    </row>
    <row r="17" spans="1:5">
      <c r="B17" t="s">
        <v>140</v>
      </c>
      <c r="D17" s="91"/>
      <c r="E17" s="111">
        <v>-68102</v>
      </c>
    </row>
    <row r="18" spans="1:5" ht="13.5" thickBot="1">
      <c r="A18" t="s">
        <v>141</v>
      </c>
      <c r="D18" s="112">
        <v>-674030.76</v>
      </c>
      <c r="E18" s="112">
        <v>-280036</v>
      </c>
    </row>
    <row r="25" spans="1:5">
      <c r="B25" t="s">
        <v>142</v>
      </c>
    </row>
  </sheetData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845CF4-6AFE-490C-A574-2946E356D3E1}"/>
</file>

<file path=customXml/itemProps2.xml><?xml version="1.0" encoding="utf-8"?>
<ds:datastoreItem xmlns:ds="http://schemas.openxmlformats.org/officeDocument/2006/customXml" ds:itemID="{72D3AB8F-A7FE-41DE-B99C-9A8AB304180B}"/>
</file>

<file path=customXml/itemProps3.xml><?xml version="1.0" encoding="utf-8"?>
<ds:datastoreItem xmlns:ds="http://schemas.openxmlformats.org/officeDocument/2006/customXml" ds:itemID="{EEC8CB64-109E-4902-86D8-025A8DEEF658}"/>
</file>

<file path=customXml/itemProps4.xml><?xml version="1.0" encoding="utf-8"?>
<ds:datastoreItem xmlns:ds="http://schemas.openxmlformats.org/officeDocument/2006/customXml" ds:itemID="{88D769E5-5785-406F-A103-B077E1426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75</vt:i4>
      </vt:variant>
    </vt:vector>
  </HeadingPairs>
  <TitlesOfParts>
    <vt:vector size="81" baseType="lpstr">
      <vt:lpstr>E-RPT</vt:lpstr>
      <vt:lpstr>Sheet1</vt:lpstr>
      <vt:lpstr>G-RPT</vt:lpstr>
      <vt:lpstr>GL Export</vt:lpstr>
      <vt:lpstr>2018 Cost</vt:lpstr>
      <vt:lpstr>2019 costs recorded in 2020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Andrews, Liz</cp:lastModifiedBy>
  <cp:lastPrinted>2020-08-28T19:33:59Z</cp:lastPrinted>
  <dcterms:created xsi:type="dcterms:W3CDTF">2015-11-12T17:33:20Z</dcterms:created>
  <dcterms:modified xsi:type="dcterms:W3CDTF">2020-08-28T19:52:14Z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