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8955"/>
  </bookViews>
  <sheets>
    <sheet name="Lead G" sheetId="1" r:id="rId1"/>
    <sheet name="2018-2019 Investment " sheetId="2" r:id="rId2"/>
    <sheet name="Depr" sheetId="4" r:id="rId3"/>
    <sheet name="Tax table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17" i="4" l="1"/>
  <c r="C16" i="4"/>
  <c r="B11" i="2" l="1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W7" i="3" s="1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W6" i="3" s="1"/>
  <c r="W5" i="3"/>
  <c r="A19" i="1" l="1"/>
  <c r="A20" i="1"/>
  <c r="A21" i="1"/>
  <c r="A22" i="1"/>
  <c r="A16" i="1" l="1"/>
  <c r="A17" i="1" s="1"/>
  <c r="A18" i="1" s="1"/>
  <c r="F10" i="4" l="1"/>
  <c r="F7" i="4" l="1"/>
  <c r="F12" i="4" s="1"/>
  <c r="F9" i="4"/>
  <c r="E17" i="4"/>
  <c r="F11" i="4" l="1"/>
  <c r="D16" i="4"/>
  <c r="F16" i="4" s="1"/>
  <c r="E18" i="4"/>
  <c r="F17" i="4"/>
  <c r="D18" i="4" l="1"/>
  <c r="F18" i="4"/>
  <c r="F19" i="4" l="1"/>
  <c r="C6" i="2" s="1"/>
  <c r="F20" i="4"/>
  <c r="F21" i="4"/>
  <c r="D10" i="2" l="1"/>
  <c r="D6" i="2"/>
  <c r="G15" i="1"/>
  <c r="A11" i="1"/>
  <c r="A12" i="1" s="1"/>
  <c r="A13" i="1" s="1"/>
  <c r="A14" i="1" s="1"/>
  <c r="A15" i="1" s="1"/>
  <c r="D11" i="1" l="1"/>
  <c r="E11" i="1" s="1"/>
  <c r="D11" i="2" l="1"/>
  <c r="F11" i="1"/>
  <c r="H11" i="1"/>
  <c r="E10" i="2" l="1"/>
  <c r="E11" i="2" s="1"/>
  <c r="D18" i="1"/>
  <c r="D12" i="1"/>
  <c r="G11" i="2"/>
  <c r="E18" i="1" l="1"/>
  <c r="F18" i="1" s="1"/>
  <c r="E12" i="1"/>
  <c r="H18" i="1" l="1"/>
  <c r="F12" i="1"/>
  <c r="H12" i="1"/>
  <c r="D20" i="1" l="1"/>
  <c r="D22" i="1" s="1"/>
  <c r="E20" i="1" l="1"/>
  <c r="F20" i="1" s="1"/>
  <c r="E22" i="1"/>
  <c r="H20" i="1" l="1"/>
  <c r="H22" i="1"/>
  <c r="F22" i="1"/>
  <c r="F10" i="2" l="1"/>
  <c r="D13" i="1" l="1"/>
  <c r="F11" i="2"/>
  <c r="E13" i="1" l="1"/>
  <c r="F13" i="1" s="1"/>
  <c r="F15" i="1" s="1"/>
  <c r="D15" i="1"/>
  <c r="E15" i="1"/>
  <c r="H13" i="1" l="1"/>
  <c r="H15" i="1" s="1"/>
</calcChain>
</file>

<file path=xl/sharedStrings.xml><?xml version="1.0" encoding="utf-8"?>
<sst xmlns="http://schemas.openxmlformats.org/spreadsheetml/2006/main" count="67" uniqueCount="63">
  <si>
    <t>PUGET SOUND ENERGY-GAS</t>
  </si>
  <si>
    <t>PROFORMA</t>
  </si>
  <si>
    <t>ACTUAL</t>
  </si>
  <si>
    <t>RESTATED</t>
  </si>
  <si>
    <t>ADJUSTMENT</t>
  </si>
  <si>
    <t>ADJUSTMENT TO RATE BASE</t>
  </si>
  <si>
    <t>PLANT</t>
  </si>
  <si>
    <t>ACCUMULATED DEFERRED INCOME TAXES</t>
  </si>
  <si>
    <t>TOTAL  ADJUSTMENT TO RATEBASE</t>
  </si>
  <si>
    <t>Composite</t>
  </si>
  <si>
    <t xml:space="preserve">Annual </t>
  </si>
  <si>
    <t>FIT</t>
  </si>
  <si>
    <t>Dep Rate</t>
  </si>
  <si>
    <t>Depr Exp</t>
  </si>
  <si>
    <t>New Rates</t>
  </si>
  <si>
    <t>Period</t>
  </si>
  <si>
    <t>Tax Depreciation Rate</t>
  </si>
  <si>
    <t>Gross Plant</t>
  </si>
  <si>
    <t>Accum Dep</t>
  </si>
  <si>
    <t>ADFIT</t>
  </si>
  <si>
    <t>Rate Base</t>
  </si>
  <si>
    <t>TY</t>
  </si>
  <si>
    <t>(a)</t>
  </si>
  <si>
    <t>(b)</t>
  </si>
  <si>
    <t>(c)=(b)-(a)</t>
  </si>
  <si>
    <t>(d)</t>
  </si>
  <si>
    <t>(e)=(d)-(b)</t>
  </si>
  <si>
    <t>FOR THE TWELVE MONTHS ENDED DECEMBER 31, 2018</t>
  </si>
  <si>
    <t xml:space="preserve">REMOVE NEW CRM  CHARGES FROM THE  TEST YEAR </t>
  </si>
  <si>
    <t>WBS Element</t>
  </si>
  <si>
    <t>WBS Description</t>
  </si>
  <si>
    <t>Total CRM Actual and Forecast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</si>
  <si>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</si>
  <si>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</si>
  <si>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</si>
  <si>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</si>
  <si>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</si>
  <si>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</si>
  <si>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Grand Total</t>
  </si>
  <si>
    <t>Mains</t>
  </si>
  <si>
    <t>Services</t>
  </si>
  <si>
    <t>DEPRECIATION EXPENSE CALCULATION</t>
  </si>
  <si>
    <t>Type</t>
  </si>
  <si>
    <t>FERC G376.2</t>
  </si>
  <si>
    <t>FERC G380.2</t>
  </si>
  <si>
    <t>Total</t>
  </si>
  <si>
    <t>Main</t>
  </si>
  <si>
    <t>Total Annual Depr</t>
  </si>
  <si>
    <t>WEIGHTED AVERAGE COMPOSITE RATE</t>
  </si>
  <si>
    <t>November - December 2018</t>
  </si>
  <si>
    <t>Rate per 2017 GRC Study</t>
  </si>
  <si>
    <t>Nov - Dec 2018 Investment</t>
  </si>
  <si>
    <t>ACCUM DEPRECIATION</t>
  </si>
  <si>
    <t>ADJUSTMENT TO EXPENSE</t>
  </si>
  <si>
    <t>DEPRECIATION EXPENSE</t>
  </si>
  <si>
    <t>INCREASE (DECREASE) FIT @</t>
  </si>
  <si>
    <t>INCREASE (DECREASE) NOI</t>
  </si>
  <si>
    <t>Year</t>
  </si>
  <si>
    <t>Check</t>
  </si>
  <si>
    <t>Table</t>
  </si>
  <si>
    <t>Apply 50% Bonus</t>
  </si>
  <si>
    <t>Apply 40% Bonus</t>
  </si>
  <si>
    <t>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</si>
</sst>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_);\(#,##0.0\)"/>
    <numFmt numFmtId="168" formatCode="0_);\(0\)"/>
    <numFmt numFmtId="169" formatCode="0.0000%"/>
    <numFmt numFmtId="170" formatCode="&quot;$&quot;#,##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name val="Helv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/>
    </xf>
    <xf numFmtId="164" fontId="4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7" fontId="5" fillId="0" borderId="0" xfId="0" applyNumberFormat="1" applyFont="1" applyFill="1" applyBorder="1" applyAlignment="1"/>
    <xf numFmtId="42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5" fillId="0" borderId="0" xfId="0" applyFont="1" applyFill="1" applyBorder="1" applyAlignment="1"/>
    <xf numFmtId="42" fontId="0" fillId="0" borderId="0" xfId="0" applyNumberFormat="1" applyFill="1" applyBorder="1"/>
    <xf numFmtId="0" fontId="0" fillId="0" borderId="0" xfId="0" applyFill="1" applyBorder="1"/>
    <xf numFmtId="0" fontId="5" fillId="0" borderId="0" xfId="0" applyFont="1" applyBorder="1" applyAlignment="1"/>
    <xf numFmtId="165" fontId="5" fillId="0" borderId="3" xfId="0" applyNumberFormat="1" applyFont="1" applyFill="1" applyBorder="1" applyAlignment="1"/>
    <xf numFmtId="166" fontId="5" fillId="0" borderId="4" xfId="0" applyNumberFormat="1" applyFont="1" applyFill="1" applyBorder="1" applyAlignment="1" applyProtection="1">
      <protection locked="0"/>
    </xf>
    <xf numFmtId="166" fontId="5" fillId="0" borderId="0" xfId="0" applyNumberFormat="1" applyFont="1" applyFill="1" applyBorder="1" applyAlignment="1" applyProtection="1">
      <protection locked="0"/>
    </xf>
    <xf numFmtId="166" fontId="0" fillId="0" borderId="0" xfId="0" applyNumberFormat="1" applyFill="1" applyBorder="1"/>
    <xf numFmtId="166" fontId="0" fillId="0" borderId="0" xfId="0" applyNumberFormat="1" applyFill="1"/>
    <xf numFmtId="0" fontId="7" fillId="0" borderId="0" xfId="0" applyFont="1" applyFill="1"/>
    <xf numFmtId="0" fontId="7" fillId="0" borderId="0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0" xfId="0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9" fontId="8" fillId="0" borderId="9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left"/>
    </xf>
    <xf numFmtId="0" fontId="7" fillId="0" borderId="10" xfId="0" applyFont="1" applyFill="1" applyBorder="1"/>
    <xf numFmtId="0" fontId="7" fillId="0" borderId="11" xfId="0" applyFont="1" applyFill="1" applyBorder="1"/>
    <xf numFmtId="167" fontId="7" fillId="0" borderId="12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4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/>
    <xf numFmtId="42" fontId="8" fillId="0" borderId="0" xfId="0" applyNumberFormat="1" applyFont="1" applyFill="1" applyBorder="1"/>
    <xf numFmtId="41" fontId="9" fillId="0" borderId="0" xfId="0" applyNumberFormat="1" applyFont="1" applyFill="1" applyBorder="1"/>
    <xf numFmtId="42" fontId="7" fillId="0" borderId="0" xfId="0" applyNumberFormat="1" applyFont="1" applyFill="1" applyBorder="1"/>
    <xf numFmtId="41" fontId="7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14" fillId="0" borderId="17" xfId="0" applyFont="1" applyFill="1" applyBorder="1"/>
    <xf numFmtId="0" fontId="14" fillId="0" borderId="17" xfId="0" applyFont="1" applyFill="1" applyBorder="1" applyAlignment="1">
      <alignment horizontal="center" wrapText="1"/>
    </xf>
    <xf numFmtId="0" fontId="15" fillId="0" borderId="18" xfId="0" applyFont="1" applyFill="1" applyBorder="1"/>
    <xf numFmtId="170" fontId="14" fillId="0" borderId="14" xfId="0" applyNumberFormat="1" applyFont="1" applyFill="1" applyBorder="1"/>
    <xf numFmtId="0" fontId="14" fillId="0" borderId="14" xfId="0" applyFont="1" applyFill="1" applyBorder="1"/>
    <xf numFmtId="0" fontId="12" fillId="0" borderId="0" xfId="0" applyFont="1" applyFill="1" applyBorder="1"/>
    <xf numFmtId="0" fontId="12" fillId="0" borderId="14" xfId="0" applyFont="1" applyFill="1" applyBorder="1"/>
    <xf numFmtId="10" fontId="12" fillId="0" borderId="0" xfId="0" applyNumberFormat="1" applyFont="1" applyFill="1" applyBorder="1"/>
    <xf numFmtId="0" fontId="10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Continuous"/>
    </xf>
    <xf numFmtId="0" fontId="12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43" fontId="14" fillId="0" borderId="14" xfId="0" applyNumberFormat="1" applyFont="1" applyFill="1" applyBorder="1" applyAlignment="1"/>
    <xf numFmtId="0" fontId="14" fillId="0" borderId="14" xfId="0" applyNumberFormat="1" applyFont="1" applyFill="1" applyBorder="1" applyAlignment="1"/>
    <xf numFmtId="0" fontId="16" fillId="0" borderId="14" xfId="0" applyNumberFormat="1" applyFont="1" applyFill="1" applyBorder="1" applyAlignment="1"/>
    <xf numFmtId="0" fontId="12" fillId="0" borderId="15" xfId="0" applyFont="1" applyFill="1" applyBorder="1"/>
    <xf numFmtId="0" fontId="13" fillId="0" borderId="13" xfId="0" applyFont="1" applyFill="1" applyBorder="1" applyAlignment="1">
      <alignment horizontal="centerContinuous"/>
    </xf>
    <xf numFmtId="0" fontId="12" fillId="0" borderId="13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centerContinuous"/>
    </xf>
    <xf numFmtId="43" fontId="14" fillId="0" borderId="14" xfId="0" applyNumberFormat="1" applyFont="1" applyFill="1" applyBorder="1"/>
    <xf numFmtId="166" fontId="14" fillId="0" borderId="14" xfId="0" applyNumberFormat="1" applyFont="1" applyFill="1" applyBorder="1"/>
    <xf numFmtId="170" fontId="7" fillId="0" borderId="14" xfId="0" applyNumberFormat="1" applyFont="1" applyFill="1" applyBorder="1"/>
    <xf numFmtId="0" fontId="1" fillId="0" borderId="0" xfId="0" applyFont="1" applyFill="1"/>
    <xf numFmtId="0" fontId="1" fillId="0" borderId="14" xfId="0" applyFont="1" applyFill="1" applyBorder="1"/>
    <xf numFmtId="170" fontId="1" fillId="0" borderId="14" xfId="0" applyNumberFormat="1" applyFont="1" applyFill="1" applyBorder="1"/>
    <xf numFmtId="10" fontId="1" fillId="0" borderId="0" xfId="0" applyNumberFormat="1" applyFont="1" applyFill="1"/>
    <xf numFmtId="0" fontId="14" fillId="0" borderId="14" xfId="0" applyFont="1" applyFill="1" applyBorder="1" applyAlignment="1">
      <alignment horizontal="center" wrapText="1"/>
    </xf>
    <xf numFmtId="10" fontId="14" fillId="0" borderId="14" xfId="0" applyNumberFormat="1" applyFont="1" applyFill="1" applyBorder="1" applyAlignment="1"/>
    <xf numFmtId="10" fontId="17" fillId="0" borderId="14" xfId="0" applyNumberFormat="1" applyFont="1" applyFill="1" applyBorder="1" applyAlignment="1"/>
    <xf numFmtId="10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/>
    <xf numFmtId="165" fontId="9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165" fontId="0" fillId="0" borderId="0" xfId="0" applyNumberFormat="1" applyFill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left"/>
    </xf>
    <xf numFmtId="169" fontId="11" fillId="0" borderId="14" xfId="0" applyNumberFormat="1" applyFont="1" applyBorder="1" applyAlignment="1">
      <alignment vertical="center" wrapText="1"/>
    </xf>
    <xf numFmtId="4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/>
      <sheetData sheetId="1"/>
      <sheetData sheetId="2"/>
      <sheetData sheetId="3">
        <row r="7206">
          <cell r="G7206">
            <v>2.53E-2</v>
          </cell>
        </row>
        <row r="7323">
          <cell r="G7323">
            <v>3.5099999999999999E-2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pane xSplit="2" ySplit="7" topLeftCell="C8" activePane="bottomRight" state="frozen"/>
      <selection activeCell="H36" sqref="H36"/>
      <selection pane="topRight" activeCell="H36" sqref="H36"/>
      <selection pane="bottomLeft" activeCell="H36" sqref="H36"/>
      <selection pane="bottomRight" activeCell="C21" sqref="C21"/>
    </sheetView>
  </sheetViews>
  <sheetFormatPr defaultColWidth="9.140625" defaultRowHeight="12.75" x14ac:dyDescent="0.2"/>
  <cols>
    <col min="1" max="1" width="4.7109375" style="1" customWidth="1"/>
    <col min="2" max="2" width="41.28515625" style="16" customWidth="1"/>
    <col min="3" max="3" width="5" style="1" customWidth="1"/>
    <col min="4" max="4" width="11.28515625" style="1" bestFit="1" customWidth="1"/>
    <col min="5" max="5" width="10.85546875" style="1" customWidth="1"/>
    <col min="6" max="6" width="13.7109375" style="1" bestFit="1" customWidth="1"/>
    <col min="7" max="7" width="11.42578125" style="1" bestFit="1" customWidth="1"/>
    <col min="8" max="8" width="14.42578125" style="1" bestFit="1" customWidth="1"/>
    <col min="9" max="9" width="13.42578125" style="1" bestFit="1" customWidth="1"/>
    <col min="10" max="10" width="16" style="1" customWidth="1"/>
    <col min="11" max="11" width="13.5703125" style="1" customWidth="1"/>
    <col min="12" max="16384" width="9.140625" style="1"/>
  </cols>
  <sheetData>
    <row r="1" spans="1:11" ht="13.5" thickBot="1" x14ac:dyDescent="0.25">
      <c r="H1" s="2"/>
    </row>
    <row r="2" spans="1:11" x14ac:dyDescent="0.2">
      <c r="A2" s="3" t="s">
        <v>0</v>
      </c>
      <c r="B2" s="50"/>
      <c r="C2" s="4"/>
      <c r="D2" s="4"/>
      <c r="E2" s="4"/>
      <c r="F2" s="4"/>
      <c r="G2" s="4"/>
      <c r="H2" s="4"/>
    </row>
    <row r="3" spans="1:11" x14ac:dyDescent="0.2">
      <c r="A3" s="5" t="s">
        <v>28</v>
      </c>
      <c r="B3" s="51"/>
      <c r="C3" s="5"/>
      <c r="D3" s="5"/>
      <c r="E3" s="5"/>
      <c r="F3" s="5"/>
      <c r="G3" s="5"/>
      <c r="H3" s="5"/>
    </row>
    <row r="4" spans="1:11" x14ac:dyDescent="0.2">
      <c r="A4" s="5" t="s">
        <v>27</v>
      </c>
      <c r="B4" s="51"/>
      <c r="C4" s="5"/>
      <c r="D4" s="5"/>
      <c r="E4" s="5"/>
      <c r="F4" s="5"/>
      <c r="G4" s="5"/>
      <c r="H4" s="5"/>
    </row>
    <row r="5" spans="1:11" x14ac:dyDescent="0.2">
      <c r="A5" s="5"/>
      <c r="B5" s="51"/>
      <c r="C5" s="5"/>
      <c r="D5" s="5"/>
      <c r="E5" s="5"/>
      <c r="F5" s="5"/>
      <c r="G5" s="5"/>
      <c r="H5" s="5"/>
    </row>
    <row r="6" spans="1:11" x14ac:dyDescent="0.2">
      <c r="A6" s="6"/>
      <c r="B6" s="52"/>
      <c r="D6" s="46" t="s">
        <v>21</v>
      </c>
      <c r="E6" s="47"/>
      <c r="F6" s="48" t="s">
        <v>3</v>
      </c>
      <c r="G6" s="47"/>
      <c r="H6" s="48" t="s">
        <v>1</v>
      </c>
    </row>
    <row r="7" spans="1:11" x14ac:dyDescent="0.2">
      <c r="A7" s="7"/>
      <c r="B7" s="53"/>
      <c r="C7" s="8"/>
      <c r="D7" s="48" t="s">
        <v>2</v>
      </c>
      <c r="E7" s="48" t="s">
        <v>3</v>
      </c>
      <c r="F7" s="48" t="s">
        <v>4</v>
      </c>
      <c r="G7" s="48" t="s">
        <v>1</v>
      </c>
      <c r="H7" s="48" t="s">
        <v>4</v>
      </c>
    </row>
    <row r="8" spans="1:11" ht="15" x14ac:dyDescent="0.25">
      <c r="A8" s="10"/>
      <c r="B8" s="54"/>
      <c r="D8" s="49" t="s">
        <v>22</v>
      </c>
      <c r="E8" s="9" t="s">
        <v>23</v>
      </c>
      <c r="F8" s="49" t="s">
        <v>24</v>
      </c>
      <c r="G8" s="9" t="s">
        <v>25</v>
      </c>
      <c r="H8" s="49" t="s">
        <v>26</v>
      </c>
    </row>
    <row r="9" spans="1:11" x14ac:dyDescent="0.2">
      <c r="A9" s="10"/>
      <c r="B9" s="54"/>
      <c r="F9" s="11"/>
      <c r="G9" s="11"/>
      <c r="H9" s="11"/>
    </row>
    <row r="10" spans="1:11" x14ac:dyDescent="0.2">
      <c r="A10" s="10">
        <v>1</v>
      </c>
      <c r="B10" s="55" t="s">
        <v>5</v>
      </c>
      <c r="F10" s="13"/>
      <c r="G10" s="13"/>
      <c r="H10" s="13"/>
    </row>
    <row r="11" spans="1:11" x14ac:dyDescent="0.2">
      <c r="A11" s="10">
        <f t="shared" ref="A11:A22" si="0">A10+1</f>
        <v>2</v>
      </c>
      <c r="B11" s="14" t="s">
        <v>6</v>
      </c>
      <c r="D11" s="12">
        <f>'2018-2019 Investment '!C11</f>
        <v>9377979.3800000008</v>
      </c>
      <c r="E11" s="12">
        <f>D11</f>
        <v>9377979.3800000008</v>
      </c>
      <c r="F11" s="12">
        <f>E11-D11</f>
        <v>0</v>
      </c>
      <c r="G11" s="12">
        <v>0</v>
      </c>
      <c r="H11" s="12">
        <f>G11-E11</f>
        <v>-9377979.3800000008</v>
      </c>
      <c r="I11" s="15"/>
      <c r="J11" s="15"/>
      <c r="K11" s="97"/>
    </row>
    <row r="12" spans="1:11" x14ac:dyDescent="0.2">
      <c r="A12" s="10">
        <f t="shared" si="0"/>
        <v>3</v>
      </c>
      <c r="B12" s="56" t="s">
        <v>52</v>
      </c>
      <c r="D12" s="13">
        <f>'2018-2019 Investment '!D11</f>
        <v>-39543.813052333338</v>
      </c>
      <c r="E12" s="13">
        <f t="shared" ref="E12:E13" si="1">D12</f>
        <v>-39543.813052333338</v>
      </c>
      <c r="F12" s="13">
        <f t="shared" ref="F12:F13" si="2">E12-D12</f>
        <v>0</v>
      </c>
      <c r="G12" s="13">
        <v>0</v>
      </c>
      <c r="H12" s="13">
        <f t="shared" ref="H12:H13" si="3">G12-E12</f>
        <v>39543.813052333338</v>
      </c>
      <c r="I12" s="15"/>
      <c r="J12" s="88"/>
      <c r="K12" s="97"/>
    </row>
    <row r="13" spans="1:11" x14ac:dyDescent="0.2">
      <c r="A13" s="10">
        <f t="shared" si="0"/>
        <v>4</v>
      </c>
      <c r="B13" s="17" t="s">
        <v>7</v>
      </c>
      <c r="D13" s="13">
        <f>'2018-2019 Investment '!E11</f>
        <v>-10924.564479418335</v>
      </c>
      <c r="E13" s="13">
        <f t="shared" si="1"/>
        <v>-10924.564479418335</v>
      </c>
      <c r="F13" s="13">
        <f t="shared" si="2"/>
        <v>0</v>
      </c>
      <c r="G13" s="13">
        <v>0</v>
      </c>
      <c r="H13" s="13">
        <f t="shared" si="3"/>
        <v>10924.564479418335</v>
      </c>
      <c r="I13" s="15"/>
      <c r="J13" s="88"/>
      <c r="K13" s="97"/>
    </row>
    <row r="14" spans="1:11" x14ac:dyDescent="0.2">
      <c r="A14" s="10">
        <f t="shared" si="0"/>
        <v>5</v>
      </c>
      <c r="B14" s="14"/>
      <c r="D14" s="18"/>
      <c r="E14" s="18"/>
      <c r="F14" s="18"/>
      <c r="G14" s="18"/>
      <c r="H14" s="18"/>
      <c r="I14" s="16"/>
      <c r="J14" s="88"/>
      <c r="K14" s="97"/>
    </row>
    <row r="15" spans="1:11" ht="13.5" thickBot="1" x14ac:dyDescent="0.25">
      <c r="A15" s="10">
        <f t="shared" si="0"/>
        <v>6</v>
      </c>
      <c r="B15" s="57" t="s">
        <v>8</v>
      </c>
      <c r="D15" s="19">
        <f>SUM(D11:D13)</f>
        <v>9327511.0024682488</v>
      </c>
      <c r="E15" s="19">
        <f>SUM(E11:E13)</f>
        <v>9327511.0024682488</v>
      </c>
      <c r="F15" s="19">
        <f>SUM(F11:F13)</f>
        <v>0</v>
      </c>
      <c r="G15" s="19">
        <f>SUM(G11:G13)</f>
        <v>0</v>
      </c>
      <c r="H15" s="19">
        <f>SUM(H11:H13)</f>
        <v>-9327511.0024682488</v>
      </c>
      <c r="I15" s="20"/>
      <c r="J15" s="21"/>
      <c r="K15" s="97"/>
    </row>
    <row r="16" spans="1:11" ht="13.5" thickTop="1" x14ac:dyDescent="0.2">
      <c r="A16" s="10">
        <f t="shared" si="0"/>
        <v>7</v>
      </c>
      <c r="I16" s="16"/>
      <c r="J16" s="16"/>
      <c r="K16" s="97"/>
    </row>
    <row r="17" spans="1:11" x14ac:dyDescent="0.2">
      <c r="A17" s="10">
        <f t="shared" si="0"/>
        <v>8</v>
      </c>
      <c r="B17" s="55" t="s">
        <v>53</v>
      </c>
      <c r="F17" s="22"/>
      <c r="K17" s="97"/>
    </row>
    <row r="18" spans="1:11" x14ac:dyDescent="0.2">
      <c r="A18" s="10">
        <f t="shared" si="0"/>
        <v>9</v>
      </c>
      <c r="B18" s="14" t="s">
        <v>54</v>
      </c>
      <c r="D18" s="13">
        <f>-'2018-2019 Investment '!D11</f>
        <v>39543.813052333338</v>
      </c>
      <c r="E18" s="13">
        <f t="shared" ref="E18:E22" si="4">D18</f>
        <v>39543.813052333338</v>
      </c>
      <c r="F18" s="13">
        <f t="shared" ref="F18" si="5">E18-D18</f>
        <v>0</v>
      </c>
      <c r="G18" s="13">
        <v>0</v>
      </c>
      <c r="H18" s="13">
        <f t="shared" ref="H18" si="6">G18-E18</f>
        <v>-39543.813052333338</v>
      </c>
      <c r="J18" s="91"/>
      <c r="K18" s="97"/>
    </row>
    <row r="19" spans="1:11" x14ac:dyDescent="0.2">
      <c r="A19" s="10">
        <f t="shared" si="0"/>
        <v>10</v>
      </c>
      <c r="K19" s="97"/>
    </row>
    <row r="20" spans="1:11" x14ac:dyDescent="0.2">
      <c r="A20" s="10">
        <f t="shared" si="0"/>
        <v>11</v>
      </c>
      <c r="B20" s="90" t="s">
        <v>55</v>
      </c>
      <c r="C20" s="1">
        <v>0.21</v>
      </c>
      <c r="D20" s="13">
        <f>-D18*C20</f>
        <v>-8304.2007409900016</v>
      </c>
      <c r="E20" s="13">
        <f t="shared" si="4"/>
        <v>-8304.2007409900016</v>
      </c>
      <c r="F20" s="13">
        <f t="shared" ref="F20" si="7">E20-D20</f>
        <v>0</v>
      </c>
      <c r="G20" s="13">
        <v>0</v>
      </c>
      <c r="H20" s="13">
        <f t="shared" ref="H20" si="8">G20-E20</f>
        <v>8304.2007409900016</v>
      </c>
      <c r="J20" s="91"/>
      <c r="K20" s="97"/>
    </row>
    <row r="21" spans="1:11" x14ac:dyDescent="0.2">
      <c r="A21" s="10">
        <f t="shared" si="0"/>
        <v>12</v>
      </c>
      <c r="B21" s="90"/>
      <c r="D21" s="13"/>
      <c r="E21" s="13"/>
      <c r="F21" s="13"/>
      <c r="G21" s="13"/>
      <c r="H21" s="13"/>
      <c r="J21" s="91"/>
      <c r="K21" s="97"/>
    </row>
    <row r="22" spans="1:11" ht="13.5" thickBot="1" x14ac:dyDescent="0.25">
      <c r="A22" s="10">
        <f t="shared" si="0"/>
        <v>13</v>
      </c>
      <c r="B22" s="90" t="s">
        <v>56</v>
      </c>
      <c r="D22" s="19">
        <f>-D18-D20</f>
        <v>-31239.612311343335</v>
      </c>
      <c r="E22" s="19">
        <f t="shared" si="4"/>
        <v>-31239.612311343335</v>
      </c>
      <c r="F22" s="19">
        <f t="shared" ref="F22" si="9">E22-D22</f>
        <v>0</v>
      </c>
      <c r="G22" s="19">
        <v>0</v>
      </c>
      <c r="H22" s="19">
        <f t="shared" ref="H22" si="10">G22-E22</f>
        <v>31239.612311343335</v>
      </c>
      <c r="J22" s="22"/>
      <c r="K22" s="97"/>
    </row>
    <row r="23" spans="1:11" ht="13.5" thickTop="1" x14ac:dyDescent="0.2"/>
  </sheetData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="115" zoomScaleNormal="115" workbookViewId="0">
      <pane ySplit="8" topLeftCell="A9" activePane="bottomLeft" state="frozen"/>
      <selection activeCell="H36" sqref="H36"/>
      <selection pane="bottomLeft" activeCell="C10" sqref="C10"/>
    </sheetView>
  </sheetViews>
  <sheetFormatPr defaultColWidth="9.140625" defaultRowHeight="15" x14ac:dyDescent="0.25"/>
  <cols>
    <col min="1" max="1" width="11.7109375" style="24" customWidth="1"/>
    <col min="2" max="2" width="12.42578125" style="24" customWidth="1"/>
    <col min="3" max="3" width="13.5703125" style="24" bestFit="1" customWidth="1"/>
    <col min="4" max="5" width="14.7109375" style="24" bestFit="1" customWidth="1"/>
    <col min="6" max="6" width="13.7109375" style="24" customWidth="1"/>
    <col min="7" max="7" width="12.42578125" style="24" bestFit="1" customWidth="1"/>
    <col min="8" max="8" width="14.140625" style="24" bestFit="1" customWidth="1"/>
    <col min="9" max="9" width="13" style="24" bestFit="1" customWidth="1"/>
    <col min="10" max="11" width="12.28515625" style="24" bestFit="1" customWidth="1"/>
    <col min="12" max="16384" width="9.140625" style="24"/>
  </cols>
  <sheetData>
    <row r="1" spans="1:9" x14ac:dyDescent="0.25">
      <c r="A1" s="23" t="s">
        <v>51</v>
      </c>
    </row>
    <row r="2" spans="1:9" x14ac:dyDescent="0.25">
      <c r="A2" s="23"/>
      <c r="B2" s="25"/>
      <c r="C2" s="26"/>
      <c r="D2" s="26"/>
      <c r="E2" s="27"/>
    </row>
    <row r="3" spans="1:9" x14ac:dyDescent="0.25">
      <c r="B3" s="28"/>
      <c r="E3" s="29"/>
    </row>
    <row r="4" spans="1:9" x14ac:dyDescent="0.25">
      <c r="B4" s="28"/>
      <c r="C4" s="30" t="s">
        <v>9</v>
      </c>
      <c r="D4" s="30" t="s">
        <v>10</v>
      </c>
      <c r="E4" s="29" t="s">
        <v>11</v>
      </c>
    </row>
    <row r="5" spans="1:9" x14ac:dyDescent="0.25">
      <c r="B5" s="28"/>
      <c r="C5" s="30" t="s">
        <v>12</v>
      </c>
      <c r="D5" s="30" t="s">
        <v>13</v>
      </c>
      <c r="E5" s="29"/>
      <c r="G5" s="45"/>
    </row>
    <row r="6" spans="1:9" x14ac:dyDescent="0.25">
      <c r="B6" s="33" t="s">
        <v>14</v>
      </c>
      <c r="C6" s="87">
        <f>Depr!F19</f>
        <v>2.53E-2</v>
      </c>
      <c r="D6" s="31">
        <f>+C11*C6</f>
        <v>237262.87831400003</v>
      </c>
      <c r="E6" s="32">
        <v>0.21</v>
      </c>
    </row>
    <row r="7" spans="1:9" x14ac:dyDescent="0.25">
      <c r="B7" s="34"/>
      <c r="C7" s="35"/>
      <c r="D7" s="35"/>
      <c r="E7" s="36"/>
      <c r="F7" s="37"/>
    </row>
    <row r="8" spans="1:9" ht="45" x14ac:dyDescent="0.25">
      <c r="A8" s="38" t="s">
        <v>15</v>
      </c>
      <c r="B8" s="39" t="s">
        <v>16</v>
      </c>
      <c r="C8" s="39" t="s">
        <v>17</v>
      </c>
      <c r="D8" s="39" t="s">
        <v>18</v>
      </c>
      <c r="E8" s="39" t="s">
        <v>19</v>
      </c>
      <c r="F8" s="39" t="s">
        <v>20</v>
      </c>
      <c r="G8" s="39" t="s">
        <v>62</v>
      </c>
    </row>
    <row r="10" spans="1:9" x14ac:dyDescent="0.25">
      <c r="A10" s="40">
        <v>43434</v>
      </c>
      <c r="B10" s="41"/>
      <c r="C10" s="42">
        <v>1571207.0599999989</v>
      </c>
      <c r="D10" s="42">
        <f>-C11*$C$6/12+D9</f>
        <v>-19771.906526166669</v>
      </c>
      <c r="E10" s="43">
        <f>-($C$11*$B$11+$D$11)/12*$E$6</f>
        <v>-5462.2822397091677</v>
      </c>
      <c r="F10" s="42">
        <f>SUM(C10:E10)</f>
        <v>1545972.8712341229</v>
      </c>
      <c r="G10" s="42"/>
      <c r="H10" s="44"/>
      <c r="I10" s="44"/>
    </row>
    <row r="11" spans="1:9" x14ac:dyDescent="0.25">
      <c r="A11" s="40">
        <v>43465</v>
      </c>
      <c r="B11" s="24">
        <f>'Tax table'!B5</f>
        <v>3.7499999999999999E-2</v>
      </c>
      <c r="C11" s="45">
        <v>9377979.3800000008</v>
      </c>
      <c r="D11" s="45">
        <f>-C11*$C$6/12+D10</f>
        <v>-39543.813052333338</v>
      </c>
      <c r="E11" s="89">
        <f>-($C$11*$B$11+$D$11)/12*$E$6+E10</f>
        <v>-10924.564479418335</v>
      </c>
      <c r="F11" s="45">
        <f t="shared" ref="F11" si="0">SUM(C11:E11)</f>
        <v>9327511.0024682488</v>
      </c>
      <c r="G11" s="42">
        <f>-D11</f>
        <v>39543.813052333338</v>
      </c>
      <c r="H11" s="42"/>
      <c r="I11" s="44"/>
    </row>
    <row r="12" spans="1:9" x14ac:dyDescent="0.25">
      <c r="A12" s="40"/>
    </row>
    <row r="13" spans="1:9" x14ac:dyDescent="0.25">
      <c r="A13" s="40"/>
    </row>
    <row r="14" spans="1:9" x14ac:dyDescent="0.25">
      <c r="A14" s="40"/>
    </row>
    <row r="15" spans="1:9" x14ac:dyDescent="0.25">
      <c r="A15" s="40"/>
    </row>
    <row r="16" spans="1:9" x14ac:dyDescent="0.25">
      <c r="A16" s="40"/>
    </row>
    <row r="17" spans="1:1" x14ac:dyDescent="0.25">
      <c r="A17" s="40"/>
    </row>
    <row r="18" spans="1:1" x14ac:dyDescent="0.25">
      <c r="A18" s="40"/>
    </row>
    <row r="19" spans="1:1" x14ac:dyDescent="0.25">
      <c r="A19" s="40"/>
    </row>
    <row r="20" spans="1:1" x14ac:dyDescent="0.25">
      <c r="A20" s="40"/>
    </row>
    <row r="21" spans="1:1" x14ac:dyDescent="0.25">
      <c r="A21" s="40"/>
    </row>
    <row r="22" spans="1:1" x14ac:dyDescent="0.25">
      <c r="A22" s="40"/>
    </row>
    <row r="23" spans="1:1" x14ac:dyDescent="0.25">
      <c r="A23" s="40"/>
    </row>
    <row r="24" spans="1:1" x14ac:dyDescent="0.25">
      <c r="A24" s="40"/>
    </row>
    <row r="25" spans="1:1" x14ac:dyDescent="0.25">
      <c r="A25" s="40"/>
    </row>
    <row r="26" spans="1:1" x14ac:dyDescent="0.25">
      <c r="A26" s="40"/>
    </row>
    <row r="27" spans="1:1" x14ac:dyDescent="0.25">
      <c r="A27" s="40"/>
    </row>
    <row r="28" spans="1:1" x14ac:dyDescent="0.25">
      <c r="A28" s="40"/>
    </row>
    <row r="29" spans="1:1" x14ac:dyDescent="0.25">
      <c r="A29" s="40"/>
    </row>
    <row r="30" spans="1:1" x14ac:dyDescent="0.25">
      <c r="A30" s="40"/>
    </row>
    <row r="31" spans="1:1" x14ac:dyDescent="0.25">
      <c r="A31" s="40"/>
    </row>
    <row r="32" spans="1:1" x14ac:dyDescent="0.25">
      <c r="A32" s="40"/>
    </row>
    <row r="33" spans="1:1" x14ac:dyDescent="0.25">
      <c r="A33" s="40"/>
    </row>
    <row r="34" spans="1:1" x14ac:dyDescent="0.25">
      <c r="A34" s="40"/>
    </row>
    <row r="35" spans="1:1" x14ac:dyDescent="0.25">
      <c r="A35" s="40"/>
    </row>
    <row r="36" spans="1:1" x14ac:dyDescent="0.25">
      <c r="A36" s="40"/>
    </row>
    <row r="37" spans="1:1" x14ac:dyDescent="0.25">
      <c r="A37" s="40"/>
    </row>
    <row r="38" spans="1:1" x14ac:dyDescent="0.25">
      <c r="A38" s="40"/>
    </row>
    <row r="39" spans="1:1" x14ac:dyDescent="0.25">
      <c r="A39" s="40"/>
    </row>
    <row r="40" spans="1:1" x14ac:dyDescent="0.25">
      <c r="A40" s="40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F4" sqref="F4"/>
    </sheetView>
  </sheetViews>
  <sheetFormatPr defaultRowHeight="12.75" x14ac:dyDescent="0.2"/>
  <cols>
    <col min="1" max="1" width="9.140625" style="1"/>
    <col min="2" max="2" width="17" style="1" bestFit="1" customWidth="1"/>
    <col min="3" max="3" width="46" style="1" bestFit="1" customWidth="1"/>
    <col min="4" max="4" width="13.28515625" style="1" bestFit="1" customWidth="1"/>
    <col min="5" max="5" width="11.7109375" style="1" bestFit="1" customWidth="1"/>
    <col min="6" max="6" width="15.5703125" style="1" customWidth="1"/>
    <col min="7" max="16384" width="9.140625" style="1"/>
  </cols>
  <sheetData>
    <row r="1" spans="2:6" ht="13.5" thickBot="1" x14ac:dyDescent="0.25"/>
    <row r="2" spans="2:6" ht="15.75" thickBot="1" x14ac:dyDescent="0.3">
      <c r="B2" s="73"/>
      <c r="C2" s="74" t="s">
        <v>49</v>
      </c>
      <c r="D2" s="75"/>
      <c r="E2" s="75"/>
      <c r="F2" s="76"/>
    </row>
    <row r="3" spans="2:6" ht="45" x14ac:dyDescent="0.25">
      <c r="B3" s="58" t="s">
        <v>29</v>
      </c>
      <c r="C3" s="58" t="s">
        <v>30</v>
      </c>
      <c r="D3" s="59"/>
      <c r="E3" s="59"/>
      <c r="F3" s="59" t="s">
        <v>31</v>
      </c>
    </row>
    <row r="4" spans="2:6" ht="15.75" x14ac:dyDescent="0.25">
      <c r="B4" s="60" t="s">
        <v>32</v>
      </c>
      <c r="C4" s="60" t="s">
        <v>33</v>
      </c>
      <c r="D4" s="77"/>
      <c r="E4" s="78"/>
      <c r="F4" s="61">
        <v>9228465.1400000006</v>
      </c>
    </row>
    <row r="5" spans="2:6" ht="15.75" x14ac:dyDescent="0.25">
      <c r="B5" s="60" t="s">
        <v>34</v>
      </c>
      <c r="C5" s="60" t="s">
        <v>35</v>
      </c>
      <c r="D5" s="77"/>
      <c r="E5" s="78"/>
      <c r="F5" s="61">
        <v>101925.85</v>
      </c>
    </row>
    <row r="6" spans="2:6" ht="15.75" x14ac:dyDescent="0.25">
      <c r="B6" s="60" t="s">
        <v>36</v>
      </c>
      <c r="C6" s="60" t="s">
        <v>37</v>
      </c>
      <c r="D6" s="77"/>
      <c r="E6" s="78"/>
      <c r="F6" s="61">
        <v>47588.390000000014</v>
      </c>
    </row>
    <row r="7" spans="2:6" ht="15" x14ac:dyDescent="0.25">
      <c r="B7" s="62" t="s">
        <v>38</v>
      </c>
      <c r="C7" s="62"/>
      <c r="D7" s="79"/>
      <c r="E7" s="79"/>
      <c r="F7" s="79">
        <f>SUM(F4:F6)</f>
        <v>9377979.3800000008</v>
      </c>
    </row>
    <row r="8" spans="2:6" ht="15" x14ac:dyDescent="0.25">
      <c r="B8" s="63"/>
      <c r="C8" s="63"/>
      <c r="D8" s="80"/>
      <c r="E8" s="80"/>
      <c r="F8" s="80"/>
    </row>
    <row r="9" spans="2:6" ht="15" x14ac:dyDescent="0.25">
      <c r="B9" s="63"/>
      <c r="C9" s="64" t="s">
        <v>39</v>
      </c>
      <c r="D9" s="81"/>
      <c r="E9" s="81"/>
      <c r="F9" s="82">
        <f>+F4+F5</f>
        <v>9330390.9900000002</v>
      </c>
    </row>
    <row r="10" spans="2:6" ht="15" x14ac:dyDescent="0.25">
      <c r="B10" s="63"/>
      <c r="C10" s="64" t="s">
        <v>40</v>
      </c>
      <c r="D10" s="81"/>
      <c r="E10" s="81"/>
      <c r="F10" s="82">
        <f>+F6</f>
        <v>47588.390000000014</v>
      </c>
    </row>
    <row r="11" spans="2:6" ht="15" x14ac:dyDescent="0.25">
      <c r="B11" s="63"/>
      <c r="C11" s="63"/>
      <c r="D11" s="80"/>
      <c r="E11" s="80"/>
      <c r="F11" s="83">
        <f>+F9/F7</f>
        <v>0.99492551773983529</v>
      </c>
    </row>
    <row r="12" spans="2:6" ht="15" x14ac:dyDescent="0.25">
      <c r="B12" s="63"/>
      <c r="C12" s="63"/>
      <c r="D12" s="80"/>
      <c r="E12" s="80"/>
      <c r="F12" s="83">
        <f>+F10/F7</f>
        <v>5.0744822601646632E-3</v>
      </c>
    </row>
    <row r="13" spans="2:6" ht="15" x14ac:dyDescent="0.25">
      <c r="B13" s="63"/>
      <c r="C13" s="63"/>
      <c r="D13" s="63"/>
      <c r="E13" s="63"/>
      <c r="F13" s="65"/>
    </row>
    <row r="14" spans="2:6" ht="15" x14ac:dyDescent="0.25">
      <c r="B14" s="66"/>
      <c r="C14" s="67" t="s">
        <v>41</v>
      </c>
      <c r="D14" s="67"/>
      <c r="E14" s="67"/>
      <c r="F14" s="67"/>
    </row>
    <row r="15" spans="2:6" ht="15" x14ac:dyDescent="0.25">
      <c r="B15" s="68" t="s">
        <v>42</v>
      </c>
      <c r="C15" s="84" t="s">
        <v>50</v>
      </c>
      <c r="D15" s="69" t="s">
        <v>43</v>
      </c>
      <c r="E15" s="69" t="s">
        <v>44</v>
      </c>
      <c r="F15" s="69" t="s">
        <v>45</v>
      </c>
    </row>
    <row r="16" spans="2:6" ht="15" x14ac:dyDescent="0.25">
      <c r="B16" s="62" t="s">
        <v>46</v>
      </c>
      <c r="C16" s="85">
        <f>'[1]Depr Exp'!$G$7206</f>
        <v>2.53E-2</v>
      </c>
      <c r="D16" s="70">
        <f>F9*C16</f>
        <v>236058.892047</v>
      </c>
      <c r="E16" s="70"/>
      <c r="F16" s="70">
        <f>SUM(D16:E16)</f>
        <v>236058.892047</v>
      </c>
    </row>
    <row r="17" spans="2:6" ht="15" x14ac:dyDescent="0.25">
      <c r="B17" s="62" t="s">
        <v>40</v>
      </c>
      <c r="C17" s="85">
        <f>'[1]Depr Exp'!$G$7323</f>
        <v>3.5099999999999999E-2</v>
      </c>
      <c r="D17" s="70"/>
      <c r="E17" s="70">
        <f>F10*C17</f>
        <v>1670.3524890000006</v>
      </c>
      <c r="F17" s="70">
        <f>SUM(D17:E17)</f>
        <v>1670.3524890000006</v>
      </c>
    </row>
    <row r="18" spans="2:6" ht="15" x14ac:dyDescent="0.25">
      <c r="B18" s="62" t="s">
        <v>47</v>
      </c>
      <c r="C18" s="71"/>
      <c r="D18" s="70">
        <f>SUM(D16:D17)</f>
        <v>236058.892047</v>
      </c>
      <c r="E18" s="70">
        <f>SUM(E16:E17)</f>
        <v>1670.3524890000006</v>
      </c>
      <c r="F18" s="70">
        <f>SUM(F16:F17)</f>
        <v>237729.24453600001</v>
      </c>
    </row>
    <row r="19" spans="2:6" ht="15" x14ac:dyDescent="0.25">
      <c r="B19" s="71"/>
      <c r="C19" s="72" t="s">
        <v>48</v>
      </c>
      <c r="D19" s="71"/>
      <c r="E19" s="71"/>
      <c r="F19" s="86">
        <f>ROUND(F18/F7,4)</f>
        <v>2.53E-2</v>
      </c>
    </row>
    <row r="20" spans="2:6" ht="15" x14ac:dyDescent="0.25">
      <c r="B20" s="63"/>
      <c r="C20" s="63"/>
      <c r="D20" s="63"/>
      <c r="E20" s="63"/>
      <c r="F20" s="65">
        <f>F16/F18</f>
        <v>0.99297371893701925</v>
      </c>
    </row>
    <row r="21" spans="2:6" ht="15" x14ac:dyDescent="0.25">
      <c r="B21" s="63"/>
      <c r="C21" s="63"/>
      <c r="D21" s="63"/>
      <c r="E21" s="63"/>
      <c r="F21" s="65">
        <f>F17/F18</f>
        <v>7.026281062980682E-3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"/>
  <sheetViews>
    <sheetView workbookViewId="0">
      <selection activeCell="B5" sqref="B5"/>
    </sheetView>
  </sheetViews>
  <sheetFormatPr defaultRowHeight="12.75" x14ac:dyDescent="0.2"/>
  <cols>
    <col min="2" max="22" width="9.28515625" bestFit="1" customWidth="1"/>
    <col min="23" max="23" width="10.28515625" bestFit="1" customWidth="1"/>
  </cols>
  <sheetData>
    <row r="3" spans="1:23" s="92" customFormat="1" x14ac:dyDescent="0.2"/>
    <row r="4" spans="1:23" s="92" customFormat="1" x14ac:dyDescent="0.2">
      <c r="A4" s="93" t="s">
        <v>57</v>
      </c>
      <c r="B4" s="94">
        <v>1</v>
      </c>
      <c r="C4" s="94">
        <v>2</v>
      </c>
      <c r="D4" s="94">
        <v>3</v>
      </c>
      <c r="E4" s="94">
        <v>4</v>
      </c>
      <c r="F4" s="94">
        <v>5</v>
      </c>
      <c r="G4" s="94">
        <v>6</v>
      </c>
      <c r="H4" s="94">
        <v>7</v>
      </c>
      <c r="I4" s="94">
        <v>8</v>
      </c>
      <c r="J4" s="94">
        <v>9</v>
      </c>
      <c r="K4" s="94">
        <v>10</v>
      </c>
      <c r="L4" s="94">
        <v>11</v>
      </c>
      <c r="M4" s="94">
        <v>12</v>
      </c>
      <c r="N4" s="94">
        <v>13</v>
      </c>
      <c r="O4" s="94">
        <v>14</v>
      </c>
      <c r="P4" s="94">
        <v>15</v>
      </c>
      <c r="Q4" s="94">
        <v>16</v>
      </c>
      <c r="R4" s="94">
        <v>17</v>
      </c>
      <c r="S4" s="94">
        <v>18</v>
      </c>
      <c r="T4" s="94">
        <v>19</v>
      </c>
      <c r="U4" s="94">
        <v>20</v>
      </c>
      <c r="V4" s="94">
        <v>21</v>
      </c>
      <c r="W4" s="94" t="s">
        <v>58</v>
      </c>
    </row>
    <row r="5" spans="1:23" s="92" customFormat="1" x14ac:dyDescent="0.2">
      <c r="A5" s="95" t="s">
        <v>59</v>
      </c>
      <c r="B5" s="96">
        <v>3.7499999999999999E-2</v>
      </c>
      <c r="C5" s="96">
        <v>7.2190000000000004E-2</v>
      </c>
      <c r="D5" s="96">
        <v>6.6769999999999996E-2</v>
      </c>
      <c r="E5" s="96">
        <v>6.1769999999999999E-2</v>
      </c>
      <c r="F5" s="96">
        <v>5.713E-2</v>
      </c>
      <c r="G5" s="96">
        <v>5.2850000000000001E-2</v>
      </c>
      <c r="H5" s="96">
        <v>4.888E-2</v>
      </c>
      <c r="I5" s="96">
        <v>4.5220000000000003E-2</v>
      </c>
      <c r="J5" s="96">
        <v>4.462E-2</v>
      </c>
      <c r="K5" s="96">
        <v>4.4610000000000004E-2</v>
      </c>
      <c r="L5" s="96">
        <v>4.462E-2</v>
      </c>
      <c r="M5" s="96">
        <v>4.4610000000000004E-2</v>
      </c>
      <c r="N5" s="96">
        <v>4.462E-2</v>
      </c>
      <c r="O5" s="96">
        <v>4.4610000000000004E-2</v>
      </c>
      <c r="P5" s="96">
        <v>4.462E-2</v>
      </c>
      <c r="Q5" s="96">
        <v>4.4610000000000004E-2</v>
      </c>
      <c r="R5" s="96">
        <v>4.462E-2</v>
      </c>
      <c r="S5" s="96">
        <v>4.4610000000000004E-2</v>
      </c>
      <c r="T5" s="96">
        <v>4.462E-2</v>
      </c>
      <c r="U5" s="96">
        <v>4.4610000000000004E-2</v>
      </c>
      <c r="V5" s="96">
        <v>2.231E-2</v>
      </c>
      <c r="W5" s="96">
        <f>SUM(B5:V5)</f>
        <v>1.0000000000000002</v>
      </c>
    </row>
    <row r="6" spans="1:23" s="92" customFormat="1" x14ac:dyDescent="0.2">
      <c r="A6" s="95" t="s">
        <v>60</v>
      </c>
      <c r="B6" s="96">
        <f>B5*0.5+0.5</f>
        <v>0.51875000000000004</v>
      </c>
      <c r="C6" s="96">
        <f>C5*0.5</f>
        <v>3.6095000000000002E-2</v>
      </c>
      <c r="D6" s="96">
        <f t="shared" ref="D6:V6" si="0">D5*0.5</f>
        <v>3.3384999999999998E-2</v>
      </c>
      <c r="E6" s="96">
        <f t="shared" si="0"/>
        <v>3.0884999999999999E-2</v>
      </c>
      <c r="F6" s="96">
        <f t="shared" si="0"/>
        <v>2.8565E-2</v>
      </c>
      <c r="G6" s="96">
        <f t="shared" si="0"/>
        <v>2.6425000000000001E-2</v>
      </c>
      <c r="H6" s="96">
        <f t="shared" si="0"/>
        <v>2.444E-2</v>
      </c>
      <c r="I6" s="96">
        <f t="shared" si="0"/>
        <v>2.2610000000000002E-2</v>
      </c>
      <c r="J6" s="96">
        <f t="shared" si="0"/>
        <v>2.231E-2</v>
      </c>
      <c r="K6" s="96">
        <f t="shared" si="0"/>
        <v>2.2305000000000002E-2</v>
      </c>
      <c r="L6" s="96">
        <f t="shared" si="0"/>
        <v>2.231E-2</v>
      </c>
      <c r="M6" s="96">
        <f t="shared" si="0"/>
        <v>2.2305000000000002E-2</v>
      </c>
      <c r="N6" s="96">
        <f t="shared" si="0"/>
        <v>2.231E-2</v>
      </c>
      <c r="O6" s="96">
        <f t="shared" si="0"/>
        <v>2.2305000000000002E-2</v>
      </c>
      <c r="P6" s="96">
        <f t="shared" si="0"/>
        <v>2.231E-2</v>
      </c>
      <c r="Q6" s="96">
        <f t="shared" si="0"/>
        <v>2.2305000000000002E-2</v>
      </c>
      <c r="R6" s="96">
        <f t="shared" si="0"/>
        <v>2.231E-2</v>
      </c>
      <c r="S6" s="96">
        <f t="shared" si="0"/>
        <v>2.2305000000000002E-2</v>
      </c>
      <c r="T6" s="96">
        <f t="shared" si="0"/>
        <v>2.231E-2</v>
      </c>
      <c r="U6" s="96">
        <f t="shared" si="0"/>
        <v>2.2305000000000002E-2</v>
      </c>
      <c r="V6" s="96">
        <f t="shared" si="0"/>
        <v>1.1155E-2</v>
      </c>
      <c r="W6" s="96">
        <f>SUM(B6:V6)</f>
        <v>1.0000000000000004</v>
      </c>
    </row>
    <row r="7" spans="1:23" s="92" customFormat="1" x14ac:dyDescent="0.2">
      <c r="A7" s="95" t="s">
        <v>61</v>
      </c>
      <c r="B7" s="96">
        <f>B5*0.6+0.4</f>
        <v>0.42250000000000004</v>
      </c>
      <c r="C7" s="96">
        <f>C5*0.6</f>
        <v>4.3313999999999998E-2</v>
      </c>
      <c r="D7" s="96">
        <f t="shared" ref="D7:V7" si="1">D5*0.6</f>
        <v>4.0061999999999993E-2</v>
      </c>
      <c r="E7" s="96">
        <f t="shared" si="1"/>
        <v>3.7061999999999998E-2</v>
      </c>
      <c r="F7" s="96">
        <f t="shared" si="1"/>
        <v>3.4277999999999996E-2</v>
      </c>
      <c r="G7" s="96">
        <f t="shared" si="1"/>
        <v>3.1710000000000002E-2</v>
      </c>
      <c r="H7" s="96">
        <f t="shared" si="1"/>
        <v>2.9328E-2</v>
      </c>
      <c r="I7" s="96">
        <f t="shared" si="1"/>
        <v>2.7132E-2</v>
      </c>
      <c r="J7" s="96">
        <f t="shared" si="1"/>
        <v>2.6772000000000001E-2</v>
      </c>
      <c r="K7" s="96">
        <f t="shared" si="1"/>
        <v>2.6766000000000002E-2</v>
      </c>
      <c r="L7" s="96">
        <f t="shared" si="1"/>
        <v>2.6772000000000001E-2</v>
      </c>
      <c r="M7" s="96">
        <f t="shared" si="1"/>
        <v>2.6766000000000002E-2</v>
      </c>
      <c r="N7" s="96">
        <f t="shared" si="1"/>
        <v>2.6772000000000001E-2</v>
      </c>
      <c r="O7" s="96">
        <f t="shared" si="1"/>
        <v>2.6766000000000002E-2</v>
      </c>
      <c r="P7" s="96">
        <f t="shared" si="1"/>
        <v>2.6772000000000001E-2</v>
      </c>
      <c r="Q7" s="96">
        <f t="shared" si="1"/>
        <v>2.6766000000000002E-2</v>
      </c>
      <c r="R7" s="96">
        <f t="shared" si="1"/>
        <v>2.6772000000000001E-2</v>
      </c>
      <c r="S7" s="96">
        <f t="shared" si="1"/>
        <v>2.6766000000000002E-2</v>
      </c>
      <c r="T7" s="96">
        <f t="shared" si="1"/>
        <v>2.6772000000000001E-2</v>
      </c>
      <c r="U7" s="96">
        <f t="shared" si="1"/>
        <v>2.6766000000000002E-2</v>
      </c>
      <c r="V7" s="96">
        <f t="shared" si="1"/>
        <v>1.3386E-2</v>
      </c>
      <c r="W7" s="96">
        <f>SUM(B7:V7)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DF785AB-1B21-4848-BA61-37610A185CFE}"/>
</file>

<file path=customXml/itemProps2.xml><?xml version="1.0" encoding="utf-8"?>
<ds:datastoreItem xmlns:ds="http://schemas.openxmlformats.org/officeDocument/2006/customXml" ds:itemID="{D8A0D5E4-A4C3-406F-A4F7-18C7C4379A98}"/>
</file>

<file path=customXml/itemProps3.xml><?xml version="1.0" encoding="utf-8"?>
<ds:datastoreItem xmlns:ds="http://schemas.openxmlformats.org/officeDocument/2006/customXml" ds:itemID="{5E09E6AE-5CE9-4C22-AD87-84874067C5A9}"/>
</file>

<file path=customXml/itemProps4.xml><?xml version="1.0" encoding="utf-8"?>
<ds:datastoreItem xmlns:ds="http://schemas.openxmlformats.org/officeDocument/2006/customXml" ds:itemID="{FDA3DE09-BB60-4F8C-B062-BAA7E3BCD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2018-2019 Investment </vt:lpstr>
      <vt:lpstr>Depr</vt:lpstr>
      <vt:lpstr>Tax table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MarvelousMarina</cp:lastModifiedBy>
  <dcterms:created xsi:type="dcterms:W3CDTF">2019-05-02T16:53:40Z</dcterms:created>
  <dcterms:modified xsi:type="dcterms:W3CDTF">2019-06-21T21:48:12Z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